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P:\Bureau\PARTAGE\Label Bas Carbone\05_Bordeaux\2024 LES YGRANDS - SR 22 241 688\"/>
    </mc:Choice>
  </mc:AlternateContent>
  <xr:revisionPtr revIDLastSave="0" documentId="8_{E8499766-C532-43E2-9192-8C23944A8BA8}" xr6:coauthVersionLast="47" xr6:coauthVersionMax="47" xr10:uidLastSave="{00000000-0000-0000-0000-000000000000}"/>
  <bookViews>
    <workbookView xWindow="-120" yWindow="-120" windowWidth="29040" windowHeight="15840" tabRatio="866" activeTab="1" xr2:uid="{00000000-000D-0000-FFFF-FFFF00000000}"/>
  </bookViews>
  <sheets>
    <sheet name="Accueil" sheetId="5" r:id="rId1"/>
    <sheet name="Données projet" sheetId="1" r:id="rId2"/>
    <sheet name="Scénario référence" sheetId="7" r:id="rId3"/>
    <sheet name="Calculateur" sheetId="2" state="hidden" r:id="rId4"/>
    <sheet name="Paramètres" sheetId="3" state="hidden" r:id="rId5"/>
    <sheet name="REE" sheetId="4" r:id="rId6"/>
    <sheet name="VAN" sheetId="6" r:id="rId7"/>
  </sheets>
  <definedNames>
    <definedName name="Essence">Paramètres!$A$2:$A$86</definedName>
    <definedName name="Essences">Paramètres!$A$2:$A$89</definedName>
    <definedName name="Fertilité">Paramètres!$P$10:$P$11</definedName>
    <definedName name="Incendie">Paramètres!$P$5:$P$8</definedName>
    <definedName name="VAN">Paramètres!$P$2:$P$3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3" i="1" l="1"/>
  <c r="B194" i="1"/>
  <c r="B195" i="1"/>
  <c r="B196" i="1"/>
  <c r="B197" i="1"/>
  <c r="B198" i="1"/>
  <c r="B199" i="1"/>
  <c r="B167" i="1"/>
  <c r="B168" i="1"/>
  <c r="B169" i="1"/>
  <c r="B170" i="1"/>
  <c r="B171" i="1"/>
  <c r="B172" i="1"/>
  <c r="B173" i="1"/>
  <c r="B219" i="1"/>
  <c r="B220" i="1"/>
  <c r="B221" i="1"/>
  <c r="B232" i="1"/>
  <c r="B69" i="1"/>
  <c r="D69" i="1" s="1"/>
  <c r="B115" i="1"/>
  <c r="B116" i="1"/>
  <c r="B117" i="1"/>
  <c r="B118" i="1"/>
  <c r="B119" i="1"/>
  <c r="B120" i="1"/>
  <c r="B121" i="1"/>
  <c r="B122" i="1"/>
  <c r="B123" i="1"/>
  <c r="D284" i="1" l="1"/>
  <c r="B284" i="1"/>
  <c r="D283" i="1"/>
  <c r="B283" i="1"/>
  <c r="D282" i="1"/>
  <c r="B282" i="1"/>
  <c r="D281" i="1"/>
  <c r="B281" i="1"/>
  <c r="D280" i="1"/>
  <c r="B280" i="1"/>
  <c r="D279" i="1"/>
  <c r="B279" i="1"/>
  <c r="D278" i="1"/>
  <c r="B278" i="1"/>
  <c r="D277" i="1"/>
  <c r="B277" i="1"/>
  <c r="D276" i="1"/>
  <c r="B276" i="1"/>
  <c r="D275" i="1"/>
  <c r="B275" i="1"/>
  <c r="D274" i="1"/>
  <c r="B274" i="1"/>
  <c r="D273" i="1"/>
  <c r="B273" i="1"/>
  <c r="D272" i="1"/>
  <c r="B272" i="1"/>
  <c r="D271" i="1"/>
  <c r="B271" i="1"/>
  <c r="B270" i="1"/>
  <c r="D258" i="1"/>
  <c r="B258" i="1"/>
  <c r="D257" i="1"/>
  <c r="B257" i="1"/>
  <c r="D256" i="1"/>
  <c r="B256" i="1"/>
  <c r="D255" i="1"/>
  <c r="B255" i="1"/>
  <c r="D254" i="1"/>
  <c r="B254" i="1"/>
  <c r="D253" i="1"/>
  <c r="B253" i="1"/>
  <c r="D252" i="1"/>
  <c r="B252" i="1"/>
  <c r="D251" i="1"/>
  <c r="B251" i="1"/>
  <c r="D250" i="1"/>
  <c r="B250" i="1"/>
  <c r="D249" i="1"/>
  <c r="B249" i="1"/>
  <c r="D248" i="1"/>
  <c r="B248" i="1"/>
  <c r="D247" i="1"/>
  <c r="B247" i="1"/>
  <c r="D246" i="1"/>
  <c r="B246" i="1"/>
  <c r="D245" i="1"/>
  <c r="B245" i="1"/>
  <c r="B244" i="1"/>
  <c r="B95" i="1"/>
  <c r="B94" i="1"/>
  <c r="B93" i="1"/>
  <c r="B92" i="1"/>
  <c r="B91" i="1"/>
  <c r="B90" i="1"/>
  <c r="B89" i="1"/>
  <c r="B88" i="1"/>
  <c r="D43" i="1"/>
  <c r="B43" i="1"/>
  <c r="D42" i="1"/>
  <c r="B42" i="1"/>
  <c r="D41" i="1"/>
  <c r="B41" i="1"/>
  <c r="D40" i="1"/>
  <c r="B40" i="1"/>
  <c r="D39" i="1"/>
  <c r="B39" i="1"/>
  <c r="D38" i="1"/>
  <c r="B38" i="1"/>
  <c r="D37" i="1"/>
  <c r="B37" i="1"/>
  <c r="B36" i="1"/>
  <c r="F9" i="1" a="1"/>
  <c r="F9" i="1" s="1"/>
  <c r="F10" i="1" l="1" a="1"/>
  <c r="F10" i="1" s="1"/>
  <c r="F14" i="1" a="1"/>
  <c r="F14" i="1" s="1"/>
  <c r="C19" i="7" l="1"/>
  <c r="AF205" i="2" l="1"/>
  <c r="O3" i="2" l="1"/>
  <c r="O34" i="6" l="1"/>
  <c r="O35" i="6" s="1"/>
  <c r="O36" i="6" s="1"/>
  <c r="O37" i="6" s="1"/>
  <c r="O38" i="6" s="1"/>
  <c r="O39" i="6" s="1"/>
  <c r="O40" i="6" s="1"/>
  <c r="O41" i="6" s="1"/>
  <c r="O42" i="6" s="1"/>
  <c r="O43" i="6" s="1"/>
  <c r="O44" i="6" s="1"/>
  <c r="O45" i="6" s="1"/>
  <c r="O46" i="6" s="1"/>
  <c r="O47" i="6" s="1"/>
  <c r="O48" i="6" s="1"/>
  <c r="O49" i="6" s="1"/>
  <c r="O50" i="6" s="1"/>
  <c r="O51" i="6" s="1"/>
  <c r="O52" i="6" s="1"/>
  <c r="O53" i="6" s="1"/>
  <c r="O54" i="6" s="1"/>
  <c r="O55" i="6" s="1"/>
  <c r="O56" i="6" s="1"/>
  <c r="O57" i="6" s="1"/>
  <c r="O58" i="6" s="1"/>
  <c r="O59" i="6" s="1"/>
  <c r="O60" i="6" s="1"/>
  <c r="O61" i="6" s="1"/>
  <c r="O62" i="6" s="1"/>
  <c r="O63" i="6" s="1"/>
  <c r="O64" i="6" s="1"/>
  <c r="O65" i="6" s="1"/>
  <c r="O66" i="6" s="1"/>
  <c r="O67" i="6" s="1"/>
  <c r="O68" i="6" s="1"/>
  <c r="O69" i="6" s="1"/>
  <c r="O70" i="6" s="1"/>
  <c r="O71" i="6" s="1"/>
  <c r="O72" i="6" s="1"/>
  <c r="O73" i="6" s="1"/>
  <c r="O74" i="6" s="1"/>
  <c r="O75" i="6" s="1"/>
  <c r="O76" i="6" s="1"/>
  <c r="O77" i="6" s="1"/>
  <c r="O78" i="6" s="1"/>
  <c r="O79" i="6" s="1"/>
  <c r="O80" i="6" s="1"/>
  <c r="O81" i="6" s="1"/>
  <c r="O82" i="6" s="1"/>
  <c r="O83" i="6" s="1"/>
  <c r="O84" i="6" s="1"/>
  <c r="O85" i="6" s="1"/>
  <c r="O86" i="6" s="1"/>
  <c r="O87" i="6" s="1"/>
  <c r="O88" i="6" s="1"/>
  <c r="O89" i="6" s="1"/>
  <c r="O90" i="6" s="1"/>
  <c r="O91" i="6" s="1"/>
  <c r="O92" i="6" s="1"/>
  <c r="O93" i="6" s="1"/>
  <c r="O94" i="6" s="1"/>
  <c r="O95" i="6" s="1"/>
  <c r="O96" i="6" s="1"/>
  <c r="O97" i="6" s="1"/>
  <c r="O98" i="6" s="1"/>
  <c r="O99" i="6" s="1"/>
  <c r="O100" i="6" s="1"/>
  <c r="O101" i="6" s="1"/>
  <c r="O102" i="6" s="1"/>
  <c r="O103" i="6" s="1"/>
  <c r="O104" i="6" s="1"/>
  <c r="O105" i="6" s="1"/>
  <c r="O106" i="6" s="1"/>
  <c r="O107" i="6" s="1"/>
  <c r="O108" i="6" s="1"/>
  <c r="O109" i="6" s="1"/>
  <c r="O110" i="6" s="1"/>
  <c r="O111" i="6" s="1"/>
  <c r="O112" i="6" s="1"/>
  <c r="O113" i="6" s="1"/>
  <c r="O114" i="6" s="1"/>
  <c r="O115" i="6" s="1"/>
  <c r="O116" i="6" s="1"/>
  <c r="O117" i="6" s="1"/>
  <c r="O118" i="6" s="1"/>
  <c r="O119" i="6" s="1"/>
  <c r="O120" i="6" s="1"/>
  <c r="O121" i="6" s="1"/>
  <c r="O122" i="6" s="1"/>
  <c r="O123" i="6" s="1"/>
  <c r="O124" i="6" s="1"/>
  <c r="O125" i="6" s="1"/>
  <c r="O126" i="6" s="1"/>
  <c r="O127" i="6" s="1"/>
  <c r="O128" i="6" s="1"/>
  <c r="O129" i="6" s="1"/>
  <c r="O130" i="6" s="1"/>
  <c r="O131" i="6" s="1"/>
  <c r="O132" i="6" s="1"/>
  <c r="AD3" i="2" l="1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02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71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40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09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78" i="6"/>
  <c r="B148" i="6"/>
  <c r="B149" i="6"/>
  <c r="B150" i="6"/>
  <c r="B151" i="6"/>
  <c r="B152" i="6"/>
  <c r="B153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47" i="6"/>
  <c r="B117" i="6"/>
  <c r="B119" i="6"/>
  <c r="B121" i="6"/>
  <c r="B123" i="6"/>
  <c r="B125" i="6"/>
  <c r="B127" i="6"/>
  <c r="B128" i="6"/>
  <c r="B130" i="6"/>
  <c r="B131" i="6"/>
  <c r="B132" i="6"/>
  <c r="B133" i="6"/>
  <c r="B134" i="6"/>
  <c r="B135" i="6"/>
  <c r="B116" i="6"/>
  <c r="B86" i="6"/>
  <c r="B88" i="6"/>
  <c r="B90" i="6"/>
  <c r="B92" i="6"/>
  <c r="B94" i="6"/>
  <c r="B96" i="6"/>
  <c r="B97" i="6"/>
  <c r="B99" i="6"/>
  <c r="B100" i="6"/>
  <c r="B101" i="6"/>
  <c r="B102" i="6"/>
  <c r="B103" i="6"/>
  <c r="B104" i="6"/>
  <c r="B85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54" i="6"/>
  <c r="B24" i="6"/>
  <c r="B25" i="6"/>
  <c r="B26" i="6"/>
  <c r="B27" i="6"/>
  <c r="B28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F18" i="1" l="1" a="1"/>
  <c r="F18" i="1" s="1"/>
  <c r="F17" i="1" a="1"/>
  <c r="F17" i="1" s="1"/>
  <c r="G204" i="2"/>
  <c r="G205" i="2"/>
  <c r="C4" i="2"/>
  <c r="C5" i="2" s="1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1" i="2" s="1"/>
  <c r="C142" i="2" s="1"/>
  <c r="C143" i="2" s="1"/>
  <c r="C144" i="2" s="1"/>
  <c r="C145" i="2" s="1"/>
  <c r="C146" i="2" s="1"/>
  <c r="C147" i="2" s="1"/>
  <c r="C148" i="2" s="1"/>
  <c r="C149" i="2" s="1"/>
  <c r="C150" i="2" s="1"/>
  <c r="C151" i="2" s="1"/>
  <c r="C152" i="2" s="1"/>
  <c r="C153" i="2" s="1"/>
  <c r="C154" i="2" s="1"/>
  <c r="C155" i="2" s="1"/>
  <c r="C156" i="2" s="1"/>
  <c r="C157" i="2" s="1"/>
  <c r="C158" i="2" s="1"/>
  <c r="C159" i="2" s="1"/>
  <c r="C160" i="2" s="1"/>
  <c r="C161" i="2" s="1"/>
  <c r="C162" i="2" s="1"/>
  <c r="C163" i="2" s="1"/>
  <c r="C164" i="2" s="1"/>
  <c r="C165" i="2" s="1"/>
  <c r="C166" i="2" s="1"/>
  <c r="C167" i="2" s="1"/>
  <c r="C168" i="2" s="1"/>
  <c r="C169" i="2" s="1"/>
  <c r="C170" i="2" s="1"/>
  <c r="C171" i="2" s="1"/>
  <c r="C172" i="2" s="1"/>
  <c r="C173" i="2" s="1"/>
  <c r="C174" i="2" s="1"/>
  <c r="C175" i="2" s="1"/>
  <c r="C176" i="2" s="1"/>
  <c r="C177" i="2" s="1"/>
  <c r="C178" i="2" s="1"/>
  <c r="C179" i="2" s="1"/>
  <c r="C180" i="2" s="1"/>
  <c r="C181" i="2" s="1"/>
  <c r="C182" i="2" s="1"/>
  <c r="C183" i="2" s="1"/>
  <c r="C184" i="2" s="1"/>
  <c r="C185" i="2" s="1"/>
  <c r="C186" i="2" s="1"/>
  <c r="C187" i="2" s="1"/>
  <c r="C188" i="2" s="1"/>
  <c r="C189" i="2" s="1"/>
  <c r="C190" i="2" s="1"/>
  <c r="C191" i="2" s="1"/>
  <c r="C192" i="2" s="1"/>
  <c r="C193" i="2" s="1"/>
  <c r="C194" i="2" s="1"/>
  <c r="C195" i="2" s="1"/>
  <c r="C196" i="2" s="1"/>
  <c r="C197" i="2" s="1"/>
  <c r="C198" i="2" s="1"/>
  <c r="C199" i="2" s="1"/>
  <c r="C200" i="2" s="1"/>
  <c r="C201" i="2" s="1"/>
  <c r="C202" i="2" s="1"/>
  <c r="C203" i="2" s="1"/>
  <c r="F154" i="2" l="1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GQ3" i="2"/>
  <c r="FV3" i="2"/>
  <c r="FA3" i="2"/>
  <c r="EF3" i="2"/>
  <c r="DK3" i="2"/>
  <c r="CP3" i="2"/>
  <c r="BU3" i="2"/>
  <c r="AZ3" i="2"/>
  <c r="AE3" i="2"/>
  <c r="GP3" i="2"/>
  <c r="FU3" i="2"/>
  <c r="EZ3" i="2"/>
  <c r="EE3" i="2"/>
  <c r="DJ3" i="2"/>
  <c r="CO3" i="2"/>
  <c r="BT3" i="2"/>
  <c r="AY3" i="2"/>
  <c r="J3" i="2"/>
  <c r="I3" i="2"/>
  <c r="C11" i="7" l="1"/>
  <c r="B4" i="2" l="1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3" i="2"/>
  <c r="G3" i="2" s="1"/>
  <c r="F3" i="2"/>
  <c r="G10" i="7" l="1"/>
  <c r="F10" i="7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3" i="2"/>
  <c r="H3" i="2" s="1"/>
  <c r="F16" i="1" l="1" a="1"/>
  <c r="F16" i="1" s="1"/>
  <c r="F15" i="1" a="1"/>
  <c r="F15" i="1" s="1"/>
  <c r="F13" i="1" a="1"/>
  <c r="F13" i="1" s="1"/>
  <c r="F12" i="1" a="1"/>
  <c r="F12" i="1" s="1"/>
  <c r="F11" i="1" a="1"/>
  <c r="F11" i="1" s="1"/>
  <c r="B154" i="6"/>
  <c r="I147" i="1" l="1"/>
  <c r="B129" i="6"/>
  <c r="B126" i="6"/>
  <c r="B124" i="6"/>
  <c r="B122" i="6"/>
  <c r="B120" i="6"/>
  <c r="B118" i="6"/>
  <c r="B98" i="6"/>
  <c r="B95" i="6"/>
  <c r="B93" i="6"/>
  <c r="B91" i="6"/>
  <c r="B89" i="6"/>
  <c r="B87" i="6"/>
  <c r="B29" i="6" l="1"/>
  <c r="K205" i="2"/>
  <c r="B23" i="6" l="1"/>
  <c r="F4" i="2"/>
  <c r="D5" i="4" l="1"/>
  <c r="C5" i="4"/>
  <c r="B19" i="7" l="1"/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D4" i="2" l="1"/>
  <c r="G4" i="2" s="1"/>
  <c r="H4" i="2" l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46" i="1"/>
  <c r="I245" i="1"/>
  <c r="I271" i="1"/>
  <c r="I270" i="1"/>
  <c r="I244" i="1"/>
  <c r="GR205" i="2"/>
  <c r="FW205" i="2"/>
  <c r="FB205" i="2"/>
  <c r="EG205" i="2"/>
  <c r="DL205" i="2"/>
  <c r="P33" i="6" l="1"/>
  <c r="CQ205" i="2"/>
  <c r="BV205" i="2"/>
  <c r="BA205" i="2"/>
  <c r="A6" i="4" l="1"/>
  <c r="A7" i="4"/>
  <c r="L3" i="2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2" i="6"/>
  <c r="P123" i="6"/>
  <c r="P124" i="6"/>
  <c r="P125" i="6"/>
  <c r="P126" i="6"/>
  <c r="P127" i="6"/>
  <c r="P128" i="6"/>
  <c r="P129" i="6"/>
  <c r="P130" i="6"/>
  <c r="P131" i="6"/>
  <c r="P132" i="6"/>
  <c r="B266" i="1"/>
  <c r="B240" i="1"/>
  <c r="B214" i="1"/>
  <c r="B188" i="1"/>
  <c r="B162" i="1"/>
  <c r="B136" i="1"/>
  <c r="B110" i="1"/>
  <c r="B84" i="1"/>
  <c r="B58" i="1"/>
  <c r="B32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42" i="1"/>
  <c r="I143" i="1"/>
  <c r="I144" i="1"/>
  <c r="I145" i="1"/>
  <c r="I146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18" i="1"/>
  <c r="I192" i="1"/>
  <c r="I166" i="1"/>
  <c r="I140" i="1"/>
  <c r="I114" i="1"/>
  <c r="I88" i="1"/>
  <c r="I62" i="1"/>
  <c r="A39" i="4" l="1"/>
  <c r="A21" i="4"/>
  <c r="D9" i="1" l="1"/>
  <c r="D10" i="1"/>
  <c r="D11" i="1"/>
  <c r="I37" i="1" l="1"/>
  <c r="I36" i="1"/>
  <c r="D5" i="2" l="1"/>
  <c r="G5" i="2" s="1"/>
  <c r="D11" i="2"/>
  <c r="G11" i="2" s="1"/>
  <c r="D10" i="2"/>
  <c r="G10" i="2" s="1"/>
  <c r="D9" i="2"/>
  <c r="G9" i="2" s="1"/>
  <c r="D8" i="2"/>
  <c r="G8" i="2" s="1"/>
  <c r="D7" i="2"/>
  <c r="G7" i="2" s="1"/>
  <c r="D6" i="2"/>
  <c r="G6" i="2" s="1"/>
  <c r="D13" i="2"/>
  <c r="G13" i="2" s="1"/>
  <c r="D12" i="2"/>
  <c r="G12" i="2" s="1"/>
  <c r="D303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02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71" i="6"/>
  <c r="D241" i="6"/>
  <c r="D242" i="6"/>
  <c r="D243" i="6"/>
  <c r="D244" i="6"/>
  <c r="D245" i="6"/>
  <c r="D246" i="6"/>
  <c r="D247" i="6"/>
  <c r="D248" i="6"/>
  <c r="D249" i="6"/>
  <c r="D251" i="6"/>
  <c r="D252" i="6"/>
  <c r="D253" i="6"/>
  <c r="D254" i="6"/>
  <c r="D255" i="6"/>
  <c r="D256" i="6"/>
  <c r="D257" i="6"/>
  <c r="D258" i="6"/>
  <c r="D259" i="6"/>
  <c r="D240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09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78" i="6"/>
  <c r="D148" i="6"/>
  <c r="D149" i="6"/>
  <c r="D150" i="6"/>
  <c r="D151" i="6"/>
  <c r="D152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47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16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85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54" i="6"/>
  <c r="B45" i="6"/>
  <c r="B14" i="6"/>
  <c r="A8" i="4"/>
  <c r="A9" i="4"/>
  <c r="A10" i="4"/>
  <c r="A11" i="4"/>
  <c r="A12" i="4"/>
  <c r="B200" i="6"/>
  <c r="A13" i="4"/>
  <c r="B231" i="6"/>
  <c r="A14" i="4"/>
  <c r="B262" i="6"/>
  <c r="B293" i="6"/>
  <c r="A15" i="4"/>
  <c r="B169" i="6"/>
  <c r="B138" i="6"/>
  <c r="B107" i="6"/>
  <c r="B76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23" i="6"/>
  <c r="D304" i="6"/>
  <c r="D250" i="6"/>
  <c r="D153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02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71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40" i="6"/>
  <c r="A221" i="6"/>
  <c r="A222" i="6"/>
  <c r="A223" i="6"/>
  <c r="A224" i="6"/>
  <c r="A225" i="6"/>
  <c r="A226" i="6"/>
  <c r="A227" i="6"/>
  <c r="A228" i="6"/>
  <c r="A210" i="6"/>
  <c r="A211" i="6"/>
  <c r="A212" i="6"/>
  <c r="A213" i="6"/>
  <c r="A214" i="6"/>
  <c r="A215" i="6"/>
  <c r="A216" i="6"/>
  <c r="A217" i="6"/>
  <c r="A218" i="6"/>
  <c r="A219" i="6"/>
  <c r="A220" i="6"/>
  <c r="A209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78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47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16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85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54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23" i="6"/>
  <c r="T14" i="6" l="1"/>
  <c r="T11" i="6"/>
  <c r="T17" i="6"/>
  <c r="T16" i="6"/>
  <c r="T15" i="6"/>
  <c r="T19" i="6"/>
  <c r="T18" i="6"/>
  <c r="T12" i="6"/>
  <c r="T10" i="6"/>
  <c r="T13" i="6"/>
  <c r="P34" i="6"/>
  <c r="H13" i="2"/>
  <c r="H6" i="2"/>
  <c r="H7" i="2"/>
  <c r="H8" i="2"/>
  <c r="H9" i="2"/>
  <c r="H10" i="2"/>
  <c r="H11" i="2"/>
  <c r="H12" i="2"/>
  <c r="H5" i="2"/>
  <c r="A166" i="4"/>
  <c r="A148" i="4"/>
  <c r="A130" i="4"/>
  <c r="A112" i="4"/>
  <c r="A94" i="4"/>
  <c r="A76" i="4"/>
  <c r="A57" i="4"/>
  <c r="A184" i="4"/>
  <c r="D14" i="2"/>
  <c r="G14" i="2" s="1"/>
  <c r="S15" i="6"/>
  <c r="S16" i="6"/>
  <c r="S18" i="6"/>
  <c r="S17" i="6"/>
  <c r="S14" i="6"/>
  <c r="S19" i="6"/>
  <c r="S13" i="6"/>
  <c r="S11" i="6"/>
  <c r="S12" i="6"/>
  <c r="S10" i="6"/>
  <c r="P62" i="6" l="1"/>
  <c r="H14" i="2"/>
  <c r="D15" i="2"/>
  <c r="G15" i="2" s="1"/>
  <c r="P35" i="6"/>
  <c r="I141" i="1"/>
  <c r="I167" i="1"/>
  <c r="P63" i="6" l="1"/>
  <c r="H15" i="2"/>
  <c r="D16" i="2"/>
  <c r="G16" i="2" s="1"/>
  <c r="P36" i="6"/>
  <c r="HE3" i="2"/>
  <c r="HD3" i="2"/>
  <c r="GJ3" i="2"/>
  <c r="GI3" i="2"/>
  <c r="FO3" i="2"/>
  <c r="FN3" i="2"/>
  <c r="ET3" i="2"/>
  <c r="ES3" i="2"/>
  <c r="DY3" i="2"/>
  <c r="DX3" i="2"/>
  <c r="DD3" i="2"/>
  <c r="DC3" i="2"/>
  <c r="CI3" i="2"/>
  <c r="CH3" i="2"/>
  <c r="BN3" i="2"/>
  <c r="BM3" i="2"/>
  <c r="AS3" i="2"/>
  <c r="AR3" i="2"/>
  <c r="X3" i="2"/>
  <c r="W3" i="2"/>
  <c r="P64" i="6" l="1"/>
  <c r="H16" i="2"/>
  <c r="D17" i="2"/>
  <c r="G17" i="2" s="1"/>
  <c r="P37" i="6"/>
  <c r="GP1" i="2"/>
  <c r="HF3" i="2"/>
  <c r="HC3" i="2"/>
  <c r="HB3" i="2"/>
  <c r="GV3" i="2"/>
  <c r="GX3" i="2" s="1"/>
  <c r="GY3" i="2" s="1"/>
  <c r="GS3" i="2"/>
  <c r="HJ3" i="2"/>
  <c r="GK3" i="2"/>
  <c r="GH3" i="2"/>
  <c r="GG3" i="2"/>
  <c r="GA3" i="2"/>
  <c r="GC3" i="2" s="1"/>
  <c r="GD3" i="2" s="1"/>
  <c r="FX3" i="2"/>
  <c r="FU1" i="2"/>
  <c r="GO3" i="2"/>
  <c r="FP3" i="2"/>
  <c r="FM3" i="2"/>
  <c r="FL3" i="2"/>
  <c r="FF3" i="2"/>
  <c r="FH3" i="2" s="1"/>
  <c r="FI3" i="2" s="1"/>
  <c r="FC3" i="2"/>
  <c r="EZ1" i="2"/>
  <c r="FT3" i="2"/>
  <c r="EU3" i="2"/>
  <c r="ER3" i="2"/>
  <c r="EQ3" i="2"/>
  <c r="EK3" i="2"/>
  <c r="EM3" i="2" s="1"/>
  <c r="EN3" i="2" s="1"/>
  <c r="EH3" i="2"/>
  <c r="EE1" i="2"/>
  <c r="EY3" i="2"/>
  <c r="DZ3" i="2"/>
  <c r="DW3" i="2"/>
  <c r="DV3" i="2"/>
  <c r="DP3" i="2"/>
  <c r="DR3" i="2" s="1"/>
  <c r="DS3" i="2" s="1"/>
  <c r="DM3" i="2"/>
  <c r="DJ1" i="2"/>
  <c r="ED3" i="2"/>
  <c r="CJ3" i="2"/>
  <c r="DE3" i="2"/>
  <c r="DB3" i="2"/>
  <c r="DA3" i="2"/>
  <c r="CU3" i="2"/>
  <c r="CW3" i="2" s="1"/>
  <c r="CX3" i="2" s="1"/>
  <c r="CO1" i="2"/>
  <c r="DI3" i="2"/>
  <c r="CG3" i="2"/>
  <c r="CF3" i="2"/>
  <c r="BZ3" i="2"/>
  <c r="CB3" i="2" s="1"/>
  <c r="CC3" i="2" s="1"/>
  <c r="BE3" i="2"/>
  <c r="BG3" i="2" s="1"/>
  <c r="BH3" i="2" s="1"/>
  <c r="Q3" i="2"/>
  <c r="R3" i="2" s="1"/>
  <c r="AJ3" i="2"/>
  <c r="AL3" i="2" s="1"/>
  <c r="AM3" i="2" s="1"/>
  <c r="BW3" i="2"/>
  <c r="BT1" i="2"/>
  <c r="AY1" i="2"/>
  <c r="AD1" i="2"/>
  <c r="I1" i="2"/>
  <c r="CN3" i="2"/>
  <c r="BO3" i="2"/>
  <c r="BL3" i="2"/>
  <c r="BK3" i="2"/>
  <c r="BS3" i="2"/>
  <c r="AT3" i="2"/>
  <c r="AQ3" i="2"/>
  <c r="AP3" i="2"/>
  <c r="AG3" i="2"/>
  <c r="I219" i="1"/>
  <c r="I193" i="1"/>
  <c r="CR3" i="2"/>
  <c r="I115" i="1"/>
  <c r="I89" i="1"/>
  <c r="BB3" i="2"/>
  <c r="AX3" i="2"/>
  <c r="I63" i="1"/>
  <c r="P65" i="6" l="1"/>
  <c r="H17" i="2"/>
  <c r="D18" i="2"/>
  <c r="G18" i="2" s="1"/>
  <c r="P38" i="6"/>
  <c r="D12" i="1"/>
  <c r="D13" i="1"/>
  <c r="D14" i="1"/>
  <c r="U15" i="6" s="1"/>
  <c r="V15" i="6" s="1"/>
  <c r="D15" i="1"/>
  <c r="U16" i="6" s="1"/>
  <c r="V16" i="6" s="1"/>
  <c r="D16" i="1"/>
  <c r="U17" i="6" s="1"/>
  <c r="V17" i="6" s="1"/>
  <c r="D17" i="1"/>
  <c r="U18" i="6" s="1"/>
  <c r="V18" i="6" s="1"/>
  <c r="D18" i="1"/>
  <c r="P66" i="6" l="1"/>
  <c r="H18" i="2"/>
  <c r="D19" i="2"/>
  <c r="G19" i="2" s="1"/>
  <c r="P39" i="6"/>
  <c r="B13" i="4"/>
  <c r="B15" i="4"/>
  <c r="U19" i="6"/>
  <c r="V19" i="6" s="1"/>
  <c r="B6" i="4"/>
  <c r="U10" i="6"/>
  <c r="V10" i="6" s="1"/>
  <c r="B8" i="4"/>
  <c r="U12" i="6"/>
  <c r="V12" i="6" s="1"/>
  <c r="B12" i="4"/>
  <c r="B7" i="4"/>
  <c r="U11" i="6"/>
  <c r="V11" i="6" s="1"/>
  <c r="B11" i="4"/>
  <c r="B10" i="4"/>
  <c r="U14" i="6"/>
  <c r="V14" i="6" s="1"/>
  <c r="B9" i="4"/>
  <c r="U13" i="6"/>
  <c r="V13" i="6" s="1"/>
  <c r="D19" i="1"/>
  <c r="B14" i="4"/>
  <c r="T23" i="6" l="1"/>
  <c r="P67" i="6"/>
  <c r="H19" i="2"/>
  <c r="D20" i="2"/>
  <c r="G20" i="2" s="1"/>
  <c r="P40" i="6"/>
  <c r="P68" i="6" l="1"/>
  <c r="H20" i="2"/>
  <c r="D21" i="2"/>
  <c r="G21" i="2" s="1"/>
  <c r="P41" i="6"/>
  <c r="P69" i="6" l="1"/>
  <c r="H21" i="2"/>
  <c r="D22" i="2"/>
  <c r="G22" i="2" s="1"/>
  <c r="P42" i="6"/>
  <c r="P70" i="6" l="1"/>
  <c r="H22" i="2"/>
  <c r="D23" i="2"/>
  <c r="G23" i="2" s="1"/>
  <c r="P43" i="6"/>
  <c r="P71" i="6" l="1"/>
  <c r="H23" i="2"/>
  <c r="D24" i="2"/>
  <c r="G24" i="2" s="1"/>
  <c r="P44" i="6"/>
  <c r="P72" i="6" l="1"/>
  <c r="H24" i="2"/>
  <c r="D25" i="2"/>
  <c r="G25" i="2" s="1"/>
  <c r="P45" i="6"/>
  <c r="P73" i="6" l="1"/>
  <c r="H25" i="2"/>
  <c r="D26" i="2"/>
  <c r="G26" i="2" s="1"/>
  <c r="P46" i="6"/>
  <c r="P74" i="6" l="1"/>
  <c r="H26" i="2"/>
  <c r="D27" i="2"/>
  <c r="G27" i="2" s="1"/>
  <c r="P47" i="6"/>
  <c r="P75" i="6" l="1"/>
  <c r="H27" i="2"/>
  <c r="D28" i="2"/>
  <c r="G28" i="2" s="1"/>
  <c r="P48" i="6"/>
  <c r="P76" i="6" l="1"/>
  <c r="H28" i="2"/>
  <c r="D29" i="2"/>
  <c r="G29" i="2" s="1"/>
  <c r="P49" i="6"/>
  <c r="P77" i="6" l="1"/>
  <c r="H29" i="2"/>
  <c r="D30" i="2"/>
  <c r="G30" i="2" s="1"/>
  <c r="P50" i="6"/>
  <c r="P78" i="6" l="1"/>
  <c r="H30" i="2"/>
  <c r="D31" i="2"/>
  <c r="G31" i="2" s="1"/>
  <c r="P51" i="6"/>
  <c r="P79" i="6" l="1"/>
  <c r="H31" i="2"/>
  <c r="D32" i="2"/>
  <c r="G32" i="2" s="1"/>
  <c r="P52" i="6"/>
  <c r="P80" i="6" l="1"/>
  <c r="H32" i="2"/>
  <c r="D33" i="2"/>
  <c r="G33" i="2" s="1"/>
  <c r="P53" i="6"/>
  <c r="P81" i="6" l="1"/>
  <c r="H33" i="2"/>
  <c r="D34" i="2"/>
  <c r="G34" i="2" s="1"/>
  <c r="P54" i="6"/>
  <c r="P82" i="6" l="1"/>
  <c r="H34" i="2"/>
  <c r="D35" i="2"/>
  <c r="G35" i="2" s="1"/>
  <c r="P55" i="6"/>
  <c r="P83" i="6" l="1"/>
  <c r="H35" i="2"/>
  <c r="D36" i="2"/>
  <c r="G36" i="2" s="1"/>
  <c r="P56" i="6"/>
  <c r="P84" i="6" l="1"/>
  <c r="H36" i="2"/>
  <c r="D37" i="2"/>
  <c r="G37" i="2" s="1"/>
  <c r="P57" i="6"/>
  <c r="Y3" i="2"/>
  <c r="AC3" i="2"/>
  <c r="P85" i="6" l="1"/>
  <c r="H37" i="2"/>
  <c r="D38" i="2"/>
  <c r="G38" i="2" s="1"/>
  <c r="P58" i="6"/>
  <c r="V3" i="2"/>
  <c r="U3" i="2"/>
  <c r="P86" i="6" l="1"/>
  <c r="H38" i="2"/>
  <c r="D39" i="2"/>
  <c r="G39" i="2" s="1"/>
  <c r="P59" i="6"/>
  <c r="I39" i="1"/>
  <c r="I38" i="1"/>
  <c r="P88" i="6" l="1"/>
  <c r="P87" i="6"/>
  <c r="H39" i="2"/>
  <c r="D40" i="2"/>
  <c r="G40" i="2" s="1"/>
  <c r="P61" i="6"/>
  <c r="P60" i="6"/>
  <c r="H40" i="2" l="1"/>
  <c r="D41" i="2"/>
  <c r="G41" i="2" s="1"/>
  <c r="M30" i="6"/>
  <c r="A4" i="2"/>
  <c r="C19" i="1"/>
  <c r="C20" i="1" s="1"/>
  <c r="GQ4" i="2" l="1"/>
  <c r="GP4" i="2"/>
  <c r="FU4" i="2"/>
  <c r="FV4" i="2"/>
  <c r="FA4" i="2"/>
  <c r="EZ4" i="2"/>
  <c r="EF4" i="2"/>
  <c r="EE4" i="2"/>
  <c r="DK4" i="2"/>
  <c r="DJ4" i="2"/>
  <c r="CP4" i="2"/>
  <c r="CO4" i="2"/>
  <c r="AZ4" i="2"/>
  <c r="AY4" i="2"/>
  <c r="BU4" i="2"/>
  <c r="BT4" i="2"/>
  <c r="AE4" i="2"/>
  <c r="AD4" i="2"/>
  <c r="I4" i="2"/>
  <c r="J4" i="2"/>
  <c r="H41" i="2"/>
  <c r="L4" i="2"/>
  <c r="K4" i="2"/>
  <c r="D42" i="2"/>
  <c r="G42" i="2" s="1"/>
  <c r="HD4" i="2"/>
  <c r="HE4" i="2"/>
  <c r="GJ4" i="2"/>
  <c r="FO4" i="2"/>
  <c r="DY4" i="2"/>
  <c r="ES4" i="2"/>
  <c r="DX4" i="2"/>
  <c r="GI4" i="2"/>
  <c r="GL4" i="2" s="1"/>
  <c r="CI4" i="2"/>
  <c r="ET4" i="2"/>
  <c r="DC4" i="2"/>
  <c r="BM4" i="2"/>
  <c r="DD4" i="2"/>
  <c r="CH4" i="2"/>
  <c r="BN4" i="2"/>
  <c r="AS4" i="2"/>
  <c r="AR4" i="2"/>
  <c r="FN4" i="2"/>
  <c r="X4" i="2"/>
  <c r="W4" i="2"/>
  <c r="HB4" i="2"/>
  <c r="HC4" i="2"/>
  <c r="GH4" i="2"/>
  <c r="GK4" i="2"/>
  <c r="GS4" i="2"/>
  <c r="GR4" i="2"/>
  <c r="FP4" i="2"/>
  <c r="GG4" i="2"/>
  <c r="FX4" i="2"/>
  <c r="FW4" i="2"/>
  <c r="FL4" i="2"/>
  <c r="FC4" i="2"/>
  <c r="FM4" i="2"/>
  <c r="ER4" i="2"/>
  <c r="DV4" i="2"/>
  <c r="DM4" i="2"/>
  <c r="DL4" i="2"/>
  <c r="DA4" i="2"/>
  <c r="EU4" i="2"/>
  <c r="DW4" i="2"/>
  <c r="EC4" i="2" s="1"/>
  <c r="DB4" i="2"/>
  <c r="FB4" i="2"/>
  <c r="DZ4" i="2"/>
  <c r="DE4" i="2"/>
  <c r="HF4" i="2"/>
  <c r="EQ4" i="2"/>
  <c r="EH4" i="2"/>
  <c r="EG4" i="2"/>
  <c r="CR4" i="2"/>
  <c r="CJ4" i="2"/>
  <c r="CQ4" i="2"/>
  <c r="BK4" i="2"/>
  <c r="BW4" i="2"/>
  <c r="BV4" i="2"/>
  <c r="CF4" i="2"/>
  <c r="BL4" i="2"/>
  <c r="CG4" i="2"/>
  <c r="BO4" i="2"/>
  <c r="BB4" i="2"/>
  <c r="BA4" i="2"/>
  <c r="AT4" i="2"/>
  <c r="A5" i="2"/>
  <c r="AQ4" i="2"/>
  <c r="AF4" i="2"/>
  <c r="AG4" i="2"/>
  <c r="AP4" i="2"/>
  <c r="Y4" i="2"/>
  <c r="U4" i="2"/>
  <c r="V4" i="2"/>
  <c r="FQ4" i="2" l="1"/>
  <c r="FR4" i="2"/>
  <c r="BR4" i="2"/>
  <c r="BQ4" i="2"/>
  <c r="EA4" i="2"/>
  <c r="HI4" i="2"/>
  <c r="EX4" i="2"/>
  <c r="CM4" i="2"/>
  <c r="FS4" i="2"/>
  <c r="EV4" i="2"/>
  <c r="DG4" i="2"/>
  <c r="GN4" i="2"/>
  <c r="HH4" i="2"/>
  <c r="HG4" i="2"/>
  <c r="DH4" i="2"/>
  <c r="DF4" i="2"/>
  <c r="GM4" i="2"/>
  <c r="EW4" i="2"/>
  <c r="EB4" i="2"/>
  <c r="AW4" i="2"/>
  <c r="AV4" i="2"/>
  <c r="AU4" i="2"/>
  <c r="BP4" i="2"/>
  <c r="CK4" i="2"/>
  <c r="CL4" i="2"/>
  <c r="GQ5" i="2"/>
  <c r="GP5" i="2"/>
  <c r="FU5" i="2"/>
  <c r="FV5" i="2"/>
  <c r="FA5" i="2"/>
  <c r="EZ5" i="2"/>
  <c r="EF5" i="2"/>
  <c r="EE5" i="2"/>
  <c r="DK5" i="2"/>
  <c r="DJ5" i="2"/>
  <c r="BU5" i="2"/>
  <c r="BT5" i="2"/>
  <c r="CP5" i="2"/>
  <c r="CO5" i="2"/>
  <c r="AY5" i="2"/>
  <c r="AE5" i="2"/>
  <c r="AD5" i="2"/>
  <c r="AZ5" i="2"/>
  <c r="J5" i="2"/>
  <c r="I5" i="2"/>
  <c r="K5" i="2"/>
  <c r="H42" i="2"/>
  <c r="D43" i="2"/>
  <c r="G43" i="2" s="1"/>
  <c r="Y5" i="2"/>
  <c r="L5" i="2"/>
  <c r="HE5" i="2"/>
  <c r="GJ5" i="2"/>
  <c r="HD5" i="2"/>
  <c r="GI5" i="2"/>
  <c r="FO5" i="2"/>
  <c r="FN5" i="2"/>
  <c r="DY5" i="2"/>
  <c r="ET5" i="2"/>
  <c r="ES5" i="2"/>
  <c r="DD5" i="2"/>
  <c r="CH5" i="2"/>
  <c r="AS5" i="2"/>
  <c r="DX5" i="2"/>
  <c r="CI5" i="2"/>
  <c r="X5" i="2"/>
  <c r="DC5" i="2"/>
  <c r="BN5" i="2"/>
  <c r="BM5" i="2"/>
  <c r="AR5" i="2"/>
  <c r="W5" i="2"/>
  <c r="HF5" i="2"/>
  <c r="HB5" i="2"/>
  <c r="GR5" i="2"/>
  <c r="GH5" i="2"/>
  <c r="HC5" i="2"/>
  <c r="GK5" i="2"/>
  <c r="FW5" i="2"/>
  <c r="FM5" i="2"/>
  <c r="FP5" i="2"/>
  <c r="FB5" i="2"/>
  <c r="GS5" i="2"/>
  <c r="GG5" i="2"/>
  <c r="FX5" i="2"/>
  <c r="EQ5" i="2"/>
  <c r="EH5" i="2"/>
  <c r="CJ5" i="2"/>
  <c r="ER5" i="2"/>
  <c r="DV5" i="2"/>
  <c r="DM5" i="2"/>
  <c r="DA5" i="2"/>
  <c r="CR5" i="2"/>
  <c r="CQ5" i="2"/>
  <c r="EU5" i="2"/>
  <c r="EG5" i="2"/>
  <c r="DW5" i="2"/>
  <c r="DB5" i="2"/>
  <c r="FL5" i="2"/>
  <c r="FC5" i="2"/>
  <c r="DZ5" i="2"/>
  <c r="DE5" i="2"/>
  <c r="DL5" i="2"/>
  <c r="CG5" i="2"/>
  <c r="BV5" i="2"/>
  <c r="BO5" i="2"/>
  <c r="BB5" i="2"/>
  <c r="BK5" i="2"/>
  <c r="BW5" i="2"/>
  <c r="CF5" i="2"/>
  <c r="BL5" i="2"/>
  <c r="AT5" i="2"/>
  <c r="BA5" i="2"/>
  <c r="V5" i="2"/>
  <c r="U5" i="2"/>
  <c r="A6" i="2"/>
  <c r="AQ5" i="2"/>
  <c r="AG5" i="2"/>
  <c r="AP5" i="2"/>
  <c r="AF5" i="2"/>
  <c r="AB4" i="2"/>
  <c r="Z4" i="2"/>
  <c r="AA4" i="2"/>
  <c r="EC5" i="2" l="1"/>
  <c r="EX5" i="2"/>
  <c r="EA5" i="2"/>
  <c r="FR5" i="2"/>
  <c r="HI5" i="2"/>
  <c r="EB5" i="2"/>
  <c r="FS5" i="2"/>
  <c r="HH5" i="2"/>
  <c r="GN5" i="2"/>
  <c r="GL5" i="2"/>
  <c r="HG5" i="2"/>
  <c r="DG5" i="2"/>
  <c r="DF5" i="2"/>
  <c r="DH5" i="2"/>
  <c r="FQ5" i="2"/>
  <c r="GM5" i="2"/>
  <c r="EV5" i="2"/>
  <c r="EW5" i="2"/>
  <c r="CM5" i="2"/>
  <c r="AU5" i="2"/>
  <c r="AV5" i="2"/>
  <c r="AW5" i="2"/>
  <c r="BR5" i="2"/>
  <c r="BP5" i="2"/>
  <c r="BQ5" i="2"/>
  <c r="CK5" i="2"/>
  <c r="CL5" i="2"/>
  <c r="GQ6" i="2"/>
  <c r="GP6" i="2"/>
  <c r="FU6" i="2"/>
  <c r="EZ6" i="2"/>
  <c r="FV6" i="2"/>
  <c r="FA6" i="2"/>
  <c r="EF6" i="2"/>
  <c r="CP6" i="2"/>
  <c r="CO6" i="2"/>
  <c r="DK6" i="2"/>
  <c r="DJ6" i="2"/>
  <c r="BU6" i="2"/>
  <c r="BT6" i="2"/>
  <c r="EE6" i="2"/>
  <c r="AZ6" i="2"/>
  <c r="AY6" i="2"/>
  <c r="AE6" i="2"/>
  <c r="AD6" i="2"/>
  <c r="K6" i="2"/>
  <c r="I6" i="2"/>
  <c r="J6" i="2"/>
  <c r="H43" i="2"/>
  <c r="L6" i="2"/>
  <c r="D44" i="2"/>
  <c r="G44" i="2" s="1"/>
  <c r="DI4" i="2"/>
  <c r="GO4" i="2"/>
  <c r="AB5" i="2"/>
  <c r="FT4" i="2"/>
  <c r="EY4" i="2"/>
  <c r="ED4" i="2"/>
  <c r="HD6" i="2"/>
  <c r="HE6" i="2"/>
  <c r="GI6" i="2"/>
  <c r="GJ6" i="2"/>
  <c r="ET6" i="2"/>
  <c r="FO6" i="2"/>
  <c r="FN6" i="2"/>
  <c r="DY6" i="2"/>
  <c r="ES6" i="2"/>
  <c r="BN6" i="2"/>
  <c r="CH6" i="2"/>
  <c r="AS6" i="2"/>
  <c r="W6" i="2"/>
  <c r="DD6" i="2"/>
  <c r="CI6" i="2"/>
  <c r="X6" i="2"/>
  <c r="DC6" i="2"/>
  <c r="BM6" i="2"/>
  <c r="AR6" i="2"/>
  <c r="DX6" i="2"/>
  <c r="HC6" i="2"/>
  <c r="HF6" i="2"/>
  <c r="GS6" i="2"/>
  <c r="HB6" i="2"/>
  <c r="GR6" i="2"/>
  <c r="GH6" i="2"/>
  <c r="GK6" i="2"/>
  <c r="FL6" i="2"/>
  <c r="FC6" i="2"/>
  <c r="FW6" i="2"/>
  <c r="FM6" i="2"/>
  <c r="FP6" i="2"/>
  <c r="FB6" i="2"/>
  <c r="DZ6" i="2"/>
  <c r="DL6" i="2"/>
  <c r="DE6" i="2"/>
  <c r="FX6" i="2"/>
  <c r="EQ6" i="2"/>
  <c r="EH6" i="2"/>
  <c r="CJ6" i="2"/>
  <c r="GG6" i="2"/>
  <c r="ER6" i="2"/>
  <c r="DV6" i="2"/>
  <c r="DM6" i="2"/>
  <c r="DA6" i="2"/>
  <c r="CR6" i="2"/>
  <c r="CQ6" i="2"/>
  <c r="EG6" i="2"/>
  <c r="EU6" i="2"/>
  <c r="DW6" i="2"/>
  <c r="DB6" i="2"/>
  <c r="CF6" i="2"/>
  <c r="BL6" i="2"/>
  <c r="CG6" i="2"/>
  <c r="BV6" i="2"/>
  <c r="BO6" i="2"/>
  <c r="BB6" i="2"/>
  <c r="BA6" i="2"/>
  <c r="BK6" i="2"/>
  <c r="BW6" i="2"/>
  <c r="AT6" i="2"/>
  <c r="HJ4" i="2"/>
  <c r="AA5" i="2"/>
  <c r="BS4" i="2"/>
  <c r="CN4" i="2"/>
  <c r="AP6" i="2"/>
  <c r="AF6" i="2"/>
  <c r="AQ6" i="2"/>
  <c r="AG6" i="2"/>
  <c r="Y6" i="2"/>
  <c r="U6" i="2"/>
  <c r="V6" i="2"/>
  <c r="A7" i="2"/>
  <c r="Z5" i="2"/>
  <c r="AC4" i="2"/>
  <c r="EA6" i="2" l="1"/>
  <c r="FR6" i="2"/>
  <c r="HH6" i="2"/>
  <c r="EV6" i="2"/>
  <c r="EC6" i="2"/>
  <c r="HI6" i="2"/>
  <c r="EX6" i="2"/>
  <c r="EB6" i="2"/>
  <c r="FS6" i="2"/>
  <c r="GN6" i="2"/>
  <c r="GL6" i="2"/>
  <c r="HG6" i="2"/>
  <c r="DH6" i="2"/>
  <c r="DF6" i="2"/>
  <c r="DG6" i="2"/>
  <c r="FQ6" i="2"/>
  <c r="GM6" i="2"/>
  <c r="EW6" i="2"/>
  <c r="CM6" i="2"/>
  <c r="AW6" i="2"/>
  <c r="AV6" i="2"/>
  <c r="AU6" i="2"/>
  <c r="BR6" i="2"/>
  <c r="BP6" i="2"/>
  <c r="BQ6" i="2"/>
  <c r="CL6" i="2"/>
  <c r="CK6" i="2"/>
  <c r="GQ7" i="2"/>
  <c r="GP7" i="2"/>
  <c r="FU7" i="2"/>
  <c r="FV7" i="2"/>
  <c r="FA7" i="2"/>
  <c r="EZ7" i="2"/>
  <c r="EF7" i="2"/>
  <c r="EE7" i="2"/>
  <c r="DK7" i="2"/>
  <c r="DJ7" i="2"/>
  <c r="BU7" i="2"/>
  <c r="CP7" i="2"/>
  <c r="CO7" i="2"/>
  <c r="BT7" i="2"/>
  <c r="AZ7" i="2"/>
  <c r="AY7" i="2"/>
  <c r="AE7" i="2"/>
  <c r="AD7" i="2"/>
  <c r="K7" i="2"/>
  <c r="I7" i="2"/>
  <c r="J7" i="2"/>
  <c r="H44" i="2"/>
  <c r="L7" i="2"/>
  <c r="D45" i="2"/>
  <c r="G45" i="2" s="1"/>
  <c r="HJ5" i="2"/>
  <c r="ED5" i="2"/>
  <c r="FT5" i="2"/>
  <c r="EY5" i="2"/>
  <c r="DI5" i="2"/>
  <c r="GJ7" i="2"/>
  <c r="HD7" i="2"/>
  <c r="HE7" i="2"/>
  <c r="GI7" i="2"/>
  <c r="ES7" i="2"/>
  <c r="ET7" i="2"/>
  <c r="FO7" i="2"/>
  <c r="FN7" i="2"/>
  <c r="DY7" i="2"/>
  <c r="DD7" i="2"/>
  <c r="DC7" i="2"/>
  <c r="BM7" i="2"/>
  <c r="BN7" i="2"/>
  <c r="DX7" i="2"/>
  <c r="CH7" i="2"/>
  <c r="AS7" i="2"/>
  <c r="W7" i="2"/>
  <c r="CI7" i="2"/>
  <c r="AR7" i="2"/>
  <c r="X7" i="2"/>
  <c r="HB7" i="2"/>
  <c r="HC7" i="2"/>
  <c r="HF7" i="2"/>
  <c r="GK7" i="2"/>
  <c r="GS7" i="2"/>
  <c r="GG7" i="2"/>
  <c r="FX7" i="2"/>
  <c r="GR7" i="2"/>
  <c r="FL7" i="2"/>
  <c r="FC7" i="2"/>
  <c r="GH7" i="2"/>
  <c r="FW7" i="2"/>
  <c r="FM7" i="2"/>
  <c r="EU7" i="2"/>
  <c r="EG7" i="2"/>
  <c r="DW7" i="2"/>
  <c r="DB7" i="2"/>
  <c r="DZ7" i="2"/>
  <c r="DL7" i="2"/>
  <c r="DE7" i="2"/>
  <c r="FP7" i="2"/>
  <c r="FB7" i="2"/>
  <c r="EQ7" i="2"/>
  <c r="EH7" i="2"/>
  <c r="CJ7" i="2"/>
  <c r="DV7" i="2"/>
  <c r="DA7" i="2"/>
  <c r="CR7" i="2"/>
  <c r="CQ7" i="2"/>
  <c r="ER7" i="2"/>
  <c r="BW7" i="2"/>
  <c r="CF7" i="2"/>
  <c r="BL7" i="2"/>
  <c r="DM7" i="2"/>
  <c r="CG7" i="2"/>
  <c r="BV7" i="2"/>
  <c r="BO7" i="2"/>
  <c r="BB7" i="2"/>
  <c r="BA7" i="2"/>
  <c r="BK7" i="2"/>
  <c r="AT7" i="2"/>
  <c r="BS5" i="2"/>
  <c r="GO5" i="2"/>
  <c r="CN5" i="2"/>
  <c r="AB6" i="2"/>
  <c r="AQ7" i="2"/>
  <c r="AP7" i="2"/>
  <c r="AF7" i="2"/>
  <c r="AG7" i="2"/>
  <c r="Y7" i="2"/>
  <c r="U7" i="2"/>
  <c r="V7" i="2"/>
  <c r="A8" i="2"/>
  <c r="AA6" i="2"/>
  <c r="Z6" i="2"/>
  <c r="AC5" i="2"/>
  <c r="EX7" i="2" l="1"/>
  <c r="HI7" i="2"/>
  <c r="EA7" i="2"/>
  <c r="EW7" i="2"/>
  <c r="EB7" i="2"/>
  <c r="EV7" i="2"/>
  <c r="FS7" i="2"/>
  <c r="EC7" i="2"/>
  <c r="FQ7" i="2"/>
  <c r="FR7" i="2"/>
  <c r="HG7" i="2"/>
  <c r="GN7" i="2"/>
  <c r="HH7" i="2"/>
  <c r="DH7" i="2"/>
  <c r="DF7" i="2"/>
  <c r="DG7" i="2"/>
  <c r="GM7" i="2"/>
  <c r="GL7" i="2"/>
  <c r="CM7" i="2"/>
  <c r="AU7" i="2"/>
  <c r="AV7" i="2"/>
  <c r="AW7" i="2"/>
  <c r="BR7" i="2"/>
  <c r="BQ7" i="2"/>
  <c r="BP7" i="2"/>
  <c r="CK7" i="2"/>
  <c r="CL7" i="2"/>
  <c r="GQ8" i="2"/>
  <c r="GP8" i="2"/>
  <c r="FU8" i="2"/>
  <c r="FV8" i="2"/>
  <c r="EZ8" i="2"/>
  <c r="FA8" i="2"/>
  <c r="EF8" i="2"/>
  <c r="DJ8" i="2"/>
  <c r="CP8" i="2"/>
  <c r="CO8" i="2"/>
  <c r="DK8" i="2"/>
  <c r="EE8" i="2"/>
  <c r="AZ8" i="2"/>
  <c r="AY8" i="2"/>
  <c r="BU8" i="2"/>
  <c r="BT8" i="2"/>
  <c r="AE8" i="2"/>
  <c r="AD8" i="2"/>
  <c r="K8" i="2"/>
  <c r="I8" i="2"/>
  <c r="J8" i="2"/>
  <c r="H45" i="2"/>
  <c r="L8" i="2"/>
  <c r="D46" i="2"/>
  <c r="G46" i="2" s="1"/>
  <c r="GO6" i="2"/>
  <c r="CN6" i="2"/>
  <c r="BS6" i="2"/>
  <c r="ED6" i="2"/>
  <c r="HJ6" i="2"/>
  <c r="HD8" i="2"/>
  <c r="GJ8" i="2"/>
  <c r="FO8" i="2"/>
  <c r="HE8" i="2"/>
  <c r="GI8" i="2"/>
  <c r="DY8" i="2"/>
  <c r="ES8" i="2"/>
  <c r="DX8" i="2"/>
  <c r="FN8" i="2"/>
  <c r="ET8" i="2"/>
  <c r="CI8" i="2"/>
  <c r="DD8" i="2"/>
  <c r="DC8" i="2"/>
  <c r="BM8" i="2"/>
  <c r="AR8" i="2"/>
  <c r="CH8" i="2"/>
  <c r="AS8" i="2"/>
  <c r="BN8" i="2"/>
  <c r="X8" i="2"/>
  <c r="W8" i="2"/>
  <c r="HB8" i="2"/>
  <c r="HC8" i="2"/>
  <c r="HF8" i="2"/>
  <c r="GR8" i="2"/>
  <c r="GH8" i="2"/>
  <c r="GK8" i="2"/>
  <c r="GS8" i="2"/>
  <c r="FP8" i="2"/>
  <c r="FB8" i="2"/>
  <c r="GG8" i="2"/>
  <c r="FX8" i="2"/>
  <c r="FL8" i="2"/>
  <c r="FC8" i="2"/>
  <c r="ER8" i="2"/>
  <c r="DV8" i="2"/>
  <c r="DM8" i="2"/>
  <c r="DA8" i="2"/>
  <c r="FM8" i="2"/>
  <c r="EU8" i="2"/>
  <c r="EG8" i="2"/>
  <c r="DW8" i="2"/>
  <c r="DB8" i="2"/>
  <c r="DZ8" i="2"/>
  <c r="DL8" i="2"/>
  <c r="DE8" i="2"/>
  <c r="FW8" i="2"/>
  <c r="EQ8" i="2"/>
  <c r="EH8" i="2"/>
  <c r="CJ8" i="2"/>
  <c r="CR8" i="2"/>
  <c r="CQ8" i="2"/>
  <c r="BK8" i="2"/>
  <c r="BW8" i="2"/>
  <c r="CF8" i="2"/>
  <c r="BL8" i="2"/>
  <c r="CG8" i="2"/>
  <c r="BV8" i="2"/>
  <c r="BO8" i="2"/>
  <c r="BB8" i="2"/>
  <c r="BA8" i="2"/>
  <c r="AT8" i="2"/>
  <c r="EY6" i="2"/>
  <c r="DI6" i="2"/>
  <c r="FT6" i="2"/>
  <c r="AB7" i="2"/>
  <c r="AA7" i="2"/>
  <c r="AP8" i="2"/>
  <c r="AQ8" i="2"/>
  <c r="AG8" i="2"/>
  <c r="AF8" i="2"/>
  <c r="Y8" i="2"/>
  <c r="U8" i="2"/>
  <c r="V8" i="2"/>
  <c r="A9" i="2"/>
  <c r="AX4" i="2"/>
  <c r="AX5" i="2"/>
  <c r="Z7" i="2"/>
  <c r="AC6" i="2"/>
  <c r="EX8" i="2" l="1"/>
  <c r="HG8" i="2"/>
  <c r="EC8" i="2"/>
  <c r="FS8" i="2"/>
  <c r="HI8" i="2"/>
  <c r="EV8" i="2"/>
  <c r="EA8" i="2"/>
  <c r="GN8" i="2"/>
  <c r="HH8" i="2"/>
  <c r="DF8" i="2"/>
  <c r="DH8" i="2"/>
  <c r="DG8" i="2"/>
  <c r="FR8" i="2"/>
  <c r="FQ8" i="2"/>
  <c r="GM8" i="2"/>
  <c r="GL8" i="2"/>
  <c r="EW8" i="2"/>
  <c r="EB8" i="2"/>
  <c r="CM8" i="2"/>
  <c r="AW8" i="2"/>
  <c r="AV8" i="2"/>
  <c r="AU8" i="2"/>
  <c r="BR8" i="2"/>
  <c r="BP8" i="2"/>
  <c r="BQ8" i="2"/>
  <c r="CK8" i="2"/>
  <c r="CL8" i="2"/>
  <c r="GQ9" i="2"/>
  <c r="GP9" i="2"/>
  <c r="FU9" i="2"/>
  <c r="FV9" i="2"/>
  <c r="FA9" i="2"/>
  <c r="EF9" i="2"/>
  <c r="EE9" i="2"/>
  <c r="EZ9" i="2"/>
  <c r="DJ9" i="2"/>
  <c r="DK9" i="2"/>
  <c r="CO9" i="2"/>
  <c r="CP9" i="2"/>
  <c r="BU9" i="2"/>
  <c r="BT9" i="2"/>
  <c r="AE9" i="2"/>
  <c r="AD9" i="2"/>
  <c r="AZ9" i="2"/>
  <c r="AY9" i="2"/>
  <c r="J9" i="2"/>
  <c r="I9" i="2"/>
  <c r="K9" i="2"/>
  <c r="H46" i="2"/>
  <c r="L9" i="2"/>
  <c r="D47" i="2"/>
  <c r="G47" i="2" s="1"/>
  <c r="BS7" i="2"/>
  <c r="GO7" i="2"/>
  <c r="EY7" i="2"/>
  <c r="ED7" i="2"/>
  <c r="DI7" i="2"/>
  <c r="FT7" i="2"/>
  <c r="HJ7" i="2"/>
  <c r="HE9" i="2"/>
  <c r="GJ9" i="2"/>
  <c r="HD9" i="2"/>
  <c r="FO9" i="2"/>
  <c r="FN9" i="2"/>
  <c r="DY9" i="2"/>
  <c r="DD9" i="2"/>
  <c r="GI9" i="2"/>
  <c r="ES9" i="2"/>
  <c r="DX9" i="2"/>
  <c r="CH9" i="2"/>
  <c r="AS9" i="2"/>
  <c r="CI9" i="2"/>
  <c r="X9" i="2"/>
  <c r="AR9" i="2"/>
  <c r="BN9" i="2"/>
  <c r="BM9" i="2"/>
  <c r="ET9" i="2"/>
  <c r="DC9" i="2"/>
  <c r="W9" i="2"/>
  <c r="HF9" i="2"/>
  <c r="HB9" i="2"/>
  <c r="GR9" i="2"/>
  <c r="GH9" i="2"/>
  <c r="GK9" i="2"/>
  <c r="FW9" i="2"/>
  <c r="FM9" i="2"/>
  <c r="FP9" i="2"/>
  <c r="FB9" i="2"/>
  <c r="HC9" i="2"/>
  <c r="GG9" i="2"/>
  <c r="FX9" i="2"/>
  <c r="FL9" i="2"/>
  <c r="FC9" i="2"/>
  <c r="EQ9" i="2"/>
  <c r="EH9" i="2"/>
  <c r="CJ9" i="2"/>
  <c r="GS9" i="2"/>
  <c r="ER9" i="2"/>
  <c r="DV9" i="2"/>
  <c r="DM9" i="2"/>
  <c r="DA9" i="2"/>
  <c r="CQ9" i="2"/>
  <c r="EU9" i="2"/>
  <c r="EG9" i="2"/>
  <c r="DW9" i="2"/>
  <c r="DB9" i="2"/>
  <c r="DZ9" i="2"/>
  <c r="DE9" i="2"/>
  <c r="DL9" i="2"/>
  <c r="CG9" i="2"/>
  <c r="BV9" i="2"/>
  <c r="BO9" i="2"/>
  <c r="BB9" i="2"/>
  <c r="BK9" i="2"/>
  <c r="BW9" i="2"/>
  <c r="CF9" i="2"/>
  <c r="BL9" i="2"/>
  <c r="AT9" i="2"/>
  <c r="BA9" i="2"/>
  <c r="CR9" i="2"/>
  <c r="CN7" i="2"/>
  <c r="AB8" i="2"/>
  <c r="AA8" i="2"/>
  <c r="AP9" i="2"/>
  <c r="AF9" i="2"/>
  <c r="AQ9" i="2"/>
  <c r="AG9" i="2"/>
  <c r="A10" i="2"/>
  <c r="Y9" i="2"/>
  <c r="U9" i="2"/>
  <c r="V9" i="2"/>
  <c r="Z8" i="2"/>
  <c r="AC7" i="2"/>
  <c r="FS9" i="2" l="1"/>
  <c r="HG9" i="2"/>
  <c r="HI9" i="2"/>
  <c r="EV9" i="2"/>
  <c r="EX9" i="2"/>
  <c r="EC9" i="2"/>
  <c r="GN9" i="2"/>
  <c r="HH9" i="2"/>
  <c r="DG9" i="2"/>
  <c r="DH9" i="2"/>
  <c r="DF9" i="2"/>
  <c r="FR9" i="2"/>
  <c r="FQ9" i="2"/>
  <c r="GM9" i="2"/>
  <c r="GL9" i="2"/>
  <c r="EW9" i="2"/>
  <c r="EB9" i="2"/>
  <c r="EA9" i="2"/>
  <c r="CM9" i="2"/>
  <c r="AU9" i="2"/>
  <c r="AV9" i="2"/>
  <c r="AW9" i="2"/>
  <c r="BR9" i="2"/>
  <c r="BP9" i="2"/>
  <c r="BQ9" i="2"/>
  <c r="CL9" i="2"/>
  <c r="CK9" i="2"/>
  <c r="FU10" i="2"/>
  <c r="GQ10" i="2"/>
  <c r="GP10" i="2"/>
  <c r="FV10" i="2"/>
  <c r="FA10" i="2"/>
  <c r="EF10" i="2"/>
  <c r="EE10" i="2"/>
  <c r="EZ10" i="2"/>
  <c r="CP10" i="2"/>
  <c r="CO10" i="2"/>
  <c r="AZ10" i="2"/>
  <c r="AY10" i="2"/>
  <c r="DK10" i="2"/>
  <c r="BU10" i="2"/>
  <c r="BT10" i="2"/>
  <c r="DJ10" i="2"/>
  <c r="AE10" i="2"/>
  <c r="AD10" i="2"/>
  <c r="J10" i="2"/>
  <c r="I10" i="2"/>
  <c r="K10" i="2"/>
  <c r="H47" i="2"/>
  <c r="L10" i="2"/>
  <c r="D48" i="2"/>
  <c r="G48" i="2" s="1"/>
  <c r="CN8" i="2"/>
  <c r="DI8" i="2"/>
  <c r="BS8" i="2"/>
  <c r="HJ8" i="2"/>
  <c r="GO8" i="2"/>
  <c r="EY8" i="2"/>
  <c r="U10" i="2"/>
  <c r="HD10" i="2"/>
  <c r="HE10" i="2"/>
  <c r="GI10" i="2"/>
  <c r="GJ10" i="2"/>
  <c r="ET10" i="2"/>
  <c r="FN10" i="2"/>
  <c r="FO10" i="2"/>
  <c r="BN10" i="2"/>
  <c r="ES10" i="2"/>
  <c r="DX10" i="2"/>
  <c r="CH10" i="2"/>
  <c r="AS10" i="2"/>
  <c r="DC10" i="2"/>
  <c r="BM10" i="2"/>
  <c r="W10" i="2"/>
  <c r="X10" i="2"/>
  <c r="DY10" i="2"/>
  <c r="DD10" i="2"/>
  <c r="CI10" i="2"/>
  <c r="AR10" i="2"/>
  <c r="HC10" i="2"/>
  <c r="HF10" i="2"/>
  <c r="GS10" i="2"/>
  <c r="HB10" i="2"/>
  <c r="GR10" i="2"/>
  <c r="GH10" i="2"/>
  <c r="FL10" i="2"/>
  <c r="FC10" i="2"/>
  <c r="GK10" i="2"/>
  <c r="FW10" i="2"/>
  <c r="FM10" i="2"/>
  <c r="FP10" i="2"/>
  <c r="FB10" i="2"/>
  <c r="DZ10" i="2"/>
  <c r="DL10" i="2"/>
  <c r="DE10" i="2"/>
  <c r="EQ10" i="2"/>
  <c r="EH10" i="2"/>
  <c r="CJ10" i="2"/>
  <c r="FX10" i="2"/>
  <c r="ER10" i="2"/>
  <c r="DV10" i="2"/>
  <c r="DM10" i="2"/>
  <c r="DA10" i="2"/>
  <c r="CQ10" i="2"/>
  <c r="GG10" i="2"/>
  <c r="DW10" i="2"/>
  <c r="EG10" i="2"/>
  <c r="DB10" i="2"/>
  <c r="EU10" i="2"/>
  <c r="CF10" i="2"/>
  <c r="BL10" i="2"/>
  <c r="CG10" i="2"/>
  <c r="BV10" i="2"/>
  <c r="BO10" i="2"/>
  <c r="BB10" i="2"/>
  <c r="BA10" i="2"/>
  <c r="BK10" i="2"/>
  <c r="BW10" i="2"/>
  <c r="AT10" i="2"/>
  <c r="CR10" i="2"/>
  <c r="FT8" i="2"/>
  <c r="ED8" i="2"/>
  <c r="AB9" i="2"/>
  <c r="AG10" i="2"/>
  <c r="AP10" i="2"/>
  <c r="AF10" i="2"/>
  <c r="AQ10" i="2"/>
  <c r="Y10" i="2"/>
  <c r="V10" i="2"/>
  <c r="A11" i="2"/>
  <c r="AA9" i="2"/>
  <c r="AX6" i="2"/>
  <c r="Z9" i="2"/>
  <c r="AC8" i="2"/>
  <c r="FS10" i="2" l="1"/>
  <c r="EB10" i="2"/>
  <c r="HG10" i="2"/>
  <c r="EA10" i="2"/>
  <c r="HH10" i="2"/>
  <c r="HI10" i="2"/>
  <c r="EX10" i="2"/>
  <c r="EC10" i="2"/>
  <c r="GN10" i="2"/>
  <c r="DF10" i="2"/>
  <c r="DG10" i="2"/>
  <c r="DH10" i="2"/>
  <c r="FR10" i="2"/>
  <c r="FQ10" i="2"/>
  <c r="GM10" i="2"/>
  <c r="GL10" i="2"/>
  <c r="EV10" i="2"/>
  <c r="EW10" i="2"/>
  <c r="CM10" i="2"/>
  <c r="AW10" i="2"/>
  <c r="AV10" i="2"/>
  <c r="AU10" i="2"/>
  <c r="BR10" i="2"/>
  <c r="BQ10" i="2"/>
  <c r="BP10" i="2"/>
  <c r="CK10" i="2"/>
  <c r="CL10" i="2"/>
  <c r="GQ11" i="2"/>
  <c r="GP11" i="2"/>
  <c r="FU11" i="2"/>
  <c r="FV11" i="2"/>
  <c r="FA11" i="2"/>
  <c r="EZ11" i="2"/>
  <c r="EF11" i="2"/>
  <c r="EE11" i="2"/>
  <c r="DK11" i="2"/>
  <c r="DJ11" i="2"/>
  <c r="CO11" i="2"/>
  <c r="CP11" i="2"/>
  <c r="BU11" i="2"/>
  <c r="BT11" i="2"/>
  <c r="AZ11" i="2"/>
  <c r="AE11" i="2"/>
  <c r="AY11" i="2"/>
  <c r="AD11" i="2"/>
  <c r="K11" i="2"/>
  <c r="J11" i="2"/>
  <c r="I11" i="2"/>
  <c r="H48" i="2"/>
  <c r="L11" i="2"/>
  <c r="D49" i="2"/>
  <c r="G49" i="2" s="1"/>
  <c r="GO9" i="2"/>
  <c r="HJ9" i="2"/>
  <c r="BS9" i="2"/>
  <c r="GJ11" i="2"/>
  <c r="HD11" i="2"/>
  <c r="HE11" i="2"/>
  <c r="GI11" i="2"/>
  <c r="FO11" i="2"/>
  <c r="ES11" i="2"/>
  <c r="ET11" i="2"/>
  <c r="FN11" i="2"/>
  <c r="DC11" i="2"/>
  <c r="BM11" i="2"/>
  <c r="BN11" i="2"/>
  <c r="CI11" i="2"/>
  <c r="DX11" i="2"/>
  <c r="W11" i="2"/>
  <c r="DD11" i="2"/>
  <c r="CH11" i="2"/>
  <c r="DY11" i="2"/>
  <c r="X11" i="2"/>
  <c r="AS11" i="2"/>
  <c r="AR11" i="2"/>
  <c r="HB11" i="2"/>
  <c r="HC11" i="2"/>
  <c r="HF11" i="2"/>
  <c r="GK11" i="2"/>
  <c r="GS11" i="2"/>
  <c r="GG11" i="2"/>
  <c r="FX11" i="2"/>
  <c r="FL11" i="2"/>
  <c r="FC11" i="2"/>
  <c r="GR11" i="2"/>
  <c r="FW11" i="2"/>
  <c r="FM11" i="2"/>
  <c r="GH11" i="2"/>
  <c r="EU11" i="2"/>
  <c r="EG11" i="2"/>
  <c r="DW11" i="2"/>
  <c r="DB11" i="2"/>
  <c r="DZ11" i="2"/>
  <c r="DL11" i="2"/>
  <c r="DE11" i="2"/>
  <c r="EQ11" i="2"/>
  <c r="EH11" i="2"/>
  <c r="CJ11" i="2"/>
  <c r="FP11" i="2"/>
  <c r="FB11" i="2"/>
  <c r="ER11" i="2"/>
  <c r="DM11" i="2"/>
  <c r="DV11" i="2"/>
  <c r="DA11" i="2"/>
  <c r="BW11" i="2"/>
  <c r="CF11" i="2"/>
  <c r="BL11" i="2"/>
  <c r="CQ11" i="2"/>
  <c r="CG11" i="2"/>
  <c r="BV11" i="2"/>
  <c r="BO11" i="2"/>
  <c r="BB11" i="2"/>
  <c r="BA11" i="2"/>
  <c r="BK11" i="2"/>
  <c r="AT11" i="2"/>
  <c r="CR11" i="2"/>
  <c r="ED9" i="2"/>
  <c r="FT9" i="2"/>
  <c r="EY9" i="2"/>
  <c r="DI9" i="2"/>
  <c r="CN9" i="2"/>
  <c r="AA10" i="2"/>
  <c r="AB10" i="2"/>
  <c r="AQ11" i="2"/>
  <c r="AP11" i="2"/>
  <c r="AG11" i="2"/>
  <c r="AF11" i="2"/>
  <c r="U11" i="2"/>
  <c r="A12" i="2"/>
  <c r="V11" i="2"/>
  <c r="Y11" i="2"/>
  <c r="AX7" i="2"/>
  <c r="Z10" i="2"/>
  <c r="AC9" i="2"/>
  <c r="EC11" i="2" l="1"/>
  <c r="HG11" i="2"/>
  <c r="EW11" i="2"/>
  <c r="EX11" i="2"/>
  <c r="FS11" i="2"/>
  <c r="AU11" i="2"/>
  <c r="EA11" i="2"/>
  <c r="EB11" i="2"/>
  <c r="HI11" i="2"/>
  <c r="GN11" i="2"/>
  <c r="HH11" i="2"/>
  <c r="DH11" i="2"/>
  <c r="DF11" i="2"/>
  <c r="DG11" i="2"/>
  <c r="FR11" i="2"/>
  <c r="FQ11" i="2"/>
  <c r="GM11" i="2"/>
  <c r="GL11" i="2"/>
  <c r="EV11" i="2"/>
  <c r="CM11" i="2"/>
  <c r="AV11" i="2"/>
  <c r="AW11" i="2"/>
  <c r="BR11" i="2"/>
  <c r="BQ11" i="2"/>
  <c r="BP11" i="2"/>
  <c r="CK11" i="2"/>
  <c r="CL11" i="2"/>
  <c r="GQ12" i="2"/>
  <c r="GP12" i="2"/>
  <c r="FV12" i="2"/>
  <c r="FU12" i="2"/>
  <c r="FA12" i="2"/>
  <c r="EZ12" i="2"/>
  <c r="EF12" i="2"/>
  <c r="EE12" i="2"/>
  <c r="DK12" i="2"/>
  <c r="DJ12" i="2"/>
  <c r="CP12" i="2"/>
  <c r="CO12" i="2"/>
  <c r="AZ12" i="2"/>
  <c r="AY12" i="2"/>
  <c r="BU12" i="2"/>
  <c r="BT12" i="2"/>
  <c r="AE12" i="2"/>
  <c r="AD12" i="2"/>
  <c r="K12" i="2"/>
  <c r="I12" i="2"/>
  <c r="J12" i="2"/>
  <c r="H49" i="2"/>
  <c r="L12" i="2"/>
  <c r="D50" i="2"/>
  <c r="G50" i="2" s="1"/>
  <c r="BS10" i="2"/>
  <c r="GO10" i="2"/>
  <c r="FT10" i="2"/>
  <c r="ED10" i="2"/>
  <c r="HJ10" i="2"/>
  <c r="DI10" i="2"/>
  <c r="HD12" i="2"/>
  <c r="HE12" i="2"/>
  <c r="FO12" i="2"/>
  <c r="GI12" i="2"/>
  <c r="DY12" i="2"/>
  <c r="GJ12" i="2"/>
  <c r="ES12" i="2"/>
  <c r="DX12" i="2"/>
  <c r="DD12" i="2"/>
  <c r="CI12" i="2"/>
  <c r="FN12" i="2"/>
  <c r="DC12" i="2"/>
  <c r="BM12" i="2"/>
  <c r="ET12" i="2"/>
  <c r="CH12" i="2"/>
  <c r="BN12" i="2"/>
  <c r="AS12" i="2"/>
  <c r="AR12" i="2"/>
  <c r="W12" i="2"/>
  <c r="X12" i="2"/>
  <c r="HB12" i="2"/>
  <c r="HC12" i="2"/>
  <c r="GR12" i="2"/>
  <c r="GH12" i="2"/>
  <c r="HF12" i="2"/>
  <c r="GK12" i="2"/>
  <c r="GS12" i="2"/>
  <c r="FP12" i="2"/>
  <c r="FB12" i="2"/>
  <c r="GG12" i="2"/>
  <c r="FX12" i="2"/>
  <c r="FL12" i="2"/>
  <c r="FC12" i="2"/>
  <c r="FW12" i="2"/>
  <c r="ER12" i="2"/>
  <c r="DV12" i="2"/>
  <c r="DM12" i="2"/>
  <c r="DA12" i="2"/>
  <c r="EU12" i="2"/>
  <c r="EG12" i="2"/>
  <c r="DW12" i="2"/>
  <c r="DB12" i="2"/>
  <c r="FM12" i="2"/>
  <c r="DZ12" i="2"/>
  <c r="DL12" i="2"/>
  <c r="DE12" i="2"/>
  <c r="CQ12" i="2"/>
  <c r="EQ12" i="2"/>
  <c r="EH12" i="2"/>
  <c r="CJ12" i="2"/>
  <c r="BK12" i="2"/>
  <c r="BW12" i="2"/>
  <c r="CF12" i="2"/>
  <c r="BL12" i="2"/>
  <c r="CG12" i="2"/>
  <c r="BV12" i="2"/>
  <c r="BO12" i="2"/>
  <c r="BB12" i="2"/>
  <c r="BA12" i="2"/>
  <c r="AT12" i="2"/>
  <c r="CR12" i="2"/>
  <c r="CN10" i="2"/>
  <c r="EY10" i="2"/>
  <c r="AA11" i="2"/>
  <c r="AB11" i="2"/>
  <c r="AQ12" i="2"/>
  <c r="AG12" i="2"/>
  <c r="AP12" i="2"/>
  <c r="AF12" i="2"/>
  <c r="Y12" i="2"/>
  <c r="U12" i="2"/>
  <c r="V12" i="2"/>
  <c r="A13" i="2"/>
  <c r="AX8" i="2"/>
  <c r="Z11" i="2"/>
  <c r="AC10" i="2"/>
  <c r="EW12" i="2" l="1"/>
  <c r="EV12" i="2"/>
  <c r="HH12" i="2"/>
  <c r="HI12" i="2"/>
  <c r="FS12" i="2"/>
  <c r="EX12" i="2"/>
  <c r="EC12" i="2"/>
  <c r="EA12" i="2"/>
  <c r="GN12" i="2"/>
  <c r="HG12" i="2"/>
  <c r="DH12" i="2"/>
  <c r="DG12" i="2"/>
  <c r="DF12" i="2"/>
  <c r="FR12" i="2"/>
  <c r="FQ12" i="2"/>
  <c r="GM12" i="2"/>
  <c r="GL12" i="2"/>
  <c r="EB12" i="2"/>
  <c r="AW12" i="2"/>
  <c r="AU12" i="2"/>
  <c r="CM12" i="2"/>
  <c r="BQ12" i="2"/>
  <c r="AV12" i="2"/>
  <c r="BR12" i="2"/>
  <c r="BP12" i="2"/>
  <c r="CK12" i="2"/>
  <c r="CL12" i="2"/>
  <c r="GQ13" i="2"/>
  <c r="GP13" i="2"/>
  <c r="FV13" i="2"/>
  <c r="FU13" i="2"/>
  <c r="FA13" i="2"/>
  <c r="EZ13" i="2"/>
  <c r="EF13" i="2"/>
  <c r="EE13" i="2"/>
  <c r="DK13" i="2"/>
  <c r="DJ13" i="2"/>
  <c r="BU13" i="2"/>
  <c r="BT13" i="2"/>
  <c r="CO13" i="2"/>
  <c r="CP13" i="2"/>
  <c r="AZ13" i="2"/>
  <c r="AE13" i="2"/>
  <c r="AD13" i="2"/>
  <c r="AY13" i="2"/>
  <c r="J13" i="2"/>
  <c r="I13" i="2"/>
  <c r="K13" i="2"/>
  <c r="H50" i="2"/>
  <c r="L13" i="2"/>
  <c r="D51" i="2"/>
  <c r="G51" i="2" s="1"/>
  <c r="DI11" i="2"/>
  <c r="HJ11" i="2"/>
  <c r="EY11" i="2"/>
  <c r="FT11" i="2"/>
  <c r="CN11" i="2"/>
  <c r="GO11" i="2"/>
  <c r="HE13" i="2"/>
  <c r="GJ13" i="2"/>
  <c r="GI13" i="2"/>
  <c r="FO13" i="2"/>
  <c r="FN13" i="2"/>
  <c r="HD13" i="2"/>
  <c r="DY13" i="2"/>
  <c r="ET13" i="2"/>
  <c r="ES13" i="2"/>
  <c r="DD13" i="2"/>
  <c r="CH13" i="2"/>
  <c r="AS13" i="2"/>
  <c r="CI13" i="2"/>
  <c r="X13" i="2"/>
  <c r="DC13" i="2"/>
  <c r="BN13" i="2"/>
  <c r="BM13" i="2"/>
  <c r="AR13" i="2"/>
  <c r="DX13" i="2"/>
  <c r="W13" i="2"/>
  <c r="HF13" i="2"/>
  <c r="HB13" i="2"/>
  <c r="HC13" i="2"/>
  <c r="GR13" i="2"/>
  <c r="GH13" i="2"/>
  <c r="GK13" i="2"/>
  <c r="GS13" i="2"/>
  <c r="FW13" i="2"/>
  <c r="FM13" i="2"/>
  <c r="FP13" i="2"/>
  <c r="FB13" i="2"/>
  <c r="GG13" i="2"/>
  <c r="FX13" i="2"/>
  <c r="EQ13" i="2"/>
  <c r="EH13" i="2"/>
  <c r="CJ13" i="2"/>
  <c r="FL13" i="2"/>
  <c r="FC13" i="2"/>
  <c r="ER13" i="2"/>
  <c r="DV13" i="2"/>
  <c r="DM13" i="2"/>
  <c r="DA13" i="2"/>
  <c r="CQ13" i="2"/>
  <c r="EU13" i="2"/>
  <c r="EG13" i="2"/>
  <c r="DW13" i="2"/>
  <c r="DB13" i="2"/>
  <c r="DZ13" i="2"/>
  <c r="DE13" i="2"/>
  <c r="CG13" i="2"/>
  <c r="BV13" i="2"/>
  <c r="BO13" i="2"/>
  <c r="BB13" i="2"/>
  <c r="DL13" i="2"/>
  <c r="BK13" i="2"/>
  <c r="BW13" i="2"/>
  <c r="CF13" i="2"/>
  <c r="BL13" i="2"/>
  <c r="AT13" i="2"/>
  <c r="BA13" i="2"/>
  <c r="CR13" i="2"/>
  <c r="ED11" i="2"/>
  <c r="BS11" i="2"/>
  <c r="AA12" i="2"/>
  <c r="AB12" i="2"/>
  <c r="AQ13" i="2"/>
  <c r="AG13" i="2"/>
  <c r="AP13" i="2"/>
  <c r="AF13" i="2"/>
  <c r="V13" i="2"/>
  <c r="A14" i="2"/>
  <c r="Y13" i="2"/>
  <c r="U13" i="2"/>
  <c r="AX9" i="2"/>
  <c r="Z12" i="2"/>
  <c r="AC11" i="2"/>
  <c r="EC13" i="2" l="1"/>
  <c r="HG13" i="2"/>
  <c r="HI13" i="2"/>
  <c r="FS13" i="2"/>
  <c r="EX13" i="2"/>
  <c r="GN13" i="2"/>
  <c r="HH13" i="2"/>
  <c r="DG13" i="2"/>
  <c r="DH13" i="2"/>
  <c r="DF13" i="2"/>
  <c r="FQ13" i="2"/>
  <c r="FR13" i="2"/>
  <c r="GL13" i="2"/>
  <c r="GM13" i="2"/>
  <c r="EV13" i="2"/>
  <c r="EW13" i="2"/>
  <c r="EB13" i="2"/>
  <c r="EA13" i="2"/>
  <c r="CM13" i="2"/>
  <c r="AU13" i="2"/>
  <c r="CK13" i="2"/>
  <c r="CL13" i="2"/>
  <c r="AV13" i="2"/>
  <c r="AW13" i="2"/>
  <c r="BQ13" i="2"/>
  <c r="BR13" i="2"/>
  <c r="BP13" i="2"/>
  <c r="GQ14" i="2"/>
  <c r="GP14" i="2"/>
  <c r="FU14" i="2"/>
  <c r="FA14" i="2"/>
  <c r="EZ14" i="2"/>
  <c r="FV14" i="2"/>
  <c r="EE14" i="2"/>
  <c r="CP14" i="2"/>
  <c r="CO14" i="2"/>
  <c r="DJ14" i="2"/>
  <c r="DK14" i="2"/>
  <c r="EF14" i="2"/>
  <c r="BU14" i="2"/>
  <c r="BT14" i="2"/>
  <c r="AZ14" i="2"/>
  <c r="AY14" i="2"/>
  <c r="AE14" i="2"/>
  <c r="AD14" i="2"/>
  <c r="J14" i="2"/>
  <c r="K14" i="2"/>
  <c r="I14" i="2"/>
  <c r="H51" i="2"/>
  <c r="L14" i="2"/>
  <c r="D52" i="2"/>
  <c r="G52" i="2" s="1"/>
  <c r="FT12" i="2"/>
  <c r="CN12" i="2"/>
  <c r="BS12" i="2"/>
  <c r="GO12" i="2"/>
  <c r="EY12" i="2"/>
  <c r="HJ12" i="2"/>
  <c r="ED12" i="2"/>
  <c r="HD14" i="2"/>
  <c r="HE14" i="2"/>
  <c r="GI14" i="2"/>
  <c r="ET14" i="2"/>
  <c r="FO14" i="2"/>
  <c r="FN14" i="2"/>
  <c r="GJ14" i="2"/>
  <c r="DY14" i="2"/>
  <c r="ES14" i="2"/>
  <c r="DX14" i="2"/>
  <c r="BN14" i="2"/>
  <c r="DD14" i="2"/>
  <c r="CH14" i="2"/>
  <c r="AS14" i="2"/>
  <c r="W14" i="2"/>
  <c r="DC14" i="2"/>
  <c r="BM14" i="2"/>
  <c r="CI14" i="2"/>
  <c r="X14" i="2"/>
  <c r="AR14" i="2"/>
  <c r="HC14" i="2"/>
  <c r="HF14" i="2"/>
  <c r="GS14" i="2"/>
  <c r="GR14" i="2"/>
  <c r="GH14" i="2"/>
  <c r="FL14" i="2"/>
  <c r="FC14" i="2"/>
  <c r="HB14" i="2"/>
  <c r="FW14" i="2"/>
  <c r="FM14" i="2"/>
  <c r="GK14" i="2"/>
  <c r="FP14" i="2"/>
  <c r="FB14" i="2"/>
  <c r="GG14" i="2"/>
  <c r="DZ14" i="2"/>
  <c r="DL14" i="2"/>
  <c r="DE14" i="2"/>
  <c r="EQ14" i="2"/>
  <c r="EH14" i="2"/>
  <c r="CJ14" i="2"/>
  <c r="ER14" i="2"/>
  <c r="DV14" i="2"/>
  <c r="DM14" i="2"/>
  <c r="DA14" i="2"/>
  <c r="CQ14" i="2"/>
  <c r="FX14" i="2"/>
  <c r="DW14" i="2"/>
  <c r="EG14" i="2"/>
  <c r="DB14" i="2"/>
  <c r="EU14" i="2"/>
  <c r="CF14" i="2"/>
  <c r="BL14" i="2"/>
  <c r="CG14" i="2"/>
  <c r="BV14" i="2"/>
  <c r="BO14" i="2"/>
  <c r="BB14" i="2"/>
  <c r="BA14" i="2"/>
  <c r="BK14" i="2"/>
  <c r="BW14" i="2"/>
  <c r="AT14" i="2"/>
  <c r="CR14" i="2"/>
  <c r="DI12" i="2"/>
  <c r="AA13" i="2"/>
  <c r="AP14" i="2"/>
  <c r="AF14" i="2"/>
  <c r="AQ14" i="2"/>
  <c r="AG14" i="2"/>
  <c r="Y14" i="2"/>
  <c r="U14" i="2"/>
  <c r="V14" i="2"/>
  <c r="A15" i="2"/>
  <c r="AB13" i="2"/>
  <c r="AX10" i="2"/>
  <c r="Z13" i="2"/>
  <c r="AC12" i="2"/>
  <c r="EC14" i="2" l="1"/>
  <c r="EB14" i="2"/>
  <c r="HH14" i="2"/>
  <c r="EX14" i="2"/>
  <c r="HG14" i="2"/>
  <c r="HI14" i="2"/>
  <c r="FS14" i="2"/>
  <c r="AW14" i="2"/>
  <c r="GN14" i="2"/>
  <c r="DH14" i="2"/>
  <c r="DF14" i="2"/>
  <c r="DG14" i="2"/>
  <c r="FQ14" i="2"/>
  <c r="FR14" i="2"/>
  <c r="GL14" i="2"/>
  <c r="GM14" i="2"/>
  <c r="EV14" i="2"/>
  <c r="EW14" i="2"/>
  <c r="EA14" i="2"/>
  <c r="CM14" i="2"/>
  <c r="CK14" i="2"/>
  <c r="AU14" i="2"/>
  <c r="AV14" i="2"/>
  <c r="BP14" i="2"/>
  <c r="BR14" i="2"/>
  <c r="BQ14" i="2"/>
  <c r="CL14" i="2"/>
  <c r="GQ15" i="2"/>
  <c r="GP15" i="2"/>
  <c r="FU15" i="2"/>
  <c r="FV15" i="2"/>
  <c r="FA15" i="2"/>
  <c r="EZ15" i="2"/>
  <c r="EF15" i="2"/>
  <c r="EE15" i="2"/>
  <c r="DK15" i="2"/>
  <c r="DJ15" i="2"/>
  <c r="BU15" i="2"/>
  <c r="CO15" i="2"/>
  <c r="CP15" i="2"/>
  <c r="AY15" i="2"/>
  <c r="BT15" i="2"/>
  <c r="AZ15" i="2"/>
  <c r="AE15" i="2"/>
  <c r="K15" i="2"/>
  <c r="AD15" i="2"/>
  <c r="J15" i="2"/>
  <c r="I15" i="2"/>
  <c r="H52" i="2"/>
  <c r="L15" i="2"/>
  <c r="D53" i="2"/>
  <c r="G53" i="2" s="1"/>
  <c r="EY13" i="2"/>
  <c r="BS13" i="2"/>
  <c r="FT13" i="2"/>
  <c r="DI13" i="2"/>
  <c r="CN13" i="2"/>
  <c r="ED13" i="2"/>
  <c r="HJ13" i="2"/>
  <c r="GJ15" i="2"/>
  <c r="HD15" i="2"/>
  <c r="HE15" i="2"/>
  <c r="GI15" i="2"/>
  <c r="ES15" i="2"/>
  <c r="ET15" i="2"/>
  <c r="FN15" i="2"/>
  <c r="DY15" i="2"/>
  <c r="FO15" i="2"/>
  <c r="DC15" i="2"/>
  <c r="BM15" i="2"/>
  <c r="DX15" i="2"/>
  <c r="BN15" i="2"/>
  <c r="DD15" i="2"/>
  <c r="CI15" i="2"/>
  <c r="CH15" i="2"/>
  <c r="AS15" i="2"/>
  <c r="W15" i="2"/>
  <c r="AR15" i="2"/>
  <c r="X15" i="2"/>
  <c r="HB15" i="2"/>
  <c r="HC15" i="2"/>
  <c r="HF15" i="2"/>
  <c r="GK15" i="2"/>
  <c r="GS15" i="2"/>
  <c r="GH15" i="2"/>
  <c r="GG15" i="2"/>
  <c r="FX15" i="2"/>
  <c r="FL15" i="2"/>
  <c r="FC15" i="2"/>
  <c r="FW15" i="2"/>
  <c r="FM15" i="2"/>
  <c r="GR15" i="2"/>
  <c r="FP15" i="2"/>
  <c r="FB15" i="2"/>
  <c r="EU15" i="2"/>
  <c r="EG15" i="2"/>
  <c r="DW15" i="2"/>
  <c r="DB15" i="2"/>
  <c r="DZ15" i="2"/>
  <c r="DL15" i="2"/>
  <c r="DE15" i="2"/>
  <c r="EQ15" i="2"/>
  <c r="EH15" i="2"/>
  <c r="CJ15" i="2"/>
  <c r="ER15" i="2"/>
  <c r="DM15" i="2"/>
  <c r="CQ15" i="2"/>
  <c r="DV15" i="2"/>
  <c r="BW15" i="2"/>
  <c r="CF15" i="2"/>
  <c r="BL15" i="2"/>
  <c r="CG15" i="2"/>
  <c r="BV15" i="2"/>
  <c r="BO15" i="2"/>
  <c r="BB15" i="2"/>
  <c r="BA15" i="2"/>
  <c r="DA15" i="2"/>
  <c r="BK15" i="2"/>
  <c r="AT15" i="2"/>
  <c r="CR15" i="2"/>
  <c r="GO13" i="2"/>
  <c r="AA14" i="2"/>
  <c r="AB14" i="2"/>
  <c r="AQ15" i="2"/>
  <c r="AG15" i="2"/>
  <c r="AP15" i="2"/>
  <c r="AF15" i="2"/>
  <c r="A16" i="2"/>
  <c r="Y15" i="2"/>
  <c r="V15" i="2"/>
  <c r="U15" i="2"/>
  <c r="AX11" i="2"/>
  <c r="Z14" i="2"/>
  <c r="AC13" i="2"/>
  <c r="EV15" i="2" l="1"/>
  <c r="FS15" i="2"/>
  <c r="HI15" i="2"/>
  <c r="EX15" i="2"/>
  <c r="EC15" i="2"/>
  <c r="GN15" i="2"/>
  <c r="HH15" i="2"/>
  <c r="HG15" i="2"/>
  <c r="DG15" i="2"/>
  <c r="DH15" i="2"/>
  <c r="DF15" i="2"/>
  <c r="FR15" i="2"/>
  <c r="FQ15" i="2"/>
  <c r="GM15" i="2"/>
  <c r="GL15" i="2"/>
  <c r="EW15" i="2"/>
  <c r="EA15" i="2"/>
  <c r="EB15" i="2"/>
  <c r="CM15" i="2"/>
  <c r="AU15" i="2"/>
  <c r="AV15" i="2"/>
  <c r="AW15" i="2"/>
  <c r="BR15" i="2"/>
  <c r="BP15" i="2"/>
  <c r="BQ15" i="2"/>
  <c r="CL15" i="2"/>
  <c r="CK15" i="2"/>
  <c r="GQ16" i="2"/>
  <c r="GP16" i="2"/>
  <c r="FU16" i="2"/>
  <c r="FV16" i="2"/>
  <c r="FA16" i="2"/>
  <c r="EZ16" i="2"/>
  <c r="EE16" i="2"/>
  <c r="DK16" i="2"/>
  <c r="CP16" i="2"/>
  <c r="CO16" i="2"/>
  <c r="DJ16" i="2"/>
  <c r="EF16" i="2"/>
  <c r="AZ16" i="2"/>
  <c r="AY16" i="2"/>
  <c r="BU16" i="2"/>
  <c r="BT16" i="2"/>
  <c r="AE16" i="2"/>
  <c r="AD16" i="2"/>
  <c r="J16" i="2"/>
  <c r="K16" i="2"/>
  <c r="I16" i="2"/>
  <c r="H53" i="2"/>
  <c r="L16" i="2"/>
  <c r="D54" i="2"/>
  <c r="G54" i="2" s="1"/>
  <c r="GO14" i="2"/>
  <c r="HJ14" i="2"/>
  <c r="ED14" i="2"/>
  <c r="CN14" i="2"/>
  <c r="FT14" i="2"/>
  <c r="BS14" i="2"/>
  <c r="EY14" i="2"/>
  <c r="HD16" i="2"/>
  <c r="GJ16" i="2"/>
  <c r="HE16" i="2"/>
  <c r="FO16" i="2"/>
  <c r="GI16" i="2"/>
  <c r="DY16" i="2"/>
  <c r="ES16" i="2"/>
  <c r="DX16" i="2"/>
  <c r="FN16" i="2"/>
  <c r="ET16" i="2"/>
  <c r="CI16" i="2"/>
  <c r="DC16" i="2"/>
  <c r="BM16" i="2"/>
  <c r="AR16" i="2"/>
  <c r="CH16" i="2"/>
  <c r="BN16" i="2"/>
  <c r="DD16" i="2"/>
  <c r="AS16" i="2"/>
  <c r="X16" i="2"/>
  <c r="W16" i="2"/>
  <c r="HB16" i="2"/>
  <c r="HC16" i="2"/>
  <c r="GR16" i="2"/>
  <c r="GH16" i="2"/>
  <c r="GK16" i="2"/>
  <c r="HF16" i="2"/>
  <c r="GS16" i="2"/>
  <c r="FP16" i="2"/>
  <c r="FB16" i="2"/>
  <c r="GG16" i="2"/>
  <c r="FX16" i="2"/>
  <c r="FL16" i="2"/>
  <c r="FC16" i="2"/>
  <c r="ER16" i="2"/>
  <c r="DV16" i="2"/>
  <c r="DM16" i="2"/>
  <c r="DA16" i="2"/>
  <c r="FW16" i="2"/>
  <c r="EU16" i="2"/>
  <c r="EG16" i="2"/>
  <c r="DW16" i="2"/>
  <c r="DB16" i="2"/>
  <c r="DZ16" i="2"/>
  <c r="DL16" i="2"/>
  <c r="DE16" i="2"/>
  <c r="FM16" i="2"/>
  <c r="EQ16" i="2"/>
  <c r="EH16" i="2"/>
  <c r="CJ16" i="2"/>
  <c r="CQ16" i="2"/>
  <c r="BK16" i="2"/>
  <c r="BW16" i="2"/>
  <c r="CF16" i="2"/>
  <c r="BL16" i="2"/>
  <c r="CG16" i="2"/>
  <c r="BV16" i="2"/>
  <c r="BO16" i="2"/>
  <c r="BB16" i="2"/>
  <c r="BA16" i="2"/>
  <c r="AT16" i="2"/>
  <c r="CR16" i="2"/>
  <c r="DI14" i="2"/>
  <c r="AQ16" i="2"/>
  <c r="AG16" i="2"/>
  <c r="AP16" i="2"/>
  <c r="AF16" i="2"/>
  <c r="A17" i="2"/>
  <c r="Y16" i="2"/>
  <c r="U16" i="2"/>
  <c r="V16" i="2"/>
  <c r="AA15" i="2"/>
  <c r="AB15" i="2"/>
  <c r="AX12" i="2"/>
  <c r="Z15" i="2"/>
  <c r="AC14" i="2"/>
  <c r="EA16" i="2" l="1"/>
  <c r="HH16" i="2"/>
  <c r="EC16" i="2"/>
  <c r="FS16" i="2"/>
  <c r="HI16" i="2"/>
  <c r="EX16" i="2"/>
  <c r="EW16" i="2"/>
  <c r="GN16" i="2"/>
  <c r="HG16" i="2"/>
  <c r="DG16" i="2"/>
  <c r="DF16" i="2"/>
  <c r="DH16" i="2"/>
  <c r="FR16" i="2"/>
  <c r="FQ16" i="2"/>
  <c r="GM16" i="2"/>
  <c r="GL16" i="2"/>
  <c r="EV16" i="2"/>
  <c r="EB16" i="2"/>
  <c r="CM16" i="2"/>
  <c r="BR16" i="2"/>
  <c r="AU16" i="2"/>
  <c r="AW16" i="2"/>
  <c r="AV16" i="2"/>
  <c r="BP16" i="2"/>
  <c r="BQ16" i="2"/>
  <c r="CL16" i="2"/>
  <c r="CK16" i="2"/>
  <c r="GQ17" i="2"/>
  <c r="GP17" i="2"/>
  <c r="FU17" i="2"/>
  <c r="FV17" i="2"/>
  <c r="EZ17" i="2"/>
  <c r="EE17" i="2"/>
  <c r="EF17" i="2"/>
  <c r="FA17" i="2"/>
  <c r="DK17" i="2"/>
  <c r="DJ17" i="2"/>
  <c r="CP17" i="2"/>
  <c r="CO17" i="2"/>
  <c r="BU17" i="2"/>
  <c r="BT17" i="2"/>
  <c r="AE17" i="2"/>
  <c r="AD17" i="2"/>
  <c r="AY17" i="2"/>
  <c r="AZ17" i="2"/>
  <c r="J17" i="2"/>
  <c r="I17" i="2"/>
  <c r="K17" i="2"/>
  <c r="H54" i="2"/>
  <c r="L17" i="2"/>
  <c r="D55" i="2"/>
  <c r="G55" i="2" s="1"/>
  <c r="ED15" i="2"/>
  <c r="EY15" i="2"/>
  <c r="FT15" i="2"/>
  <c r="CN15" i="2"/>
  <c r="BM17" i="2"/>
  <c r="HE17" i="2"/>
  <c r="GJ17" i="2"/>
  <c r="HD17" i="2"/>
  <c r="FO17" i="2"/>
  <c r="FN17" i="2"/>
  <c r="GI17" i="2"/>
  <c r="DY17" i="2"/>
  <c r="DD17" i="2"/>
  <c r="ET17" i="2"/>
  <c r="CH17" i="2"/>
  <c r="AS17" i="2"/>
  <c r="CI17" i="2"/>
  <c r="X17" i="2"/>
  <c r="AR17" i="2"/>
  <c r="ES17" i="2"/>
  <c r="BN17" i="2"/>
  <c r="W17" i="2"/>
  <c r="DC17" i="2"/>
  <c r="DX17" i="2"/>
  <c r="HF17" i="2"/>
  <c r="HB17" i="2"/>
  <c r="HC17" i="2"/>
  <c r="GR17" i="2"/>
  <c r="GH17" i="2"/>
  <c r="GK17" i="2"/>
  <c r="FW17" i="2"/>
  <c r="FM17" i="2"/>
  <c r="GS17" i="2"/>
  <c r="FP17" i="2"/>
  <c r="GG17" i="2"/>
  <c r="FX17" i="2"/>
  <c r="EQ17" i="2"/>
  <c r="EH17" i="2"/>
  <c r="CJ17" i="2"/>
  <c r="FB17" i="2"/>
  <c r="ER17" i="2"/>
  <c r="DV17" i="2"/>
  <c r="DM17" i="2"/>
  <c r="DA17" i="2"/>
  <c r="CQ17" i="2"/>
  <c r="FL17" i="2"/>
  <c r="FC17" i="2"/>
  <c r="EU17" i="2"/>
  <c r="EG17" i="2"/>
  <c r="DW17" i="2"/>
  <c r="DB17" i="2"/>
  <c r="DL17" i="2"/>
  <c r="DZ17" i="2"/>
  <c r="CG17" i="2"/>
  <c r="BV17" i="2"/>
  <c r="BO17" i="2"/>
  <c r="BB17" i="2"/>
  <c r="BK17" i="2"/>
  <c r="DE17" i="2"/>
  <c r="BW17" i="2"/>
  <c r="CF17" i="2"/>
  <c r="BL17" i="2"/>
  <c r="BA17" i="2"/>
  <c r="AT17" i="2"/>
  <c r="CR17" i="2"/>
  <c r="HJ15" i="2"/>
  <c r="GO15" i="2"/>
  <c r="DI15" i="2"/>
  <c r="BS15" i="2"/>
  <c r="AP17" i="2"/>
  <c r="AF17" i="2"/>
  <c r="AQ17" i="2"/>
  <c r="AG17" i="2"/>
  <c r="Y17" i="2"/>
  <c r="U17" i="2"/>
  <c r="V17" i="2"/>
  <c r="A18" i="2"/>
  <c r="AA16" i="2"/>
  <c r="AB16" i="2"/>
  <c r="AX13" i="2"/>
  <c r="Z16" i="2"/>
  <c r="AC15" i="2"/>
  <c r="HI17" i="2" l="1"/>
  <c r="EC17" i="2"/>
  <c r="EX17" i="2"/>
  <c r="FS17" i="2"/>
  <c r="EW17" i="2"/>
  <c r="EV17" i="2"/>
  <c r="EB17" i="2"/>
  <c r="GN17" i="2"/>
  <c r="HG17" i="2"/>
  <c r="HH17" i="2"/>
  <c r="DG17" i="2"/>
  <c r="DH17" i="2"/>
  <c r="DF17" i="2"/>
  <c r="FQ17" i="2"/>
  <c r="FR17" i="2"/>
  <c r="GM17" i="2"/>
  <c r="GL17" i="2"/>
  <c r="EA17" i="2"/>
  <c r="BR17" i="2"/>
  <c r="CM17" i="2"/>
  <c r="AU17" i="2"/>
  <c r="AV17" i="2"/>
  <c r="AW17" i="2"/>
  <c r="BQ17" i="2"/>
  <c r="BP17" i="2"/>
  <c r="CL17" i="2"/>
  <c r="CK17" i="2"/>
  <c r="GQ18" i="2"/>
  <c r="GP18" i="2"/>
  <c r="FU18" i="2"/>
  <c r="FV18" i="2"/>
  <c r="EZ18" i="2"/>
  <c r="EE18" i="2"/>
  <c r="EF18" i="2"/>
  <c r="FA18" i="2"/>
  <c r="CP18" i="2"/>
  <c r="CO18" i="2"/>
  <c r="AZ18" i="2"/>
  <c r="AY18" i="2"/>
  <c r="BU18" i="2"/>
  <c r="BT18" i="2"/>
  <c r="DK18" i="2"/>
  <c r="DJ18" i="2"/>
  <c r="AE18" i="2"/>
  <c r="AD18" i="2"/>
  <c r="J18" i="2"/>
  <c r="I18" i="2"/>
  <c r="K18" i="2"/>
  <c r="H55" i="2"/>
  <c r="L18" i="2"/>
  <c r="D56" i="2"/>
  <c r="G56" i="2" s="1"/>
  <c r="FT16" i="2"/>
  <c r="BS16" i="2"/>
  <c r="DI16" i="2"/>
  <c r="EY16" i="2"/>
  <c r="HJ16" i="2"/>
  <c r="CN16" i="2"/>
  <c r="HD18" i="2"/>
  <c r="HE18" i="2"/>
  <c r="GI18" i="2"/>
  <c r="GJ18" i="2"/>
  <c r="ET18" i="2"/>
  <c r="FN18" i="2"/>
  <c r="DY18" i="2"/>
  <c r="DD18" i="2"/>
  <c r="BN18" i="2"/>
  <c r="FO18" i="2"/>
  <c r="CH18" i="2"/>
  <c r="AS18" i="2"/>
  <c r="ES18" i="2"/>
  <c r="DX18" i="2"/>
  <c r="DC18" i="2"/>
  <c r="W18" i="2"/>
  <c r="X18" i="2"/>
  <c r="BM18" i="2"/>
  <c r="AR18" i="2"/>
  <c r="CI18" i="2"/>
  <c r="HC18" i="2"/>
  <c r="HF18" i="2"/>
  <c r="HB18" i="2"/>
  <c r="GS18" i="2"/>
  <c r="GR18" i="2"/>
  <c r="GH18" i="2"/>
  <c r="FL18" i="2"/>
  <c r="FC18" i="2"/>
  <c r="FW18" i="2"/>
  <c r="FM18" i="2"/>
  <c r="FP18" i="2"/>
  <c r="FX18" i="2"/>
  <c r="DZ18" i="2"/>
  <c r="DL18" i="2"/>
  <c r="DE18" i="2"/>
  <c r="GG18" i="2"/>
  <c r="EQ18" i="2"/>
  <c r="EH18" i="2"/>
  <c r="CJ18" i="2"/>
  <c r="GK18" i="2"/>
  <c r="FB18" i="2"/>
  <c r="ER18" i="2"/>
  <c r="DV18" i="2"/>
  <c r="DM18" i="2"/>
  <c r="DA18" i="2"/>
  <c r="CQ18" i="2"/>
  <c r="EU18" i="2"/>
  <c r="DW18" i="2"/>
  <c r="EG18" i="2"/>
  <c r="DB18" i="2"/>
  <c r="CF18" i="2"/>
  <c r="BL18" i="2"/>
  <c r="CG18" i="2"/>
  <c r="BV18" i="2"/>
  <c r="BO18" i="2"/>
  <c r="BB18" i="2"/>
  <c r="BA18" i="2"/>
  <c r="BK18" i="2"/>
  <c r="BW18" i="2"/>
  <c r="AT18" i="2"/>
  <c r="CR18" i="2"/>
  <c r="GO16" i="2"/>
  <c r="ED16" i="2"/>
  <c r="AB17" i="2"/>
  <c r="AP18" i="2"/>
  <c r="AF18" i="2"/>
  <c r="AG18" i="2"/>
  <c r="AQ18" i="2"/>
  <c r="V18" i="2"/>
  <c r="A19" i="2"/>
  <c r="Y18" i="2"/>
  <c r="U18" i="2"/>
  <c r="AA17" i="2"/>
  <c r="AX14" i="2"/>
  <c r="Z17" i="2"/>
  <c r="AC16" i="2"/>
  <c r="FS18" i="2" l="1"/>
  <c r="EX18" i="2"/>
  <c r="EV18" i="2"/>
  <c r="EW18" i="2"/>
  <c r="HG18" i="2"/>
  <c r="EA18" i="2"/>
  <c r="HI18" i="2"/>
  <c r="EC18" i="2"/>
  <c r="EB18" i="2"/>
  <c r="GN18" i="2"/>
  <c r="HH18" i="2"/>
  <c r="DG18" i="2"/>
  <c r="DF18" i="2"/>
  <c r="DH18" i="2"/>
  <c r="FR18" i="2"/>
  <c r="FQ18" i="2"/>
  <c r="GM18" i="2"/>
  <c r="GL18" i="2"/>
  <c r="CM18" i="2"/>
  <c r="CK18" i="2"/>
  <c r="CL18" i="2"/>
  <c r="AU18" i="2"/>
  <c r="AW18" i="2"/>
  <c r="AV18" i="2"/>
  <c r="BR18" i="2"/>
  <c r="BP18" i="2"/>
  <c r="BQ18" i="2"/>
  <c r="GQ19" i="2"/>
  <c r="GP19" i="2"/>
  <c r="FU19" i="2"/>
  <c r="FV19" i="2"/>
  <c r="FA19" i="2"/>
  <c r="EZ19" i="2"/>
  <c r="EF19" i="2"/>
  <c r="EE19" i="2"/>
  <c r="DK19" i="2"/>
  <c r="DJ19" i="2"/>
  <c r="CP19" i="2"/>
  <c r="CO19" i="2"/>
  <c r="BU19" i="2"/>
  <c r="AY19" i="2"/>
  <c r="AE19" i="2"/>
  <c r="BT19" i="2"/>
  <c r="AZ19" i="2"/>
  <c r="K19" i="2"/>
  <c r="AD19" i="2"/>
  <c r="J19" i="2"/>
  <c r="I19" i="2"/>
  <c r="H56" i="2"/>
  <c r="L19" i="2"/>
  <c r="D57" i="2"/>
  <c r="G57" i="2" s="1"/>
  <c r="FT17" i="2"/>
  <c r="HJ17" i="2"/>
  <c r="EY17" i="2"/>
  <c r="DI17" i="2"/>
  <c r="ED17" i="2"/>
  <c r="CN17" i="2"/>
  <c r="BS17" i="2"/>
  <c r="BL19" i="2"/>
  <c r="GJ19" i="2"/>
  <c r="HD19" i="2"/>
  <c r="HE19" i="2"/>
  <c r="GI19" i="2"/>
  <c r="FO19" i="2"/>
  <c r="ES19" i="2"/>
  <c r="ET19" i="2"/>
  <c r="DX19" i="2"/>
  <c r="DC19" i="2"/>
  <c r="DY19" i="2"/>
  <c r="DD19" i="2"/>
  <c r="BN19" i="2"/>
  <c r="FN19" i="2"/>
  <c r="CI19" i="2"/>
  <c r="BM19" i="2"/>
  <c r="W19" i="2"/>
  <c r="AS19" i="2"/>
  <c r="CH19" i="2"/>
  <c r="X19" i="2"/>
  <c r="AR19" i="2"/>
  <c r="HB19" i="2"/>
  <c r="HC19" i="2"/>
  <c r="HF19" i="2"/>
  <c r="GK19" i="2"/>
  <c r="GS19" i="2"/>
  <c r="GR19" i="2"/>
  <c r="GG19" i="2"/>
  <c r="FX19" i="2"/>
  <c r="GH19" i="2"/>
  <c r="FL19" i="2"/>
  <c r="FC19" i="2"/>
  <c r="FW19" i="2"/>
  <c r="FM19" i="2"/>
  <c r="EU19" i="2"/>
  <c r="EG19" i="2"/>
  <c r="DW19" i="2"/>
  <c r="DB19" i="2"/>
  <c r="FP19" i="2"/>
  <c r="DZ19" i="2"/>
  <c r="DL19" i="2"/>
  <c r="DE19" i="2"/>
  <c r="EQ19" i="2"/>
  <c r="EH19" i="2"/>
  <c r="CJ19" i="2"/>
  <c r="FB19" i="2"/>
  <c r="DV19" i="2"/>
  <c r="DA19" i="2"/>
  <c r="ER19" i="2"/>
  <c r="DM19" i="2"/>
  <c r="BW19" i="2"/>
  <c r="CF19" i="2"/>
  <c r="CG19" i="2"/>
  <c r="BV19" i="2"/>
  <c r="BO19" i="2"/>
  <c r="BB19" i="2"/>
  <c r="BA19" i="2"/>
  <c r="CQ19" i="2"/>
  <c r="BK19" i="2"/>
  <c r="AT19" i="2"/>
  <c r="CR19" i="2"/>
  <c r="GO17" i="2"/>
  <c r="AB18" i="2"/>
  <c r="AA18" i="2"/>
  <c r="AQ19" i="2"/>
  <c r="AP19" i="2"/>
  <c r="AG19" i="2"/>
  <c r="AF19" i="2"/>
  <c r="A20" i="2"/>
  <c r="Y19" i="2"/>
  <c r="V19" i="2"/>
  <c r="U19" i="2"/>
  <c r="AX15" i="2"/>
  <c r="Z18" i="2"/>
  <c r="AC17" i="2"/>
  <c r="HI19" i="2" l="1"/>
  <c r="FS19" i="2"/>
  <c r="EC19" i="2"/>
  <c r="EB19" i="2"/>
  <c r="EX19" i="2"/>
  <c r="EV19" i="2"/>
  <c r="GN19" i="2"/>
  <c r="HH19" i="2"/>
  <c r="HG19" i="2"/>
  <c r="DG19" i="2"/>
  <c r="DF19" i="2"/>
  <c r="DH19" i="2"/>
  <c r="FR19" i="2"/>
  <c r="FQ19" i="2"/>
  <c r="GL19" i="2"/>
  <c r="GM19" i="2"/>
  <c r="EW19" i="2"/>
  <c r="EA19" i="2"/>
  <c r="CL19" i="2"/>
  <c r="CM19" i="2"/>
  <c r="BR19" i="2"/>
  <c r="AU19" i="2"/>
  <c r="AV19" i="2"/>
  <c r="AW19" i="2"/>
  <c r="BQ19" i="2"/>
  <c r="BP19" i="2"/>
  <c r="CK19" i="2"/>
  <c r="GQ20" i="2"/>
  <c r="GP20" i="2"/>
  <c r="FU20" i="2"/>
  <c r="FV20" i="2"/>
  <c r="FA20" i="2"/>
  <c r="EZ20" i="2"/>
  <c r="EF20" i="2"/>
  <c r="EE20" i="2"/>
  <c r="DK20" i="2"/>
  <c r="DJ20" i="2"/>
  <c r="CP20" i="2"/>
  <c r="CO20" i="2"/>
  <c r="AZ20" i="2"/>
  <c r="AY20" i="2"/>
  <c r="BU20" i="2"/>
  <c r="BT20" i="2"/>
  <c r="AE20" i="2"/>
  <c r="AD20" i="2"/>
  <c r="K20" i="2"/>
  <c r="J20" i="2"/>
  <c r="I20" i="2"/>
  <c r="H57" i="2"/>
  <c r="L20" i="2"/>
  <c r="D58" i="2"/>
  <c r="G58" i="2" s="1"/>
  <c r="BS18" i="2"/>
  <c r="HD20" i="2"/>
  <c r="GJ20" i="2"/>
  <c r="FO20" i="2"/>
  <c r="DY20" i="2"/>
  <c r="ES20" i="2"/>
  <c r="DX20" i="2"/>
  <c r="CI20" i="2"/>
  <c r="BM20" i="2"/>
  <c r="GI20" i="2"/>
  <c r="ET20" i="2"/>
  <c r="DC20" i="2"/>
  <c r="CH20" i="2"/>
  <c r="BN20" i="2"/>
  <c r="AS20" i="2"/>
  <c r="AR20" i="2"/>
  <c r="FN20" i="2"/>
  <c r="HE20" i="2"/>
  <c r="DD20" i="2"/>
  <c r="X20" i="2"/>
  <c r="W20" i="2"/>
  <c r="HB20" i="2"/>
  <c r="HC20" i="2"/>
  <c r="GR20" i="2"/>
  <c r="GH20" i="2"/>
  <c r="GK20" i="2"/>
  <c r="GS20" i="2"/>
  <c r="HF20" i="2"/>
  <c r="FP20" i="2"/>
  <c r="GG20" i="2"/>
  <c r="FX20" i="2"/>
  <c r="FL20" i="2"/>
  <c r="FC20" i="2"/>
  <c r="FM20" i="2"/>
  <c r="FB20" i="2"/>
  <c r="ER20" i="2"/>
  <c r="DV20" i="2"/>
  <c r="DM20" i="2"/>
  <c r="DA20" i="2"/>
  <c r="EU20" i="2"/>
  <c r="EG20" i="2"/>
  <c r="DW20" i="2"/>
  <c r="DB20" i="2"/>
  <c r="FW20" i="2"/>
  <c r="DZ20" i="2"/>
  <c r="DL20" i="2"/>
  <c r="DE20" i="2"/>
  <c r="EQ20" i="2"/>
  <c r="EH20" i="2"/>
  <c r="CQ20" i="2"/>
  <c r="CJ20" i="2"/>
  <c r="BK20" i="2"/>
  <c r="BW20" i="2"/>
  <c r="BL20" i="2"/>
  <c r="CF20" i="2"/>
  <c r="CG20" i="2"/>
  <c r="BV20" i="2"/>
  <c r="BO20" i="2"/>
  <c r="BB20" i="2"/>
  <c r="BA20" i="2"/>
  <c r="AT20" i="2"/>
  <c r="CR20" i="2"/>
  <c r="ED18" i="2"/>
  <c r="EY18" i="2"/>
  <c r="FT18" i="2"/>
  <c r="DI18" i="2"/>
  <c r="GO18" i="2"/>
  <c r="CN18" i="2"/>
  <c r="HJ18" i="2"/>
  <c r="AA19" i="2"/>
  <c r="AF20" i="2"/>
  <c r="AQ20" i="2"/>
  <c r="AG20" i="2"/>
  <c r="AP20" i="2"/>
  <c r="U20" i="2"/>
  <c r="V20" i="2"/>
  <c r="A21" i="2"/>
  <c r="Y20" i="2"/>
  <c r="AB19" i="2"/>
  <c r="AX16" i="2"/>
  <c r="Z19" i="2"/>
  <c r="AC18" i="2"/>
  <c r="HH20" i="2" l="1"/>
  <c r="FS20" i="2"/>
  <c r="EC20" i="2"/>
  <c r="EW20" i="2"/>
  <c r="EV20" i="2"/>
  <c r="HG20" i="2"/>
  <c r="HI20" i="2"/>
  <c r="AV20" i="2"/>
  <c r="EA20" i="2"/>
  <c r="EB20" i="2"/>
  <c r="EX20" i="2"/>
  <c r="AW20" i="2"/>
  <c r="GN20" i="2"/>
  <c r="DH20" i="2"/>
  <c r="DF20" i="2"/>
  <c r="DG20" i="2"/>
  <c r="FR20" i="2"/>
  <c r="FQ20" i="2"/>
  <c r="GL20" i="2"/>
  <c r="GM20" i="2"/>
  <c r="CM20" i="2"/>
  <c r="BR20" i="2"/>
  <c r="AU20" i="2"/>
  <c r="BQ20" i="2"/>
  <c r="BP20" i="2"/>
  <c r="CK20" i="2"/>
  <c r="CL20" i="2"/>
  <c r="GQ21" i="2"/>
  <c r="GP21" i="2"/>
  <c r="FU21" i="2"/>
  <c r="FV21" i="2"/>
  <c r="FA21" i="2"/>
  <c r="EZ21" i="2"/>
  <c r="EF21" i="2"/>
  <c r="EE21" i="2"/>
  <c r="DK21" i="2"/>
  <c r="DJ21" i="2"/>
  <c r="BU21" i="2"/>
  <c r="BT21" i="2"/>
  <c r="CP21" i="2"/>
  <c r="CO21" i="2"/>
  <c r="AY21" i="2"/>
  <c r="AE21" i="2"/>
  <c r="AD21" i="2"/>
  <c r="AZ21" i="2"/>
  <c r="J21" i="2"/>
  <c r="I21" i="2"/>
  <c r="K21" i="2"/>
  <c r="H58" i="2"/>
  <c r="L21" i="2"/>
  <c r="D59" i="2"/>
  <c r="G59" i="2" s="1"/>
  <c r="ED19" i="2"/>
  <c r="CN19" i="2"/>
  <c r="GO19" i="2"/>
  <c r="DI19" i="2"/>
  <c r="HJ19" i="2"/>
  <c r="EY19" i="2"/>
  <c r="HE21" i="2"/>
  <c r="GJ21" i="2"/>
  <c r="HD21" i="2"/>
  <c r="GI21" i="2"/>
  <c r="FO21" i="2"/>
  <c r="FN21" i="2"/>
  <c r="DY21" i="2"/>
  <c r="ET21" i="2"/>
  <c r="ES21" i="2"/>
  <c r="DD21" i="2"/>
  <c r="CH21" i="2"/>
  <c r="AS21" i="2"/>
  <c r="DX21" i="2"/>
  <c r="CI21" i="2"/>
  <c r="BM21" i="2"/>
  <c r="X21" i="2"/>
  <c r="DC21" i="2"/>
  <c r="BN21" i="2"/>
  <c r="AR21" i="2"/>
  <c r="W21" i="2"/>
  <c r="HF21" i="2"/>
  <c r="HB21" i="2"/>
  <c r="GR21" i="2"/>
  <c r="GH21" i="2"/>
  <c r="HC21" i="2"/>
  <c r="GK21" i="2"/>
  <c r="FW21" i="2"/>
  <c r="FM21" i="2"/>
  <c r="FP21" i="2"/>
  <c r="GS21" i="2"/>
  <c r="GG21" i="2"/>
  <c r="FX21" i="2"/>
  <c r="EQ21" i="2"/>
  <c r="EH21" i="2"/>
  <c r="CJ21" i="2"/>
  <c r="FB21" i="2"/>
  <c r="ER21" i="2"/>
  <c r="DV21" i="2"/>
  <c r="DM21" i="2"/>
  <c r="DA21" i="2"/>
  <c r="CR21" i="2"/>
  <c r="CQ21" i="2"/>
  <c r="EU21" i="2"/>
  <c r="EG21" i="2"/>
  <c r="DW21" i="2"/>
  <c r="DB21" i="2"/>
  <c r="FL21" i="2"/>
  <c r="FC21" i="2"/>
  <c r="DZ21" i="2"/>
  <c r="DE21" i="2"/>
  <c r="DL21" i="2"/>
  <c r="CG21" i="2"/>
  <c r="BV21" i="2"/>
  <c r="BO21" i="2"/>
  <c r="BB21" i="2"/>
  <c r="BK21" i="2"/>
  <c r="BW21" i="2"/>
  <c r="BL21" i="2"/>
  <c r="CF21" i="2"/>
  <c r="AT21" i="2"/>
  <c r="BA21" i="2"/>
  <c r="FT19" i="2"/>
  <c r="AA20" i="2"/>
  <c r="AQ21" i="2"/>
  <c r="AG21" i="2"/>
  <c r="AF21" i="2"/>
  <c r="AP21" i="2"/>
  <c r="A22" i="2"/>
  <c r="Y21" i="2"/>
  <c r="V21" i="2"/>
  <c r="U21" i="2"/>
  <c r="AB20" i="2"/>
  <c r="AX17" i="2"/>
  <c r="Z20" i="2"/>
  <c r="AC19" i="2"/>
  <c r="HI21" i="2" l="1"/>
  <c r="EW21" i="2"/>
  <c r="EV21" i="2"/>
  <c r="EB21" i="2"/>
  <c r="HH21" i="2"/>
  <c r="EX21" i="2"/>
  <c r="FS21" i="2"/>
  <c r="EC21" i="2"/>
  <c r="HG21" i="2"/>
  <c r="GN21" i="2"/>
  <c r="DF21" i="2"/>
  <c r="DG21" i="2"/>
  <c r="DH21" i="2"/>
  <c r="FQ21" i="2"/>
  <c r="FR21" i="2"/>
  <c r="GL21" i="2"/>
  <c r="GM21" i="2"/>
  <c r="EA21" i="2"/>
  <c r="CM21" i="2"/>
  <c r="BR21" i="2"/>
  <c r="AU21" i="2"/>
  <c r="AV21" i="2"/>
  <c r="AW21" i="2"/>
  <c r="BQ21" i="2"/>
  <c r="BP21" i="2"/>
  <c r="CL21" i="2"/>
  <c r="CK21" i="2"/>
  <c r="GQ22" i="2"/>
  <c r="GP22" i="2"/>
  <c r="FU22" i="2"/>
  <c r="EZ22" i="2"/>
  <c r="FA22" i="2"/>
  <c r="FV22" i="2"/>
  <c r="EF22" i="2"/>
  <c r="EE22" i="2"/>
  <c r="CP22" i="2"/>
  <c r="CO22" i="2"/>
  <c r="DK22" i="2"/>
  <c r="DJ22" i="2"/>
  <c r="BU22" i="2"/>
  <c r="BT22" i="2"/>
  <c r="AZ22" i="2"/>
  <c r="AY22" i="2"/>
  <c r="AE22" i="2"/>
  <c r="AD22" i="2"/>
  <c r="K22" i="2"/>
  <c r="I22" i="2"/>
  <c r="J22" i="2"/>
  <c r="H59" i="2"/>
  <c r="L22" i="2"/>
  <c r="D60" i="2"/>
  <c r="G60" i="2" s="1"/>
  <c r="EY20" i="2"/>
  <c r="HJ20" i="2"/>
  <c r="CN20" i="2"/>
  <c r="FT20" i="2"/>
  <c r="HD22" i="2"/>
  <c r="HE22" i="2"/>
  <c r="HH22" i="2" s="1"/>
  <c r="GI22" i="2"/>
  <c r="GJ22" i="2"/>
  <c r="ET22" i="2"/>
  <c r="FO22" i="2"/>
  <c r="FN22" i="2"/>
  <c r="DY22" i="2"/>
  <c r="ES22" i="2"/>
  <c r="BN22" i="2"/>
  <c r="CH22" i="2"/>
  <c r="AS22" i="2"/>
  <c r="W22" i="2"/>
  <c r="DX22" i="2"/>
  <c r="CI22" i="2"/>
  <c r="BM22" i="2"/>
  <c r="X22" i="2"/>
  <c r="DC22" i="2"/>
  <c r="AR22" i="2"/>
  <c r="DD22" i="2"/>
  <c r="HC22" i="2"/>
  <c r="HF22" i="2"/>
  <c r="GS22" i="2"/>
  <c r="HB22" i="2"/>
  <c r="GR22" i="2"/>
  <c r="GH22" i="2"/>
  <c r="GK22" i="2"/>
  <c r="FL22" i="2"/>
  <c r="FC22" i="2"/>
  <c r="FW22" i="2"/>
  <c r="FM22" i="2"/>
  <c r="FP22" i="2"/>
  <c r="DZ22" i="2"/>
  <c r="DL22" i="2"/>
  <c r="DE22" i="2"/>
  <c r="FX22" i="2"/>
  <c r="EQ22" i="2"/>
  <c r="EH22" i="2"/>
  <c r="CJ22" i="2"/>
  <c r="GG22" i="2"/>
  <c r="FB22" i="2"/>
  <c r="ER22" i="2"/>
  <c r="DV22" i="2"/>
  <c r="DM22" i="2"/>
  <c r="DA22" i="2"/>
  <c r="CR22" i="2"/>
  <c r="CQ22" i="2"/>
  <c r="EG22" i="2"/>
  <c r="EU22" i="2"/>
  <c r="DW22" i="2"/>
  <c r="CF22" i="2"/>
  <c r="DB22" i="2"/>
  <c r="CG22" i="2"/>
  <c r="BV22" i="2"/>
  <c r="BO22" i="2"/>
  <c r="BB22" i="2"/>
  <c r="BA22" i="2"/>
  <c r="BK22" i="2"/>
  <c r="BW22" i="2"/>
  <c r="BL22" i="2"/>
  <c r="AT22" i="2"/>
  <c r="DI20" i="2"/>
  <c r="GO20" i="2"/>
  <c r="ED20" i="2"/>
  <c r="AA21" i="2"/>
  <c r="AB21" i="2"/>
  <c r="AP22" i="2"/>
  <c r="AF22" i="2"/>
  <c r="AQ22" i="2"/>
  <c r="AG22" i="2"/>
  <c r="A23" i="2"/>
  <c r="Y22" i="2"/>
  <c r="U22" i="2"/>
  <c r="V22" i="2"/>
  <c r="AX18" i="2"/>
  <c r="Z21" i="2"/>
  <c r="AC20" i="2"/>
  <c r="EC22" i="2" l="1"/>
  <c r="EA22" i="2"/>
  <c r="EB22" i="2"/>
  <c r="EW22" i="2"/>
  <c r="HG22" i="2"/>
  <c r="HI22" i="2"/>
  <c r="FS22" i="2"/>
  <c r="EX22" i="2"/>
  <c r="EV22" i="2"/>
  <c r="GN22" i="2"/>
  <c r="DH22" i="2"/>
  <c r="DG22" i="2"/>
  <c r="DF22" i="2"/>
  <c r="FQ22" i="2"/>
  <c r="FR22" i="2"/>
  <c r="GM22" i="2"/>
  <c r="GL22" i="2"/>
  <c r="CM22" i="2"/>
  <c r="AU22" i="2"/>
  <c r="AW22" i="2"/>
  <c r="AV22" i="2"/>
  <c r="BR22" i="2"/>
  <c r="BQ22" i="2"/>
  <c r="BP22" i="2"/>
  <c r="CK22" i="2"/>
  <c r="CL22" i="2"/>
  <c r="GQ23" i="2"/>
  <c r="GP23" i="2"/>
  <c r="FU23" i="2"/>
  <c r="FV23" i="2"/>
  <c r="FA23" i="2"/>
  <c r="EZ23" i="2"/>
  <c r="EF23" i="2"/>
  <c r="EE23" i="2"/>
  <c r="DK23" i="2"/>
  <c r="DJ23" i="2"/>
  <c r="BU23" i="2"/>
  <c r="CP23" i="2"/>
  <c r="CO23" i="2"/>
  <c r="AZ23" i="2"/>
  <c r="BT23" i="2"/>
  <c r="AY23" i="2"/>
  <c r="AE23" i="2"/>
  <c r="AD23" i="2"/>
  <c r="K23" i="2"/>
  <c r="I23" i="2"/>
  <c r="J23" i="2"/>
  <c r="H60" i="2"/>
  <c r="L23" i="2"/>
  <c r="D61" i="2"/>
  <c r="G61" i="2" s="1"/>
  <c r="DI21" i="2"/>
  <c r="GJ23" i="2"/>
  <c r="HD23" i="2"/>
  <c r="HE23" i="2"/>
  <c r="GI23" i="2"/>
  <c r="ES23" i="2"/>
  <c r="ET23" i="2"/>
  <c r="FO23" i="2"/>
  <c r="FN23" i="2"/>
  <c r="DY23" i="2"/>
  <c r="DD23" i="2"/>
  <c r="DC23" i="2"/>
  <c r="BN23" i="2"/>
  <c r="BM23" i="2"/>
  <c r="CH23" i="2"/>
  <c r="AS23" i="2"/>
  <c r="W23" i="2"/>
  <c r="DX23" i="2"/>
  <c r="CI23" i="2"/>
  <c r="AR23" i="2"/>
  <c r="X23" i="2"/>
  <c r="HB23" i="2"/>
  <c r="HC23" i="2"/>
  <c r="HF23" i="2"/>
  <c r="GK23" i="2"/>
  <c r="GS23" i="2"/>
  <c r="GG23" i="2"/>
  <c r="FX23" i="2"/>
  <c r="GR23" i="2"/>
  <c r="FL23" i="2"/>
  <c r="FC23" i="2"/>
  <c r="GH23" i="2"/>
  <c r="FW23" i="2"/>
  <c r="FM23" i="2"/>
  <c r="EU23" i="2"/>
  <c r="EG23" i="2"/>
  <c r="DW23" i="2"/>
  <c r="DB23" i="2"/>
  <c r="DZ23" i="2"/>
  <c r="DL23" i="2"/>
  <c r="DE23" i="2"/>
  <c r="FP23" i="2"/>
  <c r="EQ23" i="2"/>
  <c r="EH23" i="2"/>
  <c r="CJ23" i="2"/>
  <c r="FB23" i="2"/>
  <c r="DV23" i="2"/>
  <c r="DA23" i="2"/>
  <c r="CQ23" i="2"/>
  <c r="ER23" i="2"/>
  <c r="BW23" i="2"/>
  <c r="BL23" i="2"/>
  <c r="CF23" i="2"/>
  <c r="CG23" i="2"/>
  <c r="BV23" i="2"/>
  <c r="BO23" i="2"/>
  <c r="BA23" i="2"/>
  <c r="DM23" i="2"/>
  <c r="BK23" i="2"/>
  <c r="CR23" i="2"/>
  <c r="AT23" i="2"/>
  <c r="BB23" i="2"/>
  <c r="ED21" i="2"/>
  <c r="FT21" i="2"/>
  <c r="EY21" i="2"/>
  <c r="GO21" i="2"/>
  <c r="CN21" i="2"/>
  <c r="HJ21" i="2"/>
  <c r="AA22" i="2"/>
  <c r="AB22" i="2"/>
  <c r="AQ23" i="2"/>
  <c r="AP23" i="2"/>
  <c r="AF23" i="2"/>
  <c r="AG23" i="2"/>
  <c r="A24" i="2"/>
  <c r="U23" i="2"/>
  <c r="V23" i="2"/>
  <c r="Y23" i="2"/>
  <c r="AX19" i="2"/>
  <c r="Z22" i="2"/>
  <c r="AC21" i="2"/>
  <c r="EX23" i="2" l="1"/>
  <c r="HI23" i="2"/>
  <c r="EC23" i="2"/>
  <c r="FS23" i="2"/>
  <c r="FQ23" i="2"/>
  <c r="FR23" i="2"/>
  <c r="EV23" i="2"/>
  <c r="GN23" i="2"/>
  <c r="HH23" i="2"/>
  <c r="HG23" i="2"/>
  <c r="DG23" i="2"/>
  <c r="DH23" i="2"/>
  <c r="DF23" i="2"/>
  <c r="GM23" i="2"/>
  <c r="GL23" i="2"/>
  <c r="EW23" i="2"/>
  <c r="EB23" i="2"/>
  <c r="EA23" i="2"/>
  <c r="CM23" i="2"/>
  <c r="CK23" i="2"/>
  <c r="CL23" i="2"/>
  <c r="BQ23" i="2"/>
  <c r="AU23" i="2"/>
  <c r="AV23" i="2"/>
  <c r="AW23" i="2"/>
  <c r="BR23" i="2"/>
  <c r="BP23" i="2"/>
  <c r="GQ24" i="2"/>
  <c r="GP24" i="2"/>
  <c r="FU24" i="2"/>
  <c r="FV24" i="2"/>
  <c r="EZ24" i="2"/>
  <c r="FA24" i="2"/>
  <c r="EF24" i="2"/>
  <c r="DJ24" i="2"/>
  <c r="EE24" i="2"/>
  <c r="CP24" i="2"/>
  <c r="CO24" i="2"/>
  <c r="DK24" i="2"/>
  <c r="AZ24" i="2"/>
  <c r="AY24" i="2"/>
  <c r="BU24" i="2"/>
  <c r="BT24" i="2"/>
  <c r="AE24" i="2"/>
  <c r="AD24" i="2"/>
  <c r="K24" i="2"/>
  <c r="I24" i="2"/>
  <c r="J24" i="2"/>
  <c r="H61" i="2"/>
  <c r="L24" i="2"/>
  <c r="D62" i="2"/>
  <c r="G62" i="2" s="1"/>
  <c r="CN22" i="2"/>
  <c r="FT22" i="2"/>
  <c r="DI22" i="2"/>
  <c r="GO22" i="2"/>
  <c r="EY22" i="2"/>
  <c r="ED22" i="2"/>
  <c r="HD24" i="2"/>
  <c r="GJ24" i="2"/>
  <c r="FO24" i="2"/>
  <c r="GI24" i="2"/>
  <c r="DY24" i="2"/>
  <c r="ES24" i="2"/>
  <c r="DX24" i="2"/>
  <c r="FN24" i="2"/>
  <c r="ET24" i="2"/>
  <c r="CI24" i="2"/>
  <c r="BM24" i="2"/>
  <c r="DD24" i="2"/>
  <c r="DC24" i="2"/>
  <c r="AR24" i="2"/>
  <c r="AS24" i="2"/>
  <c r="CH24" i="2"/>
  <c r="BN24" i="2"/>
  <c r="X24" i="2"/>
  <c r="W24" i="2"/>
  <c r="HE24" i="2"/>
  <c r="HB24" i="2"/>
  <c r="HC24" i="2"/>
  <c r="HF24" i="2"/>
  <c r="GR24" i="2"/>
  <c r="GH24" i="2"/>
  <c r="GK24" i="2"/>
  <c r="GS24" i="2"/>
  <c r="FP24" i="2"/>
  <c r="GG24" i="2"/>
  <c r="FX24" i="2"/>
  <c r="FL24" i="2"/>
  <c r="FC24" i="2"/>
  <c r="FB24" i="2"/>
  <c r="ER24" i="2"/>
  <c r="DV24" i="2"/>
  <c r="DM24" i="2"/>
  <c r="DA24" i="2"/>
  <c r="FM24" i="2"/>
  <c r="EU24" i="2"/>
  <c r="EG24" i="2"/>
  <c r="DW24" i="2"/>
  <c r="DB24" i="2"/>
  <c r="DZ24" i="2"/>
  <c r="DL24" i="2"/>
  <c r="DE24" i="2"/>
  <c r="FW24" i="2"/>
  <c r="EQ24" i="2"/>
  <c r="EH24" i="2"/>
  <c r="CJ24" i="2"/>
  <c r="CQ24" i="2"/>
  <c r="BK24" i="2"/>
  <c r="BW24" i="2"/>
  <c r="BL24" i="2"/>
  <c r="CR24" i="2"/>
  <c r="CF24" i="2"/>
  <c r="BB24" i="2"/>
  <c r="CG24" i="2"/>
  <c r="BV24" i="2"/>
  <c r="BO24" i="2"/>
  <c r="BA24" i="2"/>
  <c r="AT24" i="2"/>
  <c r="HJ22" i="2"/>
  <c r="AB23" i="2"/>
  <c r="AA23" i="2"/>
  <c r="AQ24" i="2"/>
  <c r="AG24" i="2"/>
  <c r="AP24" i="2"/>
  <c r="AF24" i="2"/>
  <c r="A25" i="2"/>
  <c r="Y24" i="2"/>
  <c r="V24" i="2"/>
  <c r="U24" i="2"/>
  <c r="AX20" i="2"/>
  <c r="Z23" i="2"/>
  <c r="AC22" i="2"/>
  <c r="HH24" i="2" l="1"/>
  <c r="EW24" i="2"/>
  <c r="FR24" i="2"/>
  <c r="HG24" i="2"/>
  <c r="EC24" i="2"/>
  <c r="HI24" i="2"/>
  <c r="EX24" i="2"/>
  <c r="FQ24" i="2"/>
  <c r="FS24" i="2"/>
  <c r="EB24" i="2"/>
  <c r="GN24" i="2"/>
  <c r="DH24" i="2"/>
  <c r="DF24" i="2"/>
  <c r="DG24" i="2"/>
  <c r="GM24" i="2"/>
  <c r="GL24" i="2"/>
  <c r="EV24" i="2"/>
  <c r="EA24" i="2"/>
  <c r="CM24" i="2"/>
  <c r="CK24" i="2"/>
  <c r="AU24" i="2"/>
  <c r="AW24" i="2"/>
  <c r="AV24" i="2"/>
  <c r="BQ24" i="2"/>
  <c r="BR24" i="2"/>
  <c r="BP24" i="2"/>
  <c r="CL24" i="2"/>
  <c r="GQ25" i="2"/>
  <c r="GP25" i="2"/>
  <c r="FU25" i="2"/>
  <c r="FV25" i="2"/>
  <c r="FA25" i="2"/>
  <c r="EZ25" i="2"/>
  <c r="EF25" i="2"/>
  <c r="EE25" i="2"/>
  <c r="DJ25" i="2"/>
  <c r="DK25" i="2"/>
  <c r="CO25" i="2"/>
  <c r="CP25" i="2"/>
  <c r="BU25" i="2"/>
  <c r="BT25" i="2"/>
  <c r="AE25" i="2"/>
  <c r="AD25" i="2"/>
  <c r="AZ25" i="2"/>
  <c r="AY25" i="2"/>
  <c r="J25" i="2"/>
  <c r="I25" i="2"/>
  <c r="K25" i="2"/>
  <c r="H62" i="2"/>
  <c r="L25" i="2"/>
  <c r="D63" i="2"/>
  <c r="G63" i="2" s="1"/>
  <c r="HE25" i="2"/>
  <c r="GJ25" i="2"/>
  <c r="FO25" i="2"/>
  <c r="FN25" i="2"/>
  <c r="DY25" i="2"/>
  <c r="GI25" i="2"/>
  <c r="DD25" i="2"/>
  <c r="HD25" i="2"/>
  <c r="ES25" i="2"/>
  <c r="DX25" i="2"/>
  <c r="CH25" i="2"/>
  <c r="AS25" i="2"/>
  <c r="CI25" i="2"/>
  <c r="BM25" i="2"/>
  <c r="X25" i="2"/>
  <c r="ET25" i="2"/>
  <c r="AR25" i="2"/>
  <c r="DC25" i="2"/>
  <c r="BN25" i="2"/>
  <c r="W25" i="2"/>
  <c r="HF25" i="2"/>
  <c r="HB25" i="2"/>
  <c r="GR25" i="2"/>
  <c r="GH25" i="2"/>
  <c r="GK25" i="2"/>
  <c r="FW25" i="2"/>
  <c r="FM25" i="2"/>
  <c r="FP25" i="2"/>
  <c r="GG25" i="2"/>
  <c r="FX25" i="2"/>
  <c r="FL25" i="2"/>
  <c r="FC25" i="2"/>
  <c r="EQ25" i="2"/>
  <c r="EH25" i="2"/>
  <c r="CJ25" i="2"/>
  <c r="FB25" i="2"/>
  <c r="ER25" i="2"/>
  <c r="DV25" i="2"/>
  <c r="DM25" i="2"/>
  <c r="DA25" i="2"/>
  <c r="CQ25" i="2"/>
  <c r="GS25" i="2"/>
  <c r="EU25" i="2"/>
  <c r="EG25" i="2"/>
  <c r="DW25" i="2"/>
  <c r="DB25" i="2"/>
  <c r="HC25" i="2"/>
  <c r="DZ25" i="2"/>
  <c r="CR25" i="2"/>
  <c r="DE25" i="2"/>
  <c r="DL25" i="2"/>
  <c r="CG25" i="2"/>
  <c r="BV25" i="2"/>
  <c r="BO25" i="2"/>
  <c r="BK25" i="2"/>
  <c r="BW25" i="2"/>
  <c r="BL25" i="2"/>
  <c r="CF25" i="2"/>
  <c r="BB25" i="2"/>
  <c r="AT25" i="2"/>
  <c r="BA25" i="2"/>
  <c r="DI23" i="2"/>
  <c r="ED23" i="2"/>
  <c r="GO23" i="2"/>
  <c r="CN23" i="2"/>
  <c r="EY23" i="2"/>
  <c r="HJ23" i="2"/>
  <c r="FT23" i="2"/>
  <c r="AA24" i="2"/>
  <c r="AB24" i="2"/>
  <c r="AP25" i="2"/>
  <c r="AF25" i="2"/>
  <c r="AQ25" i="2"/>
  <c r="AG25" i="2"/>
  <c r="V25" i="2"/>
  <c r="U25" i="2"/>
  <c r="Y25" i="2"/>
  <c r="A26" i="2"/>
  <c r="AX21" i="2"/>
  <c r="Z24" i="2"/>
  <c r="AC23" i="2"/>
  <c r="HI25" i="2" l="1"/>
  <c r="EC25" i="2"/>
  <c r="FS25" i="2"/>
  <c r="EV25" i="2"/>
  <c r="EW25" i="2"/>
  <c r="EB25" i="2"/>
  <c r="EX25" i="2"/>
  <c r="GN25" i="2"/>
  <c r="HH25" i="2"/>
  <c r="HG25" i="2"/>
  <c r="DG25" i="2"/>
  <c r="DH25" i="2"/>
  <c r="DF25" i="2"/>
  <c r="FQ25" i="2"/>
  <c r="FR25" i="2"/>
  <c r="GM25" i="2"/>
  <c r="GL25" i="2"/>
  <c r="EA25" i="2"/>
  <c r="CM25" i="2"/>
  <c r="AV25" i="2"/>
  <c r="AU25" i="2"/>
  <c r="AW25" i="2"/>
  <c r="BQ25" i="2"/>
  <c r="BR25" i="2"/>
  <c r="BP25" i="2"/>
  <c r="CL25" i="2"/>
  <c r="CK25" i="2"/>
  <c r="GQ26" i="2"/>
  <c r="GP26" i="2"/>
  <c r="FV26" i="2"/>
  <c r="FU26" i="2"/>
  <c r="FA26" i="2"/>
  <c r="EZ26" i="2"/>
  <c r="EF26" i="2"/>
  <c r="EE26" i="2"/>
  <c r="CP26" i="2"/>
  <c r="CO26" i="2"/>
  <c r="DJ26" i="2"/>
  <c r="AZ26" i="2"/>
  <c r="AY26" i="2"/>
  <c r="BU26" i="2"/>
  <c r="BT26" i="2"/>
  <c r="DK26" i="2"/>
  <c r="AE26" i="2"/>
  <c r="AD26" i="2"/>
  <c r="J26" i="2"/>
  <c r="I26" i="2"/>
  <c r="K26" i="2"/>
  <c r="H63" i="2"/>
  <c r="L26" i="2"/>
  <c r="D64" i="2"/>
  <c r="G64" i="2" s="1"/>
  <c r="HD26" i="2"/>
  <c r="HE26" i="2"/>
  <c r="GI26" i="2"/>
  <c r="GJ26" i="2"/>
  <c r="ET26" i="2"/>
  <c r="FN26" i="2"/>
  <c r="FO26" i="2"/>
  <c r="BN26" i="2"/>
  <c r="ES26" i="2"/>
  <c r="DX26" i="2"/>
  <c r="CH26" i="2"/>
  <c r="AS26" i="2"/>
  <c r="DY26" i="2"/>
  <c r="DD26" i="2"/>
  <c r="DC26" i="2"/>
  <c r="W26" i="2"/>
  <c r="X26" i="2"/>
  <c r="CI26" i="2"/>
  <c r="BM26" i="2"/>
  <c r="AR26" i="2"/>
  <c r="HC26" i="2"/>
  <c r="HF26" i="2"/>
  <c r="GS26" i="2"/>
  <c r="HB26" i="2"/>
  <c r="GR26" i="2"/>
  <c r="GH26" i="2"/>
  <c r="FL26" i="2"/>
  <c r="FC26" i="2"/>
  <c r="GK26" i="2"/>
  <c r="FW26" i="2"/>
  <c r="FM26" i="2"/>
  <c r="FP26" i="2"/>
  <c r="DZ26" i="2"/>
  <c r="DL26" i="2"/>
  <c r="DE26" i="2"/>
  <c r="EQ26" i="2"/>
  <c r="EH26" i="2"/>
  <c r="CJ26" i="2"/>
  <c r="CR26" i="2"/>
  <c r="FX26" i="2"/>
  <c r="FB26" i="2"/>
  <c r="ER26" i="2"/>
  <c r="DV26" i="2"/>
  <c r="DM26" i="2"/>
  <c r="DA26" i="2"/>
  <c r="CQ26" i="2"/>
  <c r="GG26" i="2"/>
  <c r="DW26" i="2"/>
  <c r="EG26" i="2"/>
  <c r="DB26" i="2"/>
  <c r="EU26" i="2"/>
  <c r="CF26" i="2"/>
  <c r="BB26" i="2"/>
  <c r="CG26" i="2"/>
  <c r="BV26" i="2"/>
  <c r="BO26" i="2"/>
  <c r="BA26" i="2"/>
  <c r="BK26" i="2"/>
  <c r="BW26" i="2"/>
  <c r="BL26" i="2"/>
  <c r="AT26" i="2"/>
  <c r="FT24" i="2"/>
  <c r="EY24" i="2"/>
  <c r="CN24" i="2"/>
  <c r="ED24" i="2"/>
  <c r="DI24" i="2"/>
  <c r="GO24" i="2"/>
  <c r="HJ24" i="2"/>
  <c r="AA25" i="2"/>
  <c r="AG26" i="2"/>
  <c r="AP26" i="2"/>
  <c r="AF26" i="2"/>
  <c r="AQ26" i="2"/>
  <c r="V26" i="2"/>
  <c r="A27" i="2"/>
  <c r="U26" i="2"/>
  <c r="Y26" i="2"/>
  <c r="AB25" i="2"/>
  <c r="AX22" i="2"/>
  <c r="Z25" i="2"/>
  <c r="AC24" i="2"/>
  <c r="HH26" i="2" l="1"/>
  <c r="EC26" i="2"/>
  <c r="FS26" i="2"/>
  <c r="EB26" i="2"/>
  <c r="EW26" i="2"/>
  <c r="EX26" i="2"/>
  <c r="EA26" i="2"/>
  <c r="HI26" i="2"/>
  <c r="GN26" i="2"/>
  <c r="HG26" i="2"/>
  <c r="DG26" i="2"/>
  <c r="DH26" i="2"/>
  <c r="DF26" i="2"/>
  <c r="FR26" i="2"/>
  <c r="FQ26" i="2"/>
  <c r="GL26" i="2"/>
  <c r="GM26" i="2"/>
  <c r="EV26" i="2"/>
  <c r="CM26" i="2"/>
  <c r="AU26" i="2"/>
  <c r="AW26" i="2"/>
  <c r="AV26" i="2"/>
  <c r="BP26" i="2"/>
  <c r="BR26" i="2"/>
  <c r="BQ26" i="2"/>
  <c r="CK26" i="2"/>
  <c r="CL26" i="2"/>
  <c r="GQ27" i="2"/>
  <c r="GP27" i="2"/>
  <c r="FU27" i="2"/>
  <c r="FV27" i="2"/>
  <c r="FA27" i="2"/>
  <c r="EZ27" i="2"/>
  <c r="EF27" i="2"/>
  <c r="EE27" i="2"/>
  <c r="DK27" i="2"/>
  <c r="DJ27" i="2"/>
  <c r="CO27" i="2"/>
  <c r="CP27" i="2"/>
  <c r="BU27" i="2"/>
  <c r="AZ27" i="2"/>
  <c r="AE27" i="2"/>
  <c r="BT27" i="2"/>
  <c r="AY27" i="2"/>
  <c r="AD27" i="2"/>
  <c r="K27" i="2"/>
  <c r="J27" i="2"/>
  <c r="I27" i="2"/>
  <c r="H64" i="2"/>
  <c r="L27" i="2"/>
  <c r="D65" i="2"/>
  <c r="G65" i="2" s="1"/>
  <c r="GJ27" i="2"/>
  <c r="HD27" i="2"/>
  <c r="HE27" i="2"/>
  <c r="GI27" i="2"/>
  <c r="FO27" i="2"/>
  <c r="ES27" i="2"/>
  <c r="ET27" i="2"/>
  <c r="FN27" i="2"/>
  <c r="DC27" i="2"/>
  <c r="BN27" i="2"/>
  <c r="CI27" i="2"/>
  <c r="BM27" i="2"/>
  <c r="DY27" i="2"/>
  <c r="DD27" i="2"/>
  <c r="W27" i="2"/>
  <c r="DX27" i="2"/>
  <c r="AS27" i="2"/>
  <c r="X27" i="2"/>
  <c r="CH27" i="2"/>
  <c r="AR27" i="2"/>
  <c r="HB27" i="2"/>
  <c r="HC27" i="2"/>
  <c r="HF27" i="2"/>
  <c r="GK27" i="2"/>
  <c r="GS27" i="2"/>
  <c r="GG27" i="2"/>
  <c r="FX27" i="2"/>
  <c r="FL27" i="2"/>
  <c r="FC27" i="2"/>
  <c r="GR27" i="2"/>
  <c r="FW27" i="2"/>
  <c r="FM27" i="2"/>
  <c r="EU27" i="2"/>
  <c r="EG27" i="2"/>
  <c r="DW27" i="2"/>
  <c r="DB27" i="2"/>
  <c r="GH27" i="2"/>
  <c r="DZ27" i="2"/>
  <c r="DL27" i="2"/>
  <c r="DE27" i="2"/>
  <c r="EQ27" i="2"/>
  <c r="EH27" i="2"/>
  <c r="CJ27" i="2"/>
  <c r="CR27" i="2"/>
  <c r="FP27" i="2"/>
  <c r="FB27" i="2"/>
  <c r="ER27" i="2"/>
  <c r="DM27" i="2"/>
  <c r="DV27" i="2"/>
  <c r="DA27" i="2"/>
  <c r="CQ27" i="2"/>
  <c r="BW27" i="2"/>
  <c r="BL27" i="2"/>
  <c r="CF27" i="2"/>
  <c r="BB27" i="2"/>
  <c r="CG27" i="2"/>
  <c r="BV27" i="2"/>
  <c r="BO27" i="2"/>
  <c r="BA27" i="2"/>
  <c r="BK27" i="2"/>
  <c r="AT27" i="2"/>
  <c r="DI25" i="2"/>
  <c r="EY25" i="2"/>
  <c r="HJ25" i="2"/>
  <c r="ED25" i="2"/>
  <c r="GO25" i="2"/>
  <c r="CN25" i="2"/>
  <c r="FT25" i="2"/>
  <c r="AB26" i="2"/>
  <c r="AA26" i="2"/>
  <c r="AQ27" i="2"/>
  <c r="AP27" i="2"/>
  <c r="AG27" i="2"/>
  <c r="AF27" i="2"/>
  <c r="V27" i="2"/>
  <c r="U27" i="2"/>
  <c r="A28" i="2"/>
  <c r="Y27" i="2"/>
  <c r="AX23" i="2"/>
  <c r="Z26" i="2"/>
  <c r="AC25" i="2"/>
  <c r="HI27" i="2" l="1"/>
  <c r="EX27" i="2"/>
  <c r="FS27" i="2"/>
  <c r="EC27" i="2"/>
  <c r="AV27" i="2"/>
  <c r="AW27" i="2"/>
  <c r="EA27" i="2"/>
  <c r="EW27" i="2"/>
  <c r="EB27" i="2"/>
  <c r="HH27" i="2"/>
  <c r="GN27" i="2"/>
  <c r="HG27" i="2"/>
  <c r="DG27" i="2"/>
  <c r="DF27" i="2"/>
  <c r="DH27" i="2"/>
  <c r="FQ27" i="2"/>
  <c r="FR27" i="2"/>
  <c r="GM27" i="2"/>
  <c r="GL27" i="2"/>
  <c r="EV27" i="2"/>
  <c r="CM27" i="2"/>
  <c r="AU27" i="2"/>
  <c r="BR27" i="2"/>
  <c r="BP27" i="2"/>
  <c r="BQ27" i="2"/>
  <c r="CL27" i="2"/>
  <c r="CK27" i="2"/>
  <c r="GQ28" i="2"/>
  <c r="GP28" i="2"/>
  <c r="FV28" i="2"/>
  <c r="FU28" i="2"/>
  <c r="FA28" i="2"/>
  <c r="EZ28" i="2"/>
  <c r="EF28" i="2"/>
  <c r="EE28" i="2"/>
  <c r="DK28" i="2"/>
  <c r="DJ28" i="2"/>
  <c r="CP28" i="2"/>
  <c r="CO28" i="2"/>
  <c r="AZ28" i="2"/>
  <c r="AY28" i="2"/>
  <c r="BU28" i="2"/>
  <c r="BT28" i="2"/>
  <c r="AE28" i="2"/>
  <c r="AD28" i="2"/>
  <c r="K28" i="2"/>
  <c r="I28" i="2"/>
  <c r="J28" i="2"/>
  <c r="H65" i="2"/>
  <c r="L28" i="2"/>
  <c r="D66" i="2"/>
  <c r="G66" i="2" s="1"/>
  <c r="HD28" i="2"/>
  <c r="HE28" i="2"/>
  <c r="FO28" i="2"/>
  <c r="GI28" i="2"/>
  <c r="DY28" i="2"/>
  <c r="ES28" i="2"/>
  <c r="DX28" i="2"/>
  <c r="GJ28" i="2"/>
  <c r="DD28" i="2"/>
  <c r="CI28" i="2"/>
  <c r="BM28" i="2"/>
  <c r="FN28" i="2"/>
  <c r="DC28" i="2"/>
  <c r="CH28" i="2"/>
  <c r="BN28" i="2"/>
  <c r="AS28" i="2"/>
  <c r="AR28" i="2"/>
  <c r="ET28" i="2"/>
  <c r="W28" i="2"/>
  <c r="X28" i="2"/>
  <c r="HB28" i="2"/>
  <c r="HC28" i="2"/>
  <c r="GR28" i="2"/>
  <c r="GH28" i="2"/>
  <c r="HF28" i="2"/>
  <c r="GK28" i="2"/>
  <c r="GS28" i="2"/>
  <c r="FP28" i="2"/>
  <c r="GG28" i="2"/>
  <c r="FX28" i="2"/>
  <c r="FL28" i="2"/>
  <c r="FC28" i="2"/>
  <c r="FW28" i="2"/>
  <c r="FB28" i="2"/>
  <c r="ER28" i="2"/>
  <c r="DV28" i="2"/>
  <c r="DM28" i="2"/>
  <c r="DA28" i="2"/>
  <c r="EU28" i="2"/>
  <c r="EG28" i="2"/>
  <c r="DW28" i="2"/>
  <c r="DB28" i="2"/>
  <c r="FM28" i="2"/>
  <c r="DZ28" i="2"/>
  <c r="DL28" i="2"/>
  <c r="DE28" i="2"/>
  <c r="CQ28" i="2"/>
  <c r="EQ28" i="2"/>
  <c r="EH28" i="2"/>
  <c r="BK28" i="2"/>
  <c r="CJ28" i="2"/>
  <c r="BW28" i="2"/>
  <c r="BL28" i="2"/>
  <c r="CF28" i="2"/>
  <c r="BB28" i="2"/>
  <c r="CG28" i="2"/>
  <c r="BV28" i="2"/>
  <c r="BO28" i="2"/>
  <c r="CR28" i="2"/>
  <c r="AT28" i="2"/>
  <c r="BA28" i="2"/>
  <c r="DI26" i="2"/>
  <c r="CN26" i="2"/>
  <c r="FT26" i="2"/>
  <c r="GO26" i="2"/>
  <c r="ED26" i="2"/>
  <c r="EY26" i="2"/>
  <c r="HJ26" i="2"/>
  <c r="AB27" i="2"/>
  <c r="AP28" i="2"/>
  <c r="AQ28" i="2"/>
  <c r="AG28" i="2"/>
  <c r="AF28" i="2"/>
  <c r="Y28" i="2"/>
  <c r="U28" i="2"/>
  <c r="V28" i="2"/>
  <c r="A29" i="2"/>
  <c r="AA27" i="2"/>
  <c r="AX24" i="2"/>
  <c r="Z27" i="2"/>
  <c r="AC26" i="2"/>
  <c r="HI28" i="2" l="1"/>
  <c r="FS28" i="2"/>
  <c r="EC28" i="2"/>
  <c r="EB28" i="2"/>
  <c r="HG28" i="2"/>
  <c r="EV28" i="2"/>
  <c r="EX28" i="2"/>
  <c r="FR28" i="2"/>
  <c r="EW28" i="2"/>
  <c r="EA28" i="2"/>
  <c r="FQ28" i="2"/>
  <c r="HH28" i="2"/>
  <c r="GN28" i="2"/>
  <c r="DH28" i="2"/>
  <c r="DG28" i="2"/>
  <c r="DF28" i="2"/>
  <c r="GM28" i="2"/>
  <c r="GL28" i="2"/>
  <c r="CM28" i="2"/>
  <c r="CL28" i="2"/>
  <c r="CK28" i="2"/>
  <c r="BR28" i="2"/>
  <c r="AU28" i="2"/>
  <c r="AW28" i="2"/>
  <c r="AV28" i="2"/>
  <c r="BQ28" i="2"/>
  <c r="BP28" i="2"/>
  <c r="GQ29" i="2"/>
  <c r="GP29" i="2"/>
  <c r="FV29" i="2"/>
  <c r="FU29" i="2"/>
  <c r="FA29" i="2"/>
  <c r="EZ29" i="2"/>
  <c r="EF29" i="2"/>
  <c r="EE29" i="2"/>
  <c r="DK29" i="2"/>
  <c r="DJ29" i="2"/>
  <c r="BU29" i="2"/>
  <c r="BT29" i="2"/>
  <c r="CO29" i="2"/>
  <c r="CP29" i="2"/>
  <c r="AZ29" i="2"/>
  <c r="AE29" i="2"/>
  <c r="AD29" i="2"/>
  <c r="AY29" i="2"/>
  <c r="J29" i="2"/>
  <c r="I29" i="2"/>
  <c r="K29" i="2"/>
  <c r="H66" i="2"/>
  <c r="L29" i="2"/>
  <c r="D67" i="2"/>
  <c r="G67" i="2" s="1"/>
  <c r="GO27" i="2"/>
  <c r="HE29" i="2"/>
  <c r="GJ29" i="2"/>
  <c r="HD29" i="2"/>
  <c r="GI29" i="2"/>
  <c r="FO29" i="2"/>
  <c r="FN29" i="2"/>
  <c r="DY29" i="2"/>
  <c r="ET29" i="2"/>
  <c r="ES29" i="2"/>
  <c r="DD29" i="2"/>
  <c r="CH29" i="2"/>
  <c r="AS29" i="2"/>
  <c r="CI29" i="2"/>
  <c r="BM29" i="2"/>
  <c r="DX29" i="2"/>
  <c r="X29" i="2"/>
  <c r="DC29" i="2"/>
  <c r="BN29" i="2"/>
  <c r="AR29" i="2"/>
  <c r="W29" i="2"/>
  <c r="HF29" i="2"/>
  <c r="HB29" i="2"/>
  <c r="HC29" i="2"/>
  <c r="GR29" i="2"/>
  <c r="GH29" i="2"/>
  <c r="GK29" i="2"/>
  <c r="GS29" i="2"/>
  <c r="FW29" i="2"/>
  <c r="FM29" i="2"/>
  <c r="FP29" i="2"/>
  <c r="GG29" i="2"/>
  <c r="FX29" i="2"/>
  <c r="EQ29" i="2"/>
  <c r="EH29" i="2"/>
  <c r="CJ29" i="2"/>
  <c r="FL29" i="2"/>
  <c r="FC29" i="2"/>
  <c r="FB29" i="2"/>
  <c r="ER29" i="2"/>
  <c r="DV29" i="2"/>
  <c r="DM29" i="2"/>
  <c r="DA29" i="2"/>
  <c r="EU29" i="2"/>
  <c r="EG29" i="2"/>
  <c r="DW29" i="2"/>
  <c r="DB29" i="2"/>
  <c r="DZ29" i="2"/>
  <c r="CR29" i="2"/>
  <c r="CQ29" i="2"/>
  <c r="DE29" i="2"/>
  <c r="CG29" i="2"/>
  <c r="BV29" i="2"/>
  <c r="BO29" i="2"/>
  <c r="BK29" i="2"/>
  <c r="DL29" i="2"/>
  <c r="BW29" i="2"/>
  <c r="BL29" i="2"/>
  <c r="CF29" i="2"/>
  <c r="BB29" i="2"/>
  <c r="BA29" i="2"/>
  <c r="AT29" i="2"/>
  <c r="EY27" i="2"/>
  <c r="CN27" i="2"/>
  <c r="HJ27" i="2"/>
  <c r="ED27" i="2"/>
  <c r="DI27" i="2"/>
  <c r="FT27" i="2"/>
  <c r="AA28" i="2"/>
  <c r="AB28" i="2"/>
  <c r="AQ29" i="2"/>
  <c r="AG29" i="2"/>
  <c r="AP29" i="2"/>
  <c r="AF29" i="2"/>
  <c r="Y29" i="2"/>
  <c r="V29" i="2"/>
  <c r="A30" i="2"/>
  <c r="U29" i="2"/>
  <c r="AX25" i="2"/>
  <c r="Z28" i="2"/>
  <c r="AC27" i="2"/>
  <c r="HI29" i="2" l="1"/>
  <c r="FS29" i="2"/>
  <c r="EX29" i="2"/>
  <c r="EC29" i="2"/>
  <c r="GN29" i="2"/>
  <c r="HG29" i="2"/>
  <c r="HH29" i="2"/>
  <c r="DF29" i="2"/>
  <c r="DH29" i="2"/>
  <c r="DG29" i="2"/>
  <c r="FQ29" i="2"/>
  <c r="FR29" i="2"/>
  <c r="GM29" i="2"/>
  <c r="GL29" i="2"/>
  <c r="EV29" i="2"/>
  <c r="EW29" i="2"/>
  <c r="EB29" i="2"/>
  <c r="EA29" i="2"/>
  <c r="CM29" i="2"/>
  <c r="CL29" i="2"/>
  <c r="CK29" i="2"/>
  <c r="BR29" i="2"/>
  <c r="AU29" i="2"/>
  <c r="AV29" i="2"/>
  <c r="AW29" i="2"/>
  <c r="BP29" i="2"/>
  <c r="BQ29" i="2"/>
  <c r="GQ30" i="2"/>
  <c r="GP30" i="2"/>
  <c r="FU30" i="2"/>
  <c r="FA30" i="2"/>
  <c r="EZ30" i="2"/>
  <c r="FV30" i="2"/>
  <c r="EE30" i="2"/>
  <c r="EF30" i="2"/>
  <c r="CP30" i="2"/>
  <c r="CO30" i="2"/>
  <c r="DJ30" i="2"/>
  <c r="DK30" i="2"/>
  <c r="BU30" i="2"/>
  <c r="BT30" i="2"/>
  <c r="AZ30" i="2"/>
  <c r="AY30" i="2"/>
  <c r="AE30" i="2"/>
  <c r="AD30" i="2"/>
  <c r="J30" i="2"/>
  <c r="K30" i="2"/>
  <c r="I30" i="2"/>
  <c r="H67" i="2"/>
  <c r="L30" i="2"/>
  <c r="D68" i="2"/>
  <c r="G68" i="2" s="1"/>
  <c r="HD30" i="2"/>
  <c r="HE30" i="2"/>
  <c r="GI30" i="2"/>
  <c r="GJ30" i="2"/>
  <c r="ET30" i="2"/>
  <c r="FO30" i="2"/>
  <c r="FN30" i="2"/>
  <c r="DY30" i="2"/>
  <c r="ES30" i="2"/>
  <c r="DX30" i="2"/>
  <c r="BN30" i="2"/>
  <c r="DD30" i="2"/>
  <c r="CH30" i="2"/>
  <c r="AS30" i="2"/>
  <c r="W30" i="2"/>
  <c r="DC30" i="2"/>
  <c r="CI30" i="2"/>
  <c r="BM30" i="2"/>
  <c r="X30" i="2"/>
  <c r="AR30" i="2"/>
  <c r="HC30" i="2"/>
  <c r="HF30" i="2"/>
  <c r="GS30" i="2"/>
  <c r="GR30" i="2"/>
  <c r="GH30" i="2"/>
  <c r="FL30" i="2"/>
  <c r="FC30" i="2"/>
  <c r="FW30" i="2"/>
  <c r="FM30" i="2"/>
  <c r="HB30" i="2"/>
  <c r="GK30" i="2"/>
  <c r="FP30" i="2"/>
  <c r="GG30" i="2"/>
  <c r="DZ30" i="2"/>
  <c r="DL30" i="2"/>
  <c r="DE30" i="2"/>
  <c r="EQ30" i="2"/>
  <c r="EH30" i="2"/>
  <c r="CJ30" i="2"/>
  <c r="FB30" i="2"/>
  <c r="ER30" i="2"/>
  <c r="DV30" i="2"/>
  <c r="DM30" i="2"/>
  <c r="DA30" i="2"/>
  <c r="FX30" i="2"/>
  <c r="DW30" i="2"/>
  <c r="EG30" i="2"/>
  <c r="DB30" i="2"/>
  <c r="EU30" i="2"/>
  <c r="CR30" i="2"/>
  <c r="CQ30" i="2"/>
  <c r="CF30" i="2"/>
  <c r="BB30" i="2"/>
  <c r="CG30" i="2"/>
  <c r="BV30" i="2"/>
  <c r="BO30" i="2"/>
  <c r="BK30" i="2"/>
  <c r="BW30" i="2"/>
  <c r="BL30" i="2"/>
  <c r="BA30" i="2"/>
  <c r="AT30" i="2"/>
  <c r="HJ28" i="2"/>
  <c r="ED28" i="2"/>
  <c r="CN28" i="2"/>
  <c r="FT28" i="2"/>
  <c r="DI28" i="2"/>
  <c r="GO28" i="2"/>
  <c r="EY28" i="2"/>
  <c r="AB29" i="2"/>
  <c r="AP30" i="2"/>
  <c r="AF30" i="2"/>
  <c r="AG30" i="2"/>
  <c r="AQ30" i="2"/>
  <c r="Y30" i="2"/>
  <c r="U30" i="2"/>
  <c r="V30" i="2"/>
  <c r="A31" i="2"/>
  <c r="AA29" i="2"/>
  <c r="AX26" i="2"/>
  <c r="Z29" i="2"/>
  <c r="AC28" i="2"/>
  <c r="EC30" i="2" l="1"/>
  <c r="EV30" i="2"/>
  <c r="EB30" i="2"/>
  <c r="HI30" i="2"/>
  <c r="EX30" i="2"/>
  <c r="FS30" i="2"/>
  <c r="EW30" i="2"/>
  <c r="EA30" i="2"/>
  <c r="GN30" i="2"/>
  <c r="HG30" i="2"/>
  <c r="HH30" i="2"/>
  <c r="DH30" i="2"/>
  <c r="DG30" i="2"/>
  <c r="DF30" i="2"/>
  <c r="FR30" i="2"/>
  <c r="FQ30" i="2"/>
  <c r="CM30" i="2"/>
  <c r="GL30" i="2"/>
  <c r="GM30" i="2"/>
  <c r="CK30" i="2"/>
  <c r="AU30" i="2"/>
  <c r="AW30" i="2"/>
  <c r="AV30" i="2"/>
  <c r="BR30" i="2"/>
  <c r="BQ30" i="2"/>
  <c r="BP30" i="2"/>
  <c r="CL30" i="2"/>
  <c r="GQ31" i="2"/>
  <c r="GP31" i="2"/>
  <c r="FU31" i="2"/>
  <c r="FV31" i="2"/>
  <c r="FA31" i="2"/>
  <c r="EZ31" i="2"/>
  <c r="EF31" i="2"/>
  <c r="EE31" i="2"/>
  <c r="DK31" i="2"/>
  <c r="DJ31" i="2"/>
  <c r="BU31" i="2"/>
  <c r="CO31" i="2"/>
  <c r="CP31" i="2"/>
  <c r="AY31" i="2"/>
  <c r="AZ31" i="2"/>
  <c r="BT31" i="2"/>
  <c r="AE31" i="2"/>
  <c r="K31" i="2"/>
  <c r="AD31" i="2"/>
  <c r="J31" i="2"/>
  <c r="I31" i="2"/>
  <c r="H68" i="2"/>
  <c r="L31" i="2"/>
  <c r="D69" i="2"/>
  <c r="G69" i="2" s="1"/>
  <c r="DI29" i="2"/>
  <c r="GJ31" i="2"/>
  <c r="HD31" i="2"/>
  <c r="HE31" i="2"/>
  <c r="GI31" i="2"/>
  <c r="ES31" i="2"/>
  <c r="ET31" i="2"/>
  <c r="FN31" i="2"/>
  <c r="DY31" i="2"/>
  <c r="DC31" i="2"/>
  <c r="DX31" i="2"/>
  <c r="BN31" i="2"/>
  <c r="CI31" i="2"/>
  <c r="CH31" i="2"/>
  <c r="AS31" i="2"/>
  <c r="W31" i="2"/>
  <c r="FO31" i="2"/>
  <c r="DD31" i="2"/>
  <c r="BM31" i="2"/>
  <c r="AR31" i="2"/>
  <c r="X31" i="2"/>
  <c r="HC31" i="2"/>
  <c r="HF31" i="2"/>
  <c r="HB31" i="2"/>
  <c r="GK31" i="2"/>
  <c r="GS31" i="2"/>
  <c r="GG31" i="2"/>
  <c r="FX31" i="2"/>
  <c r="GH31" i="2"/>
  <c r="FL31" i="2"/>
  <c r="FC31" i="2"/>
  <c r="FW31" i="2"/>
  <c r="FM31" i="2"/>
  <c r="FP31" i="2"/>
  <c r="EU31" i="2"/>
  <c r="EG31" i="2"/>
  <c r="DW31" i="2"/>
  <c r="DB31" i="2"/>
  <c r="GR31" i="2"/>
  <c r="DZ31" i="2"/>
  <c r="DL31" i="2"/>
  <c r="DE31" i="2"/>
  <c r="CR31" i="2"/>
  <c r="EQ31" i="2"/>
  <c r="EH31" i="2"/>
  <c r="CJ31" i="2"/>
  <c r="FB31" i="2"/>
  <c r="ER31" i="2"/>
  <c r="DM31" i="2"/>
  <c r="DV31" i="2"/>
  <c r="DA31" i="2"/>
  <c r="BW31" i="2"/>
  <c r="BL31" i="2"/>
  <c r="CQ31" i="2"/>
  <c r="CF31" i="2"/>
  <c r="BB31" i="2"/>
  <c r="CG31" i="2"/>
  <c r="BV31" i="2"/>
  <c r="BO31" i="2"/>
  <c r="BK31" i="2"/>
  <c r="BA31" i="2"/>
  <c r="AT31" i="2"/>
  <c r="GO29" i="2"/>
  <c r="FT29" i="2"/>
  <c r="HJ29" i="2"/>
  <c r="EY29" i="2"/>
  <c r="CN29" i="2"/>
  <c r="ED29" i="2"/>
  <c r="AA30" i="2"/>
  <c r="AB30" i="2"/>
  <c r="AQ31" i="2"/>
  <c r="AF31" i="2"/>
  <c r="AG31" i="2"/>
  <c r="AP31" i="2"/>
  <c r="A32" i="2"/>
  <c r="Y31" i="2"/>
  <c r="U31" i="2"/>
  <c r="V31" i="2"/>
  <c r="AX27" i="2"/>
  <c r="Z30" i="2"/>
  <c r="AC29" i="2"/>
  <c r="DG31" i="2" l="1"/>
  <c r="HG31" i="2"/>
  <c r="EC31" i="2"/>
  <c r="FR31" i="2"/>
  <c r="EX31" i="2"/>
  <c r="FQ31" i="2"/>
  <c r="EW31" i="2"/>
  <c r="FS31" i="2"/>
  <c r="EV31" i="2"/>
  <c r="HI31" i="2"/>
  <c r="GN31" i="2"/>
  <c r="HH31" i="2"/>
  <c r="DF31" i="2"/>
  <c r="DH31" i="2"/>
  <c r="CM31" i="2"/>
  <c r="GL31" i="2"/>
  <c r="GM31" i="2"/>
  <c r="EA31" i="2"/>
  <c r="EB31" i="2"/>
  <c r="CK31" i="2"/>
  <c r="BR31" i="2"/>
  <c r="AU31" i="2"/>
  <c r="AV31" i="2"/>
  <c r="AW31" i="2"/>
  <c r="BQ31" i="2"/>
  <c r="BP31" i="2"/>
  <c r="CL31" i="2"/>
  <c r="GQ32" i="2"/>
  <c r="GP32" i="2"/>
  <c r="FU32" i="2"/>
  <c r="FV32" i="2"/>
  <c r="FA32" i="2"/>
  <c r="EZ32" i="2"/>
  <c r="EE32" i="2"/>
  <c r="DK32" i="2"/>
  <c r="EF32" i="2"/>
  <c r="CP32" i="2"/>
  <c r="CO32" i="2"/>
  <c r="DJ32" i="2"/>
  <c r="AZ32" i="2"/>
  <c r="AY32" i="2"/>
  <c r="BU32" i="2"/>
  <c r="BT32" i="2"/>
  <c r="AE32" i="2"/>
  <c r="AD32" i="2"/>
  <c r="J32" i="2"/>
  <c r="K32" i="2"/>
  <c r="I32" i="2"/>
  <c r="H69" i="2"/>
  <c r="L32" i="2"/>
  <c r="D70" i="2"/>
  <c r="G70" i="2" s="1"/>
  <c r="CN30" i="2"/>
  <c r="HJ30" i="2"/>
  <c r="GO30" i="2"/>
  <c r="HD32" i="2"/>
  <c r="GJ32" i="2"/>
  <c r="HE32" i="2"/>
  <c r="FO32" i="2"/>
  <c r="GI32" i="2"/>
  <c r="DY32" i="2"/>
  <c r="ES32" i="2"/>
  <c r="DX32" i="2"/>
  <c r="FN32" i="2"/>
  <c r="ET32" i="2"/>
  <c r="CI32" i="2"/>
  <c r="BM32" i="2"/>
  <c r="DC32" i="2"/>
  <c r="AR32" i="2"/>
  <c r="CH32" i="2"/>
  <c r="BN32" i="2"/>
  <c r="AS32" i="2"/>
  <c r="X32" i="2"/>
  <c r="W32" i="2"/>
  <c r="DD32" i="2"/>
  <c r="HB32" i="2"/>
  <c r="HC32" i="2"/>
  <c r="GR32" i="2"/>
  <c r="GK32" i="2"/>
  <c r="HF32" i="2"/>
  <c r="GS32" i="2"/>
  <c r="FP32" i="2"/>
  <c r="GG32" i="2"/>
  <c r="FX32" i="2"/>
  <c r="GH32" i="2"/>
  <c r="FL32" i="2"/>
  <c r="FC32" i="2"/>
  <c r="FB32" i="2"/>
  <c r="ER32" i="2"/>
  <c r="DV32" i="2"/>
  <c r="DM32" i="2"/>
  <c r="DA32" i="2"/>
  <c r="FW32" i="2"/>
  <c r="EU32" i="2"/>
  <c r="EG32" i="2"/>
  <c r="DW32" i="2"/>
  <c r="DB32" i="2"/>
  <c r="DZ32" i="2"/>
  <c r="DL32" i="2"/>
  <c r="DE32" i="2"/>
  <c r="CR32" i="2"/>
  <c r="FM32" i="2"/>
  <c r="EQ32" i="2"/>
  <c r="EH32" i="2"/>
  <c r="CJ32" i="2"/>
  <c r="CQ32" i="2"/>
  <c r="BK32" i="2"/>
  <c r="BW32" i="2"/>
  <c r="BL32" i="2"/>
  <c r="CF32" i="2"/>
  <c r="BB32" i="2"/>
  <c r="CG32" i="2"/>
  <c r="BV32" i="2"/>
  <c r="BO32" i="2"/>
  <c r="BA32" i="2"/>
  <c r="AT32" i="2"/>
  <c r="ED30" i="2"/>
  <c r="EY30" i="2"/>
  <c r="FT30" i="2"/>
  <c r="DI30" i="2"/>
  <c r="AB31" i="2"/>
  <c r="AQ32" i="2"/>
  <c r="AG32" i="2"/>
  <c r="AF32" i="2"/>
  <c r="AP32" i="2"/>
  <c r="Y32" i="2"/>
  <c r="U32" i="2"/>
  <c r="V32" i="2"/>
  <c r="A33" i="2"/>
  <c r="AA31" i="2"/>
  <c r="AX28" i="2"/>
  <c r="Z31" i="2"/>
  <c r="AC30" i="2"/>
  <c r="HH32" i="2" l="1"/>
  <c r="EX32" i="2"/>
  <c r="EC32" i="2"/>
  <c r="FS32" i="2"/>
  <c r="HI32" i="2"/>
  <c r="DG32" i="2"/>
  <c r="EW32" i="2"/>
  <c r="HG32" i="2"/>
  <c r="GN32" i="2"/>
  <c r="DF32" i="2"/>
  <c r="DH32" i="2"/>
  <c r="FR32" i="2"/>
  <c r="FQ32" i="2"/>
  <c r="CM32" i="2"/>
  <c r="GL32" i="2"/>
  <c r="GM32" i="2"/>
  <c r="EV32" i="2"/>
  <c r="EA32" i="2"/>
  <c r="EB32" i="2"/>
  <c r="AU32" i="2"/>
  <c r="AW32" i="2"/>
  <c r="AV32" i="2"/>
  <c r="BR32" i="2"/>
  <c r="BQ32" i="2"/>
  <c r="BP32" i="2"/>
  <c r="CL32" i="2"/>
  <c r="CK32" i="2"/>
  <c r="GQ33" i="2"/>
  <c r="GP33" i="2"/>
  <c r="FU33" i="2"/>
  <c r="FV33" i="2"/>
  <c r="EZ33" i="2"/>
  <c r="FA33" i="2"/>
  <c r="EE33" i="2"/>
  <c r="EF33" i="2"/>
  <c r="DK33" i="2"/>
  <c r="DJ33" i="2"/>
  <c r="CP33" i="2"/>
  <c r="CO33" i="2"/>
  <c r="BU33" i="2"/>
  <c r="BT33" i="2"/>
  <c r="AE33" i="2"/>
  <c r="AD33" i="2"/>
  <c r="AY33" i="2"/>
  <c r="AZ33" i="2"/>
  <c r="J33" i="2"/>
  <c r="K33" i="2"/>
  <c r="I33" i="2"/>
  <c r="H70" i="2"/>
  <c r="L33" i="2"/>
  <c r="D71" i="2"/>
  <c r="G71" i="2" s="1"/>
  <c r="FT31" i="2"/>
  <c r="HE33" i="2"/>
  <c r="GJ33" i="2"/>
  <c r="HD33" i="2"/>
  <c r="FO33" i="2"/>
  <c r="FN33" i="2"/>
  <c r="GI33" i="2"/>
  <c r="DY33" i="2"/>
  <c r="DD33" i="2"/>
  <c r="ET33" i="2"/>
  <c r="CH33" i="2"/>
  <c r="AS33" i="2"/>
  <c r="CI33" i="2"/>
  <c r="BM33" i="2"/>
  <c r="X33" i="2"/>
  <c r="ES33" i="2"/>
  <c r="DX33" i="2"/>
  <c r="AR33" i="2"/>
  <c r="DC33" i="2"/>
  <c r="W33" i="2"/>
  <c r="BN33" i="2"/>
  <c r="HF33" i="2"/>
  <c r="HB33" i="2"/>
  <c r="HC33" i="2"/>
  <c r="J15" i="4" s="1"/>
  <c r="K15" i="4" s="1"/>
  <c r="GR33" i="2"/>
  <c r="GK33" i="2"/>
  <c r="FW33" i="2"/>
  <c r="FM33" i="2"/>
  <c r="J13" i="4" s="1"/>
  <c r="K13" i="4" s="1"/>
  <c r="GS33" i="2"/>
  <c r="FP33" i="2"/>
  <c r="GG33" i="2"/>
  <c r="FX33" i="2"/>
  <c r="EQ33" i="2"/>
  <c r="EH33" i="2"/>
  <c r="CJ33" i="2"/>
  <c r="FB33" i="2"/>
  <c r="ER33" i="2"/>
  <c r="J12" i="4" s="1"/>
  <c r="K12" i="4" s="1"/>
  <c r="DV33" i="2"/>
  <c r="DM33" i="2"/>
  <c r="DA33" i="2"/>
  <c r="GH33" i="2"/>
  <c r="J14" i="4" s="1"/>
  <c r="K14" i="4" s="1"/>
  <c r="FL33" i="2"/>
  <c r="FC33" i="2"/>
  <c r="EU33" i="2"/>
  <c r="EG33" i="2"/>
  <c r="DW33" i="2"/>
  <c r="J11" i="4" s="1"/>
  <c r="K11" i="4" s="1"/>
  <c r="DB33" i="2"/>
  <c r="J10" i="4" s="1"/>
  <c r="K10" i="4" s="1"/>
  <c r="DL33" i="2"/>
  <c r="CQ33" i="2"/>
  <c r="DZ33" i="2"/>
  <c r="CG33" i="2"/>
  <c r="J9" i="4" s="1"/>
  <c r="K9" i="4" s="1"/>
  <c r="BV33" i="2"/>
  <c r="BO33" i="2"/>
  <c r="BK33" i="2"/>
  <c r="BW33" i="2"/>
  <c r="BL33" i="2"/>
  <c r="DE33" i="2"/>
  <c r="CR33" i="2"/>
  <c r="CF33" i="2"/>
  <c r="BB33" i="2"/>
  <c r="BA33" i="2"/>
  <c r="AT33" i="2"/>
  <c r="DI31" i="2"/>
  <c r="GO31" i="2"/>
  <c r="HJ31" i="2"/>
  <c r="EY31" i="2"/>
  <c r="ED31" i="2"/>
  <c r="CN31" i="2"/>
  <c r="AB32" i="2"/>
  <c r="AA32" i="2"/>
  <c r="AP33" i="2"/>
  <c r="AF33" i="2"/>
  <c r="AQ33" i="2"/>
  <c r="J7" i="4" s="1"/>
  <c r="AG33" i="2"/>
  <c r="Y33" i="2"/>
  <c r="U33" i="2"/>
  <c r="A34" i="2"/>
  <c r="V33" i="2"/>
  <c r="J6" i="4" s="1"/>
  <c r="AX29" i="2"/>
  <c r="Z32" i="2"/>
  <c r="AC31" i="2"/>
  <c r="EV33" i="2" l="1"/>
  <c r="EW33" i="2"/>
  <c r="EB33" i="2"/>
  <c r="HG33" i="2"/>
  <c r="HH33" i="2"/>
  <c r="EA33" i="2"/>
  <c r="GM33" i="2"/>
  <c r="GL33" i="2"/>
  <c r="HI33" i="2"/>
  <c r="DF33" i="2"/>
  <c r="DG33" i="2"/>
  <c r="DH33" i="2"/>
  <c r="FQ33" i="2"/>
  <c r="FR33" i="2"/>
  <c r="FS33" i="2"/>
  <c r="GN33" i="2"/>
  <c r="EX33" i="2"/>
  <c r="EC33" i="2"/>
  <c r="AV33" i="2"/>
  <c r="AW33" i="2"/>
  <c r="AU33" i="2"/>
  <c r="BR33" i="2"/>
  <c r="BP33" i="2"/>
  <c r="BQ33" i="2"/>
  <c r="CL33" i="2"/>
  <c r="CK33" i="2"/>
  <c r="CM33" i="2"/>
  <c r="GQ34" i="2"/>
  <c r="GP34" i="2"/>
  <c r="FU34" i="2"/>
  <c r="FV34" i="2"/>
  <c r="EZ34" i="2"/>
  <c r="FA34" i="2"/>
  <c r="EE34" i="2"/>
  <c r="EF34" i="2"/>
  <c r="CP34" i="2"/>
  <c r="CO34" i="2"/>
  <c r="DK34" i="2"/>
  <c r="DJ34" i="2"/>
  <c r="AZ34" i="2"/>
  <c r="AY34" i="2"/>
  <c r="BU34" i="2"/>
  <c r="BT34" i="2"/>
  <c r="AE34" i="2"/>
  <c r="AD34" i="2"/>
  <c r="J34" i="2"/>
  <c r="I34" i="2"/>
  <c r="K34" i="2"/>
  <c r="H71" i="2"/>
  <c r="L34" i="2"/>
  <c r="D72" i="2"/>
  <c r="G72" i="2" s="1"/>
  <c r="ED32" i="2"/>
  <c r="GO32" i="2"/>
  <c r="HJ32" i="2"/>
  <c r="CN32" i="2"/>
  <c r="EY32" i="2"/>
  <c r="DI32" i="2"/>
  <c r="FT32" i="2"/>
  <c r="HD34" i="2"/>
  <c r="HE34" i="2"/>
  <c r="GI34" i="2"/>
  <c r="GJ34" i="2"/>
  <c r="ET34" i="2"/>
  <c r="FN34" i="2"/>
  <c r="DD34" i="2"/>
  <c r="BN34" i="2"/>
  <c r="DY34" i="2"/>
  <c r="CH34" i="2"/>
  <c r="AS34" i="2"/>
  <c r="DC34" i="2"/>
  <c r="W34" i="2"/>
  <c r="X34" i="2"/>
  <c r="ES34" i="2"/>
  <c r="DX34" i="2"/>
  <c r="FO34" i="2"/>
  <c r="CI34" i="2"/>
  <c r="AR34" i="2"/>
  <c r="BM34" i="2"/>
  <c r="HC34" i="2"/>
  <c r="HF34" i="2"/>
  <c r="GS34" i="2"/>
  <c r="HB34" i="2"/>
  <c r="GR34" i="2"/>
  <c r="GH34" i="2"/>
  <c r="FL34" i="2"/>
  <c r="FC34" i="2"/>
  <c r="FW34" i="2"/>
  <c r="FM34" i="2"/>
  <c r="FP34" i="2"/>
  <c r="FX34" i="2"/>
  <c r="DZ34" i="2"/>
  <c r="DL34" i="2"/>
  <c r="DE34" i="2"/>
  <c r="GG34" i="2"/>
  <c r="EQ34" i="2"/>
  <c r="EH34" i="2"/>
  <c r="CJ34" i="2"/>
  <c r="FB34" i="2"/>
  <c r="ER34" i="2"/>
  <c r="DV34" i="2"/>
  <c r="DM34" i="2"/>
  <c r="DA34" i="2"/>
  <c r="GK34" i="2"/>
  <c r="EU34" i="2"/>
  <c r="CR34" i="2"/>
  <c r="DW34" i="2"/>
  <c r="EG34" i="2"/>
  <c r="DB34" i="2"/>
  <c r="CQ34" i="2"/>
  <c r="CF34" i="2"/>
  <c r="BB34" i="2"/>
  <c r="CG34" i="2"/>
  <c r="BV34" i="2"/>
  <c r="BO34" i="2"/>
  <c r="BK34" i="2"/>
  <c r="BW34" i="2"/>
  <c r="BL34" i="2"/>
  <c r="BA34" i="2"/>
  <c r="AT34" i="2"/>
  <c r="AA33" i="2"/>
  <c r="K7" i="4"/>
  <c r="K6" i="4"/>
  <c r="AP34" i="2"/>
  <c r="AF34" i="2"/>
  <c r="AQ34" i="2"/>
  <c r="AG34" i="2"/>
  <c r="A35" i="2"/>
  <c r="Y34" i="2"/>
  <c r="U34" i="2"/>
  <c r="V34" i="2"/>
  <c r="AB33" i="2"/>
  <c r="AX30" i="2"/>
  <c r="Z33" i="2"/>
  <c r="AC32" i="2"/>
  <c r="EW34" i="2" l="1"/>
  <c r="CM34" i="2"/>
  <c r="GN34" i="2"/>
  <c r="EA34" i="2"/>
  <c r="EV34" i="2"/>
  <c r="FS34" i="2"/>
  <c r="GL34" i="2"/>
  <c r="GM34" i="2"/>
  <c r="HH34" i="2"/>
  <c r="HG34" i="2"/>
  <c r="HI34" i="2"/>
  <c r="DG34" i="2"/>
  <c r="DF34" i="2"/>
  <c r="DH34" i="2"/>
  <c r="FR34" i="2"/>
  <c r="FQ34" i="2"/>
  <c r="EX34" i="2"/>
  <c r="EB34" i="2"/>
  <c r="EC34" i="2"/>
  <c r="AU34" i="2"/>
  <c r="AW34" i="2"/>
  <c r="AV34" i="2"/>
  <c r="BR34" i="2"/>
  <c r="BP34" i="2"/>
  <c r="BQ34" i="2"/>
  <c r="CL34" i="2"/>
  <c r="CK34" i="2"/>
  <c r="GQ35" i="2"/>
  <c r="GP35" i="2"/>
  <c r="FU35" i="2"/>
  <c r="FV35" i="2"/>
  <c r="FA35" i="2"/>
  <c r="EZ35" i="2"/>
  <c r="EF35" i="2"/>
  <c r="EE35" i="2"/>
  <c r="DK35" i="2"/>
  <c r="DJ35" i="2"/>
  <c r="CP35" i="2"/>
  <c r="CO35" i="2"/>
  <c r="BU35" i="2"/>
  <c r="AY35" i="2"/>
  <c r="AE35" i="2"/>
  <c r="AZ35" i="2"/>
  <c r="BT35" i="2"/>
  <c r="K35" i="2"/>
  <c r="AD35" i="2"/>
  <c r="J35" i="2"/>
  <c r="I35" i="2"/>
  <c r="H72" i="2"/>
  <c r="L35" i="2"/>
  <c r="D73" i="2"/>
  <c r="G73" i="2" s="1"/>
  <c r="DI33" i="2"/>
  <c r="H10" i="4" s="1"/>
  <c r="I10" i="4" s="1"/>
  <c r="CN33" i="2"/>
  <c r="FT33" i="2"/>
  <c r="ED33" i="2"/>
  <c r="H11" i="4" s="1"/>
  <c r="I11" i="4" s="1"/>
  <c r="GJ35" i="2"/>
  <c r="HD35" i="2"/>
  <c r="HE35" i="2"/>
  <c r="GI35" i="2"/>
  <c r="FO35" i="2"/>
  <c r="ES35" i="2"/>
  <c r="ET35" i="2"/>
  <c r="DX35" i="2"/>
  <c r="DC35" i="2"/>
  <c r="DD35" i="2"/>
  <c r="BN35" i="2"/>
  <c r="CI35" i="2"/>
  <c r="BM35" i="2"/>
  <c r="W35" i="2"/>
  <c r="FN35" i="2"/>
  <c r="DY35" i="2"/>
  <c r="CH35" i="2"/>
  <c r="AS35" i="2"/>
  <c r="X35" i="2"/>
  <c r="AR35" i="2"/>
  <c r="HC35" i="2"/>
  <c r="HF35" i="2"/>
  <c r="GK35" i="2"/>
  <c r="GS35" i="2"/>
  <c r="HB35" i="2"/>
  <c r="GR35" i="2"/>
  <c r="GG35" i="2"/>
  <c r="FX35" i="2"/>
  <c r="GH35" i="2"/>
  <c r="FL35" i="2"/>
  <c r="FC35" i="2"/>
  <c r="FW35" i="2"/>
  <c r="FM35" i="2"/>
  <c r="EU35" i="2"/>
  <c r="EG35" i="2"/>
  <c r="DW35" i="2"/>
  <c r="DB35" i="2"/>
  <c r="FP35" i="2"/>
  <c r="DZ35" i="2"/>
  <c r="DL35" i="2"/>
  <c r="DE35" i="2"/>
  <c r="CR35" i="2"/>
  <c r="EQ35" i="2"/>
  <c r="EH35" i="2"/>
  <c r="CJ35" i="2"/>
  <c r="FB35" i="2"/>
  <c r="DV35" i="2"/>
  <c r="DA35" i="2"/>
  <c r="ER35" i="2"/>
  <c r="DM35" i="2"/>
  <c r="BW35" i="2"/>
  <c r="BL35" i="2"/>
  <c r="CF35" i="2"/>
  <c r="BB35" i="2"/>
  <c r="CQ35" i="2"/>
  <c r="CG35" i="2"/>
  <c r="BV35" i="2"/>
  <c r="BO35" i="2"/>
  <c r="BK35" i="2"/>
  <c r="BA35" i="2"/>
  <c r="AT35" i="2"/>
  <c r="EY33" i="2"/>
  <c r="H12" i="4" s="1"/>
  <c r="I12" i="4" s="1"/>
  <c r="HJ33" i="2"/>
  <c r="H15" i="4" s="1"/>
  <c r="I15" i="4" s="1"/>
  <c r="GO33" i="2"/>
  <c r="H14" i="4" s="1"/>
  <c r="I14" i="4" s="1"/>
  <c r="AA34" i="2"/>
  <c r="AB34" i="2"/>
  <c r="AQ35" i="2"/>
  <c r="AP35" i="2"/>
  <c r="AF35" i="2"/>
  <c r="AG35" i="2"/>
  <c r="Y35" i="2"/>
  <c r="V35" i="2"/>
  <c r="A36" i="2"/>
  <c r="U35" i="2"/>
  <c r="AX31" i="2"/>
  <c r="Z34" i="2"/>
  <c r="AC33" i="2"/>
  <c r="H6" i="4" s="1"/>
  <c r="CM35" i="2" l="1"/>
  <c r="FQ35" i="2"/>
  <c r="HH35" i="2"/>
  <c r="EB35" i="2"/>
  <c r="EA35" i="2"/>
  <c r="FS35" i="2"/>
  <c r="HI35" i="2"/>
  <c r="EW35" i="2"/>
  <c r="GN35" i="2"/>
  <c r="HG35" i="2"/>
  <c r="DG35" i="2"/>
  <c r="DF35" i="2"/>
  <c r="DH35" i="2"/>
  <c r="FR35" i="2"/>
  <c r="GL35" i="2"/>
  <c r="GM35" i="2"/>
  <c r="EV35" i="2"/>
  <c r="EX35" i="2"/>
  <c r="EC35" i="2"/>
  <c r="AV35" i="2"/>
  <c r="AW35" i="2"/>
  <c r="AU35" i="2"/>
  <c r="BP35" i="2"/>
  <c r="BR35" i="2"/>
  <c r="BQ35" i="2"/>
  <c r="CK35" i="2"/>
  <c r="CL35" i="2"/>
  <c r="GQ36" i="2"/>
  <c r="GP36" i="2"/>
  <c r="FU36" i="2"/>
  <c r="FV36" i="2"/>
  <c r="FA36" i="2"/>
  <c r="EZ36" i="2"/>
  <c r="EF36" i="2"/>
  <c r="EE36" i="2"/>
  <c r="DK36" i="2"/>
  <c r="DJ36" i="2"/>
  <c r="CP36" i="2"/>
  <c r="CO36" i="2"/>
  <c r="AZ36" i="2"/>
  <c r="AY36" i="2"/>
  <c r="BU36" i="2"/>
  <c r="BT36" i="2"/>
  <c r="AE36" i="2"/>
  <c r="AD36" i="2"/>
  <c r="K36" i="2"/>
  <c r="I36" i="2"/>
  <c r="J36" i="2"/>
  <c r="H73" i="2"/>
  <c r="H13" i="4"/>
  <c r="I13" i="4" s="1"/>
  <c r="H9" i="4"/>
  <c r="I9" i="4" s="1"/>
  <c r="L36" i="2"/>
  <c r="D74" i="2"/>
  <c r="G74" i="2" s="1"/>
  <c r="FT34" i="2"/>
  <c r="GO34" i="2"/>
  <c r="HJ34" i="2"/>
  <c r="HD36" i="2"/>
  <c r="HE36" i="2"/>
  <c r="GJ36" i="2"/>
  <c r="FO36" i="2"/>
  <c r="DY36" i="2"/>
  <c r="ES36" i="2"/>
  <c r="DX36" i="2"/>
  <c r="GI36" i="2"/>
  <c r="CI36" i="2"/>
  <c r="BM36" i="2"/>
  <c r="ET36" i="2"/>
  <c r="DC36" i="2"/>
  <c r="DD36" i="2"/>
  <c r="CH36" i="2"/>
  <c r="BN36" i="2"/>
  <c r="AS36" i="2"/>
  <c r="AR36" i="2"/>
  <c r="FN36" i="2"/>
  <c r="X36" i="2"/>
  <c r="W36" i="2"/>
  <c r="HB36" i="2"/>
  <c r="HC36" i="2"/>
  <c r="GR36" i="2"/>
  <c r="GK36" i="2"/>
  <c r="GS36" i="2"/>
  <c r="FP36" i="2"/>
  <c r="HF36" i="2"/>
  <c r="GG36" i="2"/>
  <c r="FX36" i="2"/>
  <c r="GH36" i="2"/>
  <c r="FL36" i="2"/>
  <c r="FC36" i="2"/>
  <c r="FM36" i="2"/>
  <c r="FB36" i="2"/>
  <c r="ER36" i="2"/>
  <c r="DV36" i="2"/>
  <c r="DM36" i="2"/>
  <c r="DA36" i="2"/>
  <c r="EU36" i="2"/>
  <c r="EG36" i="2"/>
  <c r="DW36" i="2"/>
  <c r="DB36" i="2"/>
  <c r="FW36" i="2"/>
  <c r="DZ36" i="2"/>
  <c r="DL36" i="2"/>
  <c r="DE36" i="2"/>
  <c r="CR36" i="2"/>
  <c r="EQ36" i="2"/>
  <c r="EH36" i="2"/>
  <c r="CQ36" i="2"/>
  <c r="CJ36" i="2"/>
  <c r="BK36" i="2"/>
  <c r="BW36" i="2"/>
  <c r="BL36" i="2"/>
  <c r="CF36" i="2"/>
  <c r="BB36" i="2"/>
  <c r="CG36" i="2"/>
  <c r="BV36" i="2"/>
  <c r="BO36" i="2"/>
  <c r="BA36" i="2"/>
  <c r="AT36" i="2"/>
  <c r="EY34" i="2"/>
  <c r="ED34" i="2"/>
  <c r="CN34" i="2"/>
  <c r="DI34" i="2"/>
  <c r="AA35" i="2"/>
  <c r="AF36" i="2"/>
  <c r="AP36" i="2"/>
  <c r="AG36" i="2"/>
  <c r="AQ36" i="2"/>
  <c r="Y36" i="2"/>
  <c r="A37" i="2"/>
  <c r="U36" i="2"/>
  <c r="V36" i="2"/>
  <c r="AB35" i="2"/>
  <c r="AX32" i="2"/>
  <c r="Z35" i="2"/>
  <c r="AC34" i="2"/>
  <c r="FQ36" i="2" l="1"/>
  <c r="HI36" i="2"/>
  <c r="FS36" i="2"/>
  <c r="GN36" i="2"/>
  <c r="HH36" i="2"/>
  <c r="HG36" i="2"/>
  <c r="DG36" i="2"/>
  <c r="DH36" i="2"/>
  <c r="DF36" i="2"/>
  <c r="FR36" i="2"/>
  <c r="GM36" i="2"/>
  <c r="GL36" i="2"/>
  <c r="EV36" i="2"/>
  <c r="EW36" i="2"/>
  <c r="EX36" i="2"/>
  <c r="EA36" i="2"/>
  <c r="EB36" i="2"/>
  <c r="EC36" i="2"/>
  <c r="CM36" i="2"/>
  <c r="AU36" i="2"/>
  <c r="AW36" i="2"/>
  <c r="AV36" i="2"/>
  <c r="BR36" i="2"/>
  <c r="BQ36" i="2"/>
  <c r="BP36" i="2"/>
  <c r="CK36" i="2"/>
  <c r="CL36" i="2"/>
  <c r="GQ37" i="2"/>
  <c r="GP37" i="2"/>
  <c r="FU37" i="2"/>
  <c r="FV37" i="2"/>
  <c r="FA37" i="2"/>
  <c r="EZ37" i="2"/>
  <c r="EF37" i="2"/>
  <c r="EE37" i="2"/>
  <c r="DK37" i="2"/>
  <c r="DJ37" i="2"/>
  <c r="BU37" i="2"/>
  <c r="BT37" i="2"/>
  <c r="CP37" i="2"/>
  <c r="CO37" i="2"/>
  <c r="AY37" i="2"/>
  <c r="AE37" i="2"/>
  <c r="AD37" i="2"/>
  <c r="AZ37" i="2"/>
  <c r="J37" i="2"/>
  <c r="K37" i="2"/>
  <c r="I37" i="2"/>
  <c r="H74" i="2"/>
  <c r="L37" i="2"/>
  <c r="D75" i="2"/>
  <c r="G75" i="2" s="1"/>
  <c r="HE37" i="2"/>
  <c r="GJ37" i="2"/>
  <c r="HD37" i="2"/>
  <c r="GI37" i="2"/>
  <c r="FO37" i="2"/>
  <c r="FN37" i="2"/>
  <c r="DY37" i="2"/>
  <c r="ET37" i="2"/>
  <c r="ES37" i="2"/>
  <c r="DD37" i="2"/>
  <c r="CH37" i="2"/>
  <c r="AS37" i="2"/>
  <c r="DX37" i="2"/>
  <c r="CI37" i="2"/>
  <c r="BM37" i="2"/>
  <c r="X37" i="2"/>
  <c r="DC37" i="2"/>
  <c r="BN37" i="2"/>
  <c r="AR37" i="2"/>
  <c r="W37" i="2"/>
  <c r="HF37" i="2"/>
  <c r="HB37" i="2"/>
  <c r="GR37" i="2"/>
  <c r="HC37" i="2"/>
  <c r="GK37" i="2"/>
  <c r="FW37" i="2"/>
  <c r="FM37" i="2"/>
  <c r="FP37" i="2"/>
  <c r="GS37" i="2"/>
  <c r="GG37" i="2"/>
  <c r="FX37" i="2"/>
  <c r="EQ37" i="2"/>
  <c r="EH37" i="2"/>
  <c r="CJ37" i="2"/>
  <c r="FB37" i="2"/>
  <c r="ER37" i="2"/>
  <c r="DV37" i="2"/>
  <c r="DM37" i="2"/>
  <c r="DA37" i="2"/>
  <c r="EU37" i="2"/>
  <c r="EG37" i="2"/>
  <c r="DW37" i="2"/>
  <c r="DB37" i="2"/>
  <c r="GH37" i="2"/>
  <c r="FL37" i="2"/>
  <c r="FC37" i="2"/>
  <c r="DZ37" i="2"/>
  <c r="DE37" i="2"/>
  <c r="DL37" i="2"/>
  <c r="CR37" i="2"/>
  <c r="CQ37" i="2"/>
  <c r="CG37" i="2"/>
  <c r="BV37" i="2"/>
  <c r="BO37" i="2"/>
  <c r="BK37" i="2"/>
  <c r="BW37" i="2"/>
  <c r="BL37" i="2"/>
  <c r="CF37" i="2"/>
  <c r="BB37" i="2"/>
  <c r="BA37" i="2"/>
  <c r="AT37" i="2"/>
  <c r="ED35" i="2"/>
  <c r="HJ35" i="2"/>
  <c r="CN35" i="2"/>
  <c r="GO35" i="2"/>
  <c r="DI35" i="2"/>
  <c r="EY35" i="2"/>
  <c r="FT35" i="2"/>
  <c r="AA36" i="2"/>
  <c r="AQ37" i="2"/>
  <c r="AG37" i="2"/>
  <c r="AF37" i="2"/>
  <c r="AP37" i="2"/>
  <c r="A38" i="2"/>
  <c r="U37" i="2"/>
  <c r="Y37" i="2"/>
  <c r="V37" i="2"/>
  <c r="AB36" i="2"/>
  <c r="AX33" i="2"/>
  <c r="I6" i="4"/>
  <c r="Z36" i="2"/>
  <c r="AC35" i="2"/>
  <c r="EA37" i="2" l="1"/>
  <c r="EB37" i="2"/>
  <c r="HG37" i="2"/>
  <c r="HI37" i="2"/>
  <c r="AV37" i="2"/>
  <c r="EX37" i="2"/>
  <c r="FS37" i="2"/>
  <c r="GN37" i="2"/>
  <c r="HH37" i="2"/>
  <c r="DF37" i="2"/>
  <c r="DG37" i="2"/>
  <c r="DH37" i="2"/>
  <c r="FR37" i="2"/>
  <c r="FQ37" i="2"/>
  <c r="GL37" i="2"/>
  <c r="GM37" i="2"/>
  <c r="EV37" i="2"/>
  <c r="EW37" i="2"/>
  <c r="EC37" i="2"/>
  <c r="CM37" i="2"/>
  <c r="AW37" i="2"/>
  <c r="AU37" i="2"/>
  <c r="BR37" i="2"/>
  <c r="BQ37" i="2"/>
  <c r="BP37" i="2"/>
  <c r="CK37" i="2"/>
  <c r="CL37" i="2"/>
  <c r="GQ38" i="2"/>
  <c r="GP38" i="2"/>
  <c r="FU38" i="2"/>
  <c r="FV38" i="2"/>
  <c r="EZ38" i="2"/>
  <c r="FA38" i="2"/>
  <c r="EF38" i="2"/>
  <c r="CP38" i="2"/>
  <c r="CO38" i="2"/>
  <c r="DK38" i="2"/>
  <c r="DJ38" i="2"/>
  <c r="EE38" i="2"/>
  <c r="BU38" i="2"/>
  <c r="BT38" i="2"/>
  <c r="AZ38" i="2"/>
  <c r="AY38" i="2"/>
  <c r="AE38" i="2"/>
  <c r="AD38" i="2"/>
  <c r="K38" i="2"/>
  <c r="J38" i="2"/>
  <c r="I38" i="2"/>
  <c r="H75" i="2"/>
  <c r="L38" i="2"/>
  <c r="D76" i="2"/>
  <c r="G76" i="2" s="1"/>
  <c r="FT36" i="2"/>
  <c r="EY36" i="2"/>
  <c r="HJ36" i="2"/>
  <c r="GO36" i="2"/>
  <c r="CN36" i="2"/>
  <c r="HD38" i="2"/>
  <c r="HE38" i="2"/>
  <c r="GI38" i="2"/>
  <c r="GJ38" i="2"/>
  <c r="ET38" i="2"/>
  <c r="FO38" i="2"/>
  <c r="FN38" i="2"/>
  <c r="DY38" i="2"/>
  <c r="ES38" i="2"/>
  <c r="BN38" i="2"/>
  <c r="CH38" i="2"/>
  <c r="AS38" i="2"/>
  <c r="W38" i="2"/>
  <c r="DD38" i="2"/>
  <c r="CI38" i="2"/>
  <c r="BM38" i="2"/>
  <c r="X38" i="2"/>
  <c r="DC38" i="2"/>
  <c r="AR38" i="2"/>
  <c r="DX38" i="2"/>
  <c r="HC38" i="2"/>
  <c r="HF38" i="2"/>
  <c r="GS38" i="2"/>
  <c r="GR38" i="2"/>
  <c r="GK38" i="2"/>
  <c r="GH38" i="2"/>
  <c r="FL38" i="2"/>
  <c r="FC38" i="2"/>
  <c r="FW38" i="2"/>
  <c r="FM38" i="2"/>
  <c r="FP38" i="2"/>
  <c r="DZ38" i="2"/>
  <c r="DL38" i="2"/>
  <c r="DE38" i="2"/>
  <c r="FX38" i="2"/>
  <c r="EQ38" i="2"/>
  <c r="EH38" i="2"/>
  <c r="CJ38" i="2"/>
  <c r="GG38" i="2"/>
  <c r="FB38" i="2"/>
  <c r="ER38" i="2"/>
  <c r="DV38" i="2"/>
  <c r="DM38" i="2"/>
  <c r="DA38" i="2"/>
  <c r="HB38" i="2"/>
  <c r="EG38" i="2"/>
  <c r="EU38" i="2"/>
  <c r="DW38" i="2"/>
  <c r="CQ38" i="2"/>
  <c r="CF38" i="2"/>
  <c r="BB38" i="2"/>
  <c r="CG38" i="2"/>
  <c r="BV38" i="2"/>
  <c r="BO38" i="2"/>
  <c r="DB38" i="2"/>
  <c r="BK38" i="2"/>
  <c r="BW38" i="2"/>
  <c r="BL38" i="2"/>
  <c r="BA38" i="2"/>
  <c r="AT38" i="2"/>
  <c r="CR38" i="2"/>
  <c r="DI36" i="2"/>
  <c r="ED36" i="2"/>
  <c r="AA37" i="2"/>
  <c r="H7" i="4"/>
  <c r="AB37" i="2"/>
  <c r="AP38" i="2"/>
  <c r="AF38" i="2"/>
  <c r="AQ38" i="2"/>
  <c r="AG38" i="2"/>
  <c r="U38" i="2"/>
  <c r="V38" i="2"/>
  <c r="A39" i="2"/>
  <c r="Y38" i="2"/>
  <c r="AX34" i="2"/>
  <c r="Z37" i="2"/>
  <c r="AC36" i="2"/>
  <c r="FS38" i="2" l="1"/>
  <c r="EA38" i="2"/>
  <c r="HH38" i="2"/>
  <c r="EX38" i="2"/>
  <c r="HI38" i="2"/>
  <c r="EW38" i="2"/>
  <c r="HG38" i="2"/>
  <c r="EV38" i="2"/>
  <c r="EB38" i="2"/>
  <c r="GM38" i="2"/>
  <c r="GL38" i="2"/>
  <c r="GN38" i="2"/>
  <c r="DG38" i="2"/>
  <c r="DF38" i="2"/>
  <c r="DH38" i="2"/>
  <c r="FR38" i="2"/>
  <c r="FQ38" i="2"/>
  <c r="EC38" i="2"/>
  <c r="CM38" i="2"/>
  <c r="BR38" i="2"/>
  <c r="AV38" i="2"/>
  <c r="AU38" i="2"/>
  <c r="AW38" i="2"/>
  <c r="BP38" i="2"/>
  <c r="BQ38" i="2"/>
  <c r="CL38" i="2"/>
  <c r="CK38" i="2"/>
  <c r="GQ39" i="2"/>
  <c r="GP39" i="2"/>
  <c r="FU39" i="2"/>
  <c r="FV39" i="2"/>
  <c r="FA39" i="2"/>
  <c r="EZ39" i="2"/>
  <c r="EF39" i="2"/>
  <c r="EE39" i="2"/>
  <c r="DK39" i="2"/>
  <c r="DJ39" i="2"/>
  <c r="BU39" i="2"/>
  <c r="CP39" i="2"/>
  <c r="CO39" i="2"/>
  <c r="BT39" i="2"/>
  <c r="AZ39" i="2"/>
  <c r="AY39" i="2"/>
  <c r="AE39" i="2"/>
  <c r="AD39" i="2"/>
  <c r="K39" i="2"/>
  <c r="J39" i="2"/>
  <c r="I39" i="2"/>
  <c r="H76" i="2"/>
  <c r="I7" i="4"/>
  <c r="L39" i="2"/>
  <c r="D77" i="2"/>
  <c r="G77" i="2" s="1"/>
  <c r="GO37" i="2"/>
  <c r="HJ37" i="2"/>
  <c r="CN37" i="2"/>
  <c r="FT37" i="2"/>
  <c r="GJ39" i="2"/>
  <c r="HD39" i="2"/>
  <c r="HE39" i="2"/>
  <c r="GI39" i="2"/>
  <c r="ES39" i="2"/>
  <c r="ET39" i="2"/>
  <c r="FO39" i="2"/>
  <c r="FN39" i="2"/>
  <c r="DD39" i="2"/>
  <c r="DC39" i="2"/>
  <c r="BN39" i="2"/>
  <c r="DX39" i="2"/>
  <c r="BM39" i="2"/>
  <c r="CH39" i="2"/>
  <c r="AS39" i="2"/>
  <c r="W39" i="2"/>
  <c r="CI39" i="2"/>
  <c r="AR39" i="2"/>
  <c r="DY39" i="2"/>
  <c r="X39" i="2"/>
  <c r="HC39" i="2"/>
  <c r="HF39" i="2"/>
  <c r="HB39" i="2"/>
  <c r="GK39" i="2"/>
  <c r="GS39" i="2"/>
  <c r="GG39" i="2"/>
  <c r="FX39" i="2"/>
  <c r="GR39" i="2"/>
  <c r="GH39" i="2"/>
  <c r="FL39" i="2"/>
  <c r="FC39" i="2"/>
  <c r="FW39" i="2"/>
  <c r="FM39" i="2"/>
  <c r="EU39" i="2"/>
  <c r="EG39" i="2"/>
  <c r="DW39" i="2"/>
  <c r="DB39" i="2"/>
  <c r="DZ39" i="2"/>
  <c r="DL39" i="2"/>
  <c r="DE39" i="2"/>
  <c r="FP39" i="2"/>
  <c r="EQ39" i="2"/>
  <c r="EH39" i="2"/>
  <c r="CJ39" i="2"/>
  <c r="FB39" i="2"/>
  <c r="DV39" i="2"/>
  <c r="DA39" i="2"/>
  <c r="ER39" i="2"/>
  <c r="CR39" i="2"/>
  <c r="DM39" i="2"/>
  <c r="BW39" i="2"/>
  <c r="BL39" i="2"/>
  <c r="CF39" i="2"/>
  <c r="BB39" i="2"/>
  <c r="CG39" i="2"/>
  <c r="BV39" i="2"/>
  <c r="BO39" i="2"/>
  <c r="CQ39" i="2"/>
  <c r="BK39" i="2"/>
  <c r="BA39" i="2"/>
  <c r="AT39" i="2"/>
  <c r="ED37" i="2"/>
  <c r="DI37" i="2"/>
  <c r="EY37" i="2"/>
  <c r="AA38" i="2"/>
  <c r="AQ39" i="2"/>
  <c r="AP39" i="2"/>
  <c r="AF39" i="2"/>
  <c r="AG39" i="2"/>
  <c r="A40" i="2"/>
  <c r="U39" i="2"/>
  <c r="V39" i="2"/>
  <c r="Y39" i="2"/>
  <c r="AB38" i="2"/>
  <c r="AX35" i="2"/>
  <c r="Z38" i="2"/>
  <c r="AC37" i="2"/>
  <c r="EX39" i="2" l="1"/>
  <c r="HI39" i="2"/>
  <c r="FS39" i="2"/>
  <c r="AW39" i="2"/>
  <c r="EW39" i="2"/>
  <c r="HH39" i="2"/>
  <c r="HG39" i="2"/>
  <c r="GN39" i="2"/>
  <c r="DF39" i="2"/>
  <c r="DG39" i="2"/>
  <c r="DH39" i="2"/>
  <c r="FQ39" i="2"/>
  <c r="FR39" i="2"/>
  <c r="GL39" i="2"/>
  <c r="GM39" i="2"/>
  <c r="EV39" i="2"/>
  <c r="EA39" i="2"/>
  <c r="EB39" i="2"/>
  <c r="EC39" i="2"/>
  <c r="CM39" i="2"/>
  <c r="AV39" i="2"/>
  <c r="AU39" i="2"/>
  <c r="BP39" i="2"/>
  <c r="BQ39" i="2"/>
  <c r="BR39" i="2"/>
  <c r="CK39" i="2"/>
  <c r="CL39" i="2"/>
  <c r="GQ40" i="2"/>
  <c r="GP40" i="2"/>
  <c r="FU40" i="2"/>
  <c r="FV40" i="2"/>
  <c r="EZ40" i="2"/>
  <c r="FA40" i="2"/>
  <c r="EF40" i="2"/>
  <c r="DJ40" i="2"/>
  <c r="EE40" i="2"/>
  <c r="CP40" i="2"/>
  <c r="CO40" i="2"/>
  <c r="DK40" i="2"/>
  <c r="AZ40" i="2"/>
  <c r="AY40" i="2"/>
  <c r="BU40" i="2"/>
  <c r="BT40" i="2"/>
  <c r="AE40" i="2"/>
  <c r="AD40" i="2"/>
  <c r="K40" i="2"/>
  <c r="J40" i="2"/>
  <c r="I40" i="2"/>
  <c r="H77" i="2"/>
  <c r="L40" i="2"/>
  <c r="D78" i="2"/>
  <c r="G78" i="2" s="1"/>
  <c r="HD40" i="2"/>
  <c r="GJ40" i="2"/>
  <c r="FO40" i="2"/>
  <c r="HE40" i="2"/>
  <c r="GI40" i="2"/>
  <c r="DY40" i="2"/>
  <c r="ES40" i="2"/>
  <c r="DX40" i="2"/>
  <c r="FN40" i="2"/>
  <c r="ET40" i="2"/>
  <c r="CI40" i="2"/>
  <c r="BM40" i="2"/>
  <c r="DD40" i="2"/>
  <c r="DC40" i="2"/>
  <c r="AR40" i="2"/>
  <c r="AS40" i="2"/>
  <c r="CH40" i="2"/>
  <c r="BN40" i="2"/>
  <c r="X40" i="2"/>
  <c r="W40" i="2"/>
  <c r="HB40" i="2"/>
  <c r="HC40" i="2"/>
  <c r="HF40" i="2"/>
  <c r="GR40" i="2"/>
  <c r="GK40" i="2"/>
  <c r="GS40" i="2"/>
  <c r="FP40" i="2"/>
  <c r="GG40" i="2"/>
  <c r="FX40" i="2"/>
  <c r="GH40" i="2"/>
  <c r="FL40" i="2"/>
  <c r="FC40" i="2"/>
  <c r="FB40" i="2"/>
  <c r="ER40" i="2"/>
  <c r="DV40" i="2"/>
  <c r="DM40" i="2"/>
  <c r="DA40" i="2"/>
  <c r="FM40" i="2"/>
  <c r="EU40" i="2"/>
  <c r="EG40" i="2"/>
  <c r="DW40" i="2"/>
  <c r="DB40" i="2"/>
  <c r="CR40" i="2"/>
  <c r="DZ40" i="2"/>
  <c r="DL40" i="2"/>
  <c r="DE40" i="2"/>
  <c r="FW40" i="2"/>
  <c r="CQ40" i="2"/>
  <c r="EQ40" i="2"/>
  <c r="EH40" i="2"/>
  <c r="CJ40" i="2"/>
  <c r="BK40" i="2"/>
  <c r="BW40" i="2"/>
  <c r="BL40" i="2"/>
  <c r="CF40" i="2"/>
  <c r="BB40" i="2"/>
  <c r="CG40" i="2"/>
  <c r="BV40" i="2"/>
  <c r="BO40" i="2"/>
  <c r="AT40" i="2"/>
  <c r="BA40" i="2"/>
  <c r="EY38" i="2"/>
  <c r="DI38" i="2"/>
  <c r="CN38" i="2"/>
  <c r="GO38" i="2"/>
  <c r="ED38" i="2"/>
  <c r="FT38" i="2"/>
  <c r="HJ38" i="2"/>
  <c r="AA39" i="2"/>
  <c r="AQ40" i="2"/>
  <c r="AG40" i="2"/>
  <c r="AP40" i="2"/>
  <c r="AF40" i="2"/>
  <c r="Y40" i="2"/>
  <c r="U40" i="2"/>
  <c r="V40" i="2"/>
  <c r="A41" i="2"/>
  <c r="AB39" i="2"/>
  <c r="AX36" i="2"/>
  <c r="Z39" i="2"/>
  <c r="AC38" i="2"/>
  <c r="HG40" i="2" l="1"/>
  <c r="HH40" i="2"/>
  <c r="EX40" i="2"/>
  <c r="FS40" i="2"/>
  <c r="HI40" i="2"/>
  <c r="EA40" i="2"/>
  <c r="EW40" i="2"/>
  <c r="GN40" i="2"/>
  <c r="DG40" i="2"/>
  <c r="DF40" i="2"/>
  <c r="DH40" i="2"/>
  <c r="FR40" i="2"/>
  <c r="FQ40" i="2"/>
  <c r="GL40" i="2"/>
  <c r="GM40" i="2"/>
  <c r="EV40" i="2"/>
  <c r="EC40" i="2"/>
  <c r="EB40" i="2"/>
  <c r="CM40" i="2"/>
  <c r="AV40" i="2"/>
  <c r="AU40" i="2"/>
  <c r="AW40" i="2"/>
  <c r="BR40" i="2"/>
  <c r="BP40" i="2"/>
  <c r="BQ40" i="2"/>
  <c r="CL40" i="2"/>
  <c r="CK40" i="2"/>
  <c r="GQ41" i="2"/>
  <c r="GP41" i="2"/>
  <c r="FU41" i="2"/>
  <c r="FV41" i="2"/>
  <c r="FA41" i="2"/>
  <c r="EF41" i="2"/>
  <c r="EZ41" i="2"/>
  <c r="EE41" i="2"/>
  <c r="DJ41" i="2"/>
  <c r="DK41" i="2"/>
  <c r="CO41" i="2"/>
  <c r="CP41" i="2"/>
  <c r="BU41" i="2"/>
  <c r="BT41" i="2"/>
  <c r="AE41" i="2"/>
  <c r="AD41" i="2"/>
  <c r="AZ41" i="2"/>
  <c r="AY41" i="2"/>
  <c r="J41" i="2"/>
  <c r="K41" i="2"/>
  <c r="I41" i="2"/>
  <c r="H78" i="2"/>
  <c r="L41" i="2"/>
  <c r="D79" i="2"/>
  <c r="G79" i="2" s="1"/>
  <c r="HE41" i="2"/>
  <c r="GJ41" i="2"/>
  <c r="HD41" i="2"/>
  <c r="FO41" i="2"/>
  <c r="FN41" i="2"/>
  <c r="DY41" i="2"/>
  <c r="DD41" i="2"/>
  <c r="ES41" i="2"/>
  <c r="DX41" i="2"/>
  <c r="CH41" i="2"/>
  <c r="AS41" i="2"/>
  <c r="CI41" i="2"/>
  <c r="BM41" i="2"/>
  <c r="GI41" i="2"/>
  <c r="X41" i="2"/>
  <c r="AR41" i="2"/>
  <c r="BN41" i="2"/>
  <c r="DC41" i="2"/>
  <c r="W41" i="2"/>
  <c r="ET41" i="2"/>
  <c r="HF41" i="2"/>
  <c r="HB41" i="2"/>
  <c r="GR41" i="2"/>
  <c r="GK41" i="2"/>
  <c r="HC41" i="2"/>
  <c r="FW41" i="2"/>
  <c r="FM41" i="2"/>
  <c r="FP41" i="2"/>
  <c r="GG41" i="2"/>
  <c r="FX41" i="2"/>
  <c r="GH41" i="2"/>
  <c r="FL41" i="2"/>
  <c r="FC41" i="2"/>
  <c r="EQ41" i="2"/>
  <c r="EH41" i="2"/>
  <c r="CJ41" i="2"/>
  <c r="FB41" i="2"/>
  <c r="ER41" i="2"/>
  <c r="DV41" i="2"/>
  <c r="DM41" i="2"/>
  <c r="DA41" i="2"/>
  <c r="EU41" i="2"/>
  <c r="EG41" i="2"/>
  <c r="DW41" i="2"/>
  <c r="DB41" i="2"/>
  <c r="CR41" i="2"/>
  <c r="GS41" i="2"/>
  <c r="DZ41" i="2"/>
  <c r="DE41" i="2"/>
  <c r="CQ41" i="2"/>
  <c r="DL41" i="2"/>
  <c r="CG41" i="2"/>
  <c r="BV41" i="2"/>
  <c r="BO41" i="2"/>
  <c r="BK41" i="2"/>
  <c r="BW41" i="2"/>
  <c r="BL41" i="2"/>
  <c r="CF41" i="2"/>
  <c r="BB41" i="2"/>
  <c r="BA41" i="2"/>
  <c r="AT41" i="2"/>
  <c r="FT39" i="2"/>
  <c r="CN39" i="2"/>
  <c r="DI39" i="2"/>
  <c r="ED39" i="2"/>
  <c r="GO39" i="2"/>
  <c r="EY39" i="2"/>
  <c r="HJ39" i="2"/>
  <c r="AA40" i="2"/>
  <c r="AB40" i="2"/>
  <c r="AP41" i="2"/>
  <c r="AF41" i="2"/>
  <c r="AQ41" i="2"/>
  <c r="AG41" i="2"/>
  <c r="Y41" i="2"/>
  <c r="U41" i="2"/>
  <c r="V41" i="2"/>
  <c r="A42" i="2"/>
  <c r="AX37" i="2"/>
  <c r="Z40" i="2"/>
  <c r="AC39" i="2"/>
  <c r="HG41" i="2" l="1"/>
  <c r="HI41" i="2"/>
  <c r="AW41" i="2"/>
  <c r="EV41" i="2"/>
  <c r="EX41" i="2"/>
  <c r="EW41" i="2"/>
  <c r="FS41" i="2"/>
  <c r="GN41" i="2"/>
  <c r="HH41" i="2"/>
  <c r="DF41" i="2"/>
  <c r="DG41" i="2"/>
  <c r="DH41" i="2"/>
  <c r="FQ41" i="2"/>
  <c r="FR41" i="2"/>
  <c r="GL41" i="2"/>
  <c r="GM41" i="2"/>
  <c r="EA41" i="2"/>
  <c r="EB41" i="2"/>
  <c r="EC41" i="2"/>
  <c r="CM41" i="2"/>
  <c r="AV41" i="2"/>
  <c r="AU41" i="2"/>
  <c r="BR41" i="2"/>
  <c r="BP41" i="2"/>
  <c r="BQ41" i="2"/>
  <c r="CL41" i="2"/>
  <c r="CK41" i="2"/>
  <c r="GQ42" i="2"/>
  <c r="GP42" i="2"/>
  <c r="FV42" i="2"/>
  <c r="FU42" i="2"/>
  <c r="FA42" i="2"/>
  <c r="EF42" i="2"/>
  <c r="EZ42" i="2"/>
  <c r="EE42" i="2"/>
  <c r="CP42" i="2"/>
  <c r="CO42" i="2"/>
  <c r="DK42" i="2"/>
  <c r="DJ42" i="2"/>
  <c r="AZ42" i="2"/>
  <c r="AY42" i="2"/>
  <c r="BU42" i="2"/>
  <c r="BT42" i="2"/>
  <c r="AE42" i="2"/>
  <c r="AD42" i="2"/>
  <c r="J42" i="2"/>
  <c r="I42" i="2"/>
  <c r="K42" i="2"/>
  <c r="H79" i="2"/>
  <c r="L42" i="2"/>
  <c r="D80" i="2"/>
  <c r="G80" i="2" s="1"/>
  <c r="HD42" i="2"/>
  <c r="HE42" i="2"/>
  <c r="GI42" i="2"/>
  <c r="GJ42" i="2"/>
  <c r="ET42" i="2"/>
  <c r="FN42" i="2"/>
  <c r="FO42" i="2"/>
  <c r="DY42" i="2"/>
  <c r="BN42" i="2"/>
  <c r="ES42" i="2"/>
  <c r="DX42" i="2"/>
  <c r="CH42" i="2"/>
  <c r="AS42" i="2"/>
  <c r="DC42" i="2"/>
  <c r="W42" i="2"/>
  <c r="X42" i="2"/>
  <c r="DD42" i="2"/>
  <c r="BM42" i="2"/>
  <c r="CI42" i="2"/>
  <c r="AR42" i="2"/>
  <c r="HC42" i="2"/>
  <c r="HF42" i="2"/>
  <c r="GS42" i="2"/>
  <c r="HB42" i="2"/>
  <c r="GR42" i="2"/>
  <c r="GH42" i="2"/>
  <c r="FL42" i="2"/>
  <c r="FC42" i="2"/>
  <c r="GK42" i="2"/>
  <c r="FW42" i="2"/>
  <c r="FM42" i="2"/>
  <c r="FP42" i="2"/>
  <c r="DZ42" i="2"/>
  <c r="DL42" i="2"/>
  <c r="DE42" i="2"/>
  <c r="EQ42" i="2"/>
  <c r="EH42" i="2"/>
  <c r="CJ42" i="2"/>
  <c r="FX42" i="2"/>
  <c r="FB42" i="2"/>
  <c r="ER42" i="2"/>
  <c r="DV42" i="2"/>
  <c r="DM42" i="2"/>
  <c r="DA42" i="2"/>
  <c r="GG42" i="2"/>
  <c r="DW42" i="2"/>
  <c r="EG42" i="2"/>
  <c r="DB42" i="2"/>
  <c r="EU42" i="2"/>
  <c r="CQ42" i="2"/>
  <c r="CR42" i="2"/>
  <c r="CF42" i="2"/>
  <c r="BB42" i="2"/>
  <c r="CG42" i="2"/>
  <c r="BV42" i="2"/>
  <c r="BO42" i="2"/>
  <c r="BK42" i="2"/>
  <c r="BW42" i="2"/>
  <c r="BL42" i="2"/>
  <c r="BA42" i="2"/>
  <c r="AT42" i="2"/>
  <c r="ED40" i="2"/>
  <c r="FT40" i="2"/>
  <c r="HJ40" i="2"/>
  <c r="CN40" i="2"/>
  <c r="GO40" i="2"/>
  <c r="EY40" i="2"/>
  <c r="DI40" i="2"/>
  <c r="AF42" i="2"/>
  <c r="AP42" i="2"/>
  <c r="AQ42" i="2"/>
  <c r="AG42" i="2"/>
  <c r="Y42" i="2"/>
  <c r="U42" i="2"/>
  <c r="V42" i="2"/>
  <c r="A43" i="2"/>
  <c r="AB41" i="2"/>
  <c r="AA41" i="2"/>
  <c r="AX38" i="2"/>
  <c r="Z41" i="2"/>
  <c r="AC40" i="2"/>
  <c r="EA42" i="2" l="1"/>
  <c r="HG42" i="2"/>
  <c r="EV42" i="2"/>
  <c r="EC42" i="2"/>
  <c r="EB42" i="2"/>
  <c r="FS42" i="2"/>
  <c r="EX42" i="2"/>
  <c r="HI42" i="2"/>
  <c r="GN42" i="2"/>
  <c r="HH42" i="2"/>
  <c r="DG42" i="2"/>
  <c r="DF42" i="2"/>
  <c r="DH42" i="2"/>
  <c r="FR42" i="2"/>
  <c r="FQ42" i="2"/>
  <c r="GM42" i="2"/>
  <c r="GL42" i="2"/>
  <c r="EW42" i="2"/>
  <c r="CM42" i="2"/>
  <c r="AV42" i="2"/>
  <c r="AU42" i="2"/>
  <c r="AW42" i="2"/>
  <c r="BR42" i="2"/>
  <c r="BP42" i="2"/>
  <c r="BQ42" i="2"/>
  <c r="CK42" i="2"/>
  <c r="CL42" i="2"/>
  <c r="GQ43" i="2"/>
  <c r="GP43" i="2"/>
  <c r="FU43" i="2"/>
  <c r="FV43" i="2"/>
  <c r="FA43" i="2"/>
  <c r="EZ43" i="2"/>
  <c r="EF43" i="2"/>
  <c r="EE43" i="2"/>
  <c r="DK43" i="2"/>
  <c r="DJ43" i="2"/>
  <c r="CO43" i="2"/>
  <c r="CP43" i="2"/>
  <c r="BU43" i="2"/>
  <c r="BT43" i="2"/>
  <c r="AZ43" i="2"/>
  <c r="AE43" i="2"/>
  <c r="AY43" i="2"/>
  <c r="AD43" i="2"/>
  <c r="K43" i="2"/>
  <c r="J43" i="2"/>
  <c r="I43" i="2"/>
  <c r="H80" i="2"/>
  <c r="L43" i="2"/>
  <c r="D81" i="2"/>
  <c r="G81" i="2" s="1"/>
  <c r="CN41" i="2"/>
  <c r="EY41" i="2"/>
  <c r="GO41" i="2"/>
  <c r="HD43" i="2"/>
  <c r="HE43" i="2"/>
  <c r="GI43" i="2"/>
  <c r="FO43" i="2"/>
  <c r="ES43" i="2"/>
  <c r="GJ43" i="2"/>
  <c r="ET43" i="2"/>
  <c r="FN43" i="2"/>
  <c r="DC43" i="2"/>
  <c r="DY43" i="2"/>
  <c r="BN43" i="2"/>
  <c r="CI43" i="2"/>
  <c r="BM43" i="2"/>
  <c r="DX43" i="2"/>
  <c r="W43" i="2"/>
  <c r="DD43" i="2"/>
  <c r="CH43" i="2"/>
  <c r="X43" i="2"/>
  <c r="AS43" i="2"/>
  <c r="AR43" i="2"/>
  <c r="HC43" i="2"/>
  <c r="HF43" i="2"/>
  <c r="GK43" i="2"/>
  <c r="GS43" i="2"/>
  <c r="HB43" i="2"/>
  <c r="GG43" i="2"/>
  <c r="FX43" i="2"/>
  <c r="GH43" i="2"/>
  <c r="FL43" i="2"/>
  <c r="FC43" i="2"/>
  <c r="GR43" i="2"/>
  <c r="FW43" i="2"/>
  <c r="FM43" i="2"/>
  <c r="EU43" i="2"/>
  <c r="EG43" i="2"/>
  <c r="DW43" i="2"/>
  <c r="DB43" i="2"/>
  <c r="DZ43" i="2"/>
  <c r="DL43" i="2"/>
  <c r="DE43" i="2"/>
  <c r="EQ43" i="2"/>
  <c r="EH43" i="2"/>
  <c r="CJ43" i="2"/>
  <c r="FP43" i="2"/>
  <c r="FB43" i="2"/>
  <c r="ER43" i="2"/>
  <c r="DM43" i="2"/>
  <c r="DV43" i="2"/>
  <c r="DA43" i="2"/>
  <c r="CQ43" i="2"/>
  <c r="BW43" i="2"/>
  <c r="BL43" i="2"/>
  <c r="CF43" i="2"/>
  <c r="BB43" i="2"/>
  <c r="CG43" i="2"/>
  <c r="BV43" i="2"/>
  <c r="BO43" i="2"/>
  <c r="BK43" i="2"/>
  <c r="CR43" i="2"/>
  <c r="BA43" i="2"/>
  <c r="AT43" i="2"/>
  <c r="ED41" i="2"/>
  <c r="DI41" i="2"/>
  <c r="HJ41" i="2"/>
  <c r="FT41" i="2"/>
  <c r="AB42" i="2"/>
  <c r="AQ43" i="2"/>
  <c r="AP43" i="2"/>
  <c r="AG43" i="2"/>
  <c r="AF43" i="2"/>
  <c r="V43" i="2"/>
  <c r="U43" i="2"/>
  <c r="A44" i="2"/>
  <c r="Y43" i="2"/>
  <c r="AA42" i="2"/>
  <c r="AX39" i="2"/>
  <c r="Z42" i="2"/>
  <c r="AC41" i="2"/>
  <c r="EX43" i="2" l="1"/>
  <c r="DG43" i="2"/>
  <c r="EA43" i="2"/>
  <c r="HI43" i="2"/>
  <c r="HG43" i="2"/>
  <c r="FS43" i="2"/>
  <c r="EW43" i="2"/>
  <c r="EV43" i="2"/>
  <c r="EC43" i="2"/>
  <c r="EB43" i="2"/>
  <c r="HH43" i="2"/>
  <c r="GL43" i="2"/>
  <c r="GM43" i="2"/>
  <c r="GN43" i="2"/>
  <c r="DF43" i="2"/>
  <c r="DH43" i="2"/>
  <c r="FR43" i="2"/>
  <c r="FQ43" i="2"/>
  <c r="AW43" i="2"/>
  <c r="CM43" i="2"/>
  <c r="BP43" i="2"/>
  <c r="AV43" i="2"/>
  <c r="AU43" i="2"/>
  <c r="BQ43" i="2"/>
  <c r="BR43" i="2"/>
  <c r="CL43" i="2"/>
  <c r="CK43" i="2"/>
  <c r="GQ44" i="2"/>
  <c r="GP44" i="2"/>
  <c r="FV44" i="2"/>
  <c r="FU44" i="2"/>
  <c r="FA44" i="2"/>
  <c r="EZ44" i="2"/>
  <c r="EF44" i="2"/>
  <c r="EE44" i="2"/>
  <c r="DK44" i="2"/>
  <c r="DJ44" i="2"/>
  <c r="CP44" i="2"/>
  <c r="CO44" i="2"/>
  <c r="AZ44" i="2"/>
  <c r="AY44" i="2"/>
  <c r="BU44" i="2"/>
  <c r="BT44" i="2"/>
  <c r="AE44" i="2"/>
  <c r="AD44" i="2"/>
  <c r="K44" i="2"/>
  <c r="I44" i="2"/>
  <c r="J44" i="2"/>
  <c r="H81" i="2"/>
  <c r="L44" i="2"/>
  <c r="D82" i="2"/>
  <c r="G82" i="2" s="1"/>
  <c r="FT42" i="2"/>
  <c r="DI42" i="2"/>
  <c r="HJ42" i="2"/>
  <c r="GO42" i="2"/>
  <c r="CN42" i="2"/>
  <c r="ED42" i="2"/>
  <c r="HD44" i="2"/>
  <c r="HE44" i="2"/>
  <c r="FO44" i="2"/>
  <c r="GI44" i="2"/>
  <c r="DY44" i="2"/>
  <c r="ES44" i="2"/>
  <c r="DX44" i="2"/>
  <c r="DD44" i="2"/>
  <c r="CI44" i="2"/>
  <c r="BM44" i="2"/>
  <c r="FN44" i="2"/>
  <c r="DC44" i="2"/>
  <c r="ET44" i="2"/>
  <c r="CH44" i="2"/>
  <c r="BN44" i="2"/>
  <c r="AS44" i="2"/>
  <c r="AR44" i="2"/>
  <c r="GJ44" i="2"/>
  <c r="W44" i="2"/>
  <c r="X44" i="2"/>
  <c r="HB44" i="2"/>
  <c r="HC44" i="2"/>
  <c r="GR44" i="2"/>
  <c r="HF44" i="2"/>
  <c r="GK44" i="2"/>
  <c r="GS44" i="2"/>
  <c r="FP44" i="2"/>
  <c r="GG44" i="2"/>
  <c r="FX44" i="2"/>
  <c r="GH44" i="2"/>
  <c r="FL44" i="2"/>
  <c r="FC44" i="2"/>
  <c r="FW44" i="2"/>
  <c r="FB44" i="2"/>
  <c r="ER44" i="2"/>
  <c r="DV44" i="2"/>
  <c r="DM44" i="2"/>
  <c r="DA44" i="2"/>
  <c r="EU44" i="2"/>
  <c r="EG44" i="2"/>
  <c r="DW44" i="2"/>
  <c r="DB44" i="2"/>
  <c r="FM44" i="2"/>
  <c r="DZ44" i="2"/>
  <c r="DL44" i="2"/>
  <c r="DE44" i="2"/>
  <c r="CR44" i="2"/>
  <c r="CQ44" i="2"/>
  <c r="EQ44" i="2"/>
  <c r="EH44" i="2"/>
  <c r="BK44" i="2"/>
  <c r="BW44" i="2"/>
  <c r="BL44" i="2"/>
  <c r="CJ44" i="2"/>
  <c r="CF44" i="2"/>
  <c r="BB44" i="2"/>
  <c r="CG44" i="2"/>
  <c r="BV44" i="2"/>
  <c r="BO44" i="2"/>
  <c r="BA44" i="2"/>
  <c r="AT44" i="2"/>
  <c r="EY42" i="2"/>
  <c r="AA43" i="2"/>
  <c r="AQ44" i="2"/>
  <c r="AP44" i="2"/>
  <c r="AG44" i="2"/>
  <c r="AF44" i="2"/>
  <c r="V44" i="2"/>
  <c r="A45" i="2"/>
  <c r="U44" i="2"/>
  <c r="Y44" i="2"/>
  <c r="AB43" i="2"/>
  <c r="AX40" i="2"/>
  <c r="Z43" i="2"/>
  <c r="AC42" i="2"/>
  <c r="FS44" i="2" l="1"/>
  <c r="HH44" i="2"/>
  <c r="EC44" i="2"/>
  <c r="EW44" i="2"/>
  <c r="HG44" i="2"/>
  <c r="HI44" i="2"/>
  <c r="EB44" i="2"/>
  <c r="EX44" i="2"/>
  <c r="EA44" i="2"/>
  <c r="EV44" i="2"/>
  <c r="AU44" i="2"/>
  <c r="GN44" i="2"/>
  <c r="DF44" i="2"/>
  <c r="DG44" i="2"/>
  <c r="DH44" i="2"/>
  <c r="FR44" i="2"/>
  <c r="FQ44" i="2"/>
  <c r="GL44" i="2"/>
  <c r="GM44" i="2"/>
  <c r="CM44" i="2"/>
  <c r="AV44" i="2"/>
  <c r="AW44" i="2"/>
  <c r="BQ44" i="2"/>
  <c r="BR44" i="2"/>
  <c r="BP44" i="2"/>
  <c r="CK44" i="2"/>
  <c r="CL44" i="2"/>
  <c r="GQ45" i="2"/>
  <c r="GP45" i="2"/>
  <c r="FV45" i="2"/>
  <c r="FU45" i="2"/>
  <c r="FA45" i="2"/>
  <c r="EZ45" i="2"/>
  <c r="EF45" i="2"/>
  <c r="EE45" i="2"/>
  <c r="DK45" i="2"/>
  <c r="DJ45" i="2"/>
  <c r="BU45" i="2"/>
  <c r="BT45" i="2"/>
  <c r="CO45" i="2"/>
  <c r="CP45" i="2"/>
  <c r="AZ45" i="2"/>
  <c r="AE45" i="2"/>
  <c r="AD45" i="2"/>
  <c r="AY45" i="2"/>
  <c r="J45" i="2"/>
  <c r="K45" i="2"/>
  <c r="I45" i="2"/>
  <c r="H82" i="2"/>
  <c r="L45" i="2"/>
  <c r="D83" i="2"/>
  <c r="G83" i="2" s="1"/>
  <c r="HE45" i="2"/>
  <c r="GJ45" i="2"/>
  <c r="GI45" i="2"/>
  <c r="FO45" i="2"/>
  <c r="FN45" i="2"/>
  <c r="DY45" i="2"/>
  <c r="ET45" i="2"/>
  <c r="ES45" i="2"/>
  <c r="DD45" i="2"/>
  <c r="CH45" i="2"/>
  <c r="AS45" i="2"/>
  <c r="CI45" i="2"/>
  <c r="BM45" i="2"/>
  <c r="X45" i="2"/>
  <c r="HD45" i="2"/>
  <c r="DC45" i="2"/>
  <c r="BN45" i="2"/>
  <c r="AR45" i="2"/>
  <c r="DX45" i="2"/>
  <c r="W45" i="2"/>
  <c r="HF45" i="2"/>
  <c r="HC45" i="2"/>
  <c r="GR45" i="2"/>
  <c r="GK45" i="2"/>
  <c r="HB45" i="2"/>
  <c r="GS45" i="2"/>
  <c r="FW45" i="2"/>
  <c r="FM45" i="2"/>
  <c r="FP45" i="2"/>
  <c r="GG45" i="2"/>
  <c r="FX45" i="2"/>
  <c r="EQ45" i="2"/>
  <c r="EH45" i="2"/>
  <c r="CJ45" i="2"/>
  <c r="GH45" i="2"/>
  <c r="FL45" i="2"/>
  <c r="FC45" i="2"/>
  <c r="FB45" i="2"/>
  <c r="ER45" i="2"/>
  <c r="DV45" i="2"/>
  <c r="DM45" i="2"/>
  <c r="DA45" i="2"/>
  <c r="CR45" i="2"/>
  <c r="EU45" i="2"/>
  <c r="EG45" i="2"/>
  <c r="DW45" i="2"/>
  <c r="DB45" i="2"/>
  <c r="DZ45" i="2"/>
  <c r="CQ45" i="2"/>
  <c r="DE45" i="2"/>
  <c r="CG45" i="2"/>
  <c r="BV45" i="2"/>
  <c r="BO45" i="2"/>
  <c r="BK45" i="2"/>
  <c r="BW45" i="2"/>
  <c r="BL45" i="2"/>
  <c r="DL45" i="2"/>
  <c r="CF45" i="2"/>
  <c r="BB45" i="2"/>
  <c r="BA45" i="2"/>
  <c r="AT45" i="2"/>
  <c r="EY43" i="2"/>
  <c r="ED43" i="2"/>
  <c r="DI43" i="2"/>
  <c r="CN43" i="2"/>
  <c r="GO43" i="2"/>
  <c r="HJ43" i="2"/>
  <c r="FT43" i="2"/>
  <c r="AB44" i="2"/>
  <c r="AQ45" i="2"/>
  <c r="AG45" i="2"/>
  <c r="AF45" i="2"/>
  <c r="AP45" i="2"/>
  <c r="U45" i="2"/>
  <c r="V45" i="2"/>
  <c r="A46" i="2"/>
  <c r="Y45" i="2"/>
  <c r="AA44" i="2"/>
  <c r="AX41" i="2"/>
  <c r="Z44" i="2"/>
  <c r="AC43" i="2"/>
  <c r="HI45" i="2" l="1"/>
  <c r="EB45" i="2"/>
  <c r="EX45" i="2"/>
  <c r="HG45" i="2"/>
  <c r="EC45" i="2"/>
  <c r="EW45" i="2"/>
  <c r="FS45" i="2"/>
  <c r="GN45" i="2"/>
  <c r="HH45" i="2"/>
  <c r="DF45" i="2"/>
  <c r="DG45" i="2"/>
  <c r="DH45" i="2"/>
  <c r="FQ45" i="2"/>
  <c r="FR45" i="2"/>
  <c r="GL45" i="2"/>
  <c r="GM45" i="2"/>
  <c r="EV45" i="2"/>
  <c r="EA45" i="2"/>
  <c r="CM45" i="2"/>
  <c r="BQ45" i="2"/>
  <c r="AV45" i="2"/>
  <c r="AW45" i="2"/>
  <c r="AU45" i="2"/>
  <c r="BR45" i="2"/>
  <c r="BP45" i="2"/>
  <c r="CL45" i="2"/>
  <c r="CK45" i="2"/>
  <c r="GQ46" i="2"/>
  <c r="GP46" i="2"/>
  <c r="FU46" i="2"/>
  <c r="FA46" i="2"/>
  <c r="FV46" i="2"/>
  <c r="EZ46" i="2"/>
  <c r="EE46" i="2"/>
  <c r="CP46" i="2"/>
  <c r="CO46" i="2"/>
  <c r="DJ46" i="2"/>
  <c r="DK46" i="2"/>
  <c r="BU46" i="2"/>
  <c r="BT46" i="2"/>
  <c r="EF46" i="2"/>
  <c r="AZ46" i="2"/>
  <c r="AY46" i="2"/>
  <c r="AE46" i="2"/>
  <c r="AD46" i="2"/>
  <c r="J46" i="2"/>
  <c r="K46" i="2"/>
  <c r="I46" i="2"/>
  <c r="H83" i="2"/>
  <c r="L46" i="2"/>
  <c r="D84" i="2"/>
  <c r="G84" i="2" s="1"/>
  <c r="GO44" i="2"/>
  <c r="DI44" i="2"/>
  <c r="EY44" i="2"/>
  <c r="FT44" i="2"/>
  <c r="HJ44" i="2"/>
  <c r="HD46" i="2"/>
  <c r="HE46" i="2"/>
  <c r="GI46" i="2"/>
  <c r="GJ46" i="2"/>
  <c r="ET46" i="2"/>
  <c r="FO46" i="2"/>
  <c r="FN46" i="2"/>
  <c r="DY46" i="2"/>
  <c r="ES46" i="2"/>
  <c r="DX46" i="2"/>
  <c r="BN46" i="2"/>
  <c r="DD46" i="2"/>
  <c r="CH46" i="2"/>
  <c r="AS46" i="2"/>
  <c r="W46" i="2"/>
  <c r="DC46" i="2"/>
  <c r="CI46" i="2"/>
  <c r="BM46" i="2"/>
  <c r="X46" i="2"/>
  <c r="AR46" i="2"/>
  <c r="HC46" i="2"/>
  <c r="HF46" i="2"/>
  <c r="HB46" i="2"/>
  <c r="GS46" i="2"/>
  <c r="GR46" i="2"/>
  <c r="GH46" i="2"/>
  <c r="FL46" i="2"/>
  <c r="FC46" i="2"/>
  <c r="FW46" i="2"/>
  <c r="FM46" i="2"/>
  <c r="GK46" i="2"/>
  <c r="FP46" i="2"/>
  <c r="GG46" i="2"/>
  <c r="DZ46" i="2"/>
  <c r="DL46" i="2"/>
  <c r="DE46" i="2"/>
  <c r="EQ46" i="2"/>
  <c r="EH46" i="2"/>
  <c r="CJ46" i="2"/>
  <c r="FB46" i="2"/>
  <c r="ER46" i="2"/>
  <c r="DV46" i="2"/>
  <c r="DM46" i="2"/>
  <c r="DA46" i="2"/>
  <c r="CR46" i="2"/>
  <c r="FX46" i="2"/>
  <c r="DW46" i="2"/>
  <c r="EG46" i="2"/>
  <c r="DB46" i="2"/>
  <c r="EU46" i="2"/>
  <c r="CQ46" i="2"/>
  <c r="CF46" i="2"/>
  <c r="BB46" i="2"/>
  <c r="CG46" i="2"/>
  <c r="BV46" i="2"/>
  <c r="BO46" i="2"/>
  <c r="BK46" i="2"/>
  <c r="BW46" i="2"/>
  <c r="BL46" i="2"/>
  <c r="BA46" i="2"/>
  <c r="AT46" i="2"/>
  <c r="CN44" i="2"/>
  <c r="ED44" i="2"/>
  <c r="AB45" i="2"/>
  <c r="AA45" i="2"/>
  <c r="AP46" i="2"/>
  <c r="AF46" i="2"/>
  <c r="AQ46" i="2"/>
  <c r="AG46" i="2"/>
  <c r="A47" i="2"/>
  <c r="Y46" i="2"/>
  <c r="U46" i="2"/>
  <c r="V46" i="2"/>
  <c r="AX42" i="2"/>
  <c r="Z45" i="2"/>
  <c r="AC44" i="2"/>
  <c r="HI46" i="2" l="1"/>
  <c r="EC46" i="2"/>
  <c r="EW46" i="2"/>
  <c r="HG46" i="2"/>
  <c r="FS46" i="2"/>
  <c r="EX46" i="2"/>
  <c r="EV46" i="2"/>
  <c r="EB46" i="2"/>
  <c r="GN46" i="2"/>
  <c r="HH46" i="2"/>
  <c r="DF46" i="2"/>
  <c r="DG46" i="2"/>
  <c r="DH46" i="2"/>
  <c r="FR46" i="2"/>
  <c r="FQ46" i="2"/>
  <c r="GM46" i="2"/>
  <c r="GL46" i="2"/>
  <c r="EA46" i="2"/>
  <c r="CM46" i="2"/>
  <c r="AV46" i="2"/>
  <c r="AU46" i="2"/>
  <c r="AW46" i="2"/>
  <c r="BR46" i="2"/>
  <c r="BQ46" i="2"/>
  <c r="BP46" i="2"/>
  <c r="CK46" i="2"/>
  <c r="CL46" i="2"/>
  <c r="GQ47" i="2"/>
  <c r="GP47" i="2"/>
  <c r="FU47" i="2"/>
  <c r="FV47" i="2"/>
  <c r="FA47" i="2"/>
  <c r="EZ47" i="2"/>
  <c r="EF47" i="2"/>
  <c r="EE47" i="2"/>
  <c r="DK47" i="2"/>
  <c r="DJ47" i="2"/>
  <c r="CO47" i="2"/>
  <c r="CP47" i="2"/>
  <c r="BU47" i="2"/>
  <c r="AY47" i="2"/>
  <c r="BT47" i="2"/>
  <c r="AZ47" i="2"/>
  <c r="AE47" i="2"/>
  <c r="K47" i="2"/>
  <c r="AD47" i="2"/>
  <c r="J47" i="2"/>
  <c r="I47" i="2"/>
  <c r="H84" i="2"/>
  <c r="L47" i="2"/>
  <c r="D85" i="2"/>
  <c r="G85" i="2" s="1"/>
  <c r="ED45" i="2"/>
  <c r="HD47" i="2"/>
  <c r="HE47" i="2"/>
  <c r="GI47" i="2"/>
  <c r="GJ47" i="2"/>
  <c r="ES47" i="2"/>
  <c r="ET47" i="2"/>
  <c r="FN47" i="2"/>
  <c r="FO47" i="2"/>
  <c r="DC47" i="2"/>
  <c r="DX47" i="2"/>
  <c r="BN47" i="2"/>
  <c r="DY47" i="2"/>
  <c r="DD47" i="2"/>
  <c r="CI47" i="2"/>
  <c r="CH47" i="2"/>
  <c r="AS47" i="2"/>
  <c r="W47" i="2"/>
  <c r="BM47" i="2"/>
  <c r="AR47" i="2"/>
  <c r="X47" i="2"/>
  <c r="HC47" i="2"/>
  <c r="HF47" i="2"/>
  <c r="GK47" i="2"/>
  <c r="HB47" i="2"/>
  <c r="GS47" i="2"/>
  <c r="GG47" i="2"/>
  <c r="FX47" i="2"/>
  <c r="GH47" i="2"/>
  <c r="FL47" i="2"/>
  <c r="FC47" i="2"/>
  <c r="FW47" i="2"/>
  <c r="FM47" i="2"/>
  <c r="FP47" i="2"/>
  <c r="EU47" i="2"/>
  <c r="EG47" i="2"/>
  <c r="DW47" i="2"/>
  <c r="DB47" i="2"/>
  <c r="DZ47" i="2"/>
  <c r="DL47" i="2"/>
  <c r="DE47" i="2"/>
  <c r="GR47" i="2"/>
  <c r="EQ47" i="2"/>
  <c r="EH47" i="2"/>
  <c r="CJ47" i="2"/>
  <c r="FB47" i="2"/>
  <c r="ER47" i="2"/>
  <c r="DM47" i="2"/>
  <c r="CR47" i="2"/>
  <c r="DV47" i="2"/>
  <c r="BW47" i="2"/>
  <c r="BL47" i="2"/>
  <c r="DA47" i="2"/>
  <c r="CQ47" i="2"/>
  <c r="CF47" i="2"/>
  <c r="BB47" i="2"/>
  <c r="CG47" i="2"/>
  <c r="BV47" i="2"/>
  <c r="BO47" i="2"/>
  <c r="BK47" i="2"/>
  <c r="BA47" i="2"/>
  <c r="AT47" i="2"/>
  <c r="FT45" i="2"/>
  <c r="EY45" i="2"/>
  <c r="GO45" i="2"/>
  <c r="CN45" i="2"/>
  <c r="HJ45" i="2"/>
  <c r="DI45" i="2"/>
  <c r="AQ47" i="2"/>
  <c r="AF47" i="2"/>
  <c r="AP47" i="2"/>
  <c r="AG47" i="2"/>
  <c r="A48" i="2"/>
  <c r="Y47" i="2"/>
  <c r="U47" i="2"/>
  <c r="V47" i="2"/>
  <c r="AB46" i="2"/>
  <c r="AA46" i="2"/>
  <c r="AX43" i="2"/>
  <c r="Z46" i="2"/>
  <c r="AC45" i="2"/>
  <c r="EA47" i="2" l="1"/>
  <c r="HG47" i="2"/>
  <c r="FS47" i="2"/>
  <c r="EC47" i="2"/>
  <c r="EX47" i="2"/>
  <c r="EB47" i="2"/>
  <c r="HH47" i="2"/>
  <c r="HI47" i="2"/>
  <c r="GN47" i="2"/>
  <c r="DF47" i="2"/>
  <c r="DG47" i="2"/>
  <c r="DH47" i="2"/>
  <c r="FR47" i="2"/>
  <c r="FQ47" i="2"/>
  <c r="GM47" i="2"/>
  <c r="GL47" i="2"/>
  <c r="EW47" i="2"/>
  <c r="EV47" i="2"/>
  <c r="CM47" i="2"/>
  <c r="BR47" i="2"/>
  <c r="AV47" i="2"/>
  <c r="AW47" i="2"/>
  <c r="AU47" i="2"/>
  <c r="BP47" i="2"/>
  <c r="BQ47" i="2"/>
  <c r="CK47" i="2"/>
  <c r="CL47" i="2"/>
  <c r="GQ48" i="2"/>
  <c r="GP48" i="2"/>
  <c r="FU48" i="2"/>
  <c r="FV48" i="2"/>
  <c r="FA48" i="2"/>
  <c r="EZ48" i="2"/>
  <c r="EE48" i="2"/>
  <c r="DK48" i="2"/>
  <c r="EF48" i="2"/>
  <c r="CP48" i="2"/>
  <c r="CO48" i="2"/>
  <c r="DJ48" i="2"/>
  <c r="AZ48" i="2"/>
  <c r="AY48" i="2"/>
  <c r="BU48" i="2"/>
  <c r="BT48" i="2"/>
  <c r="AE48" i="2"/>
  <c r="AD48" i="2"/>
  <c r="J48" i="2"/>
  <c r="K48" i="2"/>
  <c r="I48" i="2"/>
  <c r="H85" i="2"/>
  <c r="L48" i="2"/>
  <c r="D86" i="2"/>
  <c r="G86" i="2" s="1"/>
  <c r="HJ46" i="2"/>
  <c r="HD48" i="2"/>
  <c r="HE48" i="2"/>
  <c r="FO48" i="2"/>
  <c r="GJ48" i="2"/>
  <c r="GI48" i="2"/>
  <c r="DY48" i="2"/>
  <c r="ES48" i="2"/>
  <c r="DX48" i="2"/>
  <c r="FN48" i="2"/>
  <c r="ET48" i="2"/>
  <c r="CI48" i="2"/>
  <c r="BM48" i="2"/>
  <c r="DC48" i="2"/>
  <c r="AR48" i="2"/>
  <c r="CH48" i="2"/>
  <c r="BN48" i="2"/>
  <c r="DD48" i="2"/>
  <c r="AS48" i="2"/>
  <c r="X48" i="2"/>
  <c r="W48" i="2"/>
  <c r="HC48" i="2"/>
  <c r="GR48" i="2"/>
  <c r="GK48" i="2"/>
  <c r="HF48" i="2"/>
  <c r="HB48" i="2"/>
  <c r="GS48" i="2"/>
  <c r="FP48" i="2"/>
  <c r="GG48" i="2"/>
  <c r="FX48" i="2"/>
  <c r="GH48" i="2"/>
  <c r="FL48" i="2"/>
  <c r="FC48" i="2"/>
  <c r="FB48" i="2"/>
  <c r="ER48" i="2"/>
  <c r="DV48" i="2"/>
  <c r="DM48" i="2"/>
  <c r="DA48" i="2"/>
  <c r="FW48" i="2"/>
  <c r="EU48" i="2"/>
  <c r="EG48" i="2"/>
  <c r="DW48" i="2"/>
  <c r="DB48" i="2"/>
  <c r="DZ48" i="2"/>
  <c r="DL48" i="2"/>
  <c r="DE48" i="2"/>
  <c r="FM48" i="2"/>
  <c r="EQ48" i="2"/>
  <c r="EH48" i="2"/>
  <c r="CJ48" i="2"/>
  <c r="CQ48" i="2"/>
  <c r="BK48" i="2"/>
  <c r="BW48" i="2"/>
  <c r="BL48" i="2"/>
  <c r="CF48" i="2"/>
  <c r="BB48" i="2"/>
  <c r="CG48" i="2"/>
  <c r="BV48" i="2"/>
  <c r="BO48" i="2"/>
  <c r="CR48" i="2"/>
  <c r="AT48" i="2"/>
  <c r="BA48" i="2"/>
  <c r="DI46" i="2"/>
  <c r="FT46" i="2"/>
  <c r="ED46" i="2"/>
  <c r="CN46" i="2"/>
  <c r="EY46" i="2"/>
  <c r="GO46" i="2"/>
  <c r="AA47" i="2"/>
  <c r="AB47" i="2"/>
  <c r="AQ48" i="2"/>
  <c r="AG48" i="2"/>
  <c r="AF48" i="2"/>
  <c r="AP48" i="2"/>
  <c r="Y48" i="2"/>
  <c r="U48" i="2"/>
  <c r="V48" i="2"/>
  <c r="A49" i="2"/>
  <c r="AX44" i="2"/>
  <c r="Z47" i="2"/>
  <c r="AC46" i="2"/>
  <c r="HI48" i="2" l="1"/>
  <c r="HH48" i="2"/>
  <c r="EC48" i="2"/>
  <c r="HG48" i="2"/>
  <c r="FS48" i="2"/>
  <c r="EX48" i="2"/>
  <c r="EA48" i="2"/>
  <c r="EV48" i="2"/>
  <c r="EB48" i="2"/>
  <c r="EW48" i="2"/>
  <c r="GL48" i="2"/>
  <c r="GM48" i="2"/>
  <c r="GN48" i="2"/>
  <c r="DF48" i="2"/>
  <c r="DG48" i="2"/>
  <c r="DH48" i="2"/>
  <c r="FR48" i="2"/>
  <c r="FQ48" i="2"/>
  <c r="CM48" i="2"/>
  <c r="BR48" i="2"/>
  <c r="BP48" i="2"/>
  <c r="AV48" i="2"/>
  <c r="AU48" i="2"/>
  <c r="AW48" i="2"/>
  <c r="BQ48" i="2"/>
  <c r="CL48" i="2"/>
  <c r="CK48" i="2"/>
  <c r="GQ49" i="2"/>
  <c r="GP49" i="2"/>
  <c r="FU49" i="2"/>
  <c r="FV49" i="2"/>
  <c r="EZ49" i="2"/>
  <c r="EE49" i="2"/>
  <c r="FA49" i="2"/>
  <c r="EF49" i="2"/>
  <c r="DK49" i="2"/>
  <c r="DJ49" i="2"/>
  <c r="CP49" i="2"/>
  <c r="CO49" i="2"/>
  <c r="BU49" i="2"/>
  <c r="BT49" i="2"/>
  <c r="AE49" i="2"/>
  <c r="AD49" i="2"/>
  <c r="AY49" i="2"/>
  <c r="AZ49" i="2"/>
  <c r="J49" i="2"/>
  <c r="I49" i="2"/>
  <c r="K49" i="2"/>
  <c r="H86" i="2"/>
  <c r="L49" i="2"/>
  <c r="D87" i="2"/>
  <c r="G87" i="2" s="1"/>
  <c r="ED47" i="2"/>
  <c r="HJ47" i="2"/>
  <c r="HE49" i="2"/>
  <c r="HD49" i="2"/>
  <c r="GJ49" i="2"/>
  <c r="FO49" i="2"/>
  <c r="FN49" i="2"/>
  <c r="GI49" i="2"/>
  <c r="DY49" i="2"/>
  <c r="DD49" i="2"/>
  <c r="ET49" i="2"/>
  <c r="CH49" i="2"/>
  <c r="AS49" i="2"/>
  <c r="CI49" i="2"/>
  <c r="BM49" i="2"/>
  <c r="X49" i="2"/>
  <c r="AR49" i="2"/>
  <c r="ES49" i="2"/>
  <c r="BN49" i="2"/>
  <c r="DX49" i="2"/>
  <c r="W49" i="2"/>
  <c r="DC49" i="2"/>
  <c r="HF49" i="2"/>
  <c r="HC49" i="2"/>
  <c r="GR49" i="2"/>
  <c r="GK49" i="2"/>
  <c r="FW49" i="2"/>
  <c r="FM49" i="2"/>
  <c r="HB49" i="2"/>
  <c r="GS49" i="2"/>
  <c r="FP49" i="2"/>
  <c r="GG49" i="2"/>
  <c r="FX49" i="2"/>
  <c r="EQ49" i="2"/>
  <c r="EH49" i="2"/>
  <c r="CJ49" i="2"/>
  <c r="FB49" i="2"/>
  <c r="ER49" i="2"/>
  <c r="DV49" i="2"/>
  <c r="DM49" i="2"/>
  <c r="DA49" i="2"/>
  <c r="GH49" i="2"/>
  <c r="FL49" i="2"/>
  <c r="FC49" i="2"/>
  <c r="EU49" i="2"/>
  <c r="EG49" i="2"/>
  <c r="DW49" i="2"/>
  <c r="DB49" i="2"/>
  <c r="DL49" i="2"/>
  <c r="CQ49" i="2"/>
  <c r="DZ49" i="2"/>
  <c r="CR49" i="2"/>
  <c r="DE49" i="2"/>
  <c r="CG49" i="2"/>
  <c r="BV49" i="2"/>
  <c r="BO49" i="2"/>
  <c r="BK49" i="2"/>
  <c r="BW49" i="2"/>
  <c r="BL49" i="2"/>
  <c r="CF49" i="2"/>
  <c r="BB49" i="2"/>
  <c r="BA49" i="2"/>
  <c r="AT49" i="2"/>
  <c r="GO47" i="2"/>
  <c r="EY47" i="2"/>
  <c r="CN47" i="2"/>
  <c r="FT47" i="2"/>
  <c r="DI47" i="2"/>
  <c r="AB48" i="2"/>
  <c r="AP49" i="2"/>
  <c r="AF49" i="2"/>
  <c r="AQ49" i="2"/>
  <c r="AG49" i="2"/>
  <c r="V49" i="2"/>
  <c r="A50" i="2"/>
  <c r="Y49" i="2"/>
  <c r="U49" i="2"/>
  <c r="AA48" i="2"/>
  <c r="AX45" i="2"/>
  <c r="Z48" i="2"/>
  <c r="AC47" i="2"/>
  <c r="HI49" i="2" l="1"/>
  <c r="EC49" i="2"/>
  <c r="EX49" i="2"/>
  <c r="FS49" i="2"/>
  <c r="GM49" i="2"/>
  <c r="GN49" i="2"/>
  <c r="HG49" i="2"/>
  <c r="HH49" i="2"/>
  <c r="DF49" i="2"/>
  <c r="DG49" i="2"/>
  <c r="DH49" i="2"/>
  <c r="FQ49" i="2"/>
  <c r="FR49" i="2"/>
  <c r="CM49" i="2"/>
  <c r="GL49" i="2"/>
  <c r="EW49" i="2"/>
  <c r="EV49" i="2"/>
  <c r="EA49" i="2"/>
  <c r="EB49" i="2"/>
  <c r="BR49" i="2"/>
  <c r="AV49" i="2"/>
  <c r="AW49" i="2"/>
  <c r="AU49" i="2"/>
  <c r="BQ49" i="2"/>
  <c r="BP49" i="2"/>
  <c r="CK49" i="2"/>
  <c r="CL49" i="2"/>
  <c r="GQ50" i="2"/>
  <c r="GP50" i="2"/>
  <c r="FU50" i="2"/>
  <c r="FV50" i="2"/>
  <c r="EZ50" i="2"/>
  <c r="EE50" i="2"/>
  <c r="FA50" i="2"/>
  <c r="EF50" i="2"/>
  <c r="CP50" i="2"/>
  <c r="CO50" i="2"/>
  <c r="DK50" i="2"/>
  <c r="DJ50" i="2"/>
  <c r="AZ50" i="2"/>
  <c r="AY50" i="2"/>
  <c r="BU50" i="2"/>
  <c r="BT50" i="2"/>
  <c r="AE50" i="2"/>
  <c r="AD50" i="2"/>
  <c r="J50" i="2"/>
  <c r="I50" i="2"/>
  <c r="K50" i="2"/>
  <c r="H87" i="2"/>
  <c r="L50" i="2"/>
  <c r="D88" i="2"/>
  <c r="G88" i="2" s="1"/>
  <c r="HD50" i="2"/>
  <c r="HE50" i="2"/>
  <c r="GI50" i="2"/>
  <c r="GJ50" i="2"/>
  <c r="ET50" i="2"/>
  <c r="FN50" i="2"/>
  <c r="DD50" i="2"/>
  <c r="BN50" i="2"/>
  <c r="FO50" i="2"/>
  <c r="CH50" i="2"/>
  <c r="AS50" i="2"/>
  <c r="ES50" i="2"/>
  <c r="DX50" i="2"/>
  <c r="DC50" i="2"/>
  <c r="W50" i="2"/>
  <c r="DY50" i="2"/>
  <c r="X50" i="2"/>
  <c r="BM50" i="2"/>
  <c r="AR50" i="2"/>
  <c r="CI50" i="2"/>
  <c r="HC50" i="2"/>
  <c r="HF50" i="2"/>
  <c r="HB50" i="2"/>
  <c r="GS50" i="2"/>
  <c r="GR50" i="2"/>
  <c r="GH50" i="2"/>
  <c r="FL50" i="2"/>
  <c r="FC50" i="2"/>
  <c r="FW50" i="2"/>
  <c r="FM50" i="2"/>
  <c r="FP50" i="2"/>
  <c r="GK50" i="2"/>
  <c r="FX50" i="2"/>
  <c r="DZ50" i="2"/>
  <c r="DL50" i="2"/>
  <c r="DE50" i="2"/>
  <c r="GG50" i="2"/>
  <c r="EQ50" i="2"/>
  <c r="EH50" i="2"/>
  <c r="CJ50" i="2"/>
  <c r="CR50" i="2"/>
  <c r="FB50" i="2"/>
  <c r="ER50" i="2"/>
  <c r="DV50" i="2"/>
  <c r="DM50" i="2"/>
  <c r="DA50" i="2"/>
  <c r="EU50" i="2"/>
  <c r="DW50" i="2"/>
  <c r="EG50" i="2"/>
  <c r="DB50" i="2"/>
  <c r="CQ50" i="2"/>
  <c r="CF50" i="2"/>
  <c r="BB50" i="2"/>
  <c r="CG50" i="2"/>
  <c r="BV50" i="2"/>
  <c r="BO50" i="2"/>
  <c r="BK50" i="2"/>
  <c r="BW50" i="2"/>
  <c r="BL50" i="2"/>
  <c r="BA50" i="2"/>
  <c r="AT50" i="2"/>
  <c r="CN48" i="2"/>
  <c r="FT48" i="2"/>
  <c r="GO48" i="2"/>
  <c r="HJ48" i="2"/>
  <c r="ED48" i="2"/>
  <c r="DI48" i="2"/>
  <c r="EY48" i="2"/>
  <c r="AB49" i="2"/>
  <c r="AA49" i="2"/>
  <c r="AP50" i="2"/>
  <c r="AF50" i="2"/>
  <c r="AQ50" i="2"/>
  <c r="AG50" i="2"/>
  <c r="Y50" i="2"/>
  <c r="U50" i="2"/>
  <c r="V50" i="2"/>
  <c r="A51" i="2"/>
  <c r="AX46" i="2"/>
  <c r="Z49" i="2"/>
  <c r="AC48" i="2"/>
  <c r="FS50" i="2" l="1"/>
  <c r="EC50" i="2"/>
  <c r="HI50" i="2"/>
  <c r="HG50" i="2"/>
  <c r="EW50" i="2"/>
  <c r="EB50" i="2"/>
  <c r="EA50" i="2"/>
  <c r="EX50" i="2"/>
  <c r="HH50" i="2"/>
  <c r="GM50" i="2"/>
  <c r="GN50" i="2"/>
  <c r="DF50" i="2"/>
  <c r="DG50" i="2"/>
  <c r="DH50" i="2"/>
  <c r="FQ50" i="2"/>
  <c r="FR50" i="2"/>
  <c r="GL50" i="2"/>
  <c r="EV50" i="2"/>
  <c r="CM50" i="2"/>
  <c r="AV50" i="2"/>
  <c r="AU50" i="2"/>
  <c r="AW50" i="2"/>
  <c r="BR50" i="2"/>
  <c r="BP50" i="2"/>
  <c r="BQ50" i="2"/>
  <c r="CL50" i="2"/>
  <c r="CK50" i="2"/>
  <c r="GQ51" i="2"/>
  <c r="GP51" i="2"/>
  <c r="FU51" i="2"/>
  <c r="FV51" i="2"/>
  <c r="FA51" i="2"/>
  <c r="EZ51" i="2"/>
  <c r="EF51" i="2"/>
  <c r="EE51" i="2"/>
  <c r="DK51" i="2"/>
  <c r="DJ51" i="2"/>
  <c r="CP51" i="2"/>
  <c r="CO51" i="2"/>
  <c r="BU51" i="2"/>
  <c r="AY51" i="2"/>
  <c r="AE51" i="2"/>
  <c r="BT51" i="2"/>
  <c r="AZ51" i="2"/>
  <c r="K51" i="2"/>
  <c r="AD51" i="2"/>
  <c r="J51" i="2"/>
  <c r="I51" i="2"/>
  <c r="H88" i="2"/>
  <c r="L51" i="2"/>
  <c r="D89" i="2"/>
  <c r="G89" i="2" s="1"/>
  <c r="GO49" i="2"/>
  <c r="CN49" i="2"/>
  <c r="HD51" i="2"/>
  <c r="HE51" i="2"/>
  <c r="GI51" i="2"/>
  <c r="FO51" i="2"/>
  <c r="ES51" i="2"/>
  <c r="ET51" i="2"/>
  <c r="GJ51" i="2"/>
  <c r="DY51" i="2"/>
  <c r="DX51" i="2"/>
  <c r="DC51" i="2"/>
  <c r="DD51" i="2"/>
  <c r="BN51" i="2"/>
  <c r="FN51" i="2"/>
  <c r="CI51" i="2"/>
  <c r="BM51" i="2"/>
  <c r="W51" i="2"/>
  <c r="AS51" i="2"/>
  <c r="CH51" i="2"/>
  <c r="X51" i="2"/>
  <c r="AR51" i="2"/>
  <c r="HC51" i="2"/>
  <c r="HF51" i="2"/>
  <c r="GK51" i="2"/>
  <c r="HB51" i="2"/>
  <c r="GS51" i="2"/>
  <c r="GR51" i="2"/>
  <c r="GG51" i="2"/>
  <c r="FX51" i="2"/>
  <c r="GH51" i="2"/>
  <c r="FL51" i="2"/>
  <c r="FC51" i="2"/>
  <c r="FW51" i="2"/>
  <c r="FM51" i="2"/>
  <c r="EU51" i="2"/>
  <c r="EG51" i="2"/>
  <c r="DW51" i="2"/>
  <c r="DB51" i="2"/>
  <c r="FP51" i="2"/>
  <c r="DZ51" i="2"/>
  <c r="DL51" i="2"/>
  <c r="DE51" i="2"/>
  <c r="EQ51" i="2"/>
  <c r="EH51" i="2"/>
  <c r="CJ51" i="2"/>
  <c r="CR51" i="2"/>
  <c r="FB51" i="2"/>
  <c r="DV51" i="2"/>
  <c r="DA51" i="2"/>
  <c r="ER51" i="2"/>
  <c r="DM51" i="2"/>
  <c r="BW51" i="2"/>
  <c r="BL51" i="2"/>
  <c r="CF51" i="2"/>
  <c r="BB51" i="2"/>
  <c r="CQ51" i="2"/>
  <c r="CG51" i="2"/>
  <c r="BV51" i="2"/>
  <c r="BO51" i="2"/>
  <c r="BK51" i="2"/>
  <c r="BA51" i="2"/>
  <c r="AT51" i="2"/>
  <c r="DI49" i="2"/>
  <c r="HJ49" i="2"/>
  <c r="FT49" i="2"/>
  <c r="EY49" i="2"/>
  <c r="ED49" i="2"/>
  <c r="AB50" i="2"/>
  <c r="AQ51" i="2"/>
  <c r="AP51" i="2"/>
  <c r="AF51" i="2"/>
  <c r="AG51" i="2"/>
  <c r="V51" i="2"/>
  <c r="U51" i="2"/>
  <c r="A52" i="2"/>
  <c r="Y51" i="2"/>
  <c r="AA50" i="2"/>
  <c r="AX47" i="2"/>
  <c r="Z50" i="2"/>
  <c r="AC49" i="2"/>
  <c r="EX51" i="2" l="1"/>
  <c r="EA51" i="2"/>
  <c r="EB51" i="2"/>
  <c r="HI51" i="2"/>
  <c r="FS51" i="2"/>
  <c r="AW51" i="2"/>
  <c r="EV51" i="2"/>
  <c r="EC51" i="2"/>
  <c r="GM51" i="2"/>
  <c r="GN51" i="2"/>
  <c r="HH51" i="2"/>
  <c r="HG51" i="2"/>
  <c r="DG51" i="2"/>
  <c r="DF51" i="2"/>
  <c r="DH51" i="2"/>
  <c r="FQ51" i="2"/>
  <c r="FR51" i="2"/>
  <c r="GL51" i="2"/>
  <c r="EW51" i="2"/>
  <c r="CM51" i="2"/>
  <c r="BR51" i="2"/>
  <c r="AV51" i="2"/>
  <c r="AU51" i="2"/>
  <c r="BQ51" i="2"/>
  <c r="BP51" i="2"/>
  <c r="CK51" i="2"/>
  <c r="CL51" i="2"/>
  <c r="GQ52" i="2"/>
  <c r="GP52" i="2"/>
  <c r="FU52" i="2"/>
  <c r="FV52" i="2"/>
  <c r="FA52" i="2"/>
  <c r="EZ52" i="2"/>
  <c r="EF52" i="2"/>
  <c r="EE52" i="2"/>
  <c r="DK52" i="2"/>
  <c r="DJ52" i="2"/>
  <c r="CP52" i="2"/>
  <c r="CO52" i="2"/>
  <c r="AZ52" i="2"/>
  <c r="AY52" i="2"/>
  <c r="BU52" i="2"/>
  <c r="BT52" i="2"/>
  <c r="AE52" i="2"/>
  <c r="AD52" i="2"/>
  <c r="K52" i="2"/>
  <c r="I52" i="2"/>
  <c r="J52" i="2"/>
  <c r="H89" i="2"/>
  <c r="L52" i="2"/>
  <c r="D90" i="2"/>
  <c r="G90" i="2" s="1"/>
  <c r="HD52" i="2"/>
  <c r="FO52" i="2"/>
  <c r="HE52" i="2"/>
  <c r="GJ52" i="2"/>
  <c r="DY52" i="2"/>
  <c r="ES52" i="2"/>
  <c r="DX52" i="2"/>
  <c r="CI52" i="2"/>
  <c r="BM52" i="2"/>
  <c r="ET52" i="2"/>
  <c r="DC52" i="2"/>
  <c r="CH52" i="2"/>
  <c r="BN52" i="2"/>
  <c r="AS52" i="2"/>
  <c r="AR52" i="2"/>
  <c r="GI52" i="2"/>
  <c r="FN52" i="2"/>
  <c r="DD52" i="2"/>
  <c r="X52" i="2"/>
  <c r="W52" i="2"/>
  <c r="HC52" i="2"/>
  <c r="GR52" i="2"/>
  <c r="GK52" i="2"/>
  <c r="HB52" i="2"/>
  <c r="GS52" i="2"/>
  <c r="FP52" i="2"/>
  <c r="GG52" i="2"/>
  <c r="FX52" i="2"/>
  <c r="HF52" i="2"/>
  <c r="GH52" i="2"/>
  <c r="FL52" i="2"/>
  <c r="FC52" i="2"/>
  <c r="FM52" i="2"/>
  <c r="FB52" i="2"/>
  <c r="ER52" i="2"/>
  <c r="DV52" i="2"/>
  <c r="DM52" i="2"/>
  <c r="DA52" i="2"/>
  <c r="EU52" i="2"/>
  <c r="EG52" i="2"/>
  <c r="DW52" i="2"/>
  <c r="DB52" i="2"/>
  <c r="FW52" i="2"/>
  <c r="DZ52" i="2"/>
  <c r="DL52" i="2"/>
  <c r="DE52" i="2"/>
  <c r="EQ52" i="2"/>
  <c r="EH52" i="2"/>
  <c r="CQ52" i="2"/>
  <c r="CJ52" i="2"/>
  <c r="BK52" i="2"/>
  <c r="CR52" i="2"/>
  <c r="BW52" i="2"/>
  <c r="BL52" i="2"/>
  <c r="CF52" i="2"/>
  <c r="BB52" i="2"/>
  <c r="CG52" i="2"/>
  <c r="BV52" i="2"/>
  <c r="BO52" i="2"/>
  <c r="BA52" i="2"/>
  <c r="AT52" i="2"/>
  <c r="EY50" i="2"/>
  <c r="FT50" i="2"/>
  <c r="CN50" i="2"/>
  <c r="DI50" i="2"/>
  <c r="GO50" i="2"/>
  <c r="ED50" i="2"/>
  <c r="HJ50" i="2"/>
  <c r="AA51" i="2"/>
  <c r="AQ52" i="2"/>
  <c r="AG52" i="2"/>
  <c r="AP52" i="2"/>
  <c r="AF52" i="2"/>
  <c r="U52" i="2"/>
  <c r="V52" i="2"/>
  <c r="Y52" i="2"/>
  <c r="A53" i="2"/>
  <c r="AB51" i="2"/>
  <c r="AX48" i="2"/>
  <c r="Z51" i="2"/>
  <c r="AC50" i="2"/>
  <c r="EB52" i="2" l="1"/>
  <c r="EV52" i="2"/>
  <c r="HI52" i="2"/>
  <c r="EX52" i="2"/>
  <c r="EC52" i="2"/>
  <c r="HG52" i="2"/>
  <c r="AU52" i="2"/>
  <c r="FS52" i="2"/>
  <c r="EA52" i="2"/>
  <c r="GN52" i="2"/>
  <c r="GM52" i="2"/>
  <c r="HH52" i="2"/>
  <c r="DH52" i="2"/>
  <c r="DF52" i="2"/>
  <c r="DG52" i="2"/>
  <c r="FR52" i="2"/>
  <c r="FQ52" i="2"/>
  <c r="GL52" i="2"/>
  <c r="EW52" i="2"/>
  <c r="BR52" i="2"/>
  <c r="CM52" i="2"/>
  <c r="AV52" i="2"/>
  <c r="AW52" i="2"/>
  <c r="BQ52" i="2"/>
  <c r="BP52" i="2"/>
  <c r="CL52" i="2"/>
  <c r="CK52" i="2"/>
  <c r="GQ53" i="2"/>
  <c r="GP53" i="2"/>
  <c r="FU53" i="2"/>
  <c r="FV53" i="2"/>
  <c r="FA53" i="2"/>
  <c r="EZ53" i="2"/>
  <c r="EF53" i="2"/>
  <c r="EE53" i="2"/>
  <c r="DK53" i="2"/>
  <c r="DJ53" i="2"/>
  <c r="BU53" i="2"/>
  <c r="BT53" i="2"/>
  <c r="CP53" i="2"/>
  <c r="CO53" i="2"/>
  <c r="AY53" i="2"/>
  <c r="AE53" i="2"/>
  <c r="AD53" i="2"/>
  <c r="AZ53" i="2"/>
  <c r="J53" i="2"/>
  <c r="K53" i="2"/>
  <c r="I53" i="2"/>
  <c r="H90" i="2"/>
  <c r="L53" i="2"/>
  <c r="D91" i="2"/>
  <c r="G91" i="2" s="1"/>
  <c r="HE53" i="2"/>
  <c r="GJ53" i="2"/>
  <c r="HD53" i="2"/>
  <c r="GI53" i="2"/>
  <c r="FO53" i="2"/>
  <c r="FN53" i="2"/>
  <c r="DY53" i="2"/>
  <c r="ET53" i="2"/>
  <c r="ES53" i="2"/>
  <c r="DD53" i="2"/>
  <c r="CH53" i="2"/>
  <c r="AS53" i="2"/>
  <c r="DX53" i="2"/>
  <c r="CI53" i="2"/>
  <c r="BM53" i="2"/>
  <c r="X53" i="2"/>
  <c r="DC53" i="2"/>
  <c r="BN53" i="2"/>
  <c r="AR53" i="2"/>
  <c r="W53" i="2"/>
  <c r="HF53" i="2"/>
  <c r="GR53" i="2"/>
  <c r="HC53" i="2"/>
  <c r="GK53" i="2"/>
  <c r="FW53" i="2"/>
  <c r="FM53" i="2"/>
  <c r="FP53" i="2"/>
  <c r="HB53" i="2"/>
  <c r="GS53" i="2"/>
  <c r="GG53" i="2"/>
  <c r="FX53" i="2"/>
  <c r="EQ53" i="2"/>
  <c r="EH53" i="2"/>
  <c r="CJ53" i="2"/>
  <c r="FB53" i="2"/>
  <c r="ER53" i="2"/>
  <c r="DV53" i="2"/>
  <c r="DM53" i="2"/>
  <c r="DA53" i="2"/>
  <c r="EU53" i="2"/>
  <c r="EG53" i="2"/>
  <c r="DW53" i="2"/>
  <c r="DB53" i="2"/>
  <c r="GH53" i="2"/>
  <c r="FL53" i="2"/>
  <c r="FC53" i="2"/>
  <c r="DZ53" i="2"/>
  <c r="DE53" i="2"/>
  <c r="DL53" i="2"/>
  <c r="CQ53" i="2"/>
  <c r="CG53" i="2"/>
  <c r="BV53" i="2"/>
  <c r="BO53" i="2"/>
  <c r="BK53" i="2"/>
  <c r="BW53" i="2"/>
  <c r="BL53" i="2"/>
  <c r="CF53" i="2"/>
  <c r="BB53" i="2"/>
  <c r="BA53" i="2"/>
  <c r="AT53" i="2"/>
  <c r="CR53" i="2"/>
  <c r="HJ51" i="2"/>
  <c r="DI51" i="2"/>
  <c r="EY51" i="2"/>
  <c r="ED51" i="2"/>
  <c r="GO51" i="2"/>
  <c r="CN51" i="2"/>
  <c r="FT51" i="2"/>
  <c r="AA52" i="2"/>
  <c r="AB52" i="2"/>
  <c r="AQ53" i="2"/>
  <c r="AG53" i="2"/>
  <c r="AP53" i="2"/>
  <c r="AF53" i="2"/>
  <c r="Y53" i="2"/>
  <c r="U53" i="2"/>
  <c r="A54" i="2"/>
  <c r="V53" i="2"/>
  <c r="AX49" i="2"/>
  <c r="Z52" i="2"/>
  <c r="AC51" i="2"/>
  <c r="EA53" i="2" l="1"/>
  <c r="HG53" i="2"/>
  <c r="EC53" i="2"/>
  <c r="EX53" i="2"/>
  <c r="FS53" i="2"/>
  <c r="DG53" i="2"/>
  <c r="DF53" i="2"/>
  <c r="EV53" i="2"/>
  <c r="EW53" i="2"/>
  <c r="EB53" i="2"/>
  <c r="HI53" i="2"/>
  <c r="GL53" i="2"/>
  <c r="GM53" i="2"/>
  <c r="GN53" i="2"/>
  <c r="HH53" i="2"/>
  <c r="DH53" i="2"/>
  <c r="FQ53" i="2"/>
  <c r="FR53" i="2"/>
  <c r="AW53" i="2"/>
  <c r="CM53" i="2"/>
  <c r="BQ53" i="2"/>
  <c r="AV53" i="2"/>
  <c r="AU53" i="2"/>
  <c r="BR53" i="2"/>
  <c r="BP53" i="2"/>
  <c r="CK53" i="2"/>
  <c r="CL53" i="2"/>
  <c r="GQ54" i="2"/>
  <c r="GP54" i="2"/>
  <c r="FU54" i="2"/>
  <c r="EZ54" i="2"/>
  <c r="FV54" i="2"/>
  <c r="FA54" i="2"/>
  <c r="EF54" i="2"/>
  <c r="CP54" i="2"/>
  <c r="CO54" i="2"/>
  <c r="DK54" i="2"/>
  <c r="EE54" i="2"/>
  <c r="DJ54" i="2"/>
  <c r="BU54" i="2"/>
  <c r="BT54" i="2"/>
  <c r="AZ54" i="2"/>
  <c r="AY54" i="2"/>
  <c r="AE54" i="2"/>
  <c r="AD54" i="2"/>
  <c r="K54" i="2"/>
  <c r="J54" i="2"/>
  <c r="I54" i="2"/>
  <c r="H91" i="2"/>
  <c r="L54" i="2"/>
  <c r="D92" i="2"/>
  <c r="G92" i="2" s="1"/>
  <c r="FT52" i="2"/>
  <c r="ED52" i="2"/>
  <c r="HD54" i="2"/>
  <c r="HE54" i="2"/>
  <c r="GI54" i="2"/>
  <c r="GJ54" i="2"/>
  <c r="ET54" i="2"/>
  <c r="FO54" i="2"/>
  <c r="FN54" i="2"/>
  <c r="DY54" i="2"/>
  <c r="ES54" i="2"/>
  <c r="BN54" i="2"/>
  <c r="CH54" i="2"/>
  <c r="AS54" i="2"/>
  <c r="W54" i="2"/>
  <c r="DX54" i="2"/>
  <c r="CI54" i="2"/>
  <c r="BM54" i="2"/>
  <c r="X54" i="2"/>
  <c r="DC54" i="2"/>
  <c r="AR54" i="2"/>
  <c r="DD54" i="2"/>
  <c r="HC54" i="2"/>
  <c r="HF54" i="2"/>
  <c r="HB54" i="2"/>
  <c r="GS54" i="2"/>
  <c r="GR54" i="2"/>
  <c r="GK54" i="2"/>
  <c r="GH54" i="2"/>
  <c r="FL54" i="2"/>
  <c r="FC54" i="2"/>
  <c r="FW54" i="2"/>
  <c r="FM54" i="2"/>
  <c r="FP54" i="2"/>
  <c r="DZ54" i="2"/>
  <c r="DL54" i="2"/>
  <c r="DE54" i="2"/>
  <c r="FX54" i="2"/>
  <c r="EQ54" i="2"/>
  <c r="EH54" i="2"/>
  <c r="CJ54" i="2"/>
  <c r="GG54" i="2"/>
  <c r="FB54" i="2"/>
  <c r="ER54" i="2"/>
  <c r="DV54" i="2"/>
  <c r="DM54" i="2"/>
  <c r="DA54" i="2"/>
  <c r="EG54" i="2"/>
  <c r="EU54" i="2"/>
  <c r="CR54" i="2"/>
  <c r="DW54" i="2"/>
  <c r="CQ54" i="2"/>
  <c r="CF54" i="2"/>
  <c r="BB54" i="2"/>
  <c r="CG54" i="2"/>
  <c r="BV54" i="2"/>
  <c r="BO54" i="2"/>
  <c r="BK54" i="2"/>
  <c r="DB54" i="2"/>
  <c r="BW54" i="2"/>
  <c r="BL54" i="2"/>
  <c r="BA54" i="2"/>
  <c r="AT54" i="2"/>
  <c r="CN52" i="2"/>
  <c r="GO52" i="2"/>
  <c r="EY52" i="2"/>
  <c r="DI52" i="2"/>
  <c r="HJ52" i="2"/>
  <c r="AB53" i="2"/>
  <c r="AA53" i="2"/>
  <c r="AP54" i="2"/>
  <c r="AF54" i="2"/>
  <c r="AG54" i="2"/>
  <c r="AQ54" i="2"/>
  <c r="A55" i="2"/>
  <c r="Y54" i="2"/>
  <c r="U54" i="2"/>
  <c r="V54" i="2"/>
  <c r="AX50" i="2"/>
  <c r="Z53" i="2"/>
  <c r="AC52" i="2"/>
  <c r="EX54" i="2" l="1"/>
  <c r="EC54" i="2"/>
  <c r="HI54" i="2"/>
  <c r="EV54" i="2"/>
  <c r="FS54" i="2"/>
  <c r="GM54" i="2"/>
  <c r="GL54" i="2"/>
  <c r="GN54" i="2"/>
  <c r="HH54" i="2"/>
  <c r="HG54" i="2"/>
  <c r="DF54" i="2"/>
  <c r="DG54" i="2"/>
  <c r="DH54" i="2"/>
  <c r="FQ54" i="2"/>
  <c r="FR54" i="2"/>
  <c r="EW54" i="2"/>
  <c r="EB54" i="2"/>
  <c r="EA54" i="2"/>
  <c r="CM54" i="2"/>
  <c r="BR54" i="2"/>
  <c r="AV54" i="2"/>
  <c r="AU54" i="2"/>
  <c r="AW54" i="2"/>
  <c r="BQ54" i="2"/>
  <c r="BP54" i="2"/>
  <c r="CK54" i="2"/>
  <c r="CL54" i="2"/>
  <c r="GQ55" i="2"/>
  <c r="GP55" i="2"/>
  <c r="FU55" i="2"/>
  <c r="FV55" i="2"/>
  <c r="FA55" i="2"/>
  <c r="EZ55" i="2"/>
  <c r="EF55" i="2"/>
  <c r="EE55" i="2"/>
  <c r="DK55" i="2"/>
  <c r="DJ55" i="2"/>
  <c r="CP55" i="2"/>
  <c r="CO55" i="2"/>
  <c r="AZ55" i="2"/>
  <c r="BU55" i="2"/>
  <c r="BT55" i="2"/>
  <c r="AY55" i="2"/>
  <c r="AE55" i="2"/>
  <c r="AD55" i="2"/>
  <c r="K55" i="2"/>
  <c r="J55" i="2"/>
  <c r="I55" i="2"/>
  <c r="H92" i="2"/>
  <c r="L55" i="2"/>
  <c r="D93" i="2"/>
  <c r="G93" i="2" s="1"/>
  <c r="HJ53" i="2"/>
  <c r="EY53" i="2"/>
  <c r="FT53" i="2"/>
  <c r="HD55" i="2"/>
  <c r="HE55" i="2"/>
  <c r="GI55" i="2"/>
  <c r="GJ55" i="2"/>
  <c r="ES55" i="2"/>
  <c r="ET55" i="2"/>
  <c r="FO55" i="2"/>
  <c r="FN55" i="2"/>
  <c r="DD55" i="2"/>
  <c r="DC55" i="2"/>
  <c r="DY55" i="2"/>
  <c r="BN55" i="2"/>
  <c r="CH55" i="2"/>
  <c r="AS55" i="2"/>
  <c r="W55" i="2"/>
  <c r="DX55" i="2"/>
  <c r="CI55" i="2"/>
  <c r="BM55" i="2"/>
  <c r="AR55" i="2"/>
  <c r="X55" i="2"/>
  <c r="HC55" i="2"/>
  <c r="HI55" i="2" s="1"/>
  <c r="HF55" i="2"/>
  <c r="GK55" i="2"/>
  <c r="HB55" i="2"/>
  <c r="GS55" i="2"/>
  <c r="GG55" i="2"/>
  <c r="FX55" i="2"/>
  <c r="GR55" i="2"/>
  <c r="GH55" i="2"/>
  <c r="FL55" i="2"/>
  <c r="FC55" i="2"/>
  <c r="FW55" i="2"/>
  <c r="FM55" i="2"/>
  <c r="EU55" i="2"/>
  <c r="EG55" i="2"/>
  <c r="DW55" i="2"/>
  <c r="DB55" i="2"/>
  <c r="DZ55" i="2"/>
  <c r="DL55" i="2"/>
  <c r="DE55" i="2"/>
  <c r="CR55" i="2"/>
  <c r="FP55" i="2"/>
  <c r="EQ55" i="2"/>
  <c r="EH55" i="2"/>
  <c r="CJ55" i="2"/>
  <c r="FB55" i="2"/>
  <c r="DV55" i="2"/>
  <c r="DA55" i="2"/>
  <c r="ER55" i="2"/>
  <c r="BW55" i="2"/>
  <c r="BL55" i="2"/>
  <c r="DM55" i="2"/>
  <c r="CF55" i="2"/>
  <c r="BB55" i="2"/>
  <c r="CG55" i="2"/>
  <c r="BV55" i="2"/>
  <c r="BO55" i="2"/>
  <c r="CQ55" i="2"/>
  <c r="BK55" i="2"/>
  <c r="BA55" i="2"/>
  <c r="AT55" i="2"/>
  <c r="CN53" i="2"/>
  <c r="ED53" i="2"/>
  <c r="DI53" i="2"/>
  <c r="GO53" i="2"/>
  <c r="AA54" i="2"/>
  <c r="AQ55" i="2"/>
  <c r="AG55" i="2"/>
  <c r="AF55" i="2"/>
  <c r="AP55" i="2"/>
  <c r="A56" i="2"/>
  <c r="Y55" i="2"/>
  <c r="V55" i="2"/>
  <c r="U55" i="2"/>
  <c r="AB54" i="2"/>
  <c r="AX51" i="2"/>
  <c r="Z54" i="2"/>
  <c r="AC53" i="2"/>
  <c r="EX55" i="2" l="1"/>
  <c r="FS55" i="2"/>
  <c r="EA55" i="2"/>
  <c r="EV55" i="2"/>
  <c r="EC55" i="2"/>
  <c r="EW55" i="2"/>
  <c r="HH55" i="2"/>
  <c r="HG55" i="2"/>
  <c r="GN55" i="2"/>
  <c r="GM55" i="2"/>
  <c r="GL55" i="2"/>
  <c r="DG55" i="2"/>
  <c r="DF55" i="2"/>
  <c r="DH55" i="2"/>
  <c r="FQ55" i="2"/>
  <c r="FR55" i="2"/>
  <c r="EB55" i="2"/>
  <c r="BR55" i="2"/>
  <c r="CM55" i="2"/>
  <c r="AV55" i="2"/>
  <c r="AW55" i="2"/>
  <c r="AU55" i="2"/>
  <c r="BQ55" i="2"/>
  <c r="BP55" i="2"/>
  <c r="CL55" i="2"/>
  <c r="CK55" i="2"/>
  <c r="GQ56" i="2"/>
  <c r="GP56" i="2"/>
  <c r="FU56" i="2"/>
  <c r="FV56" i="2"/>
  <c r="EZ56" i="2"/>
  <c r="FA56" i="2"/>
  <c r="EF56" i="2"/>
  <c r="DJ56" i="2"/>
  <c r="CP56" i="2"/>
  <c r="CO56" i="2"/>
  <c r="DK56" i="2"/>
  <c r="EE56" i="2"/>
  <c r="AZ56" i="2"/>
  <c r="AY56" i="2"/>
  <c r="BU56" i="2"/>
  <c r="BT56" i="2"/>
  <c r="AE56" i="2"/>
  <c r="AD56" i="2"/>
  <c r="K56" i="2"/>
  <c r="J56" i="2"/>
  <c r="I56" i="2"/>
  <c r="H93" i="2"/>
  <c r="L56" i="2"/>
  <c r="D94" i="2"/>
  <c r="G94" i="2" s="1"/>
  <c r="ED54" i="2"/>
  <c r="GO54" i="2"/>
  <c r="DI54" i="2"/>
  <c r="CN54" i="2"/>
  <c r="HJ54" i="2"/>
  <c r="HD56" i="2"/>
  <c r="FO56" i="2"/>
  <c r="GJ56" i="2"/>
  <c r="GI56" i="2"/>
  <c r="DY56" i="2"/>
  <c r="HE56" i="2"/>
  <c r="ES56" i="2"/>
  <c r="DX56" i="2"/>
  <c r="FN56" i="2"/>
  <c r="ET56" i="2"/>
  <c r="CI56" i="2"/>
  <c r="BM56" i="2"/>
  <c r="DD56" i="2"/>
  <c r="DC56" i="2"/>
  <c r="AR56" i="2"/>
  <c r="AS56" i="2"/>
  <c r="CH56" i="2"/>
  <c r="BN56" i="2"/>
  <c r="X56" i="2"/>
  <c r="W56" i="2"/>
  <c r="HC56" i="2"/>
  <c r="HF56" i="2"/>
  <c r="GR56" i="2"/>
  <c r="GK56" i="2"/>
  <c r="HB56" i="2"/>
  <c r="GS56" i="2"/>
  <c r="FP56" i="2"/>
  <c r="GG56" i="2"/>
  <c r="FX56" i="2"/>
  <c r="GH56" i="2"/>
  <c r="FL56" i="2"/>
  <c r="FC56" i="2"/>
  <c r="FB56" i="2"/>
  <c r="ER56" i="2"/>
  <c r="DV56" i="2"/>
  <c r="DM56" i="2"/>
  <c r="DA56" i="2"/>
  <c r="FM56" i="2"/>
  <c r="EU56" i="2"/>
  <c r="EG56" i="2"/>
  <c r="DW56" i="2"/>
  <c r="DB56" i="2"/>
  <c r="DZ56" i="2"/>
  <c r="DL56" i="2"/>
  <c r="DE56" i="2"/>
  <c r="CR56" i="2"/>
  <c r="FW56" i="2"/>
  <c r="CQ56" i="2"/>
  <c r="EQ56" i="2"/>
  <c r="EH56" i="2"/>
  <c r="CJ56" i="2"/>
  <c r="BK56" i="2"/>
  <c r="BW56" i="2"/>
  <c r="BL56" i="2"/>
  <c r="CF56" i="2"/>
  <c r="BB56" i="2"/>
  <c r="CG56" i="2"/>
  <c r="BV56" i="2"/>
  <c r="BO56" i="2"/>
  <c r="AT56" i="2"/>
  <c r="BA56" i="2"/>
  <c r="FT54" i="2"/>
  <c r="EY54" i="2"/>
  <c r="AA55" i="2"/>
  <c r="AQ56" i="2"/>
  <c r="AG56" i="2"/>
  <c r="AP56" i="2"/>
  <c r="AF56" i="2"/>
  <c r="Y56" i="2"/>
  <c r="A57" i="2"/>
  <c r="U56" i="2"/>
  <c r="V56" i="2"/>
  <c r="AB55" i="2"/>
  <c r="AX52" i="2"/>
  <c r="Z55" i="2"/>
  <c r="AC54" i="2"/>
  <c r="HG56" i="2" l="1"/>
  <c r="FS56" i="2"/>
  <c r="EC56" i="2"/>
  <c r="HI56" i="2"/>
  <c r="FQ56" i="2"/>
  <c r="HH56" i="2"/>
  <c r="EX56" i="2"/>
  <c r="EA56" i="2"/>
  <c r="EB56" i="2"/>
  <c r="GN56" i="2"/>
  <c r="DF56" i="2"/>
  <c r="DG56" i="2"/>
  <c r="DH56" i="2"/>
  <c r="FR56" i="2"/>
  <c r="GL56" i="2"/>
  <c r="GM56" i="2"/>
  <c r="EV56" i="2"/>
  <c r="EW56" i="2"/>
  <c r="CM56" i="2"/>
  <c r="AV56" i="2"/>
  <c r="AU56" i="2"/>
  <c r="AW56" i="2"/>
  <c r="BR56" i="2"/>
  <c r="BP56" i="2"/>
  <c r="BQ56" i="2"/>
  <c r="CL56" i="2"/>
  <c r="CK56" i="2"/>
  <c r="GQ57" i="2"/>
  <c r="GP57" i="2"/>
  <c r="FU57" i="2"/>
  <c r="FV57" i="2"/>
  <c r="FA57" i="2"/>
  <c r="EF57" i="2"/>
  <c r="EZ57" i="2"/>
  <c r="EE57" i="2"/>
  <c r="DJ57" i="2"/>
  <c r="DK57" i="2"/>
  <c r="CO57" i="2"/>
  <c r="CP57" i="2"/>
  <c r="BU57" i="2"/>
  <c r="BT57" i="2"/>
  <c r="AE57" i="2"/>
  <c r="AD57" i="2"/>
  <c r="AZ57" i="2"/>
  <c r="AY57" i="2"/>
  <c r="J57" i="2"/>
  <c r="K57" i="2"/>
  <c r="I57" i="2"/>
  <c r="H94" i="2"/>
  <c r="L57" i="2"/>
  <c r="D95" i="2"/>
  <c r="G95" i="2" s="1"/>
  <c r="HJ55" i="2"/>
  <c r="CN55" i="2"/>
  <c r="EY55" i="2"/>
  <c r="GO55" i="2"/>
  <c r="ED55" i="2"/>
  <c r="HE57" i="2"/>
  <c r="GJ57" i="2"/>
  <c r="FO57" i="2"/>
  <c r="HD57" i="2"/>
  <c r="FN57" i="2"/>
  <c r="DY57" i="2"/>
  <c r="GI57" i="2"/>
  <c r="DD57" i="2"/>
  <c r="ES57" i="2"/>
  <c r="DX57" i="2"/>
  <c r="CH57" i="2"/>
  <c r="AS57" i="2"/>
  <c r="CI57" i="2"/>
  <c r="BM57" i="2"/>
  <c r="X57" i="2"/>
  <c r="ET57" i="2"/>
  <c r="AR57" i="2"/>
  <c r="DC57" i="2"/>
  <c r="BN57" i="2"/>
  <c r="W57" i="2"/>
  <c r="HF57" i="2"/>
  <c r="GR57" i="2"/>
  <c r="GK57" i="2"/>
  <c r="FW57" i="2"/>
  <c r="FM57" i="2"/>
  <c r="HC57" i="2"/>
  <c r="FP57" i="2"/>
  <c r="GG57" i="2"/>
  <c r="FX57" i="2"/>
  <c r="HB57" i="2"/>
  <c r="GS57" i="2"/>
  <c r="GH57" i="2"/>
  <c r="FL57" i="2"/>
  <c r="FC57" i="2"/>
  <c r="EQ57" i="2"/>
  <c r="EH57" i="2"/>
  <c r="CJ57" i="2"/>
  <c r="FB57" i="2"/>
  <c r="ER57" i="2"/>
  <c r="DV57" i="2"/>
  <c r="DM57" i="2"/>
  <c r="DA57" i="2"/>
  <c r="EU57" i="2"/>
  <c r="EG57" i="2"/>
  <c r="DW57" i="2"/>
  <c r="DB57" i="2"/>
  <c r="DZ57" i="2"/>
  <c r="DE57" i="2"/>
  <c r="CR57" i="2"/>
  <c r="CQ57" i="2"/>
  <c r="DL57" i="2"/>
  <c r="CG57" i="2"/>
  <c r="BV57" i="2"/>
  <c r="BO57" i="2"/>
  <c r="BK57" i="2"/>
  <c r="BW57" i="2"/>
  <c r="BL57" i="2"/>
  <c r="CF57" i="2"/>
  <c r="BB57" i="2"/>
  <c r="BA57" i="2"/>
  <c r="AT57" i="2"/>
  <c r="FT55" i="2"/>
  <c r="DI55" i="2"/>
  <c r="AA56" i="2"/>
  <c r="AP57" i="2"/>
  <c r="AF57" i="2"/>
  <c r="AQ57" i="2"/>
  <c r="AG57" i="2"/>
  <c r="A58" i="2"/>
  <c r="V57" i="2"/>
  <c r="Y57" i="2"/>
  <c r="U57" i="2"/>
  <c r="AB56" i="2"/>
  <c r="AX53" i="2"/>
  <c r="Z56" i="2"/>
  <c r="AC55" i="2"/>
  <c r="HI57" i="2" l="1"/>
  <c r="EB57" i="2"/>
  <c r="HG57" i="2"/>
  <c r="FS57" i="2"/>
  <c r="EV57" i="2"/>
  <c r="HH57" i="2"/>
  <c r="EC57" i="2"/>
  <c r="EX57" i="2"/>
  <c r="GN57" i="2"/>
  <c r="DF57" i="2"/>
  <c r="DG57" i="2"/>
  <c r="DH57" i="2"/>
  <c r="FR57" i="2"/>
  <c r="FQ57" i="2"/>
  <c r="GM57" i="2"/>
  <c r="GL57" i="2"/>
  <c r="EW57" i="2"/>
  <c r="EA57" i="2"/>
  <c r="CM57" i="2"/>
  <c r="BR57" i="2"/>
  <c r="AV57" i="2"/>
  <c r="AW57" i="2"/>
  <c r="AU57" i="2"/>
  <c r="BP57" i="2"/>
  <c r="BQ57" i="2"/>
  <c r="CL57" i="2"/>
  <c r="CK57" i="2"/>
  <c r="GQ58" i="2"/>
  <c r="GP58" i="2"/>
  <c r="FV58" i="2"/>
  <c r="FU58" i="2"/>
  <c r="FA58" i="2"/>
  <c r="EF58" i="2"/>
  <c r="EZ58" i="2"/>
  <c r="EE58" i="2"/>
  <c r="CP58" i="2"/>
  <c r="CO58" i="2"/>
  <c r="DK58" i="2"/>
  <c r="AZ58" i="2"/>
  <c r="AY58" i="2"/>
  <c r="DJ58" i="2"/>
  <c r="BU58" i="2"/>
  <c r="BT58" i="2"/>
  <c r="AE58" i="2"/>
  <c r="AD58" i="2"/>
  <c r="J58" i="2"/>
  <c r="I58" i="2"/>
  <c r="K58" i="2"/>
  <c r="H95" i="2"/>
  <c r="L58" i="2"/>
  <c r="D96" i="2"/>
  <c r="G96" i="2" s="1"/>
  <c r="HD58" i="2"/>
  <c r="HE58" i="2"/>
  <c r="GI58" i="2"/>
  <c r="GJ58" i="2"/>
  <c r="ET58" i="2"/>
  <c r="FN58" i="2"/>
  <c r="FO58" i="2"/>
  <c r="BN58" i="2"/>
  <c r="ES58" i="2"/>
  <c r="DX58" i="2"/>
  <c r="CH58" i="2"/>
  <c r="AS58" i="2"/>
  <c r="DD58" i="2"/>
  <c r="DC58" i="2"/>
  <c r="W58" i="2"/>
  <c r="X58" i="2"/>
  <c r="DY58" i="2"/>
  <c r="CI58" i="2"/>
  <c r="BM58" i="2"/>
  <c r="AR58" i="2"/>
  <c r="HC58" i="2"/>
  <c r="HF58" i="2"/>
  <c r="HB58" i="2"/>
  <c r="GS58" i="2"/>
  <c r="GR58" i="2"/>
  <c r="GH58" i="2"/>
  <c r="FL58" i="2"/>
  <c r="FC58" i="2"/>
  <c r="GK58" i="2"/>
  <c r="FW58" i="2"/>
  <c r="FM58" i="2"/>
  <c r="FP58" i="2"/>
  <c r="DZ58" i="2"/>
  <c r="DL58" i="2"/>
  <c r="DE58" i="2"/>
  <c r="EQ58" i="2"/>
  <c r="EH58" i="2"/>
  <c r="CJ58" i="2"/>
  <c r="FX58" i="2"/>
  <c r="FB58" i="2"/>
  <c r="ER58" i="2"/>
  <c r="DV58" i="2"/>
  <c r="DM58" i="2"/>
  <c r="DA58" i="2"/>
  <c r="GG58" i="2"/>
  <c r="DW58" i="2"/>
  <c r="EG58" i="2"/>
  <c r="DB58" i="2"/>
  <c r="EU58" i="2"/>
  <c r="CQ58" i="2"/>
  <c r="CF58" i="2"/>
  <c r="BB58" i="2"/>
  <c r="CG58" i="2"/>
  <c r="BV58" i="2"/>
  <c r="BO58" i="2"/>
  <c r="BK58" i="2"/>
  <c r="BW58" i="2"/>
  <c r="BL58" i="2"/>
  <c r="BA58" i="2"/>
  <c r="AT58" i="2"/>
  <c r="CR58" i="2"/>
  <c r="GO56" i="2"/>
  <c r="FT56" i="2"/>
  <c r="ED56" i="2"/>
  <c r="CN56" i="2"/>
  <c r="EY56" i="2"/>
  <c r="HJ56" i="2"/>
  <c r="DI56" i="2"/>
  <c r="AA57" i="2"/>
  <c r="AB57" i="2"/>
  <c r="AP58" i="2"/>
  <c r="AF58" i="2"/>
  <c r="AQ58" i="2"/>
  <c r="AG58" i="2"/>
  <c r="V58" i="2"/>
  <c r="U58" i="2"/>
  <c r="A59" i="2"/>
  <c r="Y58" i="2"/>
  <c r="AX54" i="2"/>
  <c r="Z57" i="2"/>
  <c r="AC56" i="2"/>
  <c r="EC58" i="2" l="1"/>
  <c r="EA58" i="2"/>
  <c r="EX58" i="2"/>
  <c r="FS58" i="2"/>
  <c r="HI58" i="2"/>
  <c r="EB58" i="2"/>
  <c r="GM58" i="2"/>
  <c r="HH58" i="2"/>
  <c r="GL58" i="2"/>
  <c r="GN58" i="2"/>
  <c r="HG58" i="2"/>
  <c r="DF58" i="2"/>
  <c r="DG58" i="2"/>
  <c r="DH58" i="2"/>
  <c r="FR58" i="2"/>
  <c r="FQ58" i="2"/>
  <c r="EV58" i="2"/>
  <c r="EW58" i="2"/>
  <c r="CM58" i="2"/>
  <c r="BP58" i="2"/>
  <c r="AV58" i="2"/>
  <c r="AU58" i="2"/>
  <c r="AW58" i="2"/>
  <c r="BR58" i="2"/>
  <c r="BQ58" i="2"/>
  <c r="CK58" i="2"/>
  <c r="CL58" i="2"/>
  <c r="GQ59" i="2"/>
  <c r="GP59" i="2"/>
  <c r="FU59" i="2"/>
  <c r="FV59" i="2"/>
  <c r="FA59" i="2"/>
  <c r="EZ59" i="2"/>
  <c r="EF59" i="2"/>
  <c r="EE59" i="2"/>
  <c r="DK59" i="2"/>
  <c r="DJ59" i="2"/>
  <c r="CO59" i="2"/>
  <c r="CP59" i="2"/>
  <c r="AZ59" i="2"/>
  <c r="AE59" i="2"/>
  <c r="BU59" i="2"/>
  <c r="BT59" i="2"/>
  <c r="AY59" i="2"/>
  <c r="AD59" i="2"/>
  <c r="K59" i="2"/>
  <c r="J59" i="2"/>
  <c r="I59" i="2"/>
  <c r="H96" i="2"/>
  <c r="L59" i="2"/>
  <c r="D97" i="2"/>
  <c r="G97" i="2" s="1"/>
  <c r="FT57" i="2"/>
  <c r="GO57" i="2"/>
  <c r="ED57" i="2"/>
  <c r="DI57" i="2"/>
  <c r="HD59" i="2"/>
  <c r="HE59" i="2"/>
  <c r="GI59" i="2"/>
  <c r="FO59" i="2"/>
  <c r="ES59" i="2"/>
  <c r="GJ59" i="2"/>
  <c r="ET59" i="2"/>
  <c r="FN59" i="2"/>
  <c r="DC59" i="2"/>
  <c r="BN59" i="2"/>
  <c r="CI59" i="2"/>
  <c r="BM59" i="2"/>
  <c r="DD59" i="2"/>
  <c r="W59" i="2"/>
  <c r="DY59" i="2"/>
  <c r="AS59" i="2"/>
  <c r="X59" i="2"/>
  <c r="DX59" i="2"/>
  <c r="AR59" i="2"/>
  <c r="CH59" i="2"/>
  <c r="HC59" i="2"/>
  <c r="HF59" i="2"/>
  <c r="GK59" i="2"/>
  <c r="HB59" i="2"/>
  <c r="GS59" i="2"/>
  <c r="GG59" i="2"/>
  <c r="FX59" i="2"/>
  <c r="GH59" i="2"/>
  <c r="FL59" i="2"/>
  <c r="FC59" i="2"/>
  <c r="GR59" i="2"/>
  <c r="FW59" i="2"/>
  <c r="FM59" i="2"/>
  <c r="EU59" i="2"/>
  <c r="EG59" i="2"/>
  <c r="DW59" i="2"/>
  <c r="DB59" i="2"/>
  <c r="DZ59" i="2"/>
  <c r="DL59" i="2"/>
  <c r="DE59" i="2"/>
  <c r="EQ59" i="2"/>
  <c r="EH59" i="2"/>
  <c r="CJ59" i="2"/>
  <c r="FP59" i="2"/>
  <c r="FB59" i="2"/>
  <c r="ER59" i="2"/>
  <c r="DM59" i="2"/>
  <c r="DV59" i="2"/>
  <c r="DA59" i="2"/>
  <c r="CR59" i="2"/>
  <c r="CQ59" i="2"/>
  <c r="BW59" i="2"/>
  <c r="BL59" i="2"/>
  <c r="CF59" i="2"/>
  <c r="BB59" i="2"/>
  <c r="CG59" i="2"/>
  <c r="BV59" i="2"/>
  <c r="BO59" i="2"/>
  <c r="BK59" i="2"/>
  <c r="BA59" i="2"/>
  <c r="AT59" i="2"/>
  <c r="HJ57" i="2"/>
  <c r="EY57" i="2"/>
  <c r="CN57" i="2"/>
  <c r="AB58" i="2"/>
  <c r="AA58" i="2"/>
  <c r="AQ59" i="2"/>
  <c r="AP59" i="2"/>
  <c r="AF59" i="2"/>
  <c r="AG59" i="2"/>
  <c r="A60" i="2"/>
  <c r="Y59" i="2"/>
  <c r="U59" i="2"/>
  <c r="V59" i="2"/>
  <c r="AX55" i="2"/>
  <c r="Z58" i="2"/>
  <c r="AC57" i="2"/>
  <c r="HH59" i="2" l="1"/>
  <c r="EA59" i="2"/>
  <c r="EC59" i="2"/>
  <c r="EB59" i="2"/>
  <c r="FS59" i="2"/>
  <c r="EX59" i="2"/>
  <c r="HI59" i="2"/>
  <c r="EW59" i="2"/>
  <c r="GM59" i="2"/>
  <c r="GN59" i="2"/>
  <c r="HG59" i="2"/>
  <c r="DF59" i="2"/>
  <c r="DH59" i="2"/>
  <c r="DG59" i="2"/>
  <c r="FR59" i="2"/>
  <c r="FQ59" i="2"/>
  <c r="GL59" i="2"/>
  <c r="EV59" i="2"/>
  <c r="CM59" i="2"/>
  <c r="AV59" i="2"/>
  <c r="AW59" i="2"/>
  <c r="AU59" i="2"/>
  <c r="BR59" i="2"/>
  <c r="BP59" i="2"/>
  <c r="BQ59" i="2"/>
  <c r="CK59" i="2"/>
  <c r="CL59" i="2"/>
  <c r="GQ60" i="2"/>
  <c r="GP60" i="2"/>
  <c r="FV60" i="2"/>
  <c r="FU60" i="2"/>
  <c r="FA60" i="2"/>
  <c r="EZ60" i="2"/>
  <c r="EF60" i="2"/>
  <c r="EE60" i="2"/>
  <c r="DK60" i="2"/>
  <c r="DJ60" i="2"/>
  <c r="CP60" i="2"/>
  <c r="CO60" i="2"/>
  <c r="AZ60" i="2"/>
  <c r="AY60" i="2"/>
  <c r="BU60" i="2"/>
  <c r="BT60" i="2"/>
  <c r="AE60" i="2"/>
  <c r="AD60" i="2"/>
  <c r="K60" i="2"/>
  <c r="J60" i="2"/>
  <c r="I60" i="2"/>
  <c r="H97" i="2"/>
  <c r="L60" i="2"/>
  <c r="D98" i="2"/>
  <c r="G98" i="2" s="1"/>
  <c r="CN58" i="2"/>
  <c r="ED58" i="2"/>
  <c r="EY58" i="2"/>
  <c r="HD60" i="2"/>
  <c r="HE60" i="2"/>
  <c r="FO60" i="2"/>
  <c r="GI60" i="2"/>
  <c r="DY60" i="2"/>
  <c r="ES60" i="2"/>
  <c r="GJ60" i="2"/>
  <c r="DX60" i="2"/>
  <c r="DD60" i="2"/>
  <c r="CI60" i="2"/>
  <c r="BM60" i="2"/>
  <c r="FN60" i="2"/>
  <c r="DC60" i="2"/>
  <c r="CH60" i="2"/>
  <c r="BN60" i="2"/>
  <c r="AS60" i="2"/>
  <c r="AR60" i="2"/>
  <c r="ET60" i="2"/>
  <c r="X60" i="2"/>
  <c r="W60" i="2"/>
  <c r="HC60" i="2"/>
  <c r="GR60" i="2"/>
  <c r="HF60" i="2"/>
  <c r="GK60" i="2"/>
  <c r="HB60" i="2"/>
  <c r="GS60" i="2"/>
  <c r="FP60" i="2"/>
  <c r="GG60" i="2"/>
  <c r="FX60" i="2"/>
  <c r="GH60" i="2"/>
  <c r="FL60" i="2"/>
  <c r="FC60" i="2"/>
  <c r="FW60" i="2"/>
  <c r="FB60" i="2"/>
  <c r="ER60" i="2"/>
  <c r="DV60" i="2"/>
  <c r="DM60" i="2"/>
  <c r="DA60" i="2"/>
  <c r="EU60" i="2"/>
  <c r="EG60" i="2"/>
  <c r="DW60" i="2"/>
  <c r="DB60" i="2"/>
  <c r="CR60" i="2"/>
  <c r="FM60" i="2"/>
  <c r="DZ60" i="2"/>
  <c r="DL60" i="2"/>
  <c r="DE60" i="2"/>
  <c r="CQ60" i="2"/>
  <c r="EQ60" i="2"/>
  <c r="EH60" i="2"/>
  <c r="BK60" i="2"/>
  <c r="BW60" i="2"/>
  <c r="BL60" i="2"/>
  <c r="CF60" i="2"/>
  <c r="BB60" i="2"/>
  <c r="CJ60" i="2"/>
  <c r="CG60" i="2"/>
  <c r="BV60" i="2"/>
  <c r="BO60" i="2"/>
  <c r="BA60" i="2"/>
  <c r="AT60" i="2"/>
  <c r="DI58" i="2"/>
  <c r="GO58" i="2"/>
  <c r="FT58" i="2"/>
  <c r="HJ58" i="2"/>
  <c r="AA59" i="2"/>
  <c r="AP60" i="2"/>
  <c r="AF60" i="2"/>
  <c r="AQ60" i="2"/>
  <c r="AG60" i="2"/>
  <c r="U60" i="2"/>
  <c r="V60" i="2"/>
  <c r="A61" i="2"/>
  <c r="Y60" i="2"/>
  <c r="AB59" i="2"/>
  <c r="AX56" i="2"/>
  <c r="Z59" i="2"/>
  <c r="AC58" i="2"/>
  <c r="HI60" i="2" l="1"/>
  <c r="HG60" i="2"/>
  <c r="EW60" i="2"/>
  <c r="EV60" i="2"/>
  <c r="HH60" i="2"/>
  <c r="FS60" i="2"/>
  <c r="EC60" i="2"/>
  <c r="EX60" i="2"/>
  <c r="GM60" i="2"/>
  <c r="GN60" i="2"/>
  <c r="DG60" i="2"/>
  <c r="DF60" i="2"/>
  <c r="DH60" i="2"/>
  <c r="FQ60" i="2"/>
  <c r="FR60" i="2"/>
  <c r="GL60" i="2"/>
  <c r="EA60" i="2"/>
  <c r="EB60" i="2"/>
  <c r="CM60" i="2"/>
  <c r="AV60" i="2"/>
  <c r="AU60" i="2"/>
  <c r="AW60" i="2"/>
  <c r="BP60" i="2"/>
  <c r="BR60" i="2"/>
  <c r="BQ60" i="2"/>
  <c r="CL60" i="2"/>
  <c r="CK60" i="2"/>
  <c r="GQ61" i="2"/>
  <c r="GP61" i="2"/>
  <c r="FU61" i="2"/>
  <c r="FA61" i="2"/>
  <c r="EZ61" i="2"/>
  <c r="FV61" i="2"/>
  <c r="EF61" i="2"/>
  <c r="EE61" i="2"/>
  <c r="DK61" i="2"/>
  <c r="DJ61" i="2"/>
  <c r="BU61" i="2"/>
  <c r="BT61" i="2"/>
  <c r="CO61" i="2"/>
  <c r="CP61" i="2"/>
  <c r="AZ61" i="2"/>
  <c r="AE61" i="2"/>
  <c r="AD61" i="2"/>
  <c r="AY61" i="2"/>
  <c r="J61" i="2"/>
  <c r="K61" i="2"/>
  <c r="I61" i="2"/>
  <c r="H98" i="2"/>
  <c r="L61" i="2"/>
  <c r="D99" i="2"/>
  <c r="G99" i="2" s="1"/>
  <c r="GO59" i="2"/>
  <c r="DI59" i="2"/>
  <c r="ED59" i="2"/>
  <c r="HE61" i="2"/>
  <c r="GJ61" i="2"/>
  <c r="HD61" i="2"/>
  <c r="GI61" i="2"/>
  <c r="FO61" i="2"/>
  <c r="FN61" i="2"/>
  <c r="DY61" i="2"/>
  <c r="ET61" i="2"/>
  <c r="ES61" i="2"/>
  <c r="DD61" i="2"/>
  <c r="CH61" i="2"/>
  <c r="AS61" i="2"/>
  <c r="CI61" i="2"/>
  <c r="BM61" i="2"/>
  <c r="DX61" i="2"/>
  <c r="X61" i="2"/>
  <c r="DC61" i="2"/>
  <c r="BN61" i="2"/>
  <c r="AR61" i="2"/>
  <c r="W61" i="2"/>
  <c r="HF61" i="2"/>
  <c r="HC61" i="2"/>
  <c r="GR61" i="2"/>
  <c r="GK61" i="2"/>
  <c r="HB61" i="2"/>
  <c r="GS61" i="2"/>
  <c r="FW61" i="2"/>
  <c r="FM61" i="2"/>
  <c r="FP61" i="2"/>
  <c r="GG61" i="2"/>
  <c r="FX61" i="2"/>
  <c r="EQ61" i="2"/>
  <c r="EH61" i="2"/>
  <c r="CJ61" i="2"/>
  <c r="GH61" i="2"/>
  <c r="FL61" i="2"/>
  <c r="FC61" i="2"/>
  <c r="FB61" i="2"/>
  <c r="ER61" i="2"/>
  <c r="DV61" i="2"/>
  <c r="DM61" i="2"/>
  <c r="DA61" i="2"/>
  <c r="EU61" i="2"/>
  <c r="EG61" i="2"/>
  <c r="DW61" i="2"/>
  <c r="DB61" i="2"/>
  <c r="CR61" i="2"/>
  <c r="DZ61" i="2"/>
  <c r="CQ61" i="2"/>
  <c r="DE61" i="2"/>
  <c r="DL61" i="2"/>
  <c r="CG61" i="2"/>
  <c r="BV61" i="2"/>
  <c r="BO61" i="2"/>
  <c r="BK61" i="2"/>
  <c r="BW61" i="2"/>
  <c r="BL61" i="2"/>
  <c r="CF61" i="2"/>
  <c r="BB61" i="2"/>
  <c r="BA61" i="2"/>
  <c r="AT61" i="2"/>
  <c r="EY59" i="2"/>
  <c r="HJ59" i="2"/>
  <c r="FT59" i="2"/>
  <c r="CN59" i="2"/>
  <c r="AB60" i="2"/>
  <c r="AA60" i="2"/>
  <c r="AQ61" i="2"/>
  <c r="AG61" i="2"/>
  <c r="AP61" i="2"/>
  <c r="AF61" i="2"/>
  <c r="Y61" i="2"/>
  <c r="V61" i="2"/>
  <c r="A62" i="2"/>
  <c r="U61" i="2"/>
  <c r="AX57" i="2"/>
  <c r="Z60" i="2"/>
  <c r="AC59" i="2"/>
  <c r="EW61" i="2" l="1"/>
  <c r="EX61" i="2"/>
  <c r="EA61" i="2"/>
  <c r="EV61" i="2"/>
  <c r="HI61" i="2"/>
  <c r="FS61" i="2"/>
  <c r="EB61" i="2"/>
  <c r="EC61" i="2"/>
  <c r="GM61" i="2"/>
  <c r="GN61" i="2"/>
  <c r="HG61" i="2"/>
  <c r="HH61" i="2"/>
  <c r="DG61" i="2"/>
  <c r="DF61" i="2"/>
  <c r="DH61" i="2"/>
  <c r="FQ61" i="2"/>
  <c r="FR61" i="2"/>
  <c r="GL61" i="2"/>
  <c r="CM61" i="2"/>
  <c r="AV61" i="2"/>
  <c r="AW61" i="2"/>
  <c r="AU61" i="2"/>
  <c r="BR61" i="2"/>
  <c r="BP61" i="2"/>
  <c r="BQ61" i="2"/>
  <c r="CL61" i="2"/>
  <c r="CK61" i="2"/>
  <c r="GQ62" i="2"/>
  <c r="GP62" i="2"/>
  <c r="FU62" i="2"/>
  <c r="FV62" i="2"/>
  <c r="FA62" i="2"/>
  <c r="EZ62" i="2"/>
  <c r="EE62" i="2"/>
  <c r="CP62" i="2"/>
  <c r="CO62" i="2"/>
  <c r="DJ62" i="2"/>
  <c r="EF62" i="2"/>
  <c r="DK62" i="2"/>
  <c r="BU62" i="2"/>
  <c r="BT62" i="2"/>
  <c r="AZ62" i="2"/>
  <c r="AY62" i="2"/>
  <c r="AE62" i="2"/>
  <c r="AD62" i="2"/>
  <c r="J62" i="2"/>
  <c r="K62" i="2"/>
  <c r="I62" i="2"/>
  <c r="H99" i="2"/>
  <c r="L62" i="2"/>
  <c r="D100" i="2"/>
  <c r="G100" i="2" s="1"/>
  <c r="HJ60" i="2"/>
  <c r="EY60" i="2"/>
  <c r="GO60" i="2"/>
  <c r="HD62" i="2"/>
  <c r="HE62" i="2"/>
  <c r="GI62" i="2"/>
  <c r="GJ62" i="2"/>
  <c r="ET62" i="2"/>
  <c r="FO62" i="2"/>
  <c r="FN62" i="2"/>
  <c r="DY62" i="2"/>
  <c r="ES62" i="2"/>
  <c r="DX62" i="2"/>
  <c r="BN62" i="2"/>
  <c r="DD62" i="2"/>
  <c r="CH62" i="2"/>
  <c r="AS62" i="2"/>
  <c r="W62" i="2"/>
  <c r="DC62" i="2"/>
  <c r="CI62" i="2"/>
  <c r="BM62" i="2"/>
  <c r="X62" i="2"/>
  <c r="AR62" i="2"/>
  <c r="HC62" i="2"/>
  <c r="HF62" i="2"/>
  <c r="HB62" i="2"/>
  <c r="GS62" i="2"/>
  <c r="GR62" i="2"/>
  <c r="GH62" i="2"/>
  <c r="FL62" i="2"/>
  <c r="FC62" i="2"/>
  <c r="FW62" i="2"/>
  <c r="FM62" i="2"/>
  <c r="GK62" i="2"/>
  <c r="FP62" i="2"/>
  <c r="GG62" i="2"/>
  <c r="DZ62" i="2"/>
  <c r="DL62" i="2"/>
  <c r="DE62" i="2"/>
  <c r="EQ62" i="2"/>
  <c r="EH62" i="2"/>
  <c r="CJ62" i="2"/>
  <c r="FB62" i="2"/>
  <c r="ER62" i="2"/>
  <c r="DV62" i="2"/>
  <c r="DM62" i="2"/>
  <c r="DA62" i="2"/>
  <c r="FX62" i="2"/>
  <c r="DW62" i="2"/>
  <c r="EG62" i="2"/>
  <c r="DB62" i="2"/>
  <c r="EU62" i="2"/>
  <c r="CQ62" i="2"/>
  <c r="CF62" i="2"/>
  <c r="BB62" i="2"/>
  <c r="CG62" i="2"/>
  <c r="BV62" i="2"/>
  <c r="BO62" i="2"/>
  <c r="CR62" i="2"/>
  <c r="BK62" i="2"/>
  <c r="BW62" i="2"/>
  <c r="BL62" i="2"/>
  <c r="BA62" i="2"/>
  <c r="AT62" i="2"/>
  <c r="CN60" i="2"/>
  <c r="FT60" i="2"/>
  <c r="DI60" i="2"/>
  <c r="ED60" i="2"/>
  <c r="AA61" i="2"/>
  <c r="AP62" i="2"/>
  <c r="AF62" i="2"/>
  <c r="AQ62" i="2"/>
  <c r="AG62" i="2"/>
  <c r="U62" i="2"/>
  <c r="V62" i="2"/>
  <c r="A63" i="2"/>
  <c r="Y62" i="2"/>
  <c r="AB61" i="2"/>
  <c r="AX58" i="2"/>
  <c r="Z61" i="2"/>
  <c r="AC60" i="2"/>
  <c r="HI62" i="2" l="1"/>
  <c r="EA62" i="2"/>
  <c r="EB62" i="2"/>
  <c r="HH62" i="2"/>
  <c r="EC62" i="2"/>
  <c r="FS62" i="2"/>
  <c r="EX62" i="2"/>
  <c r="EV62" i="2"/>
  <c r="GN62" i="2"/>
  <c r="GM62" i="2"/>
  <c r="HG62" i="2"/>
  <c r="DG62" i="2"/>
  <c r="DH62" i="2"/>
  <c r="DF62" i="2"/>
  <c r="FQ62" i="2"/>
  <c r="FR62" i="2"/>
  <c r="GL62" i="2"/>
  <c r="EW62" i="2"/>
  <c r="CM62" i="2"/>
  <c r="AV62" i="2"/>
  <c r="AU62" i="2"/>
  <c r="AW62" i="2"/>
  <c r="BR62" i="2"/>
  <c r="BP62" i="2"/>
  <c r="BQ62" i="2"/>
  <c r="CL62" i="2"/>
  <c r="CK62" i="2"/>
  <c r="GQ63" i="2"/>
  <c r="GP63" i="2"/>
  <c r="FU63" i="2"/>
  <c r="FA63" i="2"/>
  <c r="EZ63" i="2"/>
  <c r="FV63" i="2"/>
  <c r="EF63" i="2"/>
  <c r="EE63" i="2"/>
  <c r="DK63" i="2"/>
  <c r="DJ63" i="2"/>
  <c r="CO63" i="2"/>
  <c r="CP63" i="2"/>
  <c r="AY63" i="2"/>
  <c r="BU63" i="2"/>
  <c r="AZ63" i="2"/>
  <c r="BT63" i="2"/>
  <c r="AE63" i="2"/>
  <c r="K63" i="2"/>
  <c r="AD63" i="2"/>
  <c r="J63" i="2"/>
  <c r="I63" i="2"/>
  <c r="H100" i="2"/>
  <c r="L63" i="2"/>
  <c r="D101" i="2"/>
  <c r="G101" i="2" s="1"/>
  <c r="ED61" i="2"/>
  <c r="FT61" i="2"/>
  <c r="GO61" i="2"/>
  <c r="EY61" i="2"/>
  <c r="HD63" i="2"/>
  <c r="HE63" i="2"/>
  <c r="GI63" i="2"/>
  <c r="GJ63" i="2"/>
  <c r="ES63" i="2"/>
  <c r="ET63" i="2"/>
  <c r="FN63" i="2"/>
  <c r="DY63" i="2"/>
  <c r="DC63" i="2"/>
  <c r="DX63" i="2"/>
  <c r="BN63" i="2"/>
  <c r="FO63" i="2"/>
  <c r="BM63" i="2"/>
  <c r="CH63" i="2"/>
  <c r="AS63" i="2"/>
  <c r="W63" i="2"/>
  <c r="DD63" i="2"/>
  <c r="CI63" i="2"/>
  <c r="AR63" i="2"/>
  <c r="X63" i="2"/>
  <c r="HC63" i="2"/>
  <c r="HF63" i="2"/>
  <c r="GK63" i="2"/>
  <c r="HB63" i="2"/>
  <c r="GS63" i="2"/>
  <c r="GG63" i="2"/>
  <c r="FX63" i="2"/>
  <c r="GH63" i="2"/>
  <c r="FL63" i="2"/>
  <c r="FC63" i="2"/>
  <c r="FW63" i="2"/>
  <c r="FM63" i="2"/>
  <c r="FP63" i="2"/>
  <c r="EU63" i="2"/>
  <c r="EG63" i="2"/>
  <c r="DW63" i="2"/>
  <c r="DB63" i="2"/>
  <c r="DZ63" i="2"/>
  <c r="DL63" i="2"/>
  <c r="DE63" i="2"/>
  <c r="EQ63" i="2"/>
  <c r="EH63" i="2"/>
  <c r="CJ63" i="2"/>
  <c r="GR63" i="2"/>
  <c r="FB63" i="2"/>
  <c r="ER63" i="2"/>
  <c r="DM63" i="2"/>
  <c r="DV63" i="2"/>
  <c r="BW63" i="2"/>
  <c r="BL63" i="2"/>
  <c r="CQ63" i="2"/>
  <c r="CF63" i="2"/>
  <c r="BB63" i="2"/>
  <c r="DA63" i="2"/>
  <c r="CG63" i="2"/>
  <c r="BV63" i="2"/>
  <c r="BO63" i="2"/>
  <c r="BK63" i="2"/>
  <c r="CR63" i="2"/>
  <c r="BA63" i="2"/>
  <c r="AT63" i="2"/>
  <c r="DI61" i="2"/>
  <c r="CN61" i="2"/>
  <c r="HJ61" i="2"/>
  <c r="AA62" i="2"/>
  <c r="AB62" i="2"/>
  <c r="AQ63" i="2"/>
  <c r="AP63" i="2"/>
  <c r="AF63" i="2"/>
  <c r="AG63" i="2"/>
  <c r="V63" i="2"/>
  <c r="U63" i="2"/>
  <c r="A64" i="2"/>
  <c r="Y63" i="2"/>
  <c r="AX59" i="2"/>
  <c r="Z62" i="2"/>
  <c r="AC61" i="2"/>
  <c r="EX63" i="2" l="1"/>
  <c r="EC63" i="2"/>
  <c r="EB63" i="2"/>
  <c r="HG63" i="2"/>
  <c r="HI63" i="2"/>
  <c r="EV63" i="2"/>
  <c r="EA63" i="2"/>
  <c r="FS63" i="2"/>
  <c r="EW63" i="2"/>
  <c r="GM63" i="2"/>
  <c r="HH63" i="2"/>
  <c r="GN63" i="2"/>
  <c r="GL63" i="2"/>
  <c r="DG63" i="2"/>
  <c r="DF63" i="2"/>
  <c r="DH63" i="2"/>
  <c r="FR63" i="2"/>
  <c r="FQ63" i="2"/>
  <c r="CM63" i="2"/>
  <c r="BR63" i="2"/>
  <c r="AV63" i="2"/>
  <c r="AW63" i="2"/>
  <c r="AU63" i="2"/>
  <c r="BP63" i="2"/>
  <c r="BQ63" i="2"/>
  <c r="CK63" i="2"/>
  <c r="CL63" i="2"/>
  <c r="GQ64" i="2"/>
  <c r="GP64" i="2"/>
  <c r="FU64" i="2"/>
  <c r="FV64" i="2"/>
  <c r="FA64" i="2"/>
  <c r="EZ64" i="2"/>
  <c r="EE64" i="2"/>
  <c r="DK64" i="2"/>
  <c r="CP64" i="2"/>
  <c r="CO64" i="2"/>
  <c r="DJ64" i="2"/>
  <c r="EF64" i="2"/>
  <c r="AZ64" i="2"/>
  <c r="AY64" i="2"/>
  <c r="BU64" i="2"/>
  <c r="BT64" i="2"/>
  <c r="AE64" i="2"/>
  <c r="AD64" i="2"/>
  <c r="J64" i="2"/>
  <c r="K64" i="2"/>
  <c r="I64" i="2"/>
  <c r="H101" i="2"/>
  <c r="L64" i="2"/>
  <c r="D102" i="2"/>
  <c r="G102" i="2" s="1"/>
  <c r="HJ62" i="2"/>
  <c r="DI62" i="2"/>
  <c r="EY62" i="2"/>
  <c r="GO62" i="2"/>
  <c r="CN62" i="2"/>
  <c r="ED62" i="2"/>
  <c r="HD64" i="2"/>
  <c r="HE64" i="2"/>
  <c r="FO64" i="2"/>
  <c r="GJ64" i="2"/>
  <c r="GI64" i="2"/>
  <c r="DY64" i="2"/>
  <c r="ES64" i="2"/>
  <c r="DX64" i="2"/>
  <c r="FN64" i="2"/>
  <c r="ET64" i="2"/>
  <c r="CI64" i="2"/>
  <c r="BM64" i="2"/>
  <c r="DC64" i="2"/>
  <c r="AR64" i="2"/>
  <c r="CH64" i="2"/>
  <c r="BN64" i="2"/>
  <c r="AS64" i="2"/>
  <c r="X64" i="2"/>
  <c r="W64" i="2"/>
  <c r="DD64" i="2"/>
  <c r="HC64" i="2"/>
  <c r="GR64" i="2"/>
  <c r="GK64" i="2"/>
  <c r="HF64" i="2"/>
  <c r="HB64" i="2"/>
  <c r="GS64" i="2"/>
  <c r="FP64" i="2"/>
  <c r="GG64" i="2"/>
  <c r="FX64" i="2"/>
  <c r="GH64" i="2"/>
  <c r="FL64" i="2"/>
  <c r="FC64" i="2"/>
  <c r="FB64" i="2"/>
  <c r="ER64" i="2"/>
  <c r="DV64" i="2"/>
  <c r="DM64" i="2"/>
  <c r="DA64" i="2"/>
  <c r="FW64" i="2"/>
  <c r="EU64" i="2"/>
  <c r="EG64" i="2"/>
  <c r="DW64" i="2"/>
  <c r="DB64" i="2"/>
  <c r="DZ64" i="2"/>
  <c r="DL64" i="2"/>
  <c r="DE64" i="2"/>
  <c r="FM64" i="2"/>
  <c r="EQ64" i="2"/>
  <c r="EH64" i="2"/>
  <c r="CJ64" i="2"/>
  <c r="CR64" i="2"/>
  <c r="CQ64" i="2"/>
  <c r="BK64" i="2"/>
  <c r="BW64" i="2"/>
  <c r="BL64" i="2"/>
  <c r="CF64" i="2"/>
  <c r="BB64" i="2"/>
  <c r="CG64" i="2"/>
  <c r="BV64" i="2"/>
  <c r="BO64" i="2"/>
  <c r="AT64" i="2"/>
  <c r="BA64" i="2"/>
  <c r="FT62" i="2"/>
  <c r="AA63" i="2"/>
  <c r="AQ64" i="2"/>
  <c r="AG64" i="2"/>
  <c r="AP64" i="2"/>
  <c r="AF64" i="2"/>
  <c r="V64" i="2"/>
  <c r="U64" i="2"/>
  <c r="Y64" i="2"/>
  <c r="A65" i="2"/>
  <c r="AB63" i="2"/>
  <c r="AX60" i="2"/>
  <c r="Z63" i="2"/>
  <c r="AC62" i="2"/>
  <c r="EA64" i="2" l="1"/>
  <c r="HH64" i="2"/>
  <c r="EC64" i="2"/>
  <c r="EV64" i="2"/>
  <c r="HI64" i="2"/>
  <c r="EX64" i="2"/>
  <c r="FS64" i="2"/>
  <c r="EB64" i="2"/>
  <c r="GN64" i="2"/>
  <c r="HG64" i="2"/>
  <c r="DG64" i="2"/>
  <c r="DF64" i="2"/>
  <c r="DH64" i="2"/>
  <c r="FQ64" i="2"/>
  <c r="FR64" i="2"/>
  <c r="GL64" i="2"/>
  <c r="GM64" i="2"/>
  <c r="EW64" i="2"/>
  <c r="CM64" i="2"/>
  <c r="BR64" i="2"/>
  <c r="AV64" i="2"/>
  <c r="AU64" i="2"/>
  <c r="AW64" i="2"/>
  <c r="BP64" i="2"/>
  <c r="BQ64" i="2"/>
  <c r="CK64" i="2"/>
  <c r="CL64" i="2"/>
  <c r="GQ65" i="2"/>
  <c r="GP65" i="2"/>
  <c r="FU65" i="2"/>
  <c r="FV65" i="2"/>
  <c r="EZ65" i="2"/>
  <c r="EE65" i="2"/>
  <c r="FA65" i="2"/>
  <c r="EF65" i="2"/>
  <c r="DK65" i="2"/>
  <c r="DJ65" i="2"/>
  <c r="CP65" i="2"/>
  <c r="CO65" i="2"/>
  <c r="BU65" i="2"/>
  <c r="BT65" i="2"/>
  <c r="AE65" i="2"/>
  <c r="AD65" i="2"/>
  <c r="AY65" i="2"/>
  <c r="AZ65" i="2"/>
  <c r="J65" i="2"/>
  <c r="I65" i="2"/>
  <c r="K65" i="2"/>
  <c r="H102" i="2"/>
  <c r="L65" i="2"/>
  <c r="D103" i="2"/>
  <c r="G103" i="2" s="1"/>
  <c r="HE65" i="2"/>
  <c r="HD65" i="2"/>
  <c r="GJ65" i="2"/>
  <c r="FO65" i="2"/>
  <c r="FN65" i="2"/>
  <c r="GI65" i="2"/>
  <c r="DD65" i="2"/>
  <c r="ET65" i="2"/>
  <c r="CH65" i="2"/>
  <c r="AS65" i="2"/>
  <c r="DY65" i="2"/>
  <c r="CI65" i="2"/>
  <c r="BM65" i="2"/>
  <c r="X65" i="2"/>
  <c r="ES65" i="2"/>
  <c r="DX65" i="2"/>
  <c r="AR65" i="2"/>
  <c r="DC65" i="2"/>
  <c r="W65" i="2"/>
  <c r="BN65" i="2"/>
  <c r="HF65" i="2"/>
  <c r="HC65" i="2"/>
  <c r="GR65" i="2"/>
  <c r="GK65" i="2"/>
  <c r="FW65" i="2"/>
  <c r="FM65" i="2"/>
  <c r="HB65" i="2"/>
  <c r="GS65" i="2"/>
  <c r="FP65" i="2"/>
  <c r="GG65" i="2"/>
  <c r="FX65" i="2"/>
  <c r="EQ65" i="2"/>
  <c r="EH65" i="2"/>
  <c r="CJ65" i="2"/>
  <c r="FB65" i="2"/>
  <c r="ER65" i="2"/>
  <c r="DV65" i="2"/>
  <c r="DM65" i="2"/>
  <c r="DA65" i="2"/>
  <c r="CR65" i="2"/>
  <c r="GH65" i="2"/>
  <c r="FL65" i="2"/>
  <c r="FC65" i="2"/>
  <c r="EU65" i="2"/>
  <c r="EG65" i="2"/>
  <c r="DW65" i="2"/>
  <c r="DB65" i="2"/>
  <c r="DL65" i="2"/>
  <c r="CQ65" i="2"/>
  <c r="DZ65" i="2"/>
  <c r="CG65" i="2"/>
  <c r="BV65" i="2"/>
  <c r="BO65" i="2"/>
  <c r="DE65" i="2"/>
  <c r="BK65" i="2"/>
  <c r="BW65" i="2"/>
  <c r="BL65" i="2"/>
  <c r="CF65" i="2"/>
  <c r="BB65" i="2"/>
  <c r="BA65" i="2"/>
  <c r="AT65" i="2"/>
  <c r="FT63" i="2"/>
  <c r="EY63" i="2"/>
  <c r="ED63" i="2"/>
  <c r="CN63" i="2"/>
  <c r="HJ63" i="2"/>
  <c r="GO63" i="2"/>
  <c r="DI63" i="2"/>
  <c r="AB64" i="2"/>
  <c r="AA64" i="2"/>
  <c r="AP65" i="2"/>
  <c r="AF65" i="2"/>
  <c r="AQ65" i="2"/>
  <c r="AG65" i="2"/>
  <c r="A66" i="2"/>
  <c r="Y65" i="2"/>
  <c r="V65" i="2"/>
  <c r="U65" i="2"/>
  <c r="AX61" i="2"/>
  <c r="Z64" i="2"/>
  <c r="AC63" i="2"/>
  <c r="EX65" i="2" l="1"/>
  <c r="FS65" i="2"/>
  <c r="EV65" i="2"/>
  <c r="EC65" i="2"/>
  <c r="HI65" i="2"/>
  <c r="GN65" i="2"/>
  <c r="HG65" i="2"/>
  <c r="HH65" i="2"/>
  <c r="DF65" i="2"/>
  <c r="DG65" i="2"/>
  <c r="DH65" i="2"/>
  <c r="FQ65" i="2"/>
  <c r="FR65" i="2"/>
  <c r="GM65" i="2"/>
  <c r="GL65" i="2"/>
  <c r="EW65" i="2"/>
  <c r="EB65" i="2"/>
  <c r="EA65" i="2"/>
  <c r="CM65" i="2"/>
  <c r="AV65" i="2"/>
  <c r="AW65" i="2"/>
  <c r="AU65" i="2"/>
  <c r="BP65" i="2"/>
  <c r="BR65" i="2"/>
  <c r="BQ65" i="2"/>
  <c r="CL65" i="2"/>
  <c r="CK65" i="2"/>
  <c r="GQ66" i="2"/>
  <c r="GP66" i="2"/>
  <c r="FU66" i="2"/>
  <c r="FV66" i="2"/>
  <c r="EZ66" i="2"/>
  <c r="EE66" i="2"/>
  <c r="FA66" i="2"/>
  <c r="EF66" i="2"/>
  <c r="CP66" i="2"/>
  <c r="CO66" i="2"/>
  <c r="AZ66" i="2"/>
  <c r="AY66" i="2"/>
  <c r="DK66" i="2"/>
  <c r="DJ66" i="2"/>
  <c r="BU66" i="2"/>
  <c r="BT66" i="2"/>
  <c r="AE66" i="2"/>
  <c r="AD66" i="2"/>
  <c r="J66" i="2"/>
  <c r="I66" i="2"/>
  <c r="K66" i="2"/>
  <c r="H103" i="2"/>
  <c r="L66" i="2"/>
  <c r="D104" i="2"/>
  <c r="G104" i="2" s="1"/>
  <c r="HD66" i="2"/>
  <c r="HE66" i="2"/>
  <c r="GI66" i="2"/>
  <c r="GJ66" i="2"/>
  <c r="ET66" i="2"/>
  <c r="FN66" i="2"/>
  <c r="DD66" i="2"/>
  <c r="BN66" i="2"/>
  <c r="CH66" i="2"/>
  <c r="AS66" i="2"/>
  <c r="DY66" i="2"/>
  <c r="DC66" i="2"/>
  <c r="W66" i="2"/>
  <c r="FO66" i="2"/>
  <c r="X66" i="2"/>
  <c r="ES66" i="2"/>
  <c r="DX66" i="2"/>
  <c r="CI66" i="2"/>
  <c r="AR66" i="2"/>
  <c r="BM66" i="2"/>
  <c r="HC66" i="2"/>
  <c r="HF66" i="2"/>
  <c r="HB66" i="2"/>
  <c r="GS66" i="2"/>
  <c r="GR66" i="2"/>
  <c r="GH66" i="2"/>
  <c r="FL66" i="2"/>
  <c r="FC66" i="2"/>
  <c r="FW66" i="2"/>
  <c r="FM66" i="2"/>
  <c r="FP66" i="2"/>
  <c r="FX66" i="2"/>
  <c r="DZ66" i="2"/>
  <c r="DL66" i="2"/>
  <c r="DE66" i="2"/>
  <c r="GK66" i="2"/>
  <c r="GG66" i="2"/>
  <c r="EQ66" i="2"/>
  <c r="EH66" i="2"/>
  <c r="CJ66" i="2"/>
  <c r="FB66" i="2"/>
  <c r="ER66" i="2"/>
  <c r="DV66" i="2"/>
  <c r="DM66" i="2"/>
  <c r="DA66" i="2"/>
  <c r="CR66" i="2"/>
  <c r="EU66" i="2"/>
  <c r="DW66" i="2"/>
  <c r="EG66" i="2"/>
  <c r="DB66" i="2"/>
  <c r="CQ66" i="2"/>
  <c r="CF66" i="2"/>
  <c r="BB66" i="2"/>
  <c r="CG66" i="2"/>
  <c r="BV66" i="2"/>
  <c r="BO66" i="2"/>
  <c r="BK66" i="2"/>
  <c r="BW66" i="2"/>
  <c r="BL66" i="2"/>
  <c r="BA66" i="2"/>
  <c r="AT66" i="2"/>
  <c r="GO64" i="2"/>
  <c r="FT64" i="2"/>
  <c r="DI64" i="2"/>
  <c r="CN64" i="2"/>
  <c r="ED64" i="2"/>
  <c r="HJ64" i="2"/>
  <c r="EY64" i="2"/>
  <c r="AF66" i="2"/>
  <c r="AP66" i="2"/>
  <c r="AQ66" i="2"/>
  <c r="AG66" i="2"/>
  <c r="A67" i="2"/>
  <c r="Y66" i="2"/>
  <c r="U66" i="2"/>
  <c r="V66" i="2"/>
  <c r="AB65" i="2"/>
  <c r="AA65" i="2"/>
  <c r="AX62" i="2"/>
  <c r="Z65" i="2"/>
  <c r="AC64" i="2"/>
  <c r="FS66" i="2" l="1"/>
  <c r="EX66" i="2"/>
  <c r="HH66" i="2"/>
  <c r="EW66" i="2"/>
  <c r="EB66" i="2"/>
  <c r="EC66" i="2"/>
  <c r="HI66" i="2"/>
  <c r="GN66" i="2"/>
  <c r="HG66" i="2"/>
  <c r="DF66" i="2"/>
  <c r="DH66" i="2"/>
  <c r="DG66" i="2"/>
  <c r="FR66" i="2"/>
  <c r="FQ66" i="2"/>
  <c r="GL66" i="2"/>
  <c r="GM66" i="2"/>
  <c r="EV66" i="2"/>
  <c r="EA66" i="2"/>
  <c r="CM66" i="2"/>
  <c r="AV66" i="2"/>
  <c r="AU66" i="2"/>
  <c r="AW66" i="2"/>
  <c r="BP66" i="2"/>
  <c r="BR66" i="2"/>
  <c r="BQ66" i="2"/>
  <c r="CL66" i="2"/>
  <c r="CK66" i="2"/>
  <c r="GQ67" i="2"/>
  <c r="GP67" i="2"/>
  <c r="FU67" i="2"/>
  <c r="FV67" i="2"/>
  <c r="FA67" i="2"/>
  <c r="EZ67" i="2"/>
  <c r="EF67" i="2"/>
  <c r="EE67" i="2"/>
  <c r="DK67" i="2"/>
  <c r="DJ67" i="2"/>
  <c r="CP67" i="2"/>
  <c r="CO67" i="2"/>
  <c r="AY67" i="2"/>
  <c r="AE67" i="2"/>
  <c r="BU67" i="2"/>
  <c r="AZ67" i="2"/>
  <c r="BT67" i="2"/>
  <c r="K67" i="2"/>
  <c r="AD67" i="2"/>
  <c r="J67" i="2"/>
  <c r="I67" i="2"/>
  <c r="H104" i="2"/>
  <c r="L67" i="2"/>
  <c r="D105" i="2"/>
  <c r="G105" i="2" s="1"/>
  <c r="GO65" i="2"/>
  <c r="HD67" i="2"/>
  <c r="HE67" i="2"/>
  <c r="GI67" i="2"/>
  <c r="FO67" i="2"/>
  <c r="ES67" i="2"/>
  <c r="ET67" i="2"/>
  <c r="DY67" i="2"/>
  <c r="GJ67" i="2"/>
  <c r="DX67" i="2"/>
  <c r="DC67" i="2"/>
  <c r="DD67" i="2"/>
  <c r="BN67" i="2"/>
  <c r="CI67" i="2"/>
  <c r="BM67" i="2"/>
  <c r="W67" i="2"/>
  <c r="FN67" i="2"/>
  <c r="CH67" i="2"/>
  <c r="AS67" i="2"/>
  <c r="X67" i="2"/>
  <c r="AR67" i="2"/>
  <c r="HC67" i="2"/>
  <c r="HF67" i="2"/>
  <c r="GK67" i="2"/>
  <c r="HB67" i="2"/>
  <c r="GS67" i="2"/>
  <c r="GR67" i="2"/>
  <c r="GG67" i="2"/>
  <c r="FX67" i="2"/>
  <c r="GH67" i="2"/>
  <c r="FL67" i="2"/>
  <c r="FC67" i="2"/>
  <c r="FW67" i="2"/>
  <c r="FM67" i="2"/>
  <c r="EU67" i="2"/>
  <c r="EG67" i="2"/>
  <c r="DW67" i="2"/>
  <c r="DB67" i="2"/>
  <c r="FP67" i="2"/>
  <c r="DZ67" i="2"/>
  <c r="DL67" i="2"/>
  <c r="DE67" i="2"/>
  <c r="EQ67" i="2"/>
  <c r="EH67" i="2"/>
  <c r="CJ67" i="2"/>
  <c r="FB67" i="2"/>
  <c r="DV67" i="2"/>
  <c r="DA67" i="2"/>
  <c r="ER67" i="2"/>
  <c r="CR67" i="2"/>
  <c r="DM67" i="2"/>
  <c r="BW67" i="2"/>
  <c r="BL67" i="2"/>
  <c r="CF67" i="2"/>
  <c r="BB67" i="2"/>
  <c r="CQ67" i="2"/>
  <c r="CG67" i="2"/>
  <c r="BV67" i="2"/>
  <c r="BO67" i="2"/>
  <c r="BK67" i="2"/>
  <c r="BA67" i="2"/>
  <c r="AT67" i="2"/>
  <c r="HJ65" i="2"/>
  <c r="ED65" i="2"/>
  <c r="CN65" i="2"/>
  <c r="DI65" i="2"/>
  <c r="FT65" i="2"/>
  <c r="EY65" i="2"/>
  <c r="AA66" i="2"/>
  <c r="AB66" i="2"/>
  <c r="AQ67" i="2"/>
  <c r="AP67" i="2"/>
  <c r="AG67" i="2"/>
  <c r="AF67" i="2"/>
  <c r="A68" i="2"/>
  <c r="Y67" i="2"/>
  <c r="V67" i="2"/>
  <c r="U67" i="2"/>
  <c r="AX63" i="2"/>
  <c r="Z66" i="2"/>
  <c r="AC65" i="2"/>
  <c r="HH67" i="2" l="1"/>
  <c r="EV67" i="2"/>
  <c r="FS67" i="2"/>
  <c r="HI67" i="2"/>
  <c r="EC67" i="2"/>
  <c r="EX67" i="2"/>
  <c r="GN67" i="2"/>
  <c r="HG67" i="2"/>
  <c r="DF67" i="2"/>
  <c r="DG67" i="2"/>
  <c r="DH67" i="2"/>
  <c r="FR67" i="2"/>
  <c r="FQ67" i="2"/>
  <c r="GM67" i="2"/>
  <c r="GL67" i="2"/>
  <c r="EW67" i="2"/>
  <c r="EA67" i="2"/>
  <c r="EB67" i="2"/>
  <c r="CM67" i="2"/>
  <c r="BR67" i="2"/>
  <c r="AV67" i="2"/>
  <c r="AW67" i="2"/>
  <c r="AU67" i="2"/>
  <c r="BP67" i="2"/>
  <c r="BQ67" i="2"/>
  <c r="CK67" i="2"/>
  <c r="CL67" i="2"/>
  <c r="GQ68" i="2"/>
  <c r="GP68" i="2"/>
  <c r="FU68" i="2"/>
  <c r="FV68" i="2"/>
  <c r="FA68" i="2"/>
  <c r="EZ68" i="2"/>
  <c r="EF68" i="2"/>
  <c r="EE68" i="2"/>
  <c r="DK68" i="2"/>
  <c r="DJ68" i="2"/>
  <c r="CP68" i="2"/>
  <c r="CO68" i="2"/>
  <c r="AZ68" i="2"/>
  <c r="AY68" i="2"/>
  <c r="BU68" i="2"/>
  <c r="BT68" i="2"/>
  <c r="AE68" i="2"/>
  <c r="AD68" i="2"/>
  <c r="K68" i="2"/>
  <c r="I68" i="2"/>
  <c r="J68" i="2"/>
  <c r="H105" i="2"/>
  <c r="L68" i="2"/>
  <c r="D106" i="2"/>
  <c r="G106" i="2" s="1"/>
  <c r="FT66" i="2"/>
  <c r="ED66" i="2"/>
  <c r="DI66" i="2"/>
  <c r="GO66" i="2"/>
  <c r="EY66" i="2"/>
  <c r="CN66" i="2"/>
  <c r="HD68" i="2"/>
  <c r="HE68" i="2"/>
  <c r="FO68" i="2"/>
  <c r="GJ68" i="2"/>
  <c r="ES68" i="2"/>
  <c r="DX68" i="2"/>
  <c r="GI68" i="2"/>
  <c r="CI68" i="2"/>
  <c r="BM68" i="2"/>
  <c r="ET68" i="2"/>
  <c r="DC68" i="2"/>
  <c r="DD68" i="2"/>
  <c r="CH68" i="2"/>
  <c r="BN68" i="2"/>
  <c r="AS68" i="2"/>
  <c r="AR68" i="2"/>
  <c r="DY68" i="2"/>
  <c r="FN68" i="2"/>
  <c r="X68" i="2"/>
  <c r="W68" i="2"/>
  <c r="HC68" i="2"/>
  <c r="GR68" i="2"/>
  <c r="GK68" i="2"/>
  <c r="HB68" i="2"/>
  <c r="GS68" i="2"/>
  <c r="FP68" i="2"/>
  <c r="GG68" i="2"/>
  <c r="FX68" i="2"/>
  <c r="GH68" i="2"/>
  <c r="FL68" i="2"/>
  <c r="FC68" i="2"/>
  <c r="HF68" i="2"/>
  <c r="FM68" i="2"/>
  <c r="FB68" i="2"/>
  <c r="ER68" i="2"/>
  <c r="DV68" i="2"/>
  <c r="DM68" i="2"/>
  <c r="DA68" i="2"/>
  <c r="EU68" i="2"/>
  <c r="EG68" i="2"/>
  <c r="DW68" i="2"/>
  <c r="DB68" i="2"/>
  <c r="FW68" i="2"/>
  <c r="DZ68" i="2"/>
  <c r="DL68" i="2"/>
  <c r="DE68" i="2"/>
  <c r="EQ68" i="2"/>
  <c r="EH68" i="2"/>
  <c r="CQ68" i="2"/>
  <c r="CJ68" i="2"/>
  <c r="BK68" i="2"/>
  <c r="BW68" i="2"/>
  <c r="BL68" i="2"/>
  <c r="CF68" i="2"/>
  <c r="BB68" i="2"/>
  <c r="CG68" i="2"/>
  <c r="BV68" i="2"/>
  <c r="BO68" i="2"/>
  <c r="CR68" i="2"/>
  <c r="BA68" i="2"/>
  <c r="AT68" i="2"/>
  <c r="HJ66" i="2"/>
  <c r="AG68" i="2"/>
  <c r="AP68" i="2"/>
  <c r="AQ68" i="2"/>
  <c r="AF68" i="2"/>
  <c r="A69" i="2"/>
  <c r="Y68" i="2"/>
  <c r="U68" i="2"/>
  <c r="V68" i="2"/>
  <c r="AB67" i="2"/>
  <c r="AA67" i="2"/>
  <c r="AX64" i="2"/>
  <c r="Z67" i="2"/>
  <c r="AC66" i="2"/>
  <c r="FS68" i="2" l="1"/>
  <c r="HI68" i="2"/>
  <c r="EX68" i="2"/>
  <c r="AU68" i="2"/>
  <c r="EC68" i="2"/>
  <c r="EV68" i="2"/>
  <c r="GN68" i="2"/>
  <c r="HH68" i="2"/>
  <c r="HG68" i="2"/>
  <c r="DG68" i="2"/>
  <c r="DF68" i="2"/>
  <c r="DH68" i="2"/>
  <c r="FR68" i="2"/>
  <c r="FQ68" i="2"/>
  <c r="GL68" i="2"/>
  <c r="GM68" i="2"/>
  <c r="EW68" i="2"/>
  <c r="EA68" i="2"/>
  <c r="EB68" i="2"/>
  <c r="CM68" i="2"/>
  <c r="BP68" i="2"/>
  <c r="BQ68" i="2"/>
  <c r="BR68" i="2"/>
  <c r="AV68" i="2"/>
  <c r="AW68" i="2"/>
  <c r="CK68" i="2"/>
  <c r="CL68" i="2"/>
  <c r="GQ69" i="2"/>
  <c r="GP69" i="2"/>
  <c r="FU69" i="2"/>
  <c r="FA69" i="2"/>
  <c r="EZ69" i="2"/>
  <c r="FV69" i="2"/>
  <c r="EF69" i="2"/>
  <c r="EE69" i="2"/>
  <c r="DK69" i="2"/>
  <c r="DJ69" i="2"/>
  <c r="BU69" i="2"/>
  <c r="BT69" i="2"/>
  <c r="CP69" i="2"/>
  <c r="CO69" i="2"/>
  <c r="AY69" i="2"/>
  <c r="AE69" i="2"/>
  <c r="AD69" i="2"/>
  <c r="AZ69" i="2"/>
  <c r="J69" i="2"/>
  <c r="K69" i="2"/>
  <c r="I69" i="2"/>
  <c r="H106" i="2"/>
  <c r="L69" i="2"/>
  <c r="D107" i="2"/>
  <c r="G107" i="2" s="1"/>
  <c r="CN67" i="2"/>
  <c r="GO67" i="2"/>
  <c r="HJ67" i="2"/>
  <c r="EY67" i="2"/>
  <c r="FT67" i="2"/>
  <c r="DI67" i="2"/>
  <c r="HE69" i="2"/>
  <c r="GJ69" i="2"/>
  <c r="HD69" i="2"/>
  <c r="GI69" i="2"/>
  <c r="FO69" i="2"/>
  <c r="FN69" i="2"/>
  <c r="ET69" i="2"/>
  <c r="ES69" i="2"/>
  <c r="DD69" i="2"/>
  <c r="DY69" i="2"/>
  <c r="CH69" i="2"/>
  <c r="AS69" i="2"/>
  <c r="DX69" i="2"/>
  <c r="CI69" i="2"/>
  <c r="BM69" i="2"/>
  <c r="X69" i="2"/>
  <c r="DC69" i="2"/>
  <c r="BN69" i="2"/>
  <c r="AR69" i="2"/>
  <c r="W69" i="2"/>
  <c r="HF69" i="2"/>
  <c r="GR69" i="2"/>
  <c r="HC69" i="2"/>
  <c r="GK69" i="2"/>
  <c r="FW69" i="2"/>
  <c r="FM69" i="2"/>
  <c r="FP69" i="2"/>
  <c r="HB69" i="2"/>
  <c r="GS69" i="2"/>
  <c r="GG69" i="2"/>
  <c r="FX69" i="2"/>
  <c r="EQ69" i="2"/>
  <c r="EH69" i="2"/>
  <c r="CJ69" i="2"/>
  <c r="FB69" i="2"/>
  <c r="ER69" i="2"/>
  <c r="DV69" i="2"/>
  <c r="DM69" i="2"/>
  <c r="DA69" i="2"/>
  <c r="EU69" i="2"/>
  <c r="EG69" i="2"/>
  <c r="DW69" i="2"/>
  <c r="DB69" i="2"/>
  <c r="GH69" i="2"/>
  <c r="FL69" i="2"/>
  <c r="FC69" i="2"/>
  <c r="DZ69" i="2"/>
  <c r="DE69" i="2"/>
  <c r="DL69" i="2"/>
  <c r="CQ69" i="2"/>
  <c r="CR69" i="2"/>
  <c r="CG69" i="2"/>
  <c r="BV69" i="2"/>
  <c r="BO69" i="2"/>
  <c r="BK69" i="2"/>
  <c r="BW69" i="2"/>
  <c r="BL69" i="2"/>
  <c r="CF69" i="2"/>
  <c r="BB69" i="2"/>
  <c r="BA69" i="2"/>
  <c r="AT69" i="2"/>
  <c r="ED67" i="2"/>
  <c r="AA68" i="2"/>
  <c r="AB68" i="2"/>
  <c r="AQ69" i="2"/>
  <c r="AG69" i="2"/>
  <c r="AF69" i="2"/>
  <c r="AP69" i="2"/>
  <c r="U69" i="2"/>
  <c r="V69" i="2"/>
  <c r="A70" i="2"/>
  <c r="Y69" i="2"/>
  <c r="AX65" i="2"/>
  <c r="Z68" i="2"/>
  <c r="AC67" i="2"/>
  <c r="FS69" i="2" l="1"/>
  <c r="EC69" i="2"/>
  <c r="HI69" i="2"/>
  <c r="EX69" i="2"/>
  <c r="EA69" i="2"/>
  <c r="EB69" i="2"/>
  <c r="EV69" i="2"/>
  <c r="GN69" i="2"/>
  <c r="HG69" i="2"/>
  <c r="HH69" i="2"/>
  <c r="DF69" i="2"/>
  <c r="DG69" i="2"/>
  <c r="DH69" i="2"/>
  <c r="FQ69" i="2"/>
  <c r="FR69" i="2"/>
  <c r="GL69" i="2"/>
  <c r="GM69" i="2"/>
  <c r="EW69" i="2"/>
  <c r="CM69" i="2"/>
  <c r="BP69" i="2"/>
  <c r="AV69" i="2"/>
  <c r="AW69" i="2"/>
  <c r="AU69" i="2"/>
  <c r="BQ69" i="2"/>
  <c r="BR69" i="2"/>
  <c r="CL69" i="2"/>
  <c r="CK69" i="2"/>
  <c r="GQ70" i="2"/>
  <c r="GP70" i="2"/>
  <c r="FU70" i="2"/>
  <c r="FV70" i="2"/>
  <c r="FA70" i="2"/>
  <c r="EZ70" i="2"/>
  <c r="EF70" i="2"/>
  <c r="CP70" i="2"/>
  <c r="CO70" i="2"/>
  <c r="DK70" i="2"/>
  <c r="DJ70" i="2"/>
  <c r="EE70" i="2"/>
  <c r="BU70" i="2"/>
  <c r="BT70" i="2"/>
  <c r="AZ70" i="2"/>
  <c r="AY70" i="2"/>
  <c r="AE70" i="2"/>
  <c r="AD70" i="2"/>
  <c r="K70" i="2"/>
  <c r="J70" i="2"/>
  <c r="I70" i="2"/>
  <c r="H107" i="2"/>
  <c r="L70" i="2"/>
  <c r="D108" i="2"/>
  <c r="G108" i="2" s="1"/>
  <c r="HJ68" i="2"/>
  <c r="EY68" i="2"/>
  <c r="HD70" i="2"/>
  <c r="HE70" i="2"/>
  <c r="GI70" i="2"/>
  <c r="GJ70" i="2"/>
  <c r="ET70" i="2"/>
  <c r="FO70" i="2"/>
  <c r="FN70" i="2"/>
  <c r="ES70" i="2"/>
  <c r="BN70" i="2"/>
  <c r="DY70" i="2"/>
  <c r="CH70" i="2"/>
  <c r="AS70" i="2"/>
  <c r="W70" i="2"/>
  <c r="DD70" i="2"/>
  <c r="CI70" i="2"/>
  <c r="BM70" i="2"/>
  <c r="X70" i="2"/>
  <c r="DC70" i="2"/>
  <c r="DX70" i="2"/>
  <c r="AR70" i="2"/>
  <c r="HC70" i="2"/>
  <c r="HF70" i="2"/>
  <c r="HB70" i="2"/>
  <c r="GS70" i="2"/>
  <c r="GR70" i="2"/>
  <c r="GK70" i="2"/>
  <c r="GH70" i="2"/>
  <c r="FL70" i="2"/>
  <c r="FC70" i="2"/>
  <c r="FW70" i="2"/>
  <c r="FM70" i="2"/>
  <c r="FP70" i="2"/>
  <c r="DZ70" i="2"/>
  <c r="DL70" i="2"/>
  <c r="DE70" i="2"/>
  <c r="FX70" i="2"/>
  <c r="EQ70" i="2"/>
  <c r="EH70" i="2"/>
  <c r="CJ70" i="2"/>
  <c r="CR70" i="2"/>
  <c r="GG70" i="2"/>
  <c r="FB70" i="2"/>
  <c r="ER70" i="2"/>
  <c r="DV70" i="2"/>
  <c r="DM70" i="2"/>
  <c r="DA70" i="2"/>
  <c r="EG70" i="2"/>
  <c r="EU70" i="2"/>
  <c r="DW70" i="2"/>
  <c r="CQ70" i="2"/>
  <c r="DB70" i="2"/>
  <c r="CF70" i="2"/>
  <c r="BB70" i="2"/>
  <c r="CG70" i="2"/>
  <c r="BV70" i="2"/>
  <c r="BO70" i="2"/>
  <c r="BK70" i="2"/>
  <c r="BW70" i="2"/>
  <c r="BL70" i="2"/>
  <c r="BA70" i="2"/>
  <c r="AT70" i="2"/>
  <c r="CN68" i="2"/>
  <c r="ED68" i="2"/>
  <c r="DI68" i="2"/>
  <c r="FT68" i="2"/>
  <c r="GO68" i="2"/>
  <c r="AP70" i="2"/>
  <c r="AF70" i="2"/>
  <c r="AG70" i="2"/>
  <c r="AQ70" i="2"/>
  <c r="A71" i="2"/>
  <c r="Y70" i="2"/>
  <c r="U70" i="2"/>
  <c r="V70" i="2"/>
  <c r="AB69" i="2"/>
  <c r="AA69" i="2"/>
  <c r="AX66" i="2"/>
  <c r="Z69" i="2"/>
  <c r="AC68" i="2"/>
  <c r="HI70" i="2" l="1"/>
  <c r="EW70" i="2"/>
  <c r="HG70" i="2"/>
  <c r="EB70" i="2"/>
  <c r="EC70" i="2"/>
  <c r="FS70" i="2"/>
  <c r="AU70" i="2"/>
  <c r="EX70" i="2"/>
  <c r="EA70" i="2"/>
  <c r="GN70" i="2"/>
  <c r="HH70" i="2"/>
  <c r="DG70" i="2"/>
  <c r="DF70" i="2"/>
  <c r="DH70" i="2"/>
  <c r="FQ70" i="2"/>
  <c r="FR70" i="2"/>
  <c r="GL70" i="2"/>
  <c r="GM70" i="2"/>
  <c r="EV70" i="2"/>
  <c r="CM70" i="2"/>
  <c r="AV70" i="2"/>
  <c r="AW70" i="2"/>
  <c r="BR70" i="2"/>
  <c r="BQ70" i="2"/>
  <c r="BP70" i="2"/>
  <c r="CK70" i="2"/>
  <c r="CL70" i="2"/>
  <c r="GQ71" i="2"/>
  <c r="GP71" i="2"/>
  <c r="FU71" i="2"/>
  <c r="FA71" i="2"/>
  <c r="EZ71" i="2"/>
  <c r="FV71" i="2"/>
  <c r="EF71" i="2"/>
  <c r="EE71" i="2"/>
  <c r="DK71" i="2"/>
  <c r="DJ71" i="2"/>
  <c r="CP71" i="2"/>
  <c r="CO71" i="2"/>
  <c r="BT71" i="2"/>
  <c r="AZ71" i="2"/>
  <c r="AY71" i="2"/>
  <c r="BU71" i="2"/>
  <c r="AE71" i="2"/>
  <c r="AD71" i="2"/>
  <c r="K71" i="2"/>
  <c r="J71" i="2"/>
  <c r="I71" i="2"/>
  <c r="H108" i="2"/>
  <c r="L71" i="2"/>
  <c r="D109" i="2"/>
  <c r="G109" i="2" s="1"/>
  <c r="DI69" i="2"/>
  <c r="ED69" i="2"/>
  <c r="CN69" i="2"/>
  <c r="EY69" i="2"/>
  <c r="GO69" i="2"/>
  <c r="FT69" i="2"/>
  <c r="HD71" i="2"/>
  <c r="HE71" i="2"/>
  <c r="GI71" i="2"/>
  <c r="GJ71" i="2"/>
  <c r="ES71" i="2"/>
  <c r="ET71" i="2"/>
  <c r="FO71" i="2"/>
  <c r="FN71" i="2"/>
  <c r="DY71" i="2"/>
  <c r="DD71" i="2"/>
  <c r="DC71" i="2"/>
  <c r="BN71" i="2"/>
  <c r="DX71" i="2"/>
  <c r="CI71" i="2"/>
  <c r="CH71" i="2"/>
  <c r="AS71" i="2"/>
  <c r="W71" i="2"/>
  <c r="BM71" i="2"/>
  <c r="AR71" i="2"/>
  <c r="X71" i="2"/>
  <c r="HC71" i="2"/>
  <c r="HF71" i="2"/>
  <c r="GK71" i="2"/>
  <c r="HB71" i="2"/>
  <c r="GS71" i="2"/>
  <c r="GG71" i="2"/>
  <c r="FX71" i="2"/>
  <c r="GR71" i="2"/>
  <c r="GH71" i="2"/>
  <c r="FL71" i="2"/>
  <c r="FC71" i="2"/>
  <c r="FW71" i="2"/>
  <c r="FM71" i="2"/>
  <c r="EU71" i="2"/>
  <c r="EG71" i="2"/>
  <c r="DW71" i="2"/>
  <c r="DB71" i="2"/>
  <c r="DZ71" i="2"/>
  <c r="DL71" i="2"/>
  <c r="DE71" i="2"/>
  <c r="FP71" i="2"/>
  <c r="EQ71" i="2"/>
  <c r="EH71" i="2"/>
  <c r="CJ71" i="2"/>
  <c r="CR71" i="2"/>
  <c r="FB71" i="2"/>
  <c r="DV71" i="2"/>
  <c r="DA71" i="2"/>
  <c r="ER71" i="2"/>
  <c r="BW71" i="2"/>
  <c r="BL71" i="2"/>
  <c r="CF71" i="2"/>
  <c r="BB71" i="2"/>
  <c r="DM71" i="2"/>
  <c r="CG71" i="2"/>
  <c r="BV71" i="2"/>
  <c r="BO71" i="2"/>
  <c r="CQ71" i="2"/>
  <c r="BK71" i="2"/>
  <c r="BA71" i="2"/>
  <c r="AT71" i="2"/>
  <c r="HJ69" i="2"/>
  <c r="AA70" i="2"/>
  <c r="AB70" i="2"/>
  <c r="AQ71" i="2"/>
  <c r="AP71" i="2"/>
  <c r="AF71" i="2"/>
  <c r="AG71" i="2"/>
  <c r="U71" i="2"/>
  <c r="V71" i="2"/>
  <c r="A72" i="2"/>
  <c r="Y71" i="2"/>
  <c r="AX67" i="2"/>
  <c r="Z70" i="2"/>
  <c r="AC69" i="2"/>
  <c r="EA71" i="2" l="1"/>
  <c r="EW71" i="2"/>
  <c r="HH71" i="2"/>
  <c r="HI71" i="2"/>
  <c r="EX71" i="2"/>
  <c r="FS71" i="2"/>
  <c r="EV71" i="2"/>
  <c r="EC71" i="2"/>
  <c r="EB71" i="2"/>
  <c r="HG71" i="2"/>
  <c r="GN71" i="2"/>
  <c r="DG71" i="2"/>
  <c r="DH71" i="2"/>
  <c r="DF71" i="2"/>
  <c r="FR71" i="2"/>
  <c r="FQ71" i="2"/>
  <c r="GM71" i="2"/>
  <c r="GL71" i="2"/>
  <c r="CM71" i="2"/>
  <c r="AV71" i="2"/>
  <c r="AW71" i="2"/>
  <c r="AU71" i="2"/>
  <c r="BR71" i="2"/>
  <c r="BQ71" i="2"/>
  <c r="BP71" i="2"/>
  <c r="CL71" i="2"/>
  <c r="CK71" i="2"/>
  <c r="GQ72" i="2"/>
  <c r="GP72" i="2"/>
  <c r="FU72" i="2"/>
  <c r="FV72" i="2"/>
  <c r="EZ72" i="2"/>
  <c r="FA72" i="2"/>
  <c r="EF72" i="2"/>
  <c r="DJ72" i="2"/>
  <c r="CP72" i="2"/>
  <c r="CO72" i="2"/>
  <c r="DK72" i="2"/>
  <c r="EE72" i="2"/>
  <c r="AZ72" i="2"/>
  <c r="AY72" i="2"/>
  <c r="BU72" i="2"/>
  <c r="BT72" i="2"/>
  <c r="AE72" i="2"/>
  <c r="AD72" i="2"/>
  <c r="K72" i="2"/>
  <c r="J72" i="2"/>
  <c r="I72" i="2"/>
  <c r="H109" i="2"/>
  <c r="L72" i="2"/>
  <c r="D110" i="2"/>
  <c r="G110" i="2" s="1"/>
  <c r="FT70" i="2"/>
  <c r="ED70" i="2"/>
  <c r="HD72" i="2"/>
  <c r="FO72" i="2"/>
  <c r="HE72" i="2"/>
  <c r="GJ72" i="2"/>
  <c r="GI72" i="2"/>
  <c r="ES72" i="2"/>
  <c r="DX72" i="2"/>
  <c r="FN72" i="2"/>
  <c r="ET72" i="2"/>
  <c r="CI72" i="2"/>
  <c r="BM72" i="2"/>
  <c r="DD72" i="2"/>
  <c r="DC72" i="2"/>
  <c r="AR72" i="2"/>
  <c r="AS72" i="2"/>
  <c r="DY72" i="2"/>
  <c r="CH72" i="2"/>
  <c r="BN72" i="2"/>
  <c r="X72" i="2"/>
  <c r="W72" i="2"/>
  <c r="HC72" i="2"/>
  <c r="HF72" i="2"/>
  <c r="GR72" i="2"/>
  <c r="GK72" i="2"/>
  <c r="HB72" i="2"/>
  <c r="GS72" i="2"/>
  <c r="FP72" i="2"/>
  <c r="GG72" i="2"/>
  <c r="FX72" i="2"/>
  <c r="GH72" i="2"/>
  <c r="FL72" i="2"/>
  <c r="FC72" i="2"/>
  <c r="FB72" i="2"/>
  <c r="ER72" i="2"/>
  <c r="DV72" i="2"/>
  <c r="DM72" i="2"/>
  <c r="DA72" i="2"/>
  <c r="FM72" i="2"/>
  <c r="EU72" i="2"/>
  <c r="EG72" i="2"/>
  <c r="DW72" i="2"/>
  <c r="DB72" i="2"/>
  <c r="DZ72" i="2"/>
  <c r="DL72" i="2"/>
  <c r="DE72" i="2"/>
  <c r="FW72" i="2"/>
  <c r="CQ72" i="2"/>
  <c r="EQ72" i="2"/>
  <c r="EH72" i="2"/>
  <c r="CJ72" i="2"/>
  <c r="BK72" i="2"/>
  <c r="BW72" i="2"/>
  <c r="BL72" i="2"/>
  <c r="CF72" i="2"/>
  <c r="BB72" i="2"/>
  <c r="CR72" i="2"/>
  <c r="CG72" i="2"/>
  <c r="BV72" i="2"/>
  <c r="BO72" i="2"/>
  <c r="AT72" i="2"/>
  <c r="BA72" i="2"/>
  <c r="HJ70" i="2"/>
  <c r="GO70" i="2"/>
  <c r="EY70" i="2"/>
  <c r="CN70" i="2"/>
  <c r="DI70" i="2"/>
  <c r="AB71" i="2"/>
  <c r="AA71" i="2"/>
  <c r="AQ72" i="2"/>
  <c r="AG72" i="2"/>
  <c r="AP72" i="2"/>
  <c r="AF72" i="2"/>
  <c r="A73" i="2"/>
  <c r="Y72" i="2"/>
  <c r="U72" i="2"/>
  <c r="V72" i="2"/>
  <c r="AX68" i="2"/>
  <c r="Z71" i="2"/>
  <c r="AC70" i="2"/>
  <c r="EX72" i="2" l="1"/>
  <c r="HH72" i="2"/>
  <c r="EB72" i="2"/>
  <c r="HI72" i="2"/>
  <c r="EC72" i="2"/>
  <c r="EA72" i="2"/>
  <c r="FS72" i="2"/>
  <c r="GN72" i="2"/>
  <c r="HG72" i="2"/>
  <c r="DF72" i="2"/>
  <c r="DG72" i="2"/>
  <c r="DH72" i="2"/>
  <c r="FQ72" i="2"/>
  <c r="FR72" i="2"/>
  <c r="GL72" i="2"/>
  <c r="GM72" i="2"/>
  <c r="EW72" i="2"/>
  <c r="EV72" i="2"/>
  <c r="CM72" i="2"/>
  <c r="AV72" i="2"/>
  <c r="AU72" i="2"/>
  <c r="AW72" i="2"/>
  <c r="BQ72" i="2"/>
  <c r="BR72" i="2"/>
  <c r="BP72" i="2"/>
  <c r="CL72" i="2"/>
  <c r="CK72" i="2"/>
  <c r="GQ73" i="2"/>
  <c r="GP73" i="2"/>
  <c r="FU73" i="2"/>
  <c r="FV73" i="2"/>
  <c r="FA73" i="2"/>
  <c r="EF73" i="2"/>
  <c r="EE73" i="2"/>
  <c r="EZ73" i="2"/>
  <c r="DJ73" i="2"/>
  <c r="DK73" i="2"/>
  <c r="CO73" i="2"/>
  <c r="CP73" i="2"/>
  <c r="BU73" i="2"/>
  <c r="BT73" i="2"/>
  <c r="AE73" i="2"/>
  <c r="AD73" i="2"/>
  <c r="AZ73" i="2"/>
  <c r="AY73" i="2"/>
  <c r="J73" i="2"/>
  <c r="K73" i="2"/>
  <c r="I73" i="2"/>
  <c r="H110" i="2"/>
  <c r="L73" i="2"/>
  <c r="D111" i="2"/>
  <c r="G111" i="2" s="1"/>
  <c r="DI71" i="2"/>
  <c r="GO71" i="2"/>
  <c r="EY71" i="2"/>
  <c r="HJ71" i="2"/>
  <c r="HE73" i="2"/>
  <c r="GJ73" i="2"/>
  <c r="HD73" i="2"/>
  <c r="FO73" i="2"/>
  <c r="FN73" i="2"/>
  <c r="DD73" i="2"/>
  <c r="GI73" i="2"/>
  <c r="ES73" i="2"/>
  <c r="DX73" i="2"/>
  <c r="CH73" i="2"/>
  <c r="AS73" i="2"/>
  <c r="CI73" i="2"/>
  <c r="BM73" i="2"/>
  <c r="X73" i="2"/>
  <c r="AR73" i="2"/>
  <c r="ET73" i="2"/>
  <c r="BN73" i="2"/>
  <c r="DY73" i="2"/>
  <c r="DC73" i="2"/>
  <c r="W73" i="2"/>
  <c r="HF73" i="2"/>
  <c r="GR73" i="2"/>
  <c r="GK73" i="2"/>
  <c r="FW73" i="2"/>
  <c r="FM73" i="2"/>
  <c r="FP73" i="2"/>
  <c r="HC73" i="2"/>
  <c r="HI73" i="2" s="1"/>
  <c r="GG73" i="2"/>
  <c r="FX73" i="2"/>
  <c r="GH73" i="2"/>
  <c r="FL73" i="2"/>
  <c r="FC73" i="2"/>
  <c r="EQ73" i="2"/>
  <c r="EH73" i="2"/>
  <c r="CJ73" i="2"/>
  <c r="HB73" i="2"/>
  <c r="GS73" i="2"/>
  <c r="FB73" i="2"/>
  <c r="ER73" i="2"/>
  <c r="DV73" i="2"/>
  <c r="DM73" i="2"/>
  <c r="DA73" i="2"/>
  <c r="EU73" i="2"/>
  <c r="EG73" i="2"/>
  <c r="DW73" i="2"/>
  <c r="DB73" i="2"/>
  <c r="DZ73" i="2"/>
  <c r="CR73" i="2"/>
  <c r="DE73" i="2"/>
  <c r="CQ73" i="2"/>
  <c r="DL73" i="2"/>
  <c r="CG73" i="2"/>
  <c r="BV73" i="2"/>
  <c r="BO73" i="2"/>
  <c r="BK73" i="2"/>
  <c r="BW73" i="2"/>
  <c r="BL73" i="2"/>
  <c r="CF73" i="2"/>
  <c r="BB73" i="2"/>
  <c r="BA73" i="2"/>
  <c r="AT73" i="2"/>
  <c r="CN71" i="2"/>
  <c r="ED71" i="2"/>
  <c r="FT71" i="2"/>
  <c r="AA72" i="2"/>
  <c r="AP73" i="2"/>
  <c r="AF73" i="2"/>
  <c r="AQ73" i="2"/>
  <c r="AG73" i="2"/>
  <c r="Y73" i="2"/>
  <c r="U73" i="2"/>
  <c r="V73" i="2"/>
  <c r="A74" i="2"/>
  <c r="AB72" i="2"/>
  <c r="AX69" i="2"/>
  <c r="Z72" i="2"/>
  <c r="AC71" i="2"/>
  <c r="EW73" i="2" l="1"/>
  <c r="EX73" i="2"/>
  <c r="EC73" i="2"/>
  <c r="EB73" i="2"/>
  <c r="FS73" i="2"/>
  <c r="EA73" i="2"/>
  <c r="EV73" i="2"/>
  <c r="HG73" i="2"/>
  <c r="HH73" i="2"/>
  <c r="GN73" i="2"/>
  <c r="DF73" i="2"/>
  <c r="DG73" i="2"/>
  <c r="DH73" i="2"/>
  <c r="FR73" i="2"/>
  <c r="FQ73" i="2"/>
  <c r="GM73" i="2"/>
  <c r="GL73" i="2"/>
  <c r="CM73" i="2"/>
  <c r="BQ73" i="2"/>
  <c r="AV73" i="2"/>
  <c r="AW73" i="2"/>
  <c r="AU73" i="2"/>
  <c r="BR73" i="2"/>
  <c r="BP73" i="2"/>
  <c r="CL73" i="2"/>
  <c r="CK73" i="2"/>
  <c r="GQ74" i="2"/>
  <c r="GP74" i="2"/>
  <c r="FV74" i="2"/>
  <c r="FU74" i="2"/>
  <c r="FA74" i="2"/>
  <c r="EZ74" i="2"/>
  <c r="EF74" i="2"/>
  <c r="EE74" i="2"/>
  <c r="CP74" i="2"/>
  <c r="CO74" i="2"/>
  <c r="AZ74" i="2"/>
  <c r="AY74" i="2"/>
  <c r="DK74" i="2"/>
  <c r="BU74" i="2"/>
  <c r="BT74" i="2"/>
  <c r="DJ74" i="2"/>
  <c r="AE74" i="2"/>
  <c r="AD74" i="2"/>
  <c r="J74" i="2"/>
  <c r="I74" i="2"/>
  <c r="K74" i="2"/>
  <c r="H111" i="2"/>
  <c r="L74" i="2"/>
  <c r="D112" i="2"/>
  <c r="G112" i="2" s="1"/>
  <c r="CN72" i="2"/>
  <c r="FT72" i="2"/>
  <c r="ED72" i="2"/>
  <c r="HJ72" i="2"/>
  <c r="EY72" i="2"/>
  <c r="DI72" i="2"/>
  <c r="HD74" i="2"/>
  <c r="HE74" i="2"/>
  <c r="GI74" i="2"/>
  <c r="GJ74" i="2"/>
  <c r="ET74" i="2"/>
  <c r="FN74" i="2"/>
  <c r="FO74" i="2"/>
  <c r="DY74" i="2"/>
  <c r="BN74" i="2"/>
  <c r="ES74" i="2"/>
  <c r="DX74" i="2"/>
  <c r="CH74" i="2"/>
  <c r="AS74" i="2"/>
  <c r="DC74" i="2"/>
  <c r="W74" i="2"/>
  <c r="X74" i="2"/>
  <c r="DD74" i="2"/>
  <c r="BM74" i="2"/>
  <c r="CI74" i="2"/>
  <c r="AR74" i="2"/>
  <c r="HC74" i="2"/>
  <c r="HF74" i="2"/>
  <c r="HB74" i="2"/>
  <c r="GS74" i="2"/>
  <c r="GR74" i="2"/>
  <c r="GH74" i="2"/>
  <c r="FL74" i="2"/>
  <c r="FC74" i="2"/>
  <c r="GK74" i="2"/>
  <c r="FW74" i="2"/>
  <c r="FM74" i="2"/>
  <c r="FP74" i="2"/>
  <c r="DZ74" i="2"/>
  <c r="DL74" i="2"/>
  <c r="DE74" i="2"/>
  <c r="EQ74" i="2"/>
  <c r="EH74" i="2"/>
  <c r="CJ74" i="2"/>
  <c r="CR74" i="2"/>
  <c r="FX74" i="2"/>
  <c r="FB74" i="2"/>
  <c r="ER74" i="2"/>
  <c r="DV74" i="2"/>
  <c r="DM74" i="2"/>
  <c r="DA74" i="2"/>
  <c r="GG74" i="2"/>
  <c r="DW74" i="2"/>
  <c r="EG74" i="2"/>
  <c r="DB74" i="2"/>
  <c r="EU74" i="2"/>
  <c r="CQ74" i="2"/>
  <c r="CF74" i="2"/>
  <c r="BB74" i="2"/>
  <c r="CG74" i="2"/>
  <c r="BV74" i="2"/>
  <c r="BO74" i="2"/>
  <c r="BK74" i="2"/>
  <c r="BW74" i="2"/>
  <c r="BL74" i="2"/>
  <c r="BA74" i="2"/>
  <c r="AT74" i="2"/>
  <c r="GO72" i="2"/>
  <c r="AB73" i="2"/>
  <c r="AA73" i="2"/>
  <c r="AP74" i="2"/>
  <c r="AF74" i="2"/>
  <c r="AQ74" i="2"/>
  <c r="AG74" i="2"/>
  <c r="Y74" i="2"/>
  <c r="U74" i="2"/>
  <c r="V74" i="2"/>
  <c r="A75" i="2"/>
  <c r="AX70" i="2"/>
  <c r="Z73" i="2"/>
  <c r="AC72" i="2"/>
  <c r="FS74" i="2" l="1"/>
  <c r="FR74" i="2"/>
  <c r="EW74" i="2"/>
  <c r="HG74" i="2"/>
  <c r="EC74" i="2"/>
  <c r="EX74" i="2"/>
  <c r="EB74" i="2"/>
  <c r="HI74" i="2"/>
  <c r="GN74" i="2"/>
  <c r="HH74" i="2"/>
  <c r="DG74" i="2"/>
  <c r="DF74" i="2"/>
  <c r="DH74" i="2"/>
  <c r="FQ74" i="2"/>
  <c r="GM74" i="2"/>
  <c r="GL74" i="2"/>
  <c r="EV74" i="2"/>
  <c r="EA74" i="2"/>
  <c r="CM74" i="2"/>
  <c r="AV74" i="2"/>
  <c r="AU74" i="2"/>
  <c r="AW74" i="2"/>
  <c r="BR74" i="2"/>
  <c r="BP74" i="2"/>
  <c r="BQ74" i="2"/>
  <c r="CK74" i="2"/>
  <c r="CL74" i="2"/>
  <c r="GQ75" i="2"/>
  <c r="GP75" i="2"/>
  <c r="FU75" i="2"/>
  <c r="FV75" i="2"/>
  <c r="FA75" i="2"/>
  <c r="EZ75" i="2"/>
  <c r="EF75" i="2"/>
  <c r="EE75" i="2"/>
  <c r="DK75" i="2"/>
  <c r="DJ75" i="2"/>
  <c r="CO75" i="2"/>
  <c r="CP75" i="2"/>
  <c r="BT75" i="2"/>
  <c r="AZ75" i="2"/>
  <c r="AE75" i="2"/>
  <c r="AY75" i="2"/>
  <c r="BU75" i="2"/>
  <c r="AD75" i="2"/>
  <c r="K75" i="2"/>
  <c r="J75" i="2"/>
  <c r="I75" i="2"/>
  <c r="H112" i="2"/>
  <c r="L75" i="2"/>
  <c r="D113" i="2"/>
  <c r="G113" i="2" s="1"/>
  <c r="HJ73" i="2"/>
  <c r="CN73" i="2"/>
  <c r="HD75" i="2"/>
  <c r="HE75" i="2"/>
  <c r="GI75" i="2"/>
  <c r="FO75" i="2"/>
  <c r="ES75" i="2"/>
  <c r="GJ75" i="2"/>
  <c r="ET75" i="2"/>
  <c r="DY75" i="2"/>
  <c r="FN75" i="2"/>
  <c r="DC75" i="2"/>
  <c r="BN75" i="2"/>
  <c r="CI75" i="2"/>
  <c r="BM75" i="2"/>
  <c r="DX75" i="2"/>
  <c r="W75" i="2"/>
  <c r="CH75" i="2"/>
  <c r="AR75" i="2"/>
  <c r="X75" i="2"/>
  <c r="DD75" i="2"/>
  <c r="AS75" i="2"/>
  <c r="HC75" i="2"/>
  <c r="HF75" i="2"/>
  <c r="GK75" i="2"/>
  <c r="HB75" i="2"/>
  <c r="GS75" i="2"/>
  <c r="GG75" i="2"/>
  <c r="FX75" i="2"/>
  <c r="GH75" i="2"/>
  <c r="FL75" i="2"/>
  <c r="FC75" i="2"/>
  <c r="GR75" i="2"/>
  <c r="FW75" i="2"/>
  <c r="FM75" i="2"/>
  <c r="EU75" i="2"/>
  <c r="EG75" i="2"/>
  <c r="DW75" i="2"/>
  <c r="DB75" i="2"/>
  <c r="DZ75" i="2"/>
  <c r="DL75" i="2"/>
  <c r="DE75" i="2"/>
  <c r="EQ75" i="2"/>
  <c r="EH75" i="2"/>
  <c r="CJ75" i="2"/>
  <c r="CR75" i="2"/>
  <c r="FP75" i="2"/>
  <c r="FB75" i="2"/>
  <c r="ER75" i="2"/>
  <c r="DM75" i="2"/>
  <c r="DV75" i="2"/>
  <c r="DA75" i="2"/>
  <c r="CQ75" i="2"/>
  <c r="BW75" i="2"/>
  <c r="BL75" i="2"/>
  <c r="CF75" i="2"/>
  <c r="BB75" i="2"/>
  <c r="CG75" i="2"/>
  <c r="BV75" i="2"/>
  <c r="BO75" i="2"/>
  <c r="BK75" i="2"/>
  <c r="BA75" i="2"/>
  <c r="AT75" i="2"/>
  <c r="DI73" i="2"/>
  <c r="EY73" i="2"/>
  <c r="ED73" i="2"/>
  <c r="GO73" i="2"/>
  <c r="FT73" i="2"/>
  <c r="AB74" i="2"/>
  <c r="AA74" i="2"/>
  <c r="AQ75" i="2"/>
  <c r="AP75" i="2"/>
  <c r="AF75" i="2"/>
  <c r="AG75" i="2"/>
  <c r="V75" i="2"/>
  <c r="Y75" i="2"/>
  <c r="U75" i="2"/>
  <c r="A76" i="2"/>
  <c r="AX71" i="2"/>
  <c r="Z74" i="2"/>
  <c r="AC73" i="2"/>
  <c r="FS75" i="2" l="1"/>
  <c r="HG75" i="2"/>
  <c r="EA75" i="2"/>
  <c r="EB75" i="2"/>
  <c r="HH75" i="2"/>
  <c r="EX75" i="2"/>
  <c r="HI75" i="2"/>
  <c r="EW75" i="2"/>
  <c r="EC75" i="2"/>
  <c r="GN75" i="2"/>
  <c r="DG75" i="2"/>
  <c r="DF75" i="2"/>
  <c r="DH75" i="2"/>
  <c r="FR75" i="2"/>
  <c r="FQ75" i="2"/>
  <c r="GL75" i="2"/>
  <c r="GM75" i="2"/>
  <c r="EV75" i="2"/>
  <c r="CM75" i="2"/>
  <c r="AV75" i="2"/>
  <c r="AW75" i="2"/>
  <c r="AU75" i="2"/>
  <c r="BR75" i="2"/>
  <c r="BP75" i="2"/>
  <c r="BQ75" i="2"/>
  <c r="CK75" i="2"/>
  <c r="CL75" i="2"/>
  <c r="GQ76" i="2"/>
  <c r="GP76" i="2"/>
  <c r="FV76" i="2"/>
  <c r="FU76" i="2"/>
  <c r="FA76" i="2"/>
  <c r="EZ76" i="2"/>
  <c r="EF76" i="2"/>
  <c r="EE76" i="2"/>
  <c r="DK76" i="2"/>
  <c r="DJ76" i="2"/>
  <c r="CP76" i="2"/>
  <c r="CO76" i="2"/>
  <c r="AZ76" i="2"/>
  <c r="AY76" i="2"/>
  <c r="BU76" i="2"/>
  <c r="BT76" i="2"/>
  <c r="AE76" i="2"/>
  <c r="AD76" i="2"/>
  <c r="K76" i="2"/>
  <c r="J76" i="2"/>
  <c r="I76" i="2"/>
  <c r="H113" i="2"/>
  <c r="L76" i="2"/>
  <c r="D114" i="2"/>
  <c r="G114" i="2" s="1"/>
  <c r="ED74" i="2"/>
  <c r="CN74" i="2"/>
  <c r="HJ74" i="2"/>
  <c r="EY74" i="2"/>
  <c r="HD76" i="2"/>
  <c r="HE76" i="2"/>
  <c r="FO76" i="2"/>
  <c r="GI76" i="2"/>
  <c r="ES76" i="2"/>
  <c r="DX76" i="2"/>
  <c r="DD76" i="2"/>
  <c r="CI76" i="2"/>
  <c r="BM76" i="2"/>
  <c r="GJ76" i="2"/>
  <c r="FN76" i="2"/>
  <c r="DY76" i="2"/>
  <c r="DC76" i="2"/>
  <c r="ET76" i="2"/>
  <c r="CH76" i="2"/>
  <c r="BN76" i="2"/>
  <c r="AS76" i="2"/>
  <c r="AR76" i="2"/>
  <c r="X76" i="2"/>
  <c r="W76" i="2"/>
  <c r="HC76" i="2"/>
  <c r="GR76" i="2"/>
  <c r="HF76" i="2"/>
  <c r="GK76" i="2"/>
  <c r="HB76" i="2"/>
  <c r="GS76" i="2"/>
  <c r="FP76" i="2"/>
  <c r="GG76" i="2"/>
  <c r="FX76" i="2"/>
  <c r="GH76" i="2"/>
  <c r="FL76" i="2"/>
  <c r="FC76" i="2"/>
  <c r="FW76" i="2"/>
  <c r="FB76" i="2"/>
  <c r="ER76" i="2"/>
  <c r="DV76" i="2"/>
  <c r="DM76" i="2"/>
  <c r="DA76" i="2"/>
  <c r="EU76" i="2"/>
  <c r="EG76" i="2"/>
  <c r="DW76" i="2"/>
  <c r="DB76" i="2"/>
  <c r="FM76" i="2"/>
  <c r="DZ76" i="2"/>
  <c r="DL76" i="2"/>
  <c r="DE76" i="2"/>
  <c r="CQ76" i="2"/>
  <c r="CR76" i="2"/>
  <c r="EQ76" i="2"/>
  <c r="EH76" i="2"/>
  <c r="CJ76" i="2"/>
  <c r="BK76" i="2"/>
  <c r="BW76" i="2"/>
  <c r="BL76" i="2"/>
  <c r="CF76" i="2"/>
  <c r="BB76" i="2"/>
  <c r="CG76" i="2"/>
  <c r="BV76" i="2"/>
  <c r="BO76" i="2"/>
  <c r="BA76" i="2"/>
  <c r="AT76" i="2"/>
  <c r="DI74" i="2"/>
  <c r="FT74" i="2"/>
  <c r="GO74" i="2"/>
  <c r="AB75" i="2"/>
  <c r="AA75" i="2"/>
  <c r="AQ76" i="2"/>
  <c r="AP76" i="2"/>
  <c r="AF76" i="2"/>
  <c r="AG76" i="2"/>
  <c r="Y76" i="2"/>
  <c r="U76" i="2"/>
  <c r="V76" i="2"/>
  <c r="A77" i="2"/>
  <c r="AX72" i="2"/>
  <c r="Z75" i="2"/>
  <c r="AC74" i="2"/>
  <c r="HH76" i="2" l="1"/>
  <c r="FS76" i="2"/>
  <c r="HI76" i="2"/>
  <c r="EW76" i="2"/>
  <c r="EX76" i="2"/>
  <c r="EC76" i="2"/>
  <c r="GN76" i="2"/>
  <c r="HG76" i="2"/>
  <c r="DG76" i="2"/>
  <c r="DF76" i="2"/>
  <c r="DH76" i="2"/>
  <c r="FR76" i="2"/>
  <c r="FQ76" i="2"/>
  <c r="GL76" i="2"/>
  <c r="GM76" i="2"/>
  <c r="EV76" i="2"/>
  <c r="EA76" i="2"/>
  <c r="EB76" i="2"/>
  <c r="CM76" i="2"/>
  <c r="BP76" i="2"/>
  <c r="AV76" i="2"/>
  <c r="AU76" i="2"/>
  <c r="AW76" i="2"/>
  <c r="BR76" i="2"/>
  <c r="BQ76" i="2"/>
  <c r="CL76" i="2"/>
  <c r="CK76" i="2"/>
  <c r="GQ77" i="2"/>
  <c r="GP77" i="2"/>
  <c r="FU77" i="2"/>
  <c r="FA77" i="2"/>
  <c r="EZ77" i="2"/>
  <c r="FV77" i="2"/>
  <c r="EF77" i="2"/>
  <c r="EE77" i="2"/>
  <c r="DK77" i="2"/>
  <c r="DJ77" i="2"/>
  <c r="BU77" i="2"/>
  <c r="BT77" i="2"/>
  <c r="CO77" i="2"/>
  <c r="CP77" i="2"/>
  <c r="AZ77" i="2"/>
  <c r="AE77" i="2"/>
  <c r="AD77" i="2"/>
  <c r="AY77" i="2"/>
  <c r="J77" i="2"/>
  <c r="K77" i="2"/>
  <c r="I77" i="2"/>
  <c r="H114" i="2"/>
  <c r="L77" i="2"/>
  <c r="D115" i="2"/>
  <c r="G115" i="2" s="1"/>
  <c r="ED75" i="2"/>
  <c r="GO75" i="2"/>
  <c r="FT75" i="2"/>
  <c r="HE77" i="2"/>
  <c r="GJ77" i="2"/>
  <c r="GI77" i="2"/>
  <c r="FO77" i="2"/>
  <c r="FN77" i="2"/>
  <c r="HD77" i="2"/>
  <c r="ET77" i="2"/>
  <c r="ES77" i="2"/>
  <c r="DD77" i="2"/>
  <c r="CH77" i="2"/>
  <c r="AS77" i="2"/>
  <c r="CI77" i="2"/>
  <c r="BM77" i="2"/>
  <c r="DY77" i="2"/>
  <c r="X77" i="2"/>
  <c r="DC77" i="2"/>
  <c r="BN77" i="2"/>
  <c r="AR77" i="2"/>
  <c r="DX77" i="2"/>
  <c r="W77" i="2"/>
  <c r="HF77" i="2"/>
  <c r="HC77" i="2"/>
  <c r="GR77" i="2"/>
  <c r="GK77" i="2"/>
  <c r="HB77" i="2"/>
  <c r="GS77" i="2"/>
  <c r="FW77" i="2"/>
  <c r="FM77" i="2"/>
  <c r="FP77" i="2"/>
  <c r="GG77" i="2"/>
  <c r="FX77" i="2"/>
  <c r="EQ77" i="2"/>
  <c r="EH77" i="2"/>
  <c r="CJ77" i="2"/>
  <c r="GH77" i="2"/>
  <c r="FL77" i="2"/>
  <c r="FC77" i="2"/>
  <c r="FB77" i="2"/>
  <c r="ER77" i="2"/>
  <c r="DV77" i="2"/>
  <c r="DM77" i="2"/>
  <c r="DA77" i="2"/>
  <c r="EU77" i="2"/>
  <c r="EG77" i="2"/>
  <c r="DW77" i="2"/>
  <c r="DB77" i="2"/>
  <c r="DZ77" i="2"/>
  <c r="CQ77" i="2"/>
  <c r="DE77" i="2"/>
  <c r="CR77" i="2"/>
  <c r="CG77" i="2"/>
  <c r="BV77" i="2"/>
  <c r="BO77" i="2"/>
  <c r="DL77" i="2"/>
  <c r="BK77" i="2"/>
  <c r="BW77" i="2"/>
  <c r="BL77" i="2"/>
  <c r="CF77" i="2"/>
  <c r="BB77" i="2"/>
  <c r="BA77" i="2"/>
  <c r="AT77" i="2"/>
  <c r="DI75" i="2"/>
  <c r="EY75" i="2"/>
  <c r="HJ75" i="2"/>
  <c r="CN75" i="2"/>
  <c r="AB76" i="2"/>
  <c r="AQ77" i="2"/>
  <c r="AG77" i="2"/>
  <c r="AP77" i="2"/>
  <c r="AF77" i="2"/>
  <c r="A78" i="2"/>
  <c r="Y77" i="2"/>
  <c r="U77" i="2"/>
  <c r="V77" i="2"/>
  <c r="AA76" i="2"/>
  <c r="AX73" i="2"/>
  <c r="Z76" i="2"/>
  <c r="AC75" i="2"/>
  <c r="HI77" i="2" l="1"/>
  <c r="EB77" i="2"/>
  <c r="EA77" i="2"/>
  <c r="EW77" i="2"/>
  <c r="FS77" i="2"/>
  <c r="EX77" i="2"/>
  <c r="EC77" i="2"/>
  <c r="EV77" i="2"/>
  <c r="HG77" i="2"/>
  <c r="GN77" i="2"/>
  <c r="HH77" i="2"/>
  <c r="DF77" i="2"/>
  <c r="DG77" i="2"/>
  <c r="DH77" i="2"/>
  <c r="FR77" i="2"/>
  <c r="FQ77" i="2"/>
  <c r="GL77" i="2"/>
  <c r="GM77" i="2"/>
  <c r="CM77" i="2"/>
  <c r="AV77" i="2"/>
  <c r="AW77" i="2"/>
  <c r="AU77" i="2"/>
  <c r="BR77" i="2"/>
  <c r="BQ77" i="2"/>
  <c r="BP77" i="2"/>
  <c r="CK77" i="2"/>
  <c r="CL77" i="2"/>
  <c r="GQ78" i="2"/>
  <c r="GP78" i="2"/>
  <c r="FU78" i="2"/>
  <c r="FV78" i="2"/>
  <c r="FA78" i="2"/>
  <c r="EZ78" i="2"/>
  <c r="EE78" i="2"/>
  <c r="CP78" i="2"/>
  <c r="CO78" i="2"/>
  <c r="DJ78" i="2"/>
  <c r="DK78" i="2"/>
  <c r="BU78" i="2"/>
  <c r="BT78" i="2"/>
  <c r="EF78" i="2"/>
  <c r="AZ78" i="2"/>
  <c r="AY78" i="2"/>
  <c r="AE78" i="2"/>
  <c r="AD78" i="2"/>
  <c r="J78" i="2"/>
  <c r="K78" i="2"/>
  <c r="I78" i="2"/>
  <c r="H115" i="2"/>
  <c r="L78" i="2"/>
  <c r="D116" i="2"/>
  <c r="G116" i="2" s="1"/>
  <c r="CN76" i="2"/>
  <c r="EY76" i="2"/>
  <c r="GO76" i="2"/>
  <c r="ED76" i="2"/>
  <c r="DI76" i="2"/>
  <c r="HD78" i="2"/>
  <c r="HE78" i="2"/>
  <c r="GI78" i="2"/>
  <c r="GJ78" i="2"/>
  <c r="ET78" i="2"/>
  <c r="FO78" i="2"/>
  <c r="FN78" i="2"/>
  <c r="ES78" i="2"/>
  <c r="DX78" i="2"/>
  <c r="BN78" i="2"/>
  <c r="DD78" i="2"/>
  <c r="CH78" i="2"/>
  <c r="AS78" i="2"/>
  <c r="W78" i="2"/>
  <c r="DY78" i="2"/>
  <c r="CI78" i="2"/>
  <c r="BM78" i="2"/>
  <c r="X78" i="2"/>
  <c r="DC78" i="2"/>
  <c r="AR78" i="2"/>
  <c r="HC78" i="2"/>
  <c r="HF78" i="2"/>
  <c r="HB78" i="2"/>
  <c r="GS78" i="2"/>
  <c r="GR78" i="2"/>
  <c r="GH78" i="2"/>
  <c r="FL78" i="2"/>
  <c r="FC78" i="2"/>
  <c r="FW78" i="2"/>
  <c r="FM78" i="2"/>
  <c r="GK78" i="2"/>
  <c r="FP78" i="2"/>
  <c r="GG78" i="2"/>
  <c r="DZ78" i="2"/>
  <c r="DL78" i="2"/>
  <c r="DE78" i="2"/>
  <c r="EQ78" i="2"/>
  <c r="EH78" i="2"/>
  <c r="CJ78" i="2"/>
  <c r="CR78" i="2"/>
  <c r="FB78" i="2"/>
  <c r="ER78" i="2"/>
  <c r="DV78" i="2"/>
  <c r="DM78" i="2"/>
  <c r="DA78" i="2"/>
  <c r="FX78" i="2"/>
  <c r="DW78" i="2"/>
  <c r="EG78" i="2"/>
  <c r="DB78" i="2"/>
  <c r="EU78" i="2"/>
  <c r="CQ78" i="2"/>
  <c r="CF78" i="2"/>
  <c r="BB78" i="2"/>
  <c r="CG78" i="2"/>
  <c r="BV78" i="2"/>
  <c r="BO78" i="2"/>
  <c r="BK78" i="2"/>
  <c r="BW78" i="2"/>
  <c r="BL78" i="2"/>
  <c r="BA78" i="2"/>
  <c r="AT78" i="2"/>
  <c r="HJ76" i="2"/>
  <c r="FT76" i="2"/>
  <c r="AA77" i="2"/>
  <c r="AB77" i="2"/>
  <c r="AP78" i="2"/>
  <c r="AF78" i="2"/>
  <c r="AQ78" i="2"/>
  <c r="AG78" i="2"/>
  <c r="U78" i="2"/>
  <c r="V78" i="2"/>
  <c r="A79" i="2"/>
  <c r="Y78" i="2"/>
  <c r="AX74" i="2"/>
  <c r="Z77" i="2"/>
  <c r="AC76" i="2"/>
  <c r="HI78" i="2" l="1"/>
  <c r="EC78" i="2"/>
  <c r="EV78" i="2"/>
  <c r="EB78" i="2"/>
  <c r="EW78" i="2"/>
  <c r="AU78" i="2"/>
  <c r="FS78" i="2"/>
  <c r="EX78" i="2"/>
  <c r="EA78" i="2"/>
  <c r="HG78" i="2"/>
  <c r="GN78" i="2"/>
  <c r="HH78" i="2"/>
  <c r="DF78" i="2"/>
  <c r="DG78" i="2"/>
  <c r="DH78" i="2"/>
  <c r="FQ78" i="2"/>
  <c r="FR78" i="2"/>
  <c r="GM78" i="2"/>
  <c r="GL78" i="2"/>
  <c r="CM78" i="2"/>
  <c r="BQ78" i="2"/>
  <c r="BP78" i="2"/>
  <c r="AV78" i="2"/>
  <c r="AW78" i="2"/>
  <c r="BR78" i="2"/>
  <c r="CL78" i="2"/>
  <c r="CK78" i="2"/>
  <c r="GQ79" i="2"/>
  <c r="GP79" i="2"/>
  <c r="FU79" i="2"/>
  <c r="FA79" i="2"/>
  <c r="EZ79" i="2"/>
  <c r="FV79" i="2"/>
  <c r="EF79" i="2"/>
  <c r="EE79" i="2"/>
  <c r="DK79" i="2"/>
  <c r="DJ79" i="2"/>
  <c r="CO79" i="2"/>
  <c r="CP79" i="2"/>
  <c r="BU79" i="2"/>
  <c r="AY79" i="2"/>
  <c r="BT79" i="2"/>
  <c r="AZ79" i="2"/>
  <c r="AE79" i="2"/>
  <c r="K79" i="2"/>
  <c r="AD79" i="2"/>
  <c r="J79" i="2"/>
  <c r="I79" i="2"/>
  <c r="H116" i="2"/>
  <c r="L79" i="2"/>
  <c r="D117" i="2"/>
  <c r="G117" i="2" s="1"/>
  <c r="EY77" i="2"/>
  <c r="HJ77" i="2"/>
  <c r="DI77" i="2"/>
  <c r="CN77" i="2"/>
  <c r="HD79" i="2"/>
  <c r="HE79" i="2"/>
  <c r="GI79" i="2"/>
  <c r="GJ79" i="2"/>
  <c r="ES79" i="2"/>
  <c r="ET79" i="2"/>
  <c r="FN79" i="2"/>
  <c r="DY79" i="2"/>
  <c r="FO79" i="2"/>
  <c r="DC79" i="2"/>
  <c r="DX79" i="2"/>
  <c r="BN79" i="2"/>
  <c r="DD79" i="2"/>
  <c r="BM79" i="2"/>
  <c r="CH79" i="2"/>
  <c r="AS79" i="2"/>
  <c r="W79" i="2"/>
  <c r="CI79" i="2"/>
  <c r="AR79" i="2"/>
  <c r="X79" i="2"/>
  <c r="HC79" i="2"/>
  <c r="HF79" i="2"/>
  <c r="GK79" i="2"/>
  <c r="HB79" i="2"/>
  <c r="GS79" i="2"/>
  <c r="GG79" i="2"/>
  <c r="FX79" i="2"/>
  <c r="GH79" i="2"/>
  <c r="FL79" i="2"/>
  <c r="FC79" i="2"/>
  <c r="FW79" i="2"/>
  <c r="FM79" i="2"/>
  <c r="GR79" i="2"/>
  <c r="FP79" i="2"/>
  <c r="EU79" i="2"/>
  <c r="EG79" i="2"/>
  <c r="DW79" i="2"/>
  <c r="DB79" i="2"/>
  <c r="DZ79" i="2"/>
  <c r="DL79" i="2"/>
  <c r="DE79" i="2"/>
  <c r="EQ79" i="2"/>
  <c r="EH79" i="2"/>
  <c r="CJ79" i="2"/>
  <c r="CR79" i="2"/>
  <c r="FB79" i="2"/>
  <c r="ER79" i="2"/>
  <c r="DM79" i="2"/>
  <c r="DV79" i="2"/>
  <c r="BW79" i="2"/>
  <c r="BL79" i="2"/>
  <c r="CQ79" i="2"/>
  <c r="CF79" i="2"/>
  <c r="BB79" i="2"/>
  <c r="CG79" i="2"/>
  <c r="BV79" i="2"/>
  <c r="BO79" i="2"/>
  <c r="DA79" i="2"/>
  <c r="BK79" i="2"/>
  <c r="BA79" i="2"/>
  <c r="AT79" i="2"/>
  <c r="FT77" i="2"/>
  <c r="ED77" i="2"/>
  <c r="GO77" i="2"/>
  <c r="AA78" i="2"/>
  <c r="AQ79" i="2"/>
  <c r="AG79" i="2"/>
  <c r="AP79" i="2"/>
  <c r="AF79" i="2"/>
  <c r="Y79" i="2"/>
  <c r="A80" i="2"/>
  <c r="U79" i="2"/>
  <c r="V79" i="2"/>
  <c r="AB78" i="2"/>
  <c r="AX75" i="2"/>
  <c r="Z78" i="2"/>
  <c r="AC77" i="2"/>
  <c r="HG79" i="2" l="1"/>
  <c r="EB79" i="2"/>
  <c r="HH79" i="2"/>
  <c r="HI79" i="2"/>
  <c r="EX79" i="2"/>
  <c r="FS79" i="2"/>
  <c r="EC79" i="2"/>
  <c r="EA79" i="2"/>
  <c r="GN79" i="2"/>
  <c r="DG79" i="2"/>
  <c r="DF79" i="2"/>
  <c r="DH79" i="2"/>
  <c r="FQ79" i="2"/>
  <c r="FR79" i="2"/>
  <c r="GM79" i="2"/>
  <c r="GL79" i="2"/>
  <c r="EW79" i="2"/>
  <c r="EV79" i="2"/>
  <c r="CM79" i="2"/>
  <c r="AV79" i="2"/>
  <c r="AW79" i="2"/>
  <c r="AU79" i="2"/>
  <c r="BR79" i="2"/>
  <c r="BP79" i="2"/>
  <c r="BQ79" i="2"/>
  <c r="CK79" i="2"/>
  <c r="CL79" i="2"/>
  <c r="GQ80" i="2"/>
  <c r="GP80" i="2"/>
  <c r="FU80" i="2"/>
  <c r="FV80" i="2"/>
  <c r="FA80" i="2"/>
  <c r="EZ80" i="2"/>
  <c r="EE80" i="2"/>
  <c r="DK80" i="2"/>
  <c r="CP80" i="2"/>
  <c r="CO80" i="2"/>
  <c r="DJ80" i="2"/>
  <c r="EF80" i="2"/>
  <c r="AZ80" i="2"/>
  <c r="AY80" i="2"/>
  <c r="BU80" i="2"/>
  <c r="BT80" i="2"/>
  <c r="AE80" i="2"/>
  <c r="AD80" i="2"/>
  <c r="J80" i="2"/>
  <c r="K80" i="2"/>
  <c r="I80" i="2"/>
  <c r="H117" i="2"/>
  <c r="L80" i="2"/>
  <c r="D118" i="2"/>
  <c r="G118" i="2" s="1"/>
  <c r="FT78" i="2"/>
  <c r="HJ78" i="2"/>
  <c r="GO78" i="2"/>
  <c r="HD80" i="2"/>
  <c r="HE80" i="2"/>
  <c r="FO80" i="2"/>
  <c r="GJ80" i="2"/>
  <c r="GI80" i="2"/>
  <c r="ES80" i="2"/>
  <c r="DX80" i="2"/>
  <c r="FN80" i="2"/>
  <c r="ET80" i="2"/>
  <c r="DY80" i="2"/>
  <c r="CI80" i="2"/>
  <c r="BM80" i="2"/>
  <c r="DC80" i="2"/>
  <c r="AR80" i="2"/>
  <c r="CH80" i="2"/>
  <c r="DD80" i="2"/>
  <c r="BN80" i="2"/>
  <c r="AS80" i="2"/>
  <c r="X80" i="2"/>
  <c r="W80" i="2"/>
  <c r="HC80" i="2"/>
  <c r="GR80" i="2"/>
  <c r="GK80" i="2"/>
  <c r="HF80" i="2"/>
  <c r="HB80" i="2"/>
  <c r="GS80" i="2"/>
  <c r="FP80" i="2"/>
  <c r="GG80" i="2"/>
  <c r="FX80" i="2"/>
  <c r="GH80" i="2"/>
  <c r="FL80" i="2"/>
  <c r="FC80" i="2"/>
  <c r="FB80" i="2"/>
  <c r="ER80" i="2"/>
  <c r="DV80" i="2"/>
  <c r="DM80" i="2"/>
  <c r="DA80" i="2"/>
  <c r="FW80" i="2"/>
  <c r="EU80" i="2"/>
  <c r="EG80" i="2"/>
  <c r="DW80" i="2"/>
  <c r="DB80" i="2"/>
  <c r="DZ80" i="2"/>
  <c r="DL80" i="2"/>
  <c r="DE80" i="2"/>
  <c r="FM80" i="2"/>
  <c r="EQ80" i="2"/>
  <c r="EH80" i="2"/>
  <c r="CJ80" i="2"/>
  <c r="CQ80" i="2"/>
  <c r="CR80" i="2"/>
  <c r="BK80" i="2"/>
  <c r="BW80" i="2"/>
  <c r="BL80" i="2"/>
  <c r="CF80" i="2"/>
  <c r="BB80" i="2"/>
  <c r="CG80" i="2"/>
  <c r="BV80" i="2"/>
  <c r="BO80" i="2"/>
  <c r="BA80" i="2"/>
  <c r="AT80" i="2"/>
  <c r="DI78" i="2"/>
  <c r="ED78" i="2"/>
  <c r="CN78" i="2"/>
  <c r="EY78" i="2"/>
  <c r="AB79" i="2"/>
  <c r="AQ80" i="2"/>
  <c r="AG80" i="2"/>
  <c r="AP80" i="2"/>
  <c r="AF80" i="2"/>
  <c r="A81" i="2"/>
  <c r="Y80" i="2"/>
  <c r="U80" i="2"/>
  <c r="V80" i="2"/>
  <c r="AA79" i="2"/>
  <c r="AX76" i="2"/>
  <c r="Z79" i="2"/>
  <c r="AC78" i="2"/>
  <c r="HH80" i="2" l="1"/>
  <c r="HG80" i="2"/>
  <c r="EC80" i="2"/>
  <c r="FS80" i="2"/>
  <c r="AU80" i="2"/>
  <c r="EX80" i="2"/>
  <c r="EB80" i="2"/>
  <c r="EW80" i="2"/>
  <c r="HI80" i="2"/>
  <c r="GN80" i="2"/>
  <c r="DF80" i="2"/>
  <c r="DG80" i="2"/>
  <c r="DH80" i="2"/>
  <c r="FR80" i="2"/>
  <c r="FQ80" i="2"/>
  <c r="GL80" i="2"/>
  <c r="GM80" i="2"/>
  <c r="EV80" i="2"/>
  <c r="EA80" i="2"/>
  <c r="CM80" i="2"/>
  <c r="AV80" i="2"/>
  <c r="AW80" i="2"/>
  <c r="BR80" i="2"/>
  <c r="BP80" i="2"/>
  <c r="BQ80" i="2"/>
  <c r="CK80" i="2"/>
  <c r="CL80" i="2"/>
  <c r="GQ81" i="2"/>
  <c r="GP81" i="2"/>
  <c r="FU81" i="2"/>
  <c r="FV81" i="2"/>
  <c r="EZ81" i="2"/>
  <c r="EE81" i="2"/>
  <c r="EF81" i="2"/>
  <c r="FA81" i="2"/>
  <c r="DK81" i="2"/>
  <c r="DJ81" i="2"/>
  <c r="CP81" i="2"/>
  <c r="CO81" i="2"/>
  <c r="BU81" i="2"/>
  <c r="BT81" i="2"/>
  <c r="AE81" i="2"/>
  <c r="AD81" i="2"/>
  <c r="AY81" i="2"/>
  <c r="AZ81" i="2"/>
  <c r="J81" i="2"/>
  <c r="K81" i="2"/>
  <c r="I81" i="2"/>
  <c r="H118" i="2"/>
  <c r="L81" i="2"/>
  <c r="D119" i="2"/>
  <c r="G119" i="2" s="1"/>
  <c r="EY79" i="2"/>
  <c r="HJ79" i="2"/>
  <c r="FT79" i="2"/>
  <c r="ED79" i="2"/>
  <c r="DI79" i="2"/>
  <c r="GO79" i="2"/>
  <c r="CN79" i="2"/>
  <c r="HE81" i="2"/>
  <c r="HD81" i="2"/>
  <c r="GJ81" i="2"/>
  <c r="FO81" i="2"/>
  <c r="FN81" i="2"/>
  <c r="GI81" i="2"/>
  <c r="DD81" i="2"/>
  <c r="ET81" i="2"/>
  <c r="CH81" i="2"/>
  <c r="AS81" i="2"/>
  <c r="DY81" i="2"/>
  <c r="CI81" i="2"/>
  <c r="BM81" i="2"/>
  <c r="X81" i="2"/>
  <c r="AR81" i="2"/>
  <c r="DX81" i="2"/>
  <c r="BN81" i="2"/>
  <c r="ES81" i="2"/>
  <c r="W81" i="2"/>
  <c r="DC81" i="2"/>
  <c r="HF81" i="2"/>
  <c r="HC81" i="2"/>
  <c r="GR81" i="2"/>
  <c r="GK81" i="2"/>
  <c r="FW81" i="2"/>
  <c r="FM81" i="2"/>
  <c r="HB81" i="2"/>
  <c r="GS81" i="2"/>
  <c r="FP81" i="2"/>
  <c r="GG81" i="2"/>
  <c r="FX81" i="2"/>
  <c r="EQ81" i="2"/>
  <c r="EH81" i="2"/>
  <c r="CJ81" i="2"/>
  <c r="FB81" i="2"/>
  <c r="ER81" i="2"/>
  <c r="DV81" i="2"/>
  <c r="DM81" i="2"/>
  <c r="DA81" i="2"/>
  <c r="GH81" i="2"/>
  <c r="FL81" i="2"/>
  <c r="FC81" i="2"/>
  <c r="EU81" i="2"/>
  <c r="EG81" i="2"/>
  <c r="DW81" i="2"/>
  <c r="DB81" i="2"/>
  <c r="DL81" i="2"/>
  <c r="CR81" i="2"/>
  <c r="CQ81" i="2"/>
  <c r="DZ81" i="2"/>
  <c r="CG81" i="2"/>
  <c r="BV81" i="2"/>
  <c r="BO81" i="2"/>
  <c r="BK81" i="2"/>
  <c r="DE81" i="2"/>
  <c r="BW81" i="2"/>
  <c r="BL81" i="2"/>
  <c r="CF81" i="2"/>
  <c r="BB81" i="2"/>
  <c r="BA81" i="2"/>
  <c r="AT81" i="2"/>
  <c r="AA80" i="2"/>
  <c r="AB80" i="2"/>
  <c r="AP81" i="2"/>
  <c r="AF81" i="2"/>
  <c r="AQ81" i="2"/>
  <c r="AG81" i="2"/>
  <c r="Y81" i="2"/>
  <c r="A82" i="2"/>
  <c r="U81" i="2"/>
  <c r="V81" i="2"/>
  <c r="AX77" i="2"/>
  <c r="Z80" i="2"/>
  <c r="AC79" i="2"/>
  <c r="EC81" i="2" l="1"/>
  <c r="HI81" i="2"/>
  <c r="EX81" i="2"/>
  <c r="AW81" i="2"/>
  <c r="FS81" i="2"/>
  <c r="EV81" i="2"/>
  <c r="EW81" i="2"/>
  <c r="GN81" i="2"/>
  <c r="HG81" i="2"/>
  <c r="HH81" i="2"/>
  <c r="DF81" i="2"/>
  <c r="DG81" i="2"/>
  <c r="DH81" i="2"/>
  <c r="FR81" i="2"/>
  <c r="FQ81" i="2"/>
  <c r="GL81" i="2"/>
  <c r="GM81" i="2"/>
  <c r="EB81" i="2"/>
  <c r="EA81" i="2"/>
  <c r="CM81" i="2"/>
  <c r="AV81" i="2"/>
  <c r="AU81" i="2"/>
  <c r="BR81" i="2"/>
  <c r="BQ81" i="2"/>
  <c r="BP81" i="2"/>
  <c r="CK81" i="2"/>
  <c r="CL81" i="2"/>
  <c r="GQ82" i="2"/>
  <c r="GP82" i="2"/>
  <c r="FU82" i="2"/>
  <c r="FV82" i="2"/>
  <c r="EZ82" i="2"/>
  <c r="EE82" i="2"/>
  <c r="EF82" i="2"/>
  <c r="FA82" i="2"/>
  <c r="CP82" i="2"/>
  <c r="CO82" i="2"/>
  <c r="AZ82" i="2"/>
  <c r="AY82" i="2"/>
  <c r="BU82" i="2"/>
  <c r="BT82" i="2"/>
  <c r="DK82" i="2"/>
  <c r="DJ82" i="2"/>
  <c r="AE82" i="2"/>
  <c r="AD82" i="2"/>
  <c r="J82" i="2"/>
  <c r="I82" i="2"/>
  <c r="K82" i="2"/>
  <c r="H119" i="2"/>
  <c r="L82" i="2"/>
  <c r="D120" i="2"/>
  <c r="G120" i="2" s="1"/>
  <c r="HD82" i="2"/>
  <c r="HE82" i="2"/>
  <c r="GI82" i="2"/>
  <c r="GJ82" i="2"/>
  <c r="ET82" i="2"/>
  <c r="FN82" i="2"/>
  <c r="DD82" i="2"/>
  <c r="BN82" i="2"/>
  <c r="FO82" i="2"/>
  <c r="CH82" i="2"/>
  <c r="AS82" i="2"/>
  <c r="ES82" i="2"/>
  <c r="DX82" i="2"/>
  <c r="DC82" i="2"/>
  <c r="W82" i="2"/>
  <c r="X82" i="2"/>
  <c r="DY82" i="2"/>
  <c r="BM82" i="2"/>
  <c r="AR82" i="2"/>
  <c r="CI82" i="2"/>
  <c r="HC82" i="2"/>
  <c r="HF82" i="2"/>
  <c r="HB82" i="2"/>
  <c r="GS82" i="2"/>
  <c r="GR82" i="2"/>
  <c r="GH82" i="2"/>
  <c r="FL82" i="2"/>
  <c r="FC82" i="2"/>
  <c r="FW82" i="2"/>
  <c r="FM82" i="2"/>
  <c r="FP82" i="2"/>
  <c r="FX82" i="2"/>
  <c r="DZ82" i="2"/>
  <c r="DL82" i="2"/>
  <c r="DE82" i="2"/>
  <c r="GG82" i="2"/>
  <c r="EQ82" i="2"/>
  <c r="EH82" i="2"/>
  <c r="CJ82" i="2"/>
  <c r="CR82" i="2"/>
  <c r="GK82" i="2"/>
  <c r="FB82" i="2"/>
  <c r="ER82" i="2"/>
  <c r="DV82" i="2"/>
  <c r="DM82" i="2"/>
  <c r="DA82" i="2"/>
  <c r="EU82" i="2"/>
  <c r="DW82" i="2"/>
  <c r="EG82" i="2"/>
  <c r="DB82" i="2"/>
  <c r="CQ82" i="2"/>
  <c r="CF82" i="2"/>
  <c r="BB82" i="2"/>
  <c r="CG82" i="2"/>
  <c r="BV82" i="2"/>
  <c r="BO82" i="2"/>
  <c r="BK82" i="2"/>
  <c r="BW82" i="2"/>
  <c r="BL82" i="2"/>
  <c r="BA82" i="2"/>
  <c r="AT82" i="2"/>
  <c r="CN80" i="2"/>
  <c r="ED80" i="2"/>
  <c r="GO80" i="2"/>
  <c r="FT80" i="2"/>
  <c r="DI80" i="2"/>
  <c r="HJ80" i="2"/>
  <c r="EY80" i="2"/>
  <c r="AA81" i="2"/>
  <c r="AF82" i="2"/>
  <c r="AP82" i="2"/>
  <c r="AQ82" i="2"/>
  <c r="AG82" i="2"/>
  <c r="A83" i="2"/>
  <c r="Y82" i="2"/>
  <c r="V82" i="2"/>
  <c r="U82" i="2"/>
  <c r="AB81" i="2"/>
  <c r="AX78" i="2"/>
  <c r="Z81" i="2"/>
  <c r="AC80" i="2"/>
  <c r="HH82" i="2" l="1"/>
  <c r="EV82" i="2"/>
  <c r="HG82" i="2"/>
  <c r="EX82" i="2"/>
  <c r="EC82" i="2"/>
  <c r="FS82" i="2"/>
  <c r="EA82" i="2"/>
  <c r="EW82" i="2"/>
  <c r="HI82" i="2"/>
  <c r="GN82" i="2"/>
  <c r="DG82" i="2"/>
  <c r="DF82" i="2"/>
  <c r="DH82" i="2"/>
  <c r="FR82" i="2"/>
  <c r="FQ82" i="2"/>
  <c r="GL82" i="2"/>
  <c r="GM82" i="2"/>
  <c r="EB82" i="2"/>
  <c r="CM82" i="2"/>
  <c r="AV82" i="2"/>
  <c r="AU82" i="2"/>
  <c r="AW82" i="2"/>
  <c r="BR82" i="2"/>
  <c r="BP82" i="2"/>
  <c r="BQ82" i="2"/>
  <c r="CL82" i="2"/>
  <c r="CK82" i="2"/>
  <c r="GQ83" i="2"/>
  <c r="GP83" i="2"/>
  <c r="FU83" i="2"/>
  <c r="FA83" i="2"/>
  <c r="EZ83" i="2"/>
  <c r="FV83" i="2"/>
  <c r="EF83" i="2"/>
  <c r="EE83" i="2"/>
  <c r="DK83" i="2"/>
  <c r="DJ83" i="2"/>
  <c r="CP83" i="2"/>
  <c r="CO83" i="2"/>
  <c r="BU83" i="2"/>
  <c r="AY83" i="2"/>
  <c r="AE83" i="2"/>
  <c r="BT83" i="2"/>
  <c r="AZ83" i="2"/>
  <c r="K83" i="2"/>
  <c r="AD83" i="2"/>
  <c r="J83" i="2"/>
  <c r="I83" i="2"/>
  <c r="H120" i="2"/>
  <c r="L83" i="2"/>
  <c r="D121" i="2"/>
  <c r="G121" i="2" s="1"/>
  <c r="HJ81" i="2"/>
  <c r="FT81" i="2"/>
  <c r="GO81" i="2"/>
  <c r="ED81" i="2"/>
  <c r="CN81" i="2"/>
  <c r="DI81" i="2"/>
  <c r="HD83" i="2"/>
  <c r="HE83" i="2"/>
  <c r="GI83" i="2"/>
  <c r="FO83" i="2"/>
  <c r="ES83" i="2"/>
  <c r="ET83" i="2"/>
  <c r="DY83" i="2"/>
  <c r="DX83" i="2"/>
  <c r="DC83" i="2"/>
  <c r="DD83" i="2"/>
  <c r="BN83" i="2"/>
  <c r="GJ83" i="2"/>
  <c r="FN83" i="2"/>
  <c r="CI83" i="2"/>
  <c r="BM83" i="2"/>
  <c r="W83" i="2"/>
  <c r="AS83" i="2"/>
  <c r="CH83" i="2"/>
  <c r="X83" i="2"/>
  <c r="AR83" i="2"/>
  <c r="HC83" i="2"/>
  <c r="HF83" i="2"/>
  <c r="GK83" i="2"/>
  <c r="HB83" i="2"/>
  <c r="GS83" i="2"/>
  <c r="GR83" i="2"/>
  <c r="GG83" i="2"/>
  <c r="FX83" i="2"/>
  <c r="GH83" i="2"/>
  <c r="FL83" i="2"/>
  <c r="FC83" i="2"/>
  <c r="FW83" i="2"/>
  <c r="FM83" i="2"/>
  <c r="EU83" i="2"/>
  <c r="EG83" i="2"/>
  <c r="DW83" i="2"/>
  <c r="DB83" i="2"/>
  <c r="FP83" i="2"/>
  <c r="DZ83" i="2"/>
  <c r="DL83" i="2"/>
  <c r="DE83" i="2"/>
  <c r="EQ83" i="2"/>
  <c r="EH83" i="2"/>
  <c r="CJ83" i="2"/>
  <c r="CR83" i="2"/>
  <c r="FB83" i="2"/>
  <c r="DV83" i="2"/>
  <c r="DA83" i="2"/>
  <c r="ER83" i="2"/>
  <c r="DM83" i="2"/>
  <c r="BW83" i="2"/>
  <c r="BL83" i="2"/>
  <c r="CF83" i="2"/>
  <c r="BB83" i="2"/>
  <c r="CQ83" i="2"/>
  <c r="CG83" i="2"/>
  <c r="BV83" i="2"/>
  <c r="BO83" i="2"/>
  <c r="BK83" i="2"/>
  <c r="BA83" i="2"/>
  <c r="AT83" i="2"/>
  <c r="EY81" i="2"/>
  <c r="AB82" i="2"/>
  <c r="AA82" i="2"/>
  <c r="AP83" i="2"/>
  <c r="AQ83" i="2"/>
  <c r="AG83" i="2"/>
  <c r="AF83" i="2"/>
  <c r="U83" i="2"/>
  <c r="Y83" i="2"/>
  <c r="A84" i="2"/>
  <c r="V83" i="2"/>
  <c r="AX79" i="2"/>
  <c r="Z82" i="2"/>
  <c r="AC81" i="2"/>
  <c r="EV83" i="2" l="1"/>
  <c r="EW83" i="2"/>
  <c r="EX83" i="2"/>
  <c r="HI83" i="2"/>
  <c r="EC83" i="2"/>
  <c r="FS83" i="2"/>
  <c r="EA83" i="2"/>
  <c r="EB83" i="2"/>
  <c r="HH83" i="2"/>
  <c r="HG83" i="2"/>
  <c r="GN83" i="2"/>
  <c r="DF83" i="2"/>
  <c r="DH83" i="2"/>
  <c r="DG83" i="2"/>
  <c r="FQ83" i="2"/>
  <c r="FR83" i="2"/>
  <c r="GM83" i="2"/>
  <c r="GL83" i="2"/>
  <c r="CM83" i="2"/>
  <c r="BP83" i="2"/>
  <c r="AV83" i="2"/>
  <c r="AW83" i="2"/>
  <c r="AU83" i="2"/>
  <c r="BQ83" i="2"/>
  <c r="BR83" i="2"/>
  <c r="CK83" i="2"/>
  <c r="CL83" i="2"/>
  <c r="GQ84" i="2"/>
  <c r="GP84" i="2"/>
  <c r="FU84" i="2"/>
  <c r="FA84" i="2"/>
  <c r="EZ84" i="2"/>
  <c r="FV84" i="2"/>
  <c r="EF84" i="2"/>
  <c r="EE84" i="2"/>
  <c r="DK84" i="2"/>
  <c r="DJ84" i="2"/>
  <c r="CP84" i="2"/>
  <c r="CO84" i="2"/>
  <c r="AZ84" i="2"/>
  <c r="BU84" i="2"/>
  <c r="BT84" i="2"/>
  <c r="AY84" i="2"/>
  <c r="AE84" i="2"/>
  <c r="AD84" i="2"/>
  <c r="K84" i="2"/>
  <c r="I84" i="2"/>
  <c r="J84" i="2"/>
  <c r="H121" i="2"/>
  <c r="L84" i="2"/>
  <c r="D122" i="2"/>
  <c r="G122" i="2" s="1"/>
  <c r="HJ82" i="2"/>
  <c r="CN82" i="2"/>
  <c r="GO82" i="2"/>
  <c r="EY82" i="2"/>
  <c r="HD84" i="2"/>
  <c r="FO84" i="2"/>
  <c r="GJ84" i="2"/>
  <c r="ES84" i="2"/>
  <c r="HE84" i="2"/>
  <c r="DX84" i="2"/>
  <c r="CI84" i="2"/>
  <c r="BM84" i="2"/>
  <c r="GI84" i="2"/>
  <c r="ET84" i="2"/>
  <c r="DC84" i="2"/>
  <c r="CH84" i="2"/>
  <c r="BN84" i="2"/>
  <c r="AS84" i="2"/>
  <c r="AR84" i="2"/>
  <c r="FN84" i="2"/>
  <c r="DD84" i="2"/>
  <c r="DY84" i="2"/>
  <c r="X84" i="2"/>
  <c r="W84" i="2"/>
  <c r="HC84" i="2"/>
  <c r="GR84" i="2"/>
  <c r="GK84" i="2"/>
  <c r="HB84" i="2"/>
  <c r="GS84" i="2"/>
  <c r="HF84" i="2"/>
  <c r="FP84" i="2"/>
  <c r="GG84" i="2"/>
  <c r="FX84" i="2"/>
  <c r="GH84" i="2"/>
  <c r="FL84" i="2"/>
  <c r="FC84" i="2"/>
  <c r="FM84" i="2"/>
  <c r="FB84" i="2"/>
  <c r="ER84" i="2"/>
  <c r="DV84" i="2"/>
  <c r="DM84" i="2"/>
  <c r="DA84" i="2"/>
  <c r="EU84" i="2"/>
  <c r="EG84" i="2"/>
  <c r="DW84" i="2"/>
  <c r="DB84" i="2"/>
  <c r="FW84" i="2"/>
  <c r="DZ84" i="2"/>
  <c r="DL84" i="2"/>
  <c r="DE84" i="2"/>
  <c r="EQ84" i="2"/>
  <c r="EH84" i="2"/>
  <c r="CQ84" i="2"/>
  <c r="CJ84" i="2"/>
  <c r="CR84" i="2"/>
  <c r="BK84" i="2"/>
  <c r="BW84" i="2"/>
  <c r="BL84" i="2"/>
  <c r="CF84" i="2"/>
  <c r="BB84" i="2"/>
  <c r="CG84" i="2"/>
  <c r="BV84" i="2"/>
  <c r="BO84" i="2"/>
  <c r="AT84" i="2"/>
  <c r="BA84" i="2"/>
  <c r="DI82" i="2"/>
  <c r="ED82" i="2"/>
  <c r="FT82" i="2"/>
  <c r="AB83" i="2"/>
  <c r="AF84" i="2"/>
  <c r="AQ84" i="2"/>
  <c r="AG84" i="2"/>
  <c r="AP84" i="2"/>
  <c r="Y84" i="2"/>
  <c r="U84" i="2"/>
  <c r="A85" i="2"/>
  <c r="V84" i="2"/>
  <c r="AA83" i="2"/>
  <c r="AX80" i="2"/>
  <c r="Z83" i="2"/>
  <c r="AC82" i="2"/>
  <c r="FS84" i="2" l="1"/>
  <c r="HG84" i="2"/>
  <c r="EC84" i="2"/>
  <c r="HI84" i="2"/>
  <c r="EV84" i="2"/>
  <c r="EX84" i="2"/>
  <c r="EB84" i="2"/>
  <c r="EW84" i="2"/>
  <c r="GN84" i="2"/>
  <c r="HH84" i="2"/>
  <c r="DG84" i="2"/>
  <c r="DF84" i="2"/>
  <c r="DH84" i="2"/>
  <c r="FR84" i="2"/>
  <c r="FQ84" i="2"/>
  <c r="GM84" i="2"/>
  <c r="GL84" i="2"/>
  <c r="EA84" i="2"/>
  <c r="CM84" i="2"/>
  <c r="BP84" i="2"/>
  <c r="AV84" i="2"/>
  <c r="AU84" i="2"/>
  <c r="AW84" i="2"/>
  <c r="BR84" i="2"/>
  <c r="BQ84" i="2"/>
  <c r="CL84" i="2"/>
  <c r="CK84" i="2"/>
  <c r="GQ85" i="2"/>
  <c r="GP85" i="2"/>
  <c r="FU85" i="2"/>
  <c r="FA85" i="2"/>
  <c r="EZ85" i="2"/>
  <c r="FV85" i="2"/>
  <c r="EF85" i="2"/>
  <c r="EE85" i="2"/>
  <c r="DK85" i="2"/>
  <c r="DJ85" i="2"/>
  <c r="BU85" i="2"/>
  <c r="BT85" i="2"/>
  <c r="CP85" i="2"/>
  <c r="CO85" i="2"/>
  <c r="AY85" i="2"/>
  <c r="AE85" i="2"/>
  <c r="AD85" i="2"/>
  <c r="AZ85" i="2"/>
  <c r="J85" i="2"/>
  <c r="K85" i="2"/>
  <c r="I85" i="2"/>
  <c r="H122" i="2"/>
  <c r="L85" i="2"/>
  <c r="D123" i="2"/>
  <c r="G123" i="2" s="1"/>
  <c r="CN83" i="2"/>
  <c r="EY83" i="2"/>
  <c r="GO83" i="2"/>
  <c r="HJ83" i="2"/>
  <c r="HE85" i="2"/>
  <c r="GJ85" i="2"/>
  <c r="HD85" i="2"/>
  <c r="GI85" i="2"/>
  <c r="FO85" i="2"/>
  <c r="FN85" i="2"/>
  <c r="ET85" i="2"/>
  <c r="ES85" i="2"/>
  <c r="DD85" i="2"/>
  <c r="DY85" i="2"/>
  <c r="CH85" i="2"/>
  <c r="AS85" i="2"/>
  <c r="DX85" i="2"/>
  <c r="CI85" i="2"/>
  <c r="BM85" i="2"/>
  <c r="X85" i="2"/>
  <c r="DC85" i="2"/>
  <c r="BN85" i="2"/>
  <c r="AR85" i="2"/>
  <c r="W85" i="2"/>
  <c r="HF85" i="2"/>
  <c r="GR85" i="2"/>
  <c r="HC85" i="2"/>
  <c r="GK85" i="2"/>
  <c r="FW85" i="2"/>
  <c r="FM85" i="2"/>
  <c r="FP85" i="2"/>
  <c r="HB85" i="2"/>
  <c r="GS85" i="2"/>
  <c r="GG85" i="2"/>
  <c r="FX85" i="2"/>
  <c r="EQ85" i="2"/>
  <c r="EH85" i="2"/>
  <c r="CJ85" i="2"/>
  <c r="FB85" i="2"/>
  <c r="ER85" i="2"/>
  <c r="DV85" i="2"/>
  <c r="DM85" i="2"/>
  <c r="DA85" i="2"/>
  <c r="EU85" i="2"/>
  <c r="EG85" i="2"/>
  <c r="DW85" i="2"/>
  <c r="DB85" i="2"/>
  <c r="GH85" i="2"/>
  <c r="FL85" i="2"/>
  <c r="FC85" i="2"/>
  <c r="DZ85" i="2"/>
  <c r="DE85" i="2"/>
  <c r="DL85" i="2"/>
  <c r="CQ85" i="2"/>
  <c r="CR85" i="2"/>
  <c r="CG85" i="2"/>
  <c r="BV85" i="2"/>
  <c r="BO85" i="2"/>
  <c r="BK85" i="2"/>
  <c r="BW85" i="2"/>
  <c r="BL85" i="2"/>
  <c r="CF85" i="2"/>
  <c r="BB85" i="2"/>
  <c r="BA85" i="2"/>
  <c r="AT85" i="2"/>
  <c r="ED83" i="2"/>
  <c r="DI83" i="2"/>
  <c r="FT83" i="2"/>
  <c r="AA84" i="2"/>
  <c r="AB84" i="2"/>
  <c r="AQ85" i="2"/>
  <c r="AG85" i="2"/>
  <c r="AF85" i="2"/>
  <c r="AP85" i="2"/>
  <c r="A86" i="2"/>
  <c r="V85" i="2"/>
  <c r="Y85" i="2"/>
  <c r="U85" i="2"/>
  <c r="AX81" i="2"/>
  <c r="Z84" i="2"/>
  <c r="AC83" i="2"/>
  <c r="HI85" i="2" l="1"/>
  <c r="EC85" i="2"/>
  <c r="EV85" i="2"/>
  <c r="EW85" i="2"/>
  <c r="HG85" i="2"/>
  <c r="HH85" i="2"/>
  <c r="FS85" i="2"/>
  <c r="EX85" i="2"/>
  <c r="GN85" i="2"/>
  <c r="DG85" i="2"/>
  <c r="DF85" i="2"/>
  <c r="DH85" i="2"/>
  <c r="FR85" i="2"/>
  <c r="FQ85" i="2"/>
  <c r="GM85" i="2"/>
  <c r="GL85" i="2"/>
  <c r="EA85" i="2"/>
  <c r="EB85" i="2"/>
  <c r="CM85" i="2"/>
  <c r="AV85" i="2"/>
  <c r="AW85" i="2"/>
  <c r="AU85" i="2"/>
  <c r="BR85" i="2"/>
  <c r="BP85" i="2"/>
  <c r="BQ85" i="2"/>
  <c r="CK85" i="2"/>
  <c r="CL85" i="2"/>
  <c r="GQ86" i="2"/>
  <c r="GP86" i="2"/>
  <c r="FU86" i="2"/>
  <c r="FV86" i="2"/>
  <c r="FA86" i="2"/>
  <c r="EZ86" i="2"/>
  <c r="EF86" i="2"/>
  <c r="EE86" i="2"/>
  <c r="CP86" i="2"/>
  <c r="CO86" i="2"/>
  <c r="DK86" i="2"/>
  <c r="DJ86" i="2"/>
  <c r="BU86" i="2"/>
  <c r="BT86" i="2"/>
  <c r="AZ86" i="2"/>
  <c r="AY86" i="2"/>
  <c r="AE86" i="2"/>
  <c r="AD86" i="2"/>
  <c r="K86" i="2"/>
  <c r="J86" i="2"/>
  <c r="I86" i="2"/>
  <c r="H123" i="2"/>
  <c r="L86" i="2"/>
  <c r="D124" i="2"/>
  <c r="G124" i="2" s="1"/>
  <c r="HD86" i="2"/>
  <c r="HE86" i="2"/>
  <c r="GI86" i="2"/>
  <c r="GJ86" i="2"/>
  <c r="ET86" i="2"/>
  <c r="FO86" i="2"/>
  <c r="FN86" i="2"/>
  <c r="ES86" i="2"/>
  <c r="BN86" i="2"/>
  <c r="DY86" i="2"/>
  <c r="CH86" i="2"/>
  <c r="AS86" i="2"/>
  <c r="W86" i="2"/>
  <c r="DC86" i="2"/>
  <c r="DX86" i="2"/>
  <c r="CI86" i="2"/>
  <c r="BM86" i="2"/>
  <c r="X86" i="2"/>
  <c r="DD86" i="2"/>
  <c r="AR86" i="2"/>
  <c r="HC86" i="2"/>
  <c r="HF86" i="2"/>
  <c r="HB86" i="2"/>
  <c r="GS86" i="2"/>
  <c r="GR86" i="2"/>
  <c r="GK86" i="2"/>
  <c r="GH86" i="2"/>
  <c r="FL86" i="2"/>
  <c r="FC86" i="2"/>
  <c r="FW86" i="2"/>
  <c r="FM86" i="2"/>
  <c r="FP86" i="2"/>
  <c r="DZ86" i="2"/>
  <c r="DL86" i="2"/>
  <c r="DE86" i="2"/>
  <c r="FX86" i="2"/>
  <c r="EQ86" i="2"/>
  <c r="EH86" i="2"/>
  <c r="CJ86" i="2"/>
  <c r="CR86" i="2"/>
  <c r="GG86" i="2"/>
  <c r="FB86" i="2"/>
  <c r="ER86" i="2"/>
  <c r="DV86" i="2"/>
  <c r="DM86" i="2"/>
  <c r="DA86" i="2"/>
  <c r="EG86" i="2"/>
  <c r="EU86" i="2"/>
  <c r="DW86" i="2"/>
  <c r="CQ86" i="2"/>
  <c r="CF86" i="2"/>
  <c r="BB86" i="2"/>
  <c r="DB86" i="2"/>
  <c r="CG86" i="2"/>
  <c r="BV86" i="2"/>
  <c r="BO86" i="2"/>
  <c r="BK86" i="2"/>
  <c r="BW86" i="2"/>
  <c r="BL86" i="2"/>
  <c r="BA86" i="2"/>
  <c r="AT86" i="2"/>
  <c r="ED84" i="2"/>
  <c r="DI84" i="2"/>
  <c r="HJ84" i="2"/>
  <c r="GO84" i="2"/>
  <c r="FT84" i="2"/>
  <c r="EY84" i="2"/>
  <c r="CN84" i="2"/>
  <c r="AA85" i="2"/>
  <c r="AP86" i="2"/>
  <c r="AF86" i="2"/>
  <c r="AQ86" i="2"/>
  <c r="AG86" i="2"/>
  <c r="V86" i="2"/>
  <c r="U86" i="2"/>
  <c r="A87" i="2"/>
  <c r="Y86" i="2"/>
  <c r="AB85" i="2"/>
  <c r="AX82" i="2"/>
  <c r="Z85" i="2"/>
  <c r="AC84" i="2"/>
  <c r="EC86" i="2" l="1"/>
  <c r="EB86" i="2"/>
  <c r="EA86" i="2"/>
  <c r="FS86" i="2"/>
  <c r="EX86" i="2"/>
  <c r="HI86" i="2"/>
  <c r="GN86" i="2"/>
  <c r="HH86" i="2"/>
  <c r="HG86" i="2"/>
  <c r="DF86" i="2"/>
  <c r="DG86" i="2"/>
  <c r="DH86" i="2"/>
  <c r="FQ86" i="2"/>
  <c r="FR86" i="2"/>
  <c r="GM86" i="2"/>
  <c r="GL86" i="2"/>
  <c r="EV86" i="2"/>
  <c r="EW86" i="2"/>
  <c r="CM86" i="2"/>
  <c r="AV86" i="2"/>
  <c r="AU86" i="2"/>
  <c r="AW86" i="2"/>
  <c r="BP86" i="2"/>
  <c r="BR86" i="2"/>
  <c r="BQ86" i="2"/>
  <c r="CK86" i="2"/>
  <c r="CL86" i="2"/>
  <c r="GQ87" i="2"/>
  <c r="GP87" i="2"/>
  <c r="FU87" i="2"/>
  <c r="FA87" i="2"/>
  <c r="EZ87" i="2"/>
  <c r="FV87" i="2"/>
  <c r="EF87" i="2"/>
  <c r="EE87" i="2"/>
  <c r="DK87" i="2"/>
  <c r="DJ87" i="2"/>
  <c r="CP87" i="2"/>
  <c r="CO87" i="2"/>
  <c r="AZ87" i="2"/>
  <c r="BU87" i="2"/>
  <c r="BT87" i="2"/>
  <c r="AY87" i="2"/>
  <c r="AE87" i="2"/>
  <c r="AD87" i="2"/>
  <c r="K87" i="2"/>
  <c r="J87" i="2"/>
  <c r="I87" i="2"/>
  <c r="H124" i="2"/>
  <c r="L87" i="2"/>
  <c r="D125" i="2"/>
  <c r="G125" i="2" s="1"/>
  <c r="ED85" i="2"/>
  <c r="CN85" i="2"/>
  <c r="HD87" i="2"/>
  <c r="HE87" i="2"/>
  <c r="GI87" i="2"/>
  <c r="GJ87" i="2"/>
  <c r="ES87" i="2"/>
  <c r="ET87" i="2"/>
  <c r="FO87" i="2"/>
  <c r="FN87" i="2"/>
  <c r="DY87" i="2"/>
  <c r="DD87" i="2"/>
  <c r="DC87" i="2"/>
  <c r="BN87" i="2"/>
  <c r="CI87" i="2"/>
  <c r="CH87" i="2"/>
  <c r="AS87" i="2"/>
  <c r="W87" i="2"/>
  <c r="DX87" i="2"/>
  <c r="BM87" i="2"/>
  <c r="AR87" i="2"/>
  <c r="X87" i="2"/>
  <c r="HC87" i="2"/>
  <c r="HF87" i="2"/>
  <c r="GK87" i="2"/>
  <c r="HB87" i="2"/>
  <c r="GS87" i="2"/>
  <c r="GG87" i="2"/>
  <c r="FX87" i="2"/>
  <c r="GR87" i="2"/>
  <c r="GH87" i="2"/>
  <c r="FL87" i="2"/>
  <c r="FC87" i="2"/>
  <c r="FW87" i="2"/>
  <c r="FM87" i="2"/>
  <c r="EU87" i="2"/>
  <c r="EG87" i="2"/>
  <c r="DW87" i="2"/>
  <c r="DB87" i="2"/>
  <c r="DZ87" i="2"/>
  <c r="DL87" i="2"/>
  <c r="DE87" i="2"/>
  <c r="FP87" i="2"/>
  <c r="EQ87" i="2"/>
  <c r="EH87" i="2"/>
  <c r="CJ87" i="2"/>
  <c r="CR87" i="2"/>
  <c r="FB87" i="2"/>
  <c r="DV87" i="2"/>
  <c r="DA87" i="2"/>
  <c r="ER87" i="2"/>
  <c r="BW87" i="2"/>
  <c r="BL87" i="2"/>
  <c r="CF87" i="2"/>
  <c r="BB87" i="2"/>
  <c r="CG87" i="2"/>
  <c r="BV87" i="2"/>
  <c r="BO87" i="2"/>
  <c r="DM87" i="2"/>
  <c r="CQ87" i="2"/>
  <c r="BK87" i="2"/>
  <c r="BA87" i="2"/>
  <c r="AT87" i="2"/>
  <c r="FT85" i="2"/>
  <c r="GO85" i="2"/>
  <c r="HJ85" i="2"/>
  <c r="DI85" i="2"/>
  <c r="EY85" i="2"/>
  <c r="AB86" i="2"/>
  <c r="AA86" i="2"/>
  <c r="AQ87" i="2"/>
  <c r="AP87" i="2"/>
  <c r="AF87" i="2"/>
  <c r="AG87" i="2"/>
  <c r="A88" i="2"/>
  <c r="V87" i="2"/>
  <c r="Y87" i="2"/>
  <c r="U87" i="2"/>
  <c r="AX83" i="2"/>
  <c r="Z86" i="2"/>
  <c r="AC85" i="2"/>
  <c r="EX87" i="2" l="1"/>
  <c r="EA87" i="2"/>
  <c r="EB87" i="2"/>
  <c r="HG87" i="2"/>
  <c r="HI87" i="2"/>
  <c r="FS87" i="2"/>
  <c r="EV87" i="2"/>
  <c r="EC87" i="2"/>
  <c r="GN87" i="2"/>
  <c r="HH87" i="2"/>
  <c r="DF87" i="2"/>
  <c r="DG87" i="2"/>
  <c r="DH87" i="2"/>
  <c r="FQ87" i="2"/>
  <c r="FR87" i="2"/>
  <c r="GL87" i="2"/>
  <c r="GM87" i="2"/>
  <c r="EW87" i="2"/>
  <c r="CM87" i="2"/>
  <c r="BR87" i="2"/>
  <c r="AV87" i="2"/>
  <c r="AW87" i="2"/>
  <c r="AU87" i="2"/>
  <c r="BP87" i="2"/>
  <c r="BQ87" i="2"/>
  <c r="CK87" i="2"/>
  <c r="CL87" i="2"/>
  <c r="GQ88" i="2"/>
  <c r="GP88" i="2"/>
  <c r="FU88" i="2"/>
  <c r="FV88" i="2"/>
  <c r="EZ88" i="2"/>
  <c r="FA88" i="2"/>
  <c r="EF88" i="2"/>
  <c r="DJ88" i="2"/>
  <c r="EE88" i="2"/>
  <c r="CP88" i="2"/>
  <c r="CO88" i="2"/>
  <c r="DK88" i="2"/>
  <c r="AZ88" i="2"/>
  <c r="BU88" i="2"/>
  <c r="BT88" i="2"/>
  <c r="AY88" i="2"/>
  <c r="AE88" i="2"/>
  <c r="AD88" i="2"/>
  <c r="K88" i="2"/>
  <c r="J88" i="2"/>
  <c r="I88" i="2"/>
  <c r="H125" i="2"/>
  <c r="L88" i="2"/>
  <c r="D126" i="2"/>
  <c r="G126" i="2" s="1"/>
  <c r="HJ86" i="2"/>
  <c r="FT86" i="2"/>
  <c r="CN86" i="2"/>
  <c r="HD88" i="2"/>
  <c r="FO88" i="2"/>
  <c r="GJ88" i="2"/>
  <c r="GI88" i="2"/>
  <c r="ES88" i="2"/>
  <c r="DX88" i="2"/>
  <c r="HE88" i="2"/>
  <c r="FN88" i="2"/>
  <c r="ET88" i="2"/>
  <c r="CI88" i="2"/>
  <c r="BM88" i="2"/>
  <c r="DD88" i="2"/>
  <c r="DC88" i="2"/>
  <c r="DY88" i="2"/>
  <c r="AR88" i="2"/>
  <c r="BN88" i="2"/>
  <c r="CH88" i="2"/>
  <c r="AS88" i="2"/>
  <c r="X88" i="2"/>
  <c r="W88" i="2"/>
  <c r="HC88" i="2"/>
  <c r="HF88" i="2"/>
  <c r="GR88" i="2"/>
  <c r="GK88" i="2"/>
  <c r="HB88" i="2"/>
  <c r="GS88" i="2"/>
  <c r="FP88" i="2"/>
  <c r="GG88" i="2"/>
  <c r="FX88" i="2"/>
  <c r="GH88" i="2"/>
  <c r="FL88" i="2"/>
  <c r="FC88" i="2"/>
  <c r="FB88" i="2"/>
  <c r="ER88" i="2"/>
  <c r="DV88" i="2"/>
  <c r="DM88" i="2"/>
  <c r="DA88" i="2"/>
  <c r="FM88" i="2"/>
  <c r="EU88" i="2"/>
  <c r="EG88" i="2"/>
  <c r="DW88" i="2"/>
  <c r="DB88" i="2"/>
  <c r="DZ88" i="2"/>
  <c r="DL88" i="2"/>
  <c r="DE88" i="2"/>
  <c r="FW88" i="2"/>
  <c r="CQ88" i="2"/>
  <c r="EQ88" i="2"/>
  <c r="EH88" i="2"/>
  <c r="CJ88" i="2"/>
  <c r="BK88" i="2"/>
  <c r="CR88" i="2"/>
  <c r="BW88" i="2"/>
  <c r="BL88" i="2"/>
  <c r="CF88" i="2"/>
  <c r="BB88" i="2"/>
  <c r="CG88" i="2"/>
  <c r="BV88" i="2"/>
  <c r="BO88" i="2"/>
  <c r="BA88" i="2"/>
  <c r="AT88" i="2"/>
  <c r="DI86" i="2"/>
  <c r="GO86" i="2"/>
  <c r="ED86" i="2"/>
  <c r="EY86" i="2"/>
  <c r="AA87" i="2"/>
  <c r="AB87" i="2"/>
  <c r="AQ88" i="2"/>
  <c r="AG88" i="2"/>
  <c r="AP88" i="2"/>
  <c r="AF88" i="2"/>
  <c r="Y88" i="2"/>
  <c r="U88" i="2"/>
  <c r="V88" i="2"/>
  <c r="A89" i="2"/>
  <c r="AX84" i="2"/>
  <c r="Z87" i="2"/>
  <c r="AC86" i="2"/>
  <c r="HI88" i="2" l="1"/>
  <c r="HG88" i="2"/>
  <c r="FS88" i="2"/>
  <c r="EC88" i="2"/>
  <c r="EW88" i="2"/>
  <c r="HH88" i="2"/>
  <c r="EB88" i="2"/>
  <c r="EX88" i="2"/>
  <c r="GN88" i="2"/>
  <c r="DF88" i="2"/>
  <c r="DG88" i="2"/>
  <c r="DH88" i="2"/>
  <c r="FR88" i="2"/>
  <c r="FQ88" i="2"/>
  <c r="GL88" i="2"/>
  <c r="GM88" i="2"/>
  <c r="EV88" i="2"/>
  <c r="EA88" i="2"/>
  <c r="CM88" i="2"/>
  <c r="BP88" i="2"/>
  <c r="BQ88" i="2"/>
  <c r="AV88" i="2"/>
  <c r="AU88" i="2"/>
  <c r="AW88" i="2"/>
  <c r="BR88" i="2"/>
  <c r="CK88" i="2"/>
  <c r="CL88" i="2"/>
  <c r="GQ89" i="2"/>
  <c r="GP89" i="2"/>
  <c r="FU89" i="2"/>
  <c r="FV89" i="2"/>
  <c r="FA89" i="2"/>
  <c r="EF89" i="2"/>
  <c r="EZ89" i="2"/>
  <c r="DJ89" i="2"/>
  <c r="DK89" i="2"/>
  <c r="CO89" i="2"/>
  <c r="EE89" i="2"/>
  <c r="CP89" i="2"/>
  <c r="BU89" i="2"/>
  <c r="BT89" i="2"/>
  <c r="AY89" i="2"/>
  <c r="AE89" i="2"/>
  <c r="AD89" i="2"/>
  <c r="AZ89" i="2"/>
  <c r="J89" i="2"/>
  <c r="K89" i="2"/>
  <c r="I89" i="2"/>
  <c r="H126" i="2"/>
  <c r="L89" i="2"/>
  <c r="D127" i="2"/>
  <c r="G127" i="2" s="1"/>
  <c r="GO87" i="2"/>
  <c r="FT87" i="2"/>
  <c r="ED87" i="2"/>
  <c r="CN87" i="2"/>
  <c r="HJ87" i="2"/>
  <c r="HE89" i="2"/>
  <c r="GJ89" i="2"/>
  <c r="FO89" i="2"/>
  <c r="FN89" i="2"/>
  <c r="GI89" i="2"/>
  <c r="DD89" i="2"/>
  <c r="HD89" i="2"/>
  <c r="ES89" i="2"/>
  <c r="DX89" i="2"/>
  <c r="CH89" i="2"/>
  <c r="AS89" i="2"/>
  <c r="CI89" i="2"/>
  <c r="BM89" i="2"/>
  <c r="X89" i="2"/>
  <c r="ET89" i="2"/>
  <c r="DY89" i="2"/>
  <c r="AR89" i="2"/>
  <c r="DC89" i="2"/>
  <c r="BN89" i="2"/>
  <c r="W89" i="2"/>
  <c r="HF89" i="2"/>
  <c r="GR89" i="2"/>
  <c r="GK89" i="2"/>
  <c r="FW89" i="2"/>
  <c r="FM89" i="2"/>
  <c r="FP89" i="2"/>
  <c r="GG89" i="2"/>
  <c r="FX89" i="2"/>
  <c r="HC89" i="2"/>
  <c r="HI89" i="2" s="1"/>
  <c r="GH89" i="2"/>
  <c r="FL89" i="2"/>
  <c r="FC89" i="2"/>
  <c r="EQ89" i="2"/>
  <c r="EH89" i="2"/>
  <c r="CJ89" i="2"/>
  <c r="FB89" i="2"/>
  <c r="ER89" i="2"/>
  <c r="DV89" i="2"/>
  <c r="DM89" i="2"/>
  <c r="DA89" i="2"/>
  <c r="HB89" i="2"/>
  <c r="GS89" i="2"/>
  <c r="EU89" i="2"/>
  <c r="EG89" i="2"/>
  <c r="DW89" i="2"/>
  <c r="DB89" i="2"/>
  <c r="DZ89" i="2"/>
  <c r="CR89" i="2"/>
  <c r="DE89" i="2"/>
  <c r="CQ89" i="2"/>
  <c r="DL89" i="2"/>
  <c r="CG89" i="2"/>
  <c r="BV89" i="2"/>
  <c r="BO89" i="2"/>
  <c r="BK89" i="2"/>
  <c r="BW89" i="2"/>
  <c r="BL89" i="2"/>
  <c r="CF89" i="2"/>
  <c r="BB89" i="2"/>
  <c r="BA89" i="2"/>
  <c r="AT89" i="2"/>
  <c r="EY87" i="2"/>
  <c r="DI87" i="2"/>
  <c r="AB88" i="2"/>
  <c r="AA88" i="2"/>
  <c r="AP89" i="2"/>
  <c r="AF89" i="2"/>
  <c r="AQ89" i="2"/>
  <c r="AG89" i="2"/>
  <c r="Y89" i="2"/>
  <c r="U89" i="2"/>
  <c r="V89" i="2"/>
  <c r="A90" i="2"/>
  <c r="AX85" i="2"/>
  <c r="Z88" i="2"/>
  <c r="AC87" i="2"/>
  <c r="HG89" i="2" l="1"/>
  <c r="FS89" i="2"/>
  <c r="EC89" i="2"/>
  <c r="EX89" i="2"/>
  <c r="EA89" i="2"/>
  <c r="EB89" i="2"/>
  <c r="EW89" i="2"/>
  <c r="GN89" i="2"/>
  <c r="HH89" i="2"/>
  <c r="DF89" i="2"/>
  <c r="DG89" i="2"/>
  <c r="DH89" i="2"/>
  <c r="FR89" i="2"/>
  <c r="FQ89" i="2"/>
  <c r="GL89" i="2"/>
  <c r="GM89" i="2"/>
  <c r="EV89" i="2"/>
  <c r="CM89" i="2"/>
  <c r="BR89" i="2"/>
  <c r="AV89" i="2"/>
  <c r="AW89" i="2"/>
  <c r="AU89" i="2"/>
  <c r="BP89" i="2"/>
  <c r="BQ89" i="2"/>
  <c r="CL89" i="2"/>
  <c r="CK89" i="2"/>
  <c r="GQ90" i="2"/>
  <c r="GP90" i="2"/>
  <c r="FV90" i="2"/>
  <c r="FU90" i="2"/>
  <c r="FA90" i="2"/>
  <c r="EF90" i="2"/>
  <c r="EZ90" i="2"/>
  <c r="EE90" i="2"/>
  <c r="CP90" i="2"/>
  <c r="CO90" i="2"/>
  <c r="DJ90" i="2"/>
  <c r="AZ90" i="2"/>
  <c r="BU90" i="2"/>
  <c r="BT90" i="2"/>
  <c r="DK90" i="2"/>
  <c r="AY90" i="2"/>
  <c r="AE90" i="2"/>
  <c r="AD90" i="2"/>
  <c r="J90" i="2"/>
  <c r="I90" i="2"/>
  <c r="K90" i="2"/>
  <c r="H127" i="2"/>
  <c r="L90" i="2"/>
  <c r="D128" i="2"/>
  <c r="G128" i="2" s="1"/>
  <c r="CN88" i="2"/>
  <c r="HJ88" i="2"/>
  <c r="FT88" i="2"/>
  <c r="HD90" i="2"/>
  <c r="HE90" i="2"/>
  <c r="GI90" i="2"/>
  <c r="GJ90" i="2"/>
  <c r="ET90" i="2"/>
  <c r="FN90" i="2"/>
  <c r="FO90" i="2"/>
  <c r="DY90" i="2"/>
  <c r="BN90" i="2"/>
  <c r="ES90" i="2"/>
  <c r="DX90" i="2"/>
  <c r="CH90" i="2"/>
  <c r="AS90" i="2"/>
  <c r="DD90" i="2"/>
  <c r="DC90" i="2"/>
  <c r="W90" i="2"/>
  <c r="X90" i="2"/>
  <c r="CI90" i="2"/>
  <c r="BM90" i="2"/>
  <c r="AR90" i="2"/>
  <c r="HC90" i="2"/>
  <c r="HI90" i="2" s="1"/>
  <c r="HF90" i="2"/>
  <c r="HB90" i="2"/>
  <c r="GS90" i="2"/>
  <c r="GR90" i="2"/>
  <c r="GH90" i="2"/>
  <c r="FL90" i="2"/>
  <c r="FC90" i="2"/>
  <c r="GK90" i="2"/>
  <c r="FW90" i="2"/>
  <c r="FM90" i="2"/>
  <c r="FP90" i="2"/>
  <c r="DZ90" i="2"/>
  <c r="DL90" i="2"/>
  <c r="DE90" i="2"/>
  <c r="EQ90" i="2"/>
  <c r="EH90" i="2"/>
  <c r="CJ90" i="2"/>
  <c r="CR90" i="2"/>
  <c r="FX90" i="2"/>
  <c r="FB90" i="2"/>
  <c r="ER90" i="2"/>
  <c r="DV90" i="2"/>
  <c r="DM90" i="2"/>
  <c r="DA90" i="2"/>
  <c r="GG90" i="2"/>
  <c r="DW90" i="2"/>
  <c r="EG90" i="2"/>
  <c r="DB90" i="2"/>
  <c r="EU90" i="2"/>
  <c r="CQ90" i="2"/>
  <c r="CF90" i="2"/>
  <c r="BB90" i="2"/>
  <c r="CG90" i="2"/>
  <c r="BV90" i="2"/>
  <c r="BO90" i="2"/>
  <c r="BK90" i="2"/>
  <c r="BW90" i="2"/>
  <c r="BL90" i="2"/>
  <c r="BA90" i="2"/>
  <c r="AT90" i="2"/>
  <c r="EY88" i="2"/>
  <c r="ED88" i="2"/>
  <c r="GO88" i="2"/>
  <c r="DI88" i="2"/>
  <c r="AP90" i="2"/>
  <c r="AF90" i="2"/>
  <c r="AQ90" i="2"/>
  <c r="AG90" i="2"/>
  <c r="A91" i="2"/>
  <c r="Y90" i="2"/>
  <c r="V90" i="2"/>
  <c r="U90" i="2"/>
  <c r="AB89" i="2"/>
  <c r="AA89" i="2"/>
  <c r="AX86" i="2"/>
  <c r="Z89" i="2"/>
  <c r="AC88" i="2"/>
  <c r="HG90" i="2" l="1"/>
  <c r="EC90" i="2"/>
  <c r="FS90" i="2"/>
  <c r="EA90" i="2"/>
  <c r="EX90" i="2"/>
  <c r="EV90" i="2"/>
  <c r="EB90" i="2"/>
  <c r="HH90" i="2"/>
  <c r="GN90" i="2"/>
  <c r="DF90" i="2"/>
  <c r="DG90" i="2"/>
  <c r="DH90" i="2"/>
  <c r="FQ90" i="2"/>
  <c r="FR90" i="2"/>
  <c r="GL90" i="2"/>
  <c r="GM90" i="2"/>
  <c r="EW90" i="2"/>
  <c r="BR90" i="2"/>
  <c r="CM90" i="2"/>
  <c r="AV90" i="2"/>
  <c r="AU90" i="2"/>
  <c r="AW90" i="2"/>
  <c r="BQ90" i="2"/>
  <c r="BP90" i="2"/>
  <c r="CL90" i="2"/>
  <c r="CK90" i="2"/>
  <c r="GQ91" i="2"/>
  <c r="GP91" i="2"/>
  <c r="FU91" i="2"/>
  <c r="FA91" i="2"/>
  <c r="EZ91" i="2"/>
  <c r="FV91" i="2"/>
  <c r="EF91" i="2"/>
  <c r="EE91" i="2"/>
  <c r="DK91" i="2"/>
  <c r="DJ91" i="2"/>
  <c r="CO91" i="2"/>
  <c r="CP91" i="2"/>
  <c r="AZ91" i="2"/>
  <c r="AY91" i="2"/>
  <c r="AE91" i="2"/>
  <c r="BU91" i="2"/>
  <c r="BT91" i="2"/>
  <c r="AD91" i="2"/>
  <c r="K91" i="2"/>
  <c r="J91" i="2"/>
  <c r="I91" i="2"/>
  <c r="H128" i="2"/>
  <c r="L91" i="2"/>
  <c r="D129" i="2"/>
  <c r="G129" i="2" s="1"/>
  <c r="EY89" i="2"/>
  <c r="DI89" i="2"/>
  <c r="HJ89" i="2"/>
  <c r="ED89" i="2"/>
  <c r="FT89" i="2"/>
  <c r="CN89" i="2"/>
  <c r="HD91" i="2"/>
  <c r="HE91" i="2"/>
  <c r="GI91" i="2"/>
  <c r="FO91" i="2"/>
  <c r="ES91" i="2"/>
  <c r="GJ91" i="2"/>
  <c r="ET91" i="2"/>
  <c r="DY91" i="2"/>
  <c r="FN91" i="2"/>
  <c r="DC91" i="2"/>
  <c r="BN91" i="2"/>
  <c r="CI91" i="2"/>
  <c r="BM91" i="2"/>
  <c r="DD91" i="2"/>
  <c r="W91" i="2"/>
  <c r="AS91" i="2"/>
  <c r="DX91" i="2"/>
  <c r="X91" i="2"/>
  <c r="CH91" i="2"/>
  <c r="AR91" i="2"/>
  <c r="HC91" i="2"/>
  <c r="HF91" i="2"/>
  <c r="GK91" i="2"/>
  <c r="HB91" i="2"/>
  <c r="GS91" i="2"/>
  <c r="GG91" i="2"/>
  <c r="FX91" i="2"/>
  <c r="GH91" i="2"/>
  <c r="FL91" i="2"/>
  <c r="FC91" i="2"/>
  <c r="GR91" i="2"/>
  <c r="FW91" i="2"/>
  <c r="FM91" i="2"/>
  <c r="EU91" i="2"/>
  <c r="EG91" i="2"/>
  <c r="DW91" i="2"/>
  <c r="DB91" i="2"/>
  <c r="DZ91" i="2"/>
  <c r="DL91" i="2"/>
  <c r="DE91" i="2"/>
  <c r="EQ91" i="2"/>
  <c r="EH91" i="2"/>
  <c r="CJ91" i="2"/>
  <c r="CR91" i="2"/>
  <c r="FP91" i="2"/>
  <c r="FB91" i="2"/>
  <c r="ER91" i="2"/>
  <c r="DM91" i="2"/>
  <c r="DV91" i="2"/>
  <c r="DA91" i="2"/>
  <c r="CQ91" i="2"/>
  <c r="BW91" i="2"/>
  <c r="BL91" i="2"/>
  <c r="CF91" i="2"/>
  <c r="BB91" i="2"/>
  <c r="CG91" i="2"/>
  <c r="BV91" i="2"/>
  <c r="BO91" i="2"/>
  <c r="BK91" i="2"/>
  <c r="BA91" i="2"/>
  <c r="AT91" i="2"/>
  <c r="GO89" i="2"/>
  <c r="AA90" i="2"/>
  <c r="AB90" i="2"/>
  <c r="AP91" i="2"/>
  <c r="AQ91" i="2"/>
  <c r="AF91" i="2"/>
  <c r="AG91" i="2"/>
  <c r="A92" i="2"/>
  <c r="Y91" i="2"/>
  <c r="V91" i="2"/>
  <c r="U91" i="2"/>
  <c r="AX87" i="2"/>
  <c r="Z90" i="2"/>
  <c r="AC89" i="2"/>
  <c r="EA91" i="2" l="1"/>
  <c r="EX91" i="2"/>
  <c r="HI91" i="2"/>
  <c r="FS91" i="2"/>
  <c r="EB91" i="2"/>
  <c r="EC91" i="2"/>
  <c r="GN91" i="2"/>
  <c r="HH91" i="2"/>
  <c r="HG91" i="2"/>
  <c r="DG91" i="2"/>
  <c r="DF91" i="2"/>
  <c r="DH91" i="2"/>
  <c r="FQ91" i="2"/>
  <c r="FR91" i="2"/>
  <c r="GL91" i="2"/>
  <c r="GM91" i="2"/>
  <c r="EW91" i="2"/>
  <c r="EV91" i="2"/>
  <c r="CM91" i="2"/>
  <c r="BR91" i="2"/>
  <c r="AV91" i="2"/>
  <c r="AW91" i="2"/>
  <c r="AU91" i="2"/>
  <c r="BP91" i="2"/>
  <c r="BQ91" i="2"/>
  <c r="CL91" i="2"/>
  <c r="CK91" i="2"/>
  <c r="GQ92" i="2"/>
  <c r="GP92" i="2"/>
  <c r="FU92" i="2"/>
  <c r="FA92" i="2"/>
  <c r="EZ92" i="2"/>
  <c r="FV92" i="2"/>
  <c r="EF92" i="2"/>
  <c r="EE92" i="2"/>
  <c r="DK92" i="2"/>
  <c r="DJ92" i="2"/>
  <c r="CP92" i="2"/>
  <c r="CO92" i="2"/>
  <c r="AZ92" i="2"/>
  <c r="BU92" i="2"/>
  <c r="BT92" i="2"/>
  <c r="AY92" i="2"/>
  <c r="AE92" i="2"/>
  <c r="AD92" i="2"/>
  <c r="K92" i="2"/>
  <c r="J92" i="2"/>
  <c r="I92" i="2"/>
  <c r="H129" i="2"/>
  <c r="L92" i="2"/>
  <c r="D130" i="2"/>
  <c r="G130" i="2" s="1"/>
  <c r="ED90" i="2"/>
  <c r="GO90" i="2"/>
  <c r="FT90" i="2"/>
  <c r="EY90" i="2"/>
  <c r="DI90" i="2"/>
  <c r="HD92" i="2"/>
  <c r="HE92" i="2"/>
  <c r="FO92" i="2"/>
  <c r="GI92" i="2"/>
  <c r="ES92" i="2"/>
  <c r="GJ92" i="2"/>
  <c r="DX92" i="2"/>
  <c r="DD92" i="2"/>
  <c r="CI92" i="2"/>
  <c r="BM92" i="2"/>
  <c r="FN92" i="2"/>
  <c r="DY92" i="2"/>
  <c r="DC92" i="2"/>
  <c r="CH92" i="2"/>
  <c r="BN92" i="2"/>
  <c r="AS92" i="2"/>
  <c r="AR92" i="2"/>
  <c r="ET92" i="2"/>
  <c r="X92" i="2"/>
  <c r="W92" i="2"/>
  <c r="HC92" i="2"/>
  <c r="GR92" i="2"/>
  <c r="HF92" i="2"/>
  <c r="GK92" i="2"/>
  <c r="HB92" i="2"/>
  <c r="GS92" i="2"/>
  <c r="FP92" i="2"/>
  <c r="GG92" i="2"/>
  <c r="FX92" i="2"/>
  <c r="GH92" i="2"/>
  <c r="FL92" i="2"/>
  <c r="FC92" i="2"/>
  <c r="FW92" i="2"/>
  <c r="FB92" i="2"/>
  <c r="ER92" i="2"/>
  <c r="DV92" i="2"/>
  <c r="DM92" i="2"/>
  <c r="DA92" i="2"/>
  <c r="EU92" i="2"/>
  <c r="EG92" i="2"/>
  <c r="DW92" i="2"/>
  <c r="DB92" i="2"/>
  <c r="FM92" i="2"/>
  <c r="DZ92" i="2"/>
  <c r="DL92" i="2"/>
  <c r="DE92" i="2"/>
  <c r="CQ92" i="2"/>
  <c r="CR92" i="2"/>
  <c r="EQ92" i="2"/>
  <c r="EH92" i="2"/>
  <c r="BK92" i="2"/>
  <c r="CJ92" i="2"/>
  <c r="BW92" i="2"/>
  <c r="BL92" i="2"/>
  <c r="CF92" i="2"/>
  <c r="BB92" i="2"/>
  <c r="CG92" i="2"/>
  <c r="BV92" i="2"/>
  <c r="BO92" i="2"/>
  <c r="BA92" i="2"/>
  <c r="AT92" i="2"/>
  <c r="CN90" i="2"/>
  <c r="HJ90" i="2"/>
  <c r="AP92" i="2"/>
  <c r="AQ92" i="2"/>
  <c r="AF92" i="2"/>
  <c r="AG92" i="2"/>
  <c r="V92" i="2"/>
  <c r="A93" i="2"/>
  <c r="U92" i="2"/>
  <c r="Y92" i="2"/>
  <c r="AB91" i="2"/>
  <c r="AA91" i="2"/>
  <c r="AX88" i="2"/>
  <c r="Z91" i="2"/>
  <c r="AC90" i="2"/>
  <c r="EX92" i="2" l="1"/>
  <c r="EW92" i="2"/>
  <c r="HI92" i="2"/>
  <c r="FS92" i="2"/>
  <c r="FQ92" i="2"/>
  <c r="EC92" i="2"/>
  <c r="EA92" i="2"/>
  <c r="GN92" i="2"/>
  <c r="HH92" i="2"/>
  <c r="HG92" i="2"/>
  <c r="DG92" i="2"/>
  <c r="DF92" i="2"/>
  <c r="DH92" i="2"/>
  <c r="FR92" i="2"/>
  <c r="GL92" i="2"/>
  <c r="GM92" i="2"/>
  <c r="EV92" i="2"/>
  <c r="EB92" i="2"/>
  <c r="CM92" i="2"/>
  <c r="BR92" i="2"/>
  <c r="AV92" i="2"/>
  <c r="AU92" i="2"/>
  <c r="AW92" i="2"/>
  <c r="BQ92" i="2"/>
  <c r="BP92" i="2"/>
  <c r="CK92" i="2"/>
  <c r="CL92" i="2"/>
  <c r="GQ93" i="2"/>
  <c r="GP93" i="2"/>
  <c r="FU93" i="2"/>
  <c r="FA93" i="2"/>
  <c r="EZ93" i="2"/>
  <c r="FV93" i="2"/>
  <c r="EF93" i="2"/>
  <c r="EE93" i="2"/>
  <c r="DK93" i="2"/>
  <c r="DJ93" i="2"/>
  <c r="BU93" i="2"/>
  <c r="BT93" i="2"/>
  <c r="CO93" i="2"/>
  <c r="CP93" i="2"/>
  <c r="AZ93" i="2"/>
  <c r="AY93" i="2"/>
  <c r="AE93" i="2"/>
  <c r="AD93" i="2"/>
  <c r="J93" i="2"/>
  <c r="K93" i="2"/>
  <c r="I93" i="2"/>
  <c r="H130" i="2"/>
  <c r="L93" i="2"/>
  <c r="D131" i="2"/>
  <c r="G131" i="2" s="1"/>
  <c r="CN91" i="2"/>
  <c r="DI91" i="2"/>
  <c r="FT91" i="2"/>
  <c r="GO91" i="2"/>
  <c r="HJ91" i="2"/>
  <c r="ED91" i="2"/>
  <c r="HE93" i="2"/>
  <c r="GJ93" i="2"/>
  <c r="HD93" i="2"/>
  <c r="GI93" i="2"/>
  <c r="FO93" i="2"/>
  <c r="FN93" i="2"/>
  <c r="ET93" i="2"/>
  <c r="ES93" i="2"/>
  <c r="DD93" i="2"/>
  <c r="CH93" i="2"/>
  <c r="AS93" i="2"/>
  <c r="CI93" i="2"/>
  <c r="BM93" i="2"/>
  <c r="DX93" i="2"/>
  <c r="X93" i="2"/>
  <c r="DC93" i="2"/>
  <c r="BN93" i="2"/>
  <c r="AR93" i="2"/>
  <c r="DY93" i="2"/>
  <c r="W93" i="2"/>
  <c r="HF93" i="2"/>
  <c r="HC93" i="2"/>
  <c r="HI93" i="2" s="1"/>
  <c r="GR93" i="2"/>
  <c r="GK93" i="2"/>
  <c r="HB93" i="2"/>
  <c r="GS93" i="2"/>
  <c r="FW93" i="2"/>
  <c r="FM93" i="2"/>
  <c r="FP93" i="2"/>
  <c r="GG93" i="2"/>
  <c r="FX93" i="2"/>
  <c r="EQ93" i="2"/>
  <c r="EH93" i="2"/>
  <c r="CJ93" i="2"/>
  <c r="GH93" i="2"/>
  <c r="FL93" i="2"/>
  <c r="FC93" i="2"/>
  <c r="FB93" i="2"/>
  <c r="ER93" i="2"/>
  <c r="DV93" i="2"/>
  <c r="DM93" i="2"/>
  <c r="DA93" i="2"/>
  <c r="EU93" i="2"/>
  <c r="EG93" i="2"/>
  <c r="DW93" i="2"/>
  <c r="DB93" i="2"/>
  <c r="DZ93" i="2"/>
  <c r="CQ93" i="2"/>
  <c r="DE93" i="2"/>
  <c r="CR93" i="2"/>
  <c r="CG93" i="2"/>
  <c r="BV93" i="2"/>
  <c r="BO93" i="2"/>
  <c r="BK93" i="2"/>
  <c r="DL93" i="2"/>
  <c r="BW93" i="2"/>
  <c r="BL93" i="2"/>
  <c r="CF93" i="2"/>
  <c r="BB93" i="2"/>
  <c r="BA93" i="2"/>
  <c r="AT93" i="2"/>
  <c r="EY91" i="2"/>
  <c r="AA92" i="2"/>
  <c r="AQ93" i="2"/>
  <c r="AG93" i="2"/>
  <c r="AP93" i="2"/>
  <c r="AF93" i="2"/>
  <c r="A94" i="2"/>
  <c r="Y93" i="2"/>
  <c r="U93" i="2"/>
  <c r="V93" i="2"/>
  <c r="AB92" i="2"/>
  <c r="AX89" i="2"/>
  <c r="Z92" i="2"/>
  <c r="AC91" i="2"/>
  <c r="EC93" i="2" l="1"/>
  <c r="FS93" i="2"/>
  <c r="AW93" i="2"/>
  <c r="EX93" i="2"/>
  <c r="EA93" i="2"/>
  <c r="FQ93" i="2"/>
  <c r="HG93" i="2"/>
  <c r="HH93" i="2"/>
  <c r="GN93" i="2"/>
  <c r="DF93" i="2"/>
  <c r="DG93" i="2"/>
  <c r="DH93" i="2"/>
  <c r="FR93" i="2"/>
  <c r="GL93" i="2"/>
  <c r="GM93" i="2"/>
  <c r="EV93" i="2"/>
  <c r="EW93" i="2"/>
  <c r="EB93" i="2"/>
  <c r="BR93" i="2"/>
  <c r="CM93" i="2"/>
  <c r="BQ93" i="2"/>
  <c r="BP93" i="2"/>
  <c r="AV93" i="2"/>
  <c r="AU93" i="2"/>
  <c r="CK93" i="2"/>
  <c r="CL93" i="2"/>
  <c r="GQ94" i="2"/>
  <c r="GP94" i="2"/>
  <c r="FU94" i="2"/>
  <c r="FV94" i="2"/>
  <c r="FA94" i="2"/>
  <c r="EZ94" i="2"/>
  <c r="EE94" i="2"/>
  <c r="EF94" i="2"/>
  <c r="CP94" i="2"/>
  <c r="CO94" i="2"/>
  <c r="DJ94" i="2"/>
  <c r="DK94" i="2"/>
  <c r="BU94" i="2"/>
  <c r="BT94" i="2"/>
  <c r="AZ94" i="2"/>
  <c r="AY94" i="2"/>
  <c r="AE94" i="2"/>
  <c r="AD94" i="2"/>
  <c r="J94" i="2"/>
  <c r="K94" i="2"/>
  <c r="I94" i="2"/>
  <c r="H131" i="2"/>
  <c r="L94" i="2"/>
  <c r="D132" i="2"/>
  <c r="G132" i="2" s="1"/>
  <c r="HJ92" i="2"/>
  <c r="EY92" i="2"/>
  <c r="FT92" i="2"/>
  <c r="CN92" i="2"/>
  <c r="ED92" i="2"/>
  <c r="HD94" i="2"/>
  <c r="HE94" i="2"/>
  <c r="GI94" i="2"/>
  <c r="GJ94" i="2"/>
  <c r="ET94" i="2"/>
  <c r="FO94" i="2"/>
  <c r="FN94" i="2"/>
  <c r="ES94" i="2"/>
  <c r="DX94" i="2"/>
  <c r="BN94" i="2"/>
  <c r="DD94" i="2"/>
  <c r="CH94" i="2"/>
  <c r="AS94" i="2"/>
  <c r="W94" i="2"/>
  <c r="CI94" i="2"/>
  <c r="BM94" i="2"/>
  <c r="X94" i="2"/>
  <c r="DC94" i="2"/>
  <c r="AR94" i="2"/>
  <c r="DY94" i="2"/>
  <c r="HC94" i="2"/>
  <c r="HF94" i="2"/>
  <c r="HB94" i="2"/>
  <c r="GS94" i="2"/>
  <c r="GR94" i="2"/>
  <c r="GH94" i="2"/>
  <c r="FL94" i="2"/>
  <c r="FC94" i="2"/>
  <c r="FW94" i="2"/>
  <c r="FM94" i="2"/>
  <c r="GK94" i="2"/>
  <c r="FP94" i="2"/>
  <c r="GG94" i="2"/>
  <c r="DZ94" i="2"/>
  <c r="DL94" i="2"/>
  <c r="DE94" i="2"/>
  <c r="EQ94" i="2"/>
  <c r="EH94" i="2"/>
  <c r="CJ94" i="2"/>
  <c r="CR94" i="2"/>
  <c r="FB94" i="2"/>
  <c r="ER94" i="2"/>
  <c r="DV94" i="2"/>
  <c r="DM94" i="2"/>
  <c r="DA94" i="2"/>
  <c r="FX94" i="2"/>
  <c r="DW94" i="2"/>
  <c r="EG94" i="2"/>
  <c r="DB94" i="2"/>
  <c r="EU94" i="2"/>
  <c r="CQ94" i="2"/>
  <c r="CF94" i="2"/>
  <c r="BB94" i="2"/>
  <c r="CG94" i="2"/>
  <c r="BV94" i="2"/>
  <c r="BO94" i="2"/>
  <c r="BK94" i="2"/>
  <c r="BW94" i="2"/>
  <c r="BL94" i="2"/>
  <c r="BA94" i="2"/>
  <c r="AT94" i="2"/>
  <c r="GO92" i="2"/>
  <c r="DI92" i="2"/>
  <c r="AB93" i="2"/>
  <c r="AP94" i="2"/>
  <c r="AF94" i="2"/>
  <c r="AQ94" i="2"/>
  <c r="AG94" i="2"/>
  <c r="V94" i="2"/>
  <c r="A95" i="2"/>
  <c r="Y94" i="2"/>
  <c r="U94" i="2"/>
  <c r="AA93" i="2"/>
  <c r="AX90" i="2"/>
  <c r="Z93" i="2"/>
  <c r="AC92" i="2"/>
  <c r="HG94" i="2" l="1"/>
  <c r="EX94" i="2"/>
  <c r="FS94" i="2"/>
  <c r="EC94" i="2"/>
  <c r="EA94" i="2"/>
  <c r="HI94" i="2"/>
  <c r="GN94" i="2"/>
  <c r="HH94" i="2"/>
  <c r="DG94" i="2"/>
  <c r="DF94" i="2"/>
  <c r="DH94" i="2"/>
  <c r="FQ94" i="2"/>
  <c r="FR94" i="2"/>
  <c r="GM94" i="2"/>
  <c r="GL94" i="2"/>
  <c r="EW94" i="2"/>
  <c r="EV94" i="2"/>
  <c r="EB94" i="2"/>
  <c r="CM94" i="2"/>
  <c r="BP94" i="2"/>
  <c r="AV94" i="2"/>
  <c r="AU94" i="2"/>
  <c r="AW94" i="2"/>
  <c r="BR94" i="2"/>
  <c r="BQ94" i="2"/>
  <c r="CL94" i="2"/>
  <c r="CK94" i="2"/>
  <c r="GQ95" i="2"/>
  <c r="GP95" i="2"/>
  <c r="FU95" i="2"/>
  <c r="FA95" i="2"/>
  <c r="EZ95" i="2"/>
  <c r="FV95" i="2"/>
  <c r="EF95" i="2"/>
  <c r="EE95" i="2"/>
  <c r="DK95" i="2"/>
  <c r="DJ95" i="2"/>
  <c r="CO95" i="2"/>
  <c r="CP95" i="2"/>
  <c r="BU95" i="2"/>
  <c r="AZ95" i="2"/>
  <c r="BT95" i="2"/>
  <c r="AY95" i="2"/>
  <c r="AE95" i="2"/>
  <c r="K95" i="2"/>
  <c r="AD95" i="2"/>
  <c r="J95" i="2"/>
  <c r="I95" i="2"/>
  <c r="H132" i="2"/>
  <c r="L95" i="2"/>
  <c r="D133" i="2"/>
  <c r="G133" i="2" s="1"/>
  <c r="DI93" i="2"/>
  <c r="GO93" i="2"/>
  <c r="HD95" i="2"/>
  <c r="HE95" i="2"/>
  <c r="GI95" i="2"/>
  <c r="GJ95" i="2"/>
  <c r="ES95" i="2"/>
  <c r="ET95" i="2"/>
  <c r="FN95" i="2"/>
  <c r="DY95" i="2"/>
  <c r="DC95" i="2"/>
  <c r="DX95" i="2"/>
  <c r="BN95" i="2"/>
  <c r="BM95" i="2"/>
  <c r="CH95" i="2"/>
  <c r="AS95" i="2"/>
  <c r="W95" i="2"/>
  <c r="FO95" i="2"/>
  <c r="DD95" i="2"/>
  <c r="CI95" i="2"/>
  <c r="AR95" i="2"/>
  <c r="X95" i="2"/>
  <c r="HC95" i="2"/>
  <c r="HF95" i="2"/>
  <c r="GK95" i="2"/>
  <c r="HB95" i="2"/>
  <c r="GS95" i="2"/>
  <c r="GG95" i="2"/>
  <c r="FX95" i="2"/>
  <c r="GH95" i="2"/>
  <c r="FL95" i="2"/>
  <c r="FC95" i="2"/>
  <c r="FW95" i="2"/>
  <c r="FM95" i="2"/>
  <c r="FP95" i="2"/>
  <c r="EU95" i="2"/>
  <c r="EG95" i="2"/>
  <c r="DW95" i="2"/>
  <c r="DB95" i="2"/>
  <c r="GR95" i="2"/>
  <c r="DZ95" i="2"/>
  <c r="DL95" i="2"/>
  <c r="DE95" i="2"/>
  <c r="EQ95" i="2"/>
  <c r="EH95" i="2"/>
  <c r="CJ95" i="2"/>
  <c r="CR95" i="2"/>
  <c r="FB95" i="2"/>
  <c r="ER95" i="2"/>
  <c r="DM95" i="2"/>
  <c r="DV95" i="2"/>
  <c r="DA95" i="2"/>
  <c r="BW95" i="2"/>
  <c r="BL95" i="2"/>
  <c r="CQ95" i="2"/>
  <c r="CF95" i="2"/>
  <c r="BB95" i="2"/>
  <c r="CG95" i="2"/>
  <c r="BV95" i="2"/>
  <c r="BO95" i="2"/>
  <c r="BK95" i="2"/>
  <c r="BA95" i="2"/>
  <c r="AT95" i="2"/>
  <c r="ED93" i="2"/>
  <c r="HJ93" i="2"/>
  <c r="CN93" i="2"/>
  <c r="FT93" i="2"/>
  <c r="EY93" i="2"/>
  <c r="AA94" i="2"/>
  <c r="AB94" i="2"/>
  <c r="AQ95" i="2"/>
  <c r="AG95" i="2"/>
  <c r="AP95" i="2"/>
  <c r="AF95" i="2"/>
  <c r="A96" i="2"/>
  <c r="Y95" i="2"/>
  <c r="U95" i="2"/>
  <c r="V95" i="2"/>
  <c r="AX91" i="2"/>
  <c r="Z94" i="2"/>
  <c r="AC93" i="2"/>
  <c r="EX95" i="2" l="1"/>
  <c r="FQ95" i="2"/>
  <c r="HG95" i="2"/>
  <c r="EB95" i="2"/>
  <c r="FS95" i="2"/>
  <c r="HI95" i="2"/>
  <c r="EC95" i="2"/>
  <c r="EA95" i="2"/>
  <c r="GN95" i="2"/>
  <c r="HH95" i="2"/>
  <c r="DG95" i="2"/>
  <c r="DF95" i="2"/>
  <c r="DH95" i="2"/>
  <c r="FR95" i="2"/>
  <c r="GM95" i="2"/>
  <c r="GL95" i="2"/>
  <c r="EW95" i="2"/>
  <c r="EV95" i="2"/>
  <c r="CM95" i="2"/>
  <c r="BR95" i="2"/>
  <c r="BP95" i="2"/>
  <c r="AV95" i="2"/>
  <c r="AW95" i="2"/>
  <c r="AU95" i="2"/>
  <c r="BQ95" i="2"/>
  <c r="CL95" i="2"/>
  <c r="CK95" i="2"/>
  <c r="GQ96" i="2"/>
  <c r="GP96" i="2"/>
  <c r="FU96" i="2"/>
  <c r="FV96" i="2"/>
  <c r="FA96" i="2"/>
  <c r="EZ96" i="2"/>
  <c r="EE96" i="2"/>
  <c r="DK96" i="2"/>
  <c r="EF96" i="2"/>
  <c r="CP96" i="2"/>
  <c r="CO96" i="2"/>
  <c r="DJ96" i="2"/>
  <c r="AZ96" i="2"/>
  <c r="BU96" i="2"/>
  <c r="BT96" i="2"/>
  <c r="AY96" i="2"/>
  <c r="AE96" i="2"/>
  <c r="AD96" i="2"/>
  <c r="J96" i="2"/>
  <c r="K96" i="2"/>
  <c r="I96" i="2"/>
  <c r="H133" i="2"/>
  <c r="L96" i="2"/>
  <c r="D134" i="2"/>
  <c r="G134" i="2" s="1"/>
  <c r="FT94" i="2"/>
  <c r="DI94" i="2"/>
  <c r="ED94" i="2"/>
  <c r="HD96" i="2"/>
  <c r="HE96" i="2"/>
  <c r="FO96" i="2"/>
  <c r="GJ96" i="2"/>
  <c r="GI96" i="2"/>
  <c r="ES96" i="2"/>
  <c r="DX96" i="2"/>
  <c r="FN96" i="2"/>
  <c r="ET96" i="2"/>
  <c r="DY96" i="2"/>
  <c r="CI96" i="2"/>
  <c r="BM96" i="2"/>
  <c r="DC96" i="2"/>
  <c r="AR96" i="2"/>
  <c r="CH96" i="2"/>
  <c r="BN96" i="2"/>
  <c r="AS96" i="2"/>
  <c r="DD96" i="2"/>
  <c r="X96" i="2"/>
  <c r="W96" i="2"/>
  <c r="HC96" i="2"/>
  <c r="GR96" i="2"/>
  <c r="GK96" i="2"/>
  <c r="HF96" i="2"/>
  <c r="HB96" i="2"/>
  <c r="GS96" i="2"/>
  <c r="FP96" i="2"/>
  <c r="GG96" i="2"/>
  <c r="FX96" i="2"/>
  <c r="GH96" i="2"/>
  <c r="FL96" i="2"/>
  <c r="FC96" i="2"/>
  <c r="FB96" i="2"/>
  <c r="ER96" i="2"/>
  <c r="DV96" i="2"/>
  <c r="DM96" i="2"/>
  <c r="DA96" i="2"/>
  <c r="FW96" i="2"/>
  <c r="EU96" i="2"/>
  <c r="EG96" i="2"/>
  <c r="DW96" i="2"/>
  <c r="DB96" i="2"/>
  <c r="DZ96" i="2"/>
  <c r="DL96" i="2"/>
  <c r="DE96" i="2"/>
  <c r="FM96" i="2"/>
  <c r="EQ96" i="2"/>
  <c r="EH96" i="2"/>
  <c r="CJ96" i="2"/>
  <c r="CQ96" i="2"/>
  <c r="BK96" i="2"/>
  <c r="BW96" i="2"/>
  <c r="BL96" i="2"/>
  <c r="CR96" i="2"/>
  <c r="CF96" i="2"/>
  <c r="BB96" i="2"/>
  <c r="CG96" i="2"/>
  <c r="BV96" i="2"/>
  <c r="BO96" i="2"/>
  <c r="BA96" i="2"/>
  <c r="AT96" i="2"/>
  <c r="EY94" i="2"/>
  <c r="CN94" i="2"/>
  <c r="HJ94" i="2"/>
  <c r="GO94" i="2"/>
  <c r="AQ96" i="2"/>
  <c r="AG96" i="2"/>
  <c r="AF96" i="2"/>
  <c r="AP96" i="2"/>
  <c r="A97" i="2"/>
  <c r="V96" i="2"/>
  <c r="Y96" i="2"/>
  <c r="U96" i="2"/>
  <c r="AA95" i="2"/>
  <c r="AB95" i="2"/>
  <c r="AX92" i="2"/>
  <c r="Z95" i="2"/>
  <c r="AC94" i="2"/>
  <c r="FQ96" i="2" l="1"/>
  <c r="FS96" i="2"/>
  <c r="EX96" i="2"/>
  <c r="EB96" i="2"/>
  <c r="EC96" i="2"/>
  <c r="EW96" i="2"/>
  <c r="HI96" i="2"/>
  <c r="GN96" i="2"/>
  <c r="HH96" i="2"/>
  <c r="HG96" i="2"/>
  <c r="DF96" i="2"/>
  <c r="DG96" i="2"/>
  <c r="DH96" i="2"/>
  <c r="FR96" i="2"/>
  <c r="GL96" i="2"/>
  <c r="GM96" i="2"/>
  <c r="EV96" i="2"/>
  <c r="EA96" i="2"/>
  <c r="CM96" i="2"/>
  <c r="AV96" i="2"/>
  <c r="AU96" i="2"/>
  <c r="AW96" i="2"/>
  <c r="BP96" i="2"/>
  <c r="BR96" i="2"/>
  <c r="BQ96" i="2"/>
  <c r="CK96" i="2"/>
  <c r="CL96" i="2"/>
  <c r="GQ97" i="2"/>
  <c r="GP97" i="2"/>
  <c r="FU97" i="2"/>
  <c r="FV97" i="2"/>
  <c r="EZ97" i="2"/>
  <c r="FA97" i="2"/>
  <c r="EF97" i="2"/>
  <c r="DK97" i="2"/>
  <c r="EE97" i="2"/>
  <c r="DJ97" i="2"/>
  <c r="CP97" i="2"/>
  <c r="CO97" i="2"/>
  <c r="BU97" i="2"/>
  <c r="BT97" i="2"/>
  <c r="AY97" i="2"/>
  <c r="AE97" i="2"/>
  <c r="AD97" i="2"/>
  <c r="AZ97" i="2"/>
  <c r="J97" i="2"/>
  <c r="I97" i="2"/>
  <c r="K97" i="2"/>
  <c r="H134" i="2"/>
  <c r="L97" i="2"/>
  <c r="D135" i="2"/>
  <c r="G135" i="2" s="1"/>
  <c r="CN95" i="2"/>
  <c r="DI95" i="2"/>
  <c r="FT95" i="2"/>
  <c r="ED95" i="2"/>
  <c r="GO95" i="2"/>
  <c r="HE97" i="2"/>
  <c r="HD97" i="2"/>
  <c r="GJ97" i="2"/>
  <c r="FO97" i="2"/>
  <c r="FN97" i="2"/>
  <c r="GI97" i="2"/>
  <c r="DD97" i="2"/>
  <c r="ET97" i="2"/>
  <c r="CH97" i="2"/>
  <c r="AS97" i="2"/>
  <c r="DY97" i="2"/>
  <c r="CI97" i="2"/>
  <c r="BM97" i="2"/>
  <c r="X97" i="2"/>
  <c r="ES97" i="2"/>
  <c r="DX97" i="2"/>
  <c r="AR97" i="2"/>
  <c r="DC97" i="2"/>
  <c r="W97" i="2"/>
  <c r="BN97" i="2"/>
  <c r="HF97" i="2"/>
  <c r="HC97" i="2"/>
  <c r="GR97" i="2"/>
  <c r="GK97" i="2"/>
  <c r="FW97" i="2"/>
  <c r="FM97" i="2"/>
  <c r="HB97" i="2"/>
  <c r="GS97" i="2"/>
  <c r="FP97" i="2"/>
  <c r="GG97" i="2"/>
  <c r="FX97" i="2"/>
  <c r="EQ97" i="2"/>
  <c r="EH97" i="2"/>
  <c r="CJ97" i="2"/>
  <c r="FB97" i="2"/>
  <c r="ER97" i="2"/>
  <c r="DV97" i="2"/>
  <c r="DM97" i="2"/>
  <c r="DA97" i="2"/>
  <c r="GH97" i="2"/>
  <c r="FL97" i="2"/>
  <c r="FC97" i="2"/>
  <c r="EU97" i="2"/>
  <c r="EG97" i="2"/>
  <c r="DW97" i="2"/>
  <c r="DB97" i="2"/>
  <c r="DL97" i="2"/>
  <c r="CR97" i="2"/>
  <c r="CQ97" i="2"/>
  <c r="DZ97" i="2"/>
  <c r="CG97" i="2"/>
  <c r="BV97" i="2"/>
  <c r="BO97" i="2"/>
  <c r="BK97" i="2"/>
  <c r="BW97" i="2"/>
  <c r="BL97" i="2"/>
  <c r="DE97" i="2"/>
  <c r="CF97" i="2"/>
  <c r="BB97" i="2"/>
  <c r="BA97" i="2"/>
  <c r="AT97" i="2"/>
  <c r="HJ95" i="2"/>
  <c r="EY95" i="2"/>
  <c r="AB96" i="2"/>
  <c r="AA96" i="2"/>
  <c r="AP97" i="2"/>
  <c r="AF97" i="2"/>
  <c r="AQ97" i="2"/>
  <c r="AG97" i="2"/>
  <c r="A98" i="2"/>
  <c r="Y97" i="2"/>
  <c r="V97" i="2"/>
  <c r="U97" i="2"/>
  <c r="AX93" i="2"/>
  <c r="Z96" i="2"/>
  <c r="AC95" i="2"/>
  <c r="HI97" i="2" l="1"/>
  <c r="EC97" i="2"/>
  <c r="FS97" i="2"/>
  <c r="EA97" i="2"/>
  <c r="EW97" i="2"/>
  <c r="EV97" i="2"/>
  <c r="EX97" i="2"/>
  <c r="HG97" i="2"/>
  <c r="GN97" i="2"/>
  <c r="HH97" i="2"/>
  <c r="DF97" i="2"/>
  <c r="DG97" i="2"/>
  <c r="DH97" i="2"/>
  <c r="FR97" i="2"/>
  <c r="FQ97" i="2"/>
  <c r="GM97" i="2"/>
  <c r="GL97" i="2"/>
  <c r="EB97" i="2"/>
  <c r="AW97" i="2"/>
  <c r="CM97" i="2"/>
  <c r="BR97" i="2"/>
  <c r="AV97" i="2"/>
  <c r="AU97" i="2"/>
  <c r="BP97" i="2"/>
  <c r="BQ97" i="2"/>
  <c r="CL97" i="2"/>
  <c r="CK97" i="2"/>
  <c r="GQ98" i="2"/>
  <c r="GP98" i="2"/>
  <c r="FU98" i="2"/>
  <c r="FV98" i="2"/>
  <c r="EZ98" i="2"/>
  <c r="FA98" i="2"/>
  <c r="EE98" i="2"/>
  <c r="EF98" i="2"/>
  <c r="CP98" i="2"/>
  <c r="CO98" i="2"/>
  <c r="DK98" i="2"/>
  <c r="DJ98" i="2"/>
  <c r="AZ98" i="2"/>
  <c r="BU98" i="2"/>
  <c r="BT98" i="2"/>
  <c r="AY98" i="2"/>
  <c r="AE98" i="2"/>
  <c r="AD98" i="2"/>
  <c r="J98" i="2"/>
  <c r="I98" i="2"/>
  <c r="K98" i="2"/>
  <c r="H135" i="2"/>
  <c r="L98" i="2"/>
  <c r="D136" i="2"/>
  <c r="G136" i="2" s="1"/>
  <c r="GO96" i="2"/>
  <c r="ED96" i="2"/>
  <c r="CN96" i="2"/>
  <c r="FT96" i="2"/>
  <c r="DI96" i="2"/>
  <c r="HJ96" i="2"/>
  <c r="HD98" i="2"/>
  <c r="HE98" i="2"/>
  <c r="GI98" i="2"/>
  <c r="GJ98" i="2"/>
  <c r="ET98" i="2"/>
  <c r="FN98" i="2"/>
  <c r="DD98" i="2"/>
  <c r="BN98" i="2"/>
  <c r="CH98" i="2"/>
  <c r="AS98" i="2"/>
  <c r="DY98" i="2"/>
  <c r="DC98" i="2"/>
  <c r="W98" i="2"/>
  <c r="X98" i="2"/>
  <c r="ES98" i="2"/>
  <c r="DX98" i="2"/>
  <c r="CI98" i="2"/>
  <c r="FO98" i="2"/>
  <c r="AR98" i="2"/>
  <c r="BM98" i="2"/>
  <c r="HC98" i="2"/>
  <c r="HF98" i="2"/>
  <c r="HB98" i="2"/>
  <c r="GS98" i="2"/>
  <c r="GR98" i="2"/>
  <c r="GH98" i="2"/>
  <c r="FL98" i="2"/>
  <c r="FC98" i="2"/>
  <c r="FW98" i="2"/>
  <c r="FM98" i="2"/>
  <c r="FP98" i="2"/>
  <c r="FX98" i="2"/>
  <c r="DZ98" i="2"/>
  <c r="DL98" i="2"/>
  <c r="DE98" i="2"/>
  <c r="GG98" i="2"/>
  <c r="EQ98" i="2"/>
  <c r="EH98" i="2"/>
  <c r="CJ98" i="2"/>
  <c r="CR98" i="2"/>
  <c r="FB98" i="2"/>
  <c r="ER98" i="2"/>
  <c r="DV98" i="2"/>
  <c r="DM98" i="2"/>
  <c r="DA98" i="2"/>
  <c r="GK98" i="2"/>
  <c r="EU98" i="2"/>
  <c r="DW98" i="2"/>
  <c r="EG98" i="2"/>
  <c r="DB98" i="2"/>
  <c r="CQ98" i="2"/>
  <c r="CF98" i="2"/>
  <c r="BB98" i="2"/>
  <c r="CG98" i="2"/>
  <c r="BV98" i="2"/>
  <c r="BO98" i="2"/>
  <c r="BK98" i="2"/>
  <c r="BW98" i="2"/>
  <c r="BL98" i="2"/>
  <c r="BA98" i="2"/>
  <c r="AT98" i="2"/>
  <c r="EY96" i="2"/>
  <c r="AB97" i="2"/>
  <c r="AA97" i="2"/>
  <c r="AF98" i="2"/>
  <c r="AP98" i="2"/>
  <c r="AQ98" i="2"/>
  <c r="AG98" i="2"/>
  <c r="A99" i="2"/>
  <c r="Y98" i="2"/>
  <c r="U98" i="2"/>
  <c r="V98" i="2"/>
  <c r="AX94" i="2"/>
  <c r="Z97" i="2"/>
  <c r="AC96" i="2"/>
  <c r="FS98" i="2" l="1"/>
  <c r="EX98" i="2"/>
  <c r="HI98" i="2"/>
  <c r="EW98" i="2"/>
  <c r="EC98" i="2"/>
  <c r="EV98" i="2"/>
  <c r="HG98" i="2"/>
  <c r="GN98" i="2"/>
  <c r="HH98" i="2"/>
  <c r="DG98" i="2"/>
  <c r="DF98" i="2"/>
  <c r="DH98" i="2"/>
  <c r="FQ98" i="2"/>
  <c r="FR98" i="2"/>
  <c r="GM98" i="2"/>
  <c r="GL98" i="2"/>
  <c r="EB98" i="2"/>
  <c r="EA98" i="2"/>
  <c r="CM98" i="2"/>
  <c r="BP98" i="2"/>
  <c r="BQ98" i="2"/>
  <c r="AV98" i="2"/>
  <c r="AU98" i="2"/>
  <c r="AW98" i="2"/>
  <c r="BR98" i="2"/>
  <c r="CL98" i="2"/>
  <c r="CK98" i="2"/>
  <c r="GQ99" i="2"/>
  <c r="GP99" i="2"/>
  <c r="FU99" i="2"/>
  <c r="FA99" i="2"/>
  <c r="EZ99" i="2"/>
  <c r="FV99" i="2"/>
  <c r="EF99" i="2"/>
  <c r="EE99" i="2"/>
  <c r="DK99" i="2"/>
  <c r="DJ99" i="2"/>
  <c r="CP99" i="2"/>
  <c r="CO99" i="2"/>
  <c r="AY99" i="2"/>
  <c r="AE99" i="2"/>
  <c r="BU99" i="2"/>
  <c r="AZ99" i="2"/>
  <c r="BT99" i="2"/>
  <c r="K99" i="2"/>
  <c r="AD99" i="2"/>
  <c r="J99" i="2"/>
  <c r="I99" i="2"/>
  <c r="H136" i="2"/>
  <c r="L99" i="2"/>
  <c r="D137" i="2"/>
  <c r="G137" i="2" s="1"/>
  <c r="HD99" i="2"/>
  <c r="HE99" i="2"/>
  <c r="GI99" i="2"/>
  <c r="FO99" i="2"/>
  <c r="ES99" i="2"/>
  <c r="ET99" i="2"/>
  <c r="DY99" i="2"/>
  <c r="GJ99" i="2"/>
  <c r="DX99" i="2"/>
  <c r="DC99" i="2"/>
  <c r="DD99" i="2"/>
  <c r="BN99" i="2"/>
  <c r="CI99" i="2"/>
  <c r="BM99" i="2"/>
  <c r="W99" i="2"/>
  <c r="FN99" i="2"/>
  <c r="CH99" i="2"/>
  <c r="AS99" i="2"/>
  <c r="X99" i="2"/>
  <c r="AR99" i="2"/>
  <c r="HC99" i="2"/>
  <c r="HF99" i="2"/>
  <c r="GK99" i="2"/>
  <c r="HB99" i="2"/>
  <c r="GS99" i="2"/>
  <c r="GR99" i="2"/>
  <c r="GG99" i="2"/>
  <c r="FX99" i="2"/>
  <c r="GH99" i="2"/>
  <c r="FL99" i="2"/>
  <c r="FC99" i="2"/>
  <c r="FW99" i="2"/>
  <c r="FM99" i="2"/>
  <c r="EU99" i="2"/>
  <c r="EG99" i="2"/>
  <c r="DW99" i="2"/>
  <c r="DB99" i="2"/>
  <c r="FP99" i="2"/>
  <c r="DZ99" i="2"/>
  <c r="DL99" i="2"/>
  <c r="DE99" i="2"/>
  <c r="EQ99" i="2"/>
  <c r="EH99" i="2"/>
  <c r="CJ99" i="2"/>
  <c r="CR99" i="2"/>
  <c r="FB99" i="2"/>
  <c r="DV99" i="2"/>
  <c r="DA99" i="2"/>
  <c r="ER99" i="2"/>
  <c r="DM99" i="2"/>
  <c r="BW99" i="2"/>
  <c r="BL99" i="2"/>
  <c r="CF99" i="2"/>
  <c r="BB99" i="2"/>
  <c r="CQ99" i="2"/>
  <c r="CG99" i="2"/>
  <c r="BV99" i="2"/>
  <c r="BO99" i="2"/>
  <c r="BK99" i="2"/>
  <c r="BA99" i="2"/>
  <c r="AT99" i="2"/>
  <c r="ED97" i="2"/>
  <c r="DI97" i="2"/>
  <c r="FT97" i="2"/>
  <c r="CN97" i="2"/>
  <c r="HJ97" i="2"/>
  <c r="GO97" i="2"/>
  <c r="EY97" i="2"/>
  <c r="AP99" i="2"/>
  <c r="AQ99" i="2"/>
  <c r="AF99" i="2"/>
  <c r="AG99" i="2"/>
  <c r="Y99" i="2"/>
  <c r="V99" i="2"/>
  <c r="A100" i="2"/>
  <c r="U99" i="2"/>
  <c r="AA98" i="2"/>
  <c r="AB98" i="2"/>
  <c r="AX95" i="2"/>
  <c r="Z98" i="2"/>
  <c r="AC97" i="2"/>
  <c r="EB99" i="2" l="1"/>
  <c r="HH99" i="2"/>
  <c r="EX99" i="2"/>
  <c r="FS99" i="2"/>
  <c r="HI99" i="2"/>
  <c r="EW99" i="2"/>
  <c r="EC99" i="2"/>
  <c r="HG99" i="2"/>
  <c r="GN99" i="2"/>
  <c r="DG99" i="2"/>
  <c r="DF99" i="2"/>
  <c r="DH99" i="2"/>
  <c r="FQ99" i="2"/>
  <c r="FR99" i="2"/>
  <c r="GM99" i="2"/>
  <c r="GL99" i="2"/>
  <c r="EV99" i="2"/>
  <c r="EA99" i="2"/>
  <c r="CM99" i="2"/>
  <c r="BQ99" i="2"/>
  <c r="AV99" i="2"/>
  <c r="AW99" i="2"/>
  <c r="AU99" i="2"/>
  <c r="BR99" i="2"/>
  <c r="BP99" i="2"/>
  <c r="CL99" i="2"/>
  <c r="CK99" i="2"/>
  <c r="GQ100" i="2"/>
  <c r="GP100" i="2"/>
  <c r="FU100" i="2"/>
  <c r="FA100" i="2"/>
  <c r="EZ100" i="2"/>
  <c r="FV100" i="2"/>
  <c r="EF100" i="2"/>
  <c r="EE100" i="2"/>
  <c r="DK100" i="2"/>
  <c r="DJ100" i="2"/>
  <c r="CP100" i="2"/>
  <c r="CO100" i="2"/>
  <c r="AZ100" i="2"/>
  <c r="BU100" i="2"/>
  <c r="BT100" i="2"/>
  <c r="AY100" i="2"/>
  <c r="AE100" i="2"/>
  <c r="AD100" i="2"/>
  <c r="K100" i="2"/>
  <c r="I100" i="2"/>
  <c r="J100" i="2"/>
  <c r="H137" i="2"/>
  <c r="L100" i="2"/>
  <c r="D138" i="2"/>
  <c r="G138" i="2" s="1"/>
  <c r="GO98" i="2"/>
  <c r="HJ98" i="2"/>
  <c r="FT98" i="2"/>
  <c r="DI98" i="2"/>
  <c r="CN98" i="2"/>
  <c r="HD100" i="2"/>
  <c r="HE100" i="2"/>
  <c r="FO100" i="2"/>
  <c r="GJ100" i="2"/>
  <c r="ES100" i="2"/>
  <c r="DX100" i="2"/>
  <c r="GI100" i="2"/>
  <c r="CI100" i="2"/>
  <c r="BM100" i="2"/>
  <c r="ET100" i="2"/>
  <c r="DC100" i="2"/>
  <c r="DD100" i="2"/>
  <c r="CH100" i="2"/>
  <c r="BN100" i="2"/>
  <c r="AS100" i="2"/>
  <c r="AR100" i="2"/>
  <c r="DY100" i="2"/>
  <c r="FN100" i="2"/>
  <c r="X100" i="2"/>
  <c r="W100" i="2"/>
  <c r="HC100" i="2"/>
  <c r="GR100" i="2"/>
  <c r="GK100" i="2"/>
  <c r="HB100" i="2"/>
  <c r="GS100" i="2"/>
  <c r="FP100" i="2"/>
  <c r="HF100" i="2"/>
  <c r="GG100" i="2"/>
  <c r="FX100" i="2"/>
  <c r="GH100" i="2"/>
  <c r="FL100" i="2"/>
  <c r="FC100" i="2"/>
  <c r="FM100" i="2"/>
  <c r="FB100" i="2"/>
  <c r="ER100" i="2"/>
  <c r="DV100" i="2"/>
  <c r="DM100" i="2"/>
  <c r="DA100" i="2"/>
  <c r="EU100" i="2"/>
  <c r="EG100" i="2"/>
  <c r="DW100" i="2"/>
  <c r="DB100" i="2"/>
  <c r="FW100" i="2"/>
  <c r="DZ100" i="2"/>
  <c r="DL100" i="2"/>
  <c r="DE100" i="2"/>
  <c r="EQ100" i="2"/>
  <c r="EH100" i="2"/>
  <c r="CQ100" i="2"/>
  <c r="CJ100" i="2"/>
  <c r="CR100" i="2"/>
  <c r="BK100" i="2"/>
  <c r="BW100" i="2"/>
  <c r="BL100" i="2"/>
  <c r="CF100" i="2"/>
  <c r="BB100" i="2"/>
  <c r="CG100" i="2"/>
  <c r="BV100" i="2"/>
  <c r="BO100" i="2"/>
  <c r="BA100" i="2"/>
  <c r="AT100" i="2"/>
  <c r="EY98" i="2"/>
  <c r="ED98" i="2"/>
  <c r="AA99" i="2"/>
  <c r="AQ100" i="2"/>
  <c r="AF100" i="2"/>
  <c r="AP100" i="2"/>
  <c r="AG100" i="2"/>
  <c r="V100" i="2"/>
  <c r="U100" i="2"/>
  <c r="A101" i="2"/>
  <c r="Y100" i="2"/>
  <c r="AB99" i="2"/>
  <c r="AX96" i="2"/>
  <c r="Z99" i="2"/>
  <c r="AC98" i="2"/>
  <c r="EW100" i="2" l="1"/>
  <c r="EX100" i="2"/>
  <c r="EV100" i="2"/>
  <c r="AU100" i="2"/>
  <c r="FS100" i="2"/>
  <c r="EC100" i="2"/>
  <c r="HI100" i="2"/>
  <c r="HH100" i="2"/>
  <c r="GN100" i="2"/>
  <c r="HG100" i="2"/>
  <c r="DG100" i="2"/>
  <c r="DF100" i="2"/>
  <c r="DH100" i="2"/>
  <c r="FR100" i="2"/>
  <c r="FQ100" i="2"/>
  <c r="GM100" i="2"/>
  <c r="GL100" i="2"/>
  <c r="EA100" i="2"/>
  <c r="EB100" i="2"/>
  <c r="CM100" i="2"/>
  <c r="BP100" i="2"/>
  <c r="BR100" i="2"/>
  <c r="AV100" i="2"/>
  <c r="AW100" i="2"/>
  <c r="BQ100" i="2"/>
  <c r="CL100" i="2"/>
  <c r="CK100" i="2"/>
  <c r="GQ101" i="2"/>
  <c r="GP101" i="2"/>
  <c r="FU101" i="2"/>
  <c r="FA101" i="2"/>
  <c r="EZ101" i="2"/>
  <c r="FV101" i="2"/>
  <c r="EF101" i="2"/>
  <c r="EE101" i="2"/>
  <c r="DK101" i="2"/>
  <c r="DJ101" i="2"/>
  <c r="BU101" i="2"/>
  <c r="BT101" i="2"/>
  <c r="CP101" i="2"/>
  <c r="CO101" i="2"/>
  <c r="AY101" i="2"/>
  <c r="AE101" i="2"/>
  <c r="AD101" i="2"/>
  <c r="AZ101" i="2"/>
  <c r="J101" i="2"/>
  <c r="K101" i="2"/>
  <c r="I101" i="2"/>
  <c r="H138" i="2"/>
  <c r="L101" i="2"/>
  <c r="D139" i="2"/>
  <c r="G139" i="2" s="1"/>
  <c r="HJ99" i="2"/>
  <c r="HE101" i="2"/>
  <c r="GJ101" i="2"/>
  <c r="HD101" i="2"/>
  <c r="GI101" i="2"/>
  <c r="FO101" i="2"/>
  <c r="FN101" i="2"/>
  <c r="ET101" i="2"/>
  <c r="ES101" i="2"/>
  <c r="DY101" i="2"/>
  <c r="CH101" i="2"/>
  <c r="AS101" i="2"/>
  <c r="DX101" i="2"/>
  <c r="CI101" i="2"/>
  <c r="BM101" i="2"/>
  <c r="X101" i="2"/>
  <c r="DD101" i="2"/>
  <c r="DC101" i="2"/>
  <c r="BN101" i="2"/>
  <c r="AR101" i="2"/>
  <c r="W101" i="2"/>
  <c r="HF101" i="2"/>
  <c r="GR101" i="2"/>
  <c r="HC101" i="2"/>
  <c r="GK101" i="2"/>
  <c r="FW101" i="2"/>
  <c r="FM101" i="2"/>
  <c r="FP101" i="2"/>
  <c r="HB101" i="2"/>
  <c r="GS101" i="2"/>
  <c r="GG101" i="2"/>
  <c r="FX101" i="2"/>
  <c r="EQ101" i="2"/>
  <c r="EH101" i="2"/>
  <c r="CJ101" i="2"/>
  <c r="FB101" i="2"/>
  <c r="ER101" i="2"/>
  <c r="DV101" i="2"/>
  <c r="DM101" i="2"/>
  <c r="DA101" i="2"/>
  <c r="EU101" i="2"/>
  <c r="EG101" i="2"/>
  <c r="DW101" i="2"/>
  <c r="DB101" i="2"/>
  <c r="GH101" i="2"/>
  <c r="FL101" i="2"/>
  <c r="FC101" i="2"/>
  <c r="DZ101" i="2"/>
  <c r="DE101" i="2"/>
  <c r="DL101" i="2"/>
  <c r="CQ101" i="2"/>
  <c r="CR101" i="2"/>
  <c r="CG101" i="2"/>
  <c r="BV101" i="2"/>
  <c r="BO101" i="2"/>
  <c r="BK101" i="2"/>
  <c r="BW101" i="2"/>
  <c r="BL101" i="2"/>
  <c r="CF101" i="2"/>
  <c r="BB101" i="2"/>
  <c r="BA101" i="2"/>
  <c r="AT101" i="2"/>
  <c r="CN99" i="2"/>
  <c r="GO99" i="2"/>
  <c r="ED99" i="2"/>
  <c r="EY99" i="2"/>
  <c r="FT99" i="2"/>
  <c r="DI99" i="2"/>
  <c r="AB100" i="2"/>
  <c r="AA100" i="2"/>
  <c r="AQ101" i="2"/>
  <c r="AG101" i="2"/>
  <c r="AF101" i="2"/>
  <c r="AP101" i="2"/>
  <c r="A102" i="2"/>
  <c r="Y101" i="2"/>
  <c r="U101" i="2"/>
  <c r="V101" i="2"/>
  <c r="AX97" i="2"/>
  <c r="Z100" i="2"/>
  <c r="AC99" i="2"/>
  <c r="HI101" i="2" l="1"/>
  <c r="EC101" i="2"/>
  <c r="FS101" i="2"/>
  <c r="AW101" i="2"/>
  <c r="EX101" i="2"/>
  <c r="EA101" i="2"/>
  <c r="HG101" i="2"/>
  <c r="GN101" i="2"/>
  <c r="HH101" i="2"/>
  <c r="DF101" i="2"/>
  <c r="DG101" i="2"/>
  <c r="DH101" i="2"/>
  <c r="FQ101" i="2"/>
  <c r="FR101" i="2"/>
  <c r="GM101" i="2"/>
  <c r="GL101" i="2"/>
  <c r="EV101" i="2"/>
  <c r="EW101" i="2"/>
  <c r="EB101" i="2"/>
  <c r="BR101" i="2"/>
  <c r="CM101" i="2"/>
  <c r="AV101" i="2"/>
  <c r="AU101" i="2"/>
  <c r="BQ101" i="2"/>
  <c r="BP101" i="2"/>
  <c r="CK101" i="2"/>
  <c r="CL101" i="2"/>
  <c r="GQ102" i="2"/>
  <c r="GP102" i="2"/>
  <c r="FU102" i="2"/>
  <c r="FV102" i="2"/>
  <c r="FA102" i="2"/>
  <c r="EZ102" i="2"/>
  <c r="EF102" i="2"/>
  <c r="CP102" i="2"/>
  <c r="CO102" i="2"/>
  <c r="DK102" i="2"/>
  <c r="EE102" i="2"/>
  <c r="DJ102" i="2"/>
  <c r="BU102" i="2"/>
  <c r="BT102" i="2"/>
  <c r="AZ102" i="2"/>
  <c r="AY102" i="2"/>
  <c r="AE102" i="2"/>
  <c r="AD102" i="2"/>
  <c r="K102" i="2"/>
  <c r="J102" i="2"/>
  <c r="I102" i="2"/>
  <c r="H139" i="2"/>
  <c r="L102" i="2"/>
  <c r="D140" i="2"/>
  <c r="G140" i="2" s="1"/>
  <c r="HD102" i="2"/>
  <c r="HE102" i="2"/>
  <c r="GI102" i="2"/>
  <c r="GJ102" i="2"/>
  <c r="ET102" i="2"/>
  <c r="FO102" i="2"/>
  <c r="FN102" i="2"/>
  <c r="ES102" i="2"/>
  <c r="DD102" i="2"/>
  <c r="BN102" i="2"/>
  <c r="DY102" i="2"/>
  <c r="CH102" i="2"/>
  <c r="AS102" i="2"/>
  <c r="W102" i="2"/>
  <c r="DC102" i="2"/>
  <c r="CI102" i="2"/>
  <c r="BM102" i="2"/>
  <c r="X102" i="2"/>
  <c r="AR102" i="2"/>
  <c r="DX102" i="2"/>
  <c r="HC102" i="2"/>
  <c r="HF102" i="2"/>
  <c r="HB102" i="2"/>
  <c r="GS102" i="2"/>
  <c r="GR102" i="2"/>
  <c r="GK102" i="2"/>
  <c r="GH102" i="2"/>
  <c r="FL102" i="2"/>
  <c r="FC102" i="2"/>
  <c r="FW102" i="2"/>
  <c r="FM102" i="2"/>
  <c r="FP102" i="2"/>
  <c r="DZ102" i="2"/>
  <c r="DL102" i="2"/>
  <c r="DE102" i="2"/>
  <c r="FX102" i="2"/>
  <c r="EQ102" i="2"/>
  <c r="EH102" i="2"/>
  <c r="CJ102" i="2"/>
  <c r="CR102" i="2"/>
  <c r="GG102" i="2"/>
  <c r="FB102" i="2"/>
  <c r="ER102" i="2"/>
  <c r="DV102" i="2"/>
  <c r="DM102" i="2"/>
  <c r="DA102" i="2"/>
  <c r="EG102" i="2"/>
  <c r="EU102" i="2"/>
  <c r="DW102" i="2"/>
  <c r="CQ102" i="2"/>
  <c r="CF102" i="2"/>
  <c r="BB102" i="2"/>
  <c r="CG102" i="2"/>
  <c r="BV102" i="2"/>
  <c r="BO102" i="2"/>
  <c r="DB102" i="2"/>
  <c r="BK102" i="2"/>
  <c r="BW102" i="2"/>
  <c r="BL102" i="2"/>
  <c r="BA102" i="2"/>
  <c r="AT102" i="2"/>
  <c r="EY100" i="2"/>
  <c r="CN100" i="2"/>
  <c r="DI100" i="2"/>
  <c r="FT100" i="2"/>
  <c r="HJ100" i="2"/>
  <c r="ED100" i="2"/>
  <c r="GO100" i="2"/>
  <c r="AP102" i="2"/>
  <c r="AF102" i="2"/>
  <c r="AQ102" i="2"/>
  <c r="AG102" i="2"/>
  <c r="A103" i="2"/>
  <c r="Y102" i="2"/>
  <c r="V102" i="2"/>
  <c r="U102" i="2"/>
  <c r="AB101" i="2"/>
  <c r="AA101" i="2"/>
  <c r="AX98" i="2"/>
  <c r="Z101" i="2"/>
  <c r="AC100" i="2"/>
  <c r="EC102" i="2" l="1"/>
  <c r="HI102" i="2"/>
  <c r="EX102" i="2"/>
  <c r="FS102" i="2"/>
  <c r="AU102" i="2"/>
  <c r="EA102" i="2"/>
  <c r="HH102" i="2"/>
  <c r="HG102" i="2"/>
  <c r="GN102" i="2"/>
  <c r="DF102" i="2"/>
  <c r="DG102" i="2"/>
  <c r="DH102" i="2"/>
  <c r="FQ102" i="2"/>
  <c r="FR102" i="2"/>
  <c r="GM102" i="2"/>
  <c r="GL102" i="2"/>
  <c r="EV102" i="2"/>
  <c r="EW102" i="2"/>
  <c r="EB102" i="2"/>
  <c r="BR102" i="2"/>
  <c r="CM102" i="2"/>
  <c r="AV102" i="2"/>
  <c r="AW102" i="2"/>
  <c r="BQ102" i="2"/>
  <c r="BP102" i="2"/>
  <c r="CL102" i="2"/>
  <c r="CK102" i="2"/>
  <c r="GQ103" i="2"/>
  <c r="GP103" i="2"/>
  <c r="FU103" i="2"/>
  <c r="FA103" i="2"/>
  <c r="EZ103" i="2"/>
  <c r="FV103" i="2"/>
  <c r="EF103" i="2"/>
  <c r="EE103" i="2"/>
  <c r="DK103" i="2"/>
  <c r="DJ103" i="2"/>
  <c r="CP103" i="2"/>
  <c r="CO103" i="2"/>
  <c r="BT103" i="2"/>
  <c r="AZ103" i="2"/>
  <c r="BU103" i="2"/>
  <c r="AY103" i="2"/>
  <c r="AE103" i="2"/>
  <c r="AD103" i="2"/>
  <c r="K103" i="2"/>
  <c r="J103" i="2"/>
  <c r="I103" i="2"/>
  <c r="H140" i="2"/>
  <c r="L103" i="2"/>
  <c r="D141" i="2"/>
  <c r="G141" i="2" s="1"/>
  <c r="AA102" i="2"/>
  <c r="FT101" i="2"/>
  <c r="CN101" i="2"/>
  <c r="GO101" i="2"/>
  <c r="HJ101" i="2"/>
  <c r="EY101" i="2"/>
  <c r="HD103" i="2"/>
  <c r="HE103" i="2"/>
  <c r="GI103" i="2"/>
  <c r="GJ103" i="2"/>
  <c r="ES103" i="2"/>
  <c r="ET103" i="2"/>
  <c r="FO103" i="2"/>
  <c r="FN103" i="2"/>
  <c r="DY103" i="2"/>
  <c r="DC103" i="2"/>
  <c r="DD103" i="2"/>
  <c r="BN103" i="2"/>
  <c r="DX103" i="2"/>
  <c r="CI103" i="2"/>
  <c r="CH103" i="2"/>
  <c r="AS103" i="2"/>
  <c r="W103" i="2"/>
  <c r="BM103" i="2"/>
  <c r="AR103" i="2"/>
  <c r="X103" i="2"/>
  <c r="HC103" i="2"/>
  <c r="HF103" i="2"/>
  <c r="GK103" i="2"/>
  <c r="HB103" i="2"/>
  <c r="GS103" i="2"/>
  <c r="GG103" i="2"/>
  <c r="FX103" i="2"/>
  <c r="GR103" i="2"/>
  <c r="GH103" i="2"/>
  <c r="FL103" i="2"/>
  <c r="FC103" i="2"/>
  <c r="FW103" i="2"/>
  <c r="FM103" i="2"/>
  <c r="EU103" i="2"/>
  <c r="EG103" i="2"/>
  <c r="DW103" i="2"/>
  <c r="DB103" i="2"/>
  <c r="DZ103" i="2"/>
  <c r="DL103" i="2"/>
  <c r="DE103" i="2"/>
  <c r="FP103" i="2"/>
  <c r="EQ103" i="2"/>
  <c r="EH103" i="2"/>
  <c r="CJ103" i="2"/>
  <c r="CR103" i="2"/>
  <c r="FB103" i="2"/>
  <c r="DV103" i="2"/>
  <c r="DA103" i="2"/>
  <c r="ER103" i="2"/>
  <c r="DM103" i="2"/>
  <c r="BW103" i="2"/>
  <c r="BL103" i="2"/>
  <c r="CF103" i="2"/>
  <c r="BB103" i="2"/>
  <c r="CG103" i="2"/>
  <c r="BV103" i="2"/>
  <c r="BO103" i="2"/>
  <c r="CQ103" i="2"/>
  <c r="BK103" i="2"/>
  <c r="BA103" i="2"/>
  <c r="AT103" i="2"/>
  <c r="DI101" i="2"/>
  <c r="ED101" i="2"/>
  <c r="AQ103" i="2"/>
  <c r="AG103" i="2"/>
  <c r="AP103" i="2"/>
  <c r="AF103" i="2"/>
  <c r="U103" i="2"/>
  <c r="V103" i="2"/>
  <c r="Y103" i="2"/>
  <c r="A104" i="2"/>
  <c r="AB102" i="2"/>
  <c r="AX99" i="2"/>
  <c r="Z102" i="2"/>
  <c r="AC101" i="2"/>
  <c r="HI103" i="2" l="1"/>
  <c r="EA103" i="2"/>
  <c r="EC103" i="2"/>
  <c r="EX103" i="2"/>
  <c r="FS103" i="2"/>
  <c r="AW103" i="2"/>
  <c r="HH103" i="2"/>
  <c r="GN103" i="2"/>
  <c r="HG103" i="2"/>
  <c r="DG103" i="2"/>
  <c r="DF103" i="2"/>
  <c r="DH103" i="2"/>
  <c r="FQ103" i="2"/>
  <c r="FR103" i="2"/>
  <c r="GM103" i="2"/>
  <c r="GL103" i="2"/>
  <c r="EW103" i="2"/>
  <c r="EV103" i="2"/>
  <c r="EB103" i="2"/>
  <c r="BR103" i="2"/>
  <c r="CM103" i="2"/>
  <c r="BQ103" i="2"/>
  <c r="BP103" i="2"/>
  <c r="AV103" i="2"/>
  <c r="AU103" i="2"/>
  <c r="CL103" i="2"/>
  <c r="CK103" i="2"/>
  <c r="GQ104" i="2"/>
  <c r="GP104" i="2"/>
  <c r="FU104" i="2"/>
  <c r="FV104" i="2"/>
  <c r="EZ104" i="2"/>
  <c r="FA104" i="2"/>
  <c r="EF104" i="2"/>
  <c r="DJ104" i="2"/>
  <c r="CP104" i="2"/>
  <c r="CO104" i="2"/>
  <c r="DK104" i="2"/>
  <c r="EE104" i="2"/>
  <c r="AZ104" i="2"/>
  <c r="BU104" i="2"/>
  <c r="BT104" i="2"/>
  <c r="AY104" i="2"/>
  <c r="AE104" i="2"/>
  <c r="AD104" i="2"/>
  <c r="K104" i="2"/>
  <c r="J104" i="2"/>
  <c r="I104" i="2"/>
  <c r="H141" i="2"/>
  <c r="L104" i="2"/>
  <c r="D142" i="2"/>
  <c r="G142" i="2" s="1"/>
  <c r="AA103" i="2"/>
  <c r="GO102" i="2"/>
  <c r="FT102" i="2"/>
  <c r="CN102" i="2"/>
  <c r="ED102" i="2"/>
  <c r="HJ102" i="2"/>
  <c r="HD104" i="2"/>
  <c r="FO104" i="2"/>
  <c r="HE104" i="2"/>
  <c r="GJ104" i="2"/>
  <c r="GI104" i="2"/>
  <c r="ES104" i="2"/>
  <c r="DX104" i="2"/>
  <c r="FN104" i="2"/>
  <c r="ET104" i="2"/>
  <c r="CI104" i="2"/>
  <c r="BM104" i="2"/>
  <c r="DC104" i="2"/>
  <c r="AR104" i="2"/>
  <c r="DY104" i="2"/>
  <c r="DD104" i="2"/>
  <c r="CH104" i="2"/>
  <c r="BN104" i="2"/>
  <c r="AS104" i="2"/>
  <c r="X104" i="2"/>
  <c r="W104" i="2"/>
  <c r="HC104" i="2"/>
  <c r="HF104" i="2"/>
  <c r="GR104" i="2"/>
  <c r="GK104" i="2"/>
  <c r="HB104" i="2"/>
  <c r="GS104" i="2"/>
  <c r="FP104" i="2"/>
  <c r="GG104" i="2"/>
  <c r="FX104" i="2"/>
  <c r="GH104" i="2"/>
  <c r="FL104" i="2"/>
  <c r="FC104" i="2"/>
  <c r="FB104" i="2"/>
  <c r="ER104" i="2"/>
  <c r="DV104" i="2"/>
  <c r="DM104" i="2"/>
  <c r="DA104" i="2"/>
  <c r="FM104" i="2"/>
  <c r="EU104" i="2"/>
  <c r="EG104" i="2"/>
  <c r="DW104" i="2"/>
  <c r="DB104" i="2"/>
  <c r="DZ104" i="2"/>
  <c r="DL104" i="2"/>
  <c r="DE104" i="2"/>
  <c r="FW104" i="2"/>
  <c r="CQ104" i="2"/>
  <c r="EQ104" i="2"/>
  <c r="EH104" i="2"/>
  <c r="CJ104" i="2"/>
  <c r="BK104" i="2"/>
  <c r="BW104" i="2"/>
  <c r="BL104" i="2"/>
  <c r="CF104" i="2"/>
  <c r="BB104" i="2"/>
  <c r="CR104" i="2"/>
  <c r="CG104" i="2"/>
  <c r="BV104" i="2"/>
  <c r="BO104" i="2"/>
  <c r="BA104" i="2"/>
  <c r="AT104" i="2"/>
  <c r="DI102" i="2"/>
  <c r="EY102" i="2"/>
  <c r="AB103" i="2"/>
  <c r="AQ104" i="2"/>
  <c r="AG104" i="2"/>
  <c r="AP104" i="2"/>
  <c r="AF104" i="2"/>
  <c r="V104" i="2"/>
  <c r="A105" i="2"/>
  <c r="U104" i="2"/>
  <c r="Y104" i="2"/>
  <c r="AX100" i="2"/>
  <c r="Z103" i="2"/>
  <c r="AC102" i="2"/>
  <c r="EW104" i="2" l="1"/>
  <c r="EX104" i="2"/>
  <c r="HI104" i="2"/>
  <c r="EC104" i="2"/>
  <c r="EA104" i="2"/>
  <c r="FS104" i="2"/>
  <c r="EB104" i="2"/>
  <c r="AU104" i="2"/>
  <c r="GN104" i="2"/>
  <c r="HH104" i="2"/>
  <c r="HG104" i="2"/>
  <c r="DF104" i="2"/>
  <c r="DG104" i="2"/>
  <c r="DH104" i="2"/>
  <c r="FR104" i="2"/>
  <c r="FQ104" i="2"/>
  <c r="GM104" i="2"/>
  <c r="GL104" i="2"/>
  <c r="EV104" i="2"/>
  <c r="CM104" i="2"/>
  <c r="BP104" i="2"/>
  <c r="AV104" i="2"/>
  <c r="AW104" i="2"/>
  <c r="BQ104" i="2"/>
  <c r="BR104" i="2"/>
  <c r="CL104" i="2"/>
  <c r="CK104" i="2"/>
  <c r="GQ105" i="2"/>
  <c r="GP105" i="2"/>
  <c r="FU105" i="2"/>
  <c r="FV105" i="2"/>
  <c r="FA105" i="2"/>
  <c r="EF105" i="2"/>
  <c r="EZ105" i="2"/>
  <c r="DJ105" i="2"/>
  <c r="DK105" i="2"/>
  <c r="CO105" i="2"/>
  <c r="EE105" i="2"/>
  <c r="CP105" i="2"/>
  <c r="BU105" i="2"/>
  <c r="BT105" i="2"/>
  <c r="AY105" i="2"/>
  <c r="AE105" i="2"/>
  <c r="AD105" i="2"/>
  <c r="AZ105" i="2"/>
  <c r="J105" i="2"/>
  <c r="K105" i="2"/>
  <c r="I105" i="2"/>
  <c r="H142" i="2"/>
  <c r="L105" i="2"/>
  <c r="D143" i="2"/>
  <c r="G143" i="2" s="1"/>
  <c r="DI103" i="2"/>
  <c r="HJ103" i="2"/>
  <c r="CN103" i="2"/>
  <c r="ED103" i="2"/>
  <c r="GO103" i="2"/>
  <c r="EY103" i="2"/>
  <c r="HE105" i="2"/>
  <c r="GJ105" i="2"/>
  <c r="HD105" i="2"/>
  <c r="FO105" i="2"/>
  <c r="FN105" i="2"/>
  <c r="ES105" i="2"/>
  <c r="DX105" i="2"/>
  <c r="CH105" i="2"/>
  <c r="AS105" i="2"/>
  <c r="CI105" i="2"/>
  <c r="BM105" i="2"/>
  <c r="X105" i="2"/>
  <c r="AR105" i="2"/>
  <c r="GI105" i="2"/>
  <c r="DY105" i="2"/>
  <c r="BN105" i="2"/>
  <c r="ET105" i="2"/>
  <c r="DD105" i="2"/>
  <c r="DC105" i="2"/>
  <c r="W105" i="2"/>
  <c r="HF105" i="2"/>
  <c r="GR105" i="2"/>
  <c r="GK105" i="2"/>
  <c r="HC105" i="2"/>
  <c r="FW105" i="2"/>
  <c r="FM105" i="2"/>
  <c r="FP105" i="2"/>
  <c r="GG105" i="2"/>
  <c r="FX105" i="2"/>
  <c r="GH105" i="2"/>
  <c r="FL105" i="2"/>
  <c r="FC105" i="2"/>
  <c r="EQ105" i="2"/>
  <c r="EH105" i="2"/>
  <c r="CJ105" i="2"/>
  <c r="FB105" i="2"/>
  <c r="ER105" i="2"/>
  <c r="DV105" i="2"/>
  <c r="DM105" i="2"/>
  <c r="DA105" i="2"/>
  <c r="EU105" i="2"/>
  <c r="EG105" i="2"/>
  <c r="DW105" i="2"/>
  <c r="DB105" i="2"/>
  <c r="HB105" i="2"/>
  <c r="GS105" i="2"/>
  <c r="DZ105" i="2"/>
  <c r="CR105" i="2"/>
  <c r="DE105" i="2"/>
  <c r="CQ105" i="2"/>
  <c r="DL105" i="2"/>
  <c r="CG105" i="2"/>
  <c r="BV105" i="2"/>
  <c r="BO105" i="2"/>
  <c r="BK105" i="2"/>
  <c r="BW105" i="2"/>
  <c r="BL105" i="2"/>
  <c r="CF105" i="2"/>
  <c r="BB105" i="2"/>
  <c r="BA105" i="2"/>
  <c r="AT105" i="2"/>
  <c r="FT103" i="2"/>
  <c r="AB104" i="2"/>
  <c r="AP105" i="2"/>
  <c r="AF105" i="2"/>
  <c r="AQ105" i="2"/>
  <c r="AG105" i="2"/>
  <c r="Y105" i="2"/>
  <c r="A106" i="2"/>
  <c r="U105" i="2"/>
  <c r="V105" i="2"/>
  <c r="AA104" i="2"/>
  <c r="AX101" i="2"/>
  <c r="Z104" i="2"/>
  <c r="AC103" i="2"/>
  <c r="EB105" i="2" l="1"/>
  <c r="EA105" i="2"/>
  <c r="HH105" i="2"/>
  <c r="FS105" i="2"/>
  <c r="EV105" i="2"/>
  <c r="EX105" i="2"/>
  <c r="EC105" i="2"/>
  <c r="EW105" i="2"/>
  <c r="HI105" i="2"/>
  <c r="GN105" i="2"/>
  <c r="HG105" i="2"/>
  <c r="DF105" i="2"/>
  <c r="DG105" i="2"/>
  <c r="DH105" i="2"/>
  <c r="FR105" i="2"/>
  <c r="FQ105" i="2"/>
  <c r="GL105" i="2"/>
  <c r="GM105" i="2"/>
  <c r="CM105" i="2"/>
  <c r="BP105" i="2"/>
  <c r="AV105" i="2"/>
  <c r="AW105" i="2"/>
  <c r="AU105" i="2"/>
  <c r="BR105" i="2"/>
  <c r="BQ105" i="2"/>
  <c r="CL105" i="2"/>
  <c r="CK105" i="2"/>
  <c r="GQ106" i="2"/>
  <c r="GP106" i="2"/>
  <c r="FV106" i="2"/>
  <c r="FU106" i="2"/>
  <c r="FA106" i="2"/>
  <c r="EZ106" i="2"/>
  <c r="EF106" i="2"/>
  <c r="EE106" i="2"/>
  <c r="CP106" i="2"/>
  <c r="CO106" i="2"/>
  <c r="DK106" i="2"/>
  <c r="DJ106" i="2"/>
  <c r="AZ106" i="2"/>
  <c r="BU106" i="2"/>
  <c r="BT106" i="2"/>
  <c r="AY106" i="2"/>
  <c r="AE106" i="2"/>
  <c r="AD106" i="2"/>
  <c r="J106" i="2"/>
  <c r="I106" i="2"/>
  <c r="K106" i="2"/>
  <c r="H143" i="2"/>
  <c r="L106" i="2"/>
  <c r="D144" i="2"/>
  <c r="G144" i="2" s="1"/>
  <c r="ED104" i="2"/>
  <c r="FT104" i="2"/>
  <c r="HJ104" i="2"/>
  <c r="DI104" i="2"/>
  <c r="HD106" i="2"/>
  <c r="HE106" i="2"/>
  <c r="GI106" i="2"/>
  <c r="GJ106" i="2"/>
  <c r="ET106" i="2"/>
  <c r="FN106" i="2"/>
  <c r="FO106" i="2"/>
  <c r="DY106" i="2"/>
  <c r="DD106" i="2"/>
  <c r="BN106" i="2"/>
  <c r="ES106" i="2"/>
  <c r="DX106" i="2"/>
  <c r="CH106" i="2"/>
  <c r="AS106" i="2"/>
  <c r="DC106" i="2"/>
  <c r="W106" i="2"/>
  <c r="X106" i="2"/>
  <c r="BM106" i="2"/>
  <c r="CI106" i="2"/>
  <c r="AR106" i="2"/>
  <c r="HC106" i="2"/>
  <c r="HF106" i="2"/>
  <c r="HB106" i="2"/>
  <c r="GS106" i="2"/>
  <c r="GR106" i="2"/>
  <c r="GH106" i="2"/>
  <c r="FL106" i="2"/>
  <c r="FC106" i="2"/>
  <c r="GK106" i="2"/>
  <c r="FW106" i="2"/>
  <c r="FM106" i="2"/>
  <c r="FP106" i="2"/>
  <c r="DZ106" i="2"/>
  <c r="DL106" i="2"/>
  <c r="DE106" i="2"/>
  <c r="EQ106" i="2"/>
  <c r="EH106" i="2"/>
  <c r="CJ106" i="2"/>
  <c r="CR106" i="2"/>
  <c r="FX106" i="2"/>
  <c r="FB106" i="2"/>
  <c r="ER106" i="2"/>
  <c r="DV106" i="2"/>
  <c r="DM106" i="2"/>
  <c r="DA106" i="2"/>
  <c r="GG106" i="2"/>
  <c r="DW106" i="2"/>
  <c r="EG106" i="2"/>
  <c r="DB106" i="2"/>
  <c r="EU106" i="2"/>
  <c r="CQ106" i="2"/>
  <c r="CF106" i="2"/>
  <c r="BB106" i="2"/>
  <c r="CG106" i="2"/>
  <c r="BV106" i="2"/>
  <c r="BO106" i="2"/>
  <c r="BK106" i="2"/>
  <c r="BW106" i="2"/>
  <c r="BL106" i="2"/>
  <c r="BA106" i="2"/>
  <c r="AT106" i="2"/>
  <c r="EY104" i="2"/>
  <c r="GO104" i="2"/>
  <c r="CN104" i="2"/>
  <c r="AA105" i="2"/>
  <c r="AB105" i="2"/>
  <c r="AP106" i="2"/>
  <c r="AF106" i="2"/>
  <c r="AQ106" i="2"/>
  <c r="AG106" i="2"/>
  <c r="A107" i="2"/>
  <c r="Y106" i="2"/>
  <c r="U106" i="2"/>
  <c r="V106" i="2"/>
  <c r="AX102" i="2"/>
  <c r="Z105" i="2"/>
  <c r="AC104" i="2"/>
  <c r="HG106" i="2" l="1"/>
  <c r="EB106" i="2"/>
  <c r="HI106" i="2"/>
  <c r="FS106" i="2"/>
  <c r="AU106" i="2"/>
  <c r="EA106" i="2"/>
  <c r="EC106" i="2"/>
  <c r="EX106" i="2"/>
  <c r="GN106" i="2"/>
  <c r="HH106" i="2"/>
  <c r="DG106" i="2"/>
  <c r="DF106" i="2"/>
  <c r="DH106" i="2"/>
  <c r="FQ106" i="2"/>
  <c r="FR106" i="2"/>
  <c r="GM106" i="2"/>
  <c r="GL106" i="2"/>
  <c r="EW106" i="2"/>
  <c r="EV106" i="2"/>
  <c r="BP106" i="2"/>
  <c r="CM106" i="2"/>
  <c r="BR106" i="2"/>
  <c r="AV106" i="2"/>
  <c r="AW106" i="2"/>
  <c r="BQ106" i="2"/>
  <c r="CK106" i="2"/>
  <c r="CL106" i="2"/>
  <c r="GQ107" i="2"/>
  <c r="GP107" i="2"/>
  <c r="FU107" i="2"/>
  <c r="FA107" i="2"/>
  <c r="EZ107" i="2"/>
  <c r="FV107" i="2"/>
  <c r="EF107" i="2"/>
  <c r="EE107" i="2"/>
  <c r="DK107" i="2"/>
  <c r="DJ107" i="2"/>
  <c r="CO107" i="2"/>
  <c r="CP107" i="2"/>
  <c r="BT107" i="2"/>
  <c r="AZ107" i="2"/>
  <c r="AY107" i="2"/>
  <c r="AE107" i="2"/>
  <c r="BU107" i="2"/>
  <c r="AD107" i="2"/>
  <c r="K107" i="2"/>
  <c r="J107" i="2"/>
  <c r="I107" i="2"/>
  <c r="H144" i="2"/>
  <c r="L107" i="2"/>
  <c r="D145" i="2"/>
  <c r="G145" i="2" s="1"/>
  <c r="HJ105" i="2"/>
  <c r="GO105" i="2"/>
  <c r="DI105" i="2"/>
  <c r="ED105" i="2"/>
  <c r="HD107" i="2"/>
  <c r="HE107" i="2"/>
  <c r="GI107" i="2"/>
  <c r="FO107" i="2"/>
  <c r="ES107" i="2"/>
  <c r="GJ107" i="2"/>
  <c r="ET107" i="2"/>
  <c r="DY107" i="2"/>
  <c r="FN107" i="2"/>
  <c r="DC107" i="2"/>
  <c r="DD107" i="2"/>
  <c r="BN107" i="2"/>
  <c r="CI107" i="2"/>
  <c r="BM107" i="2"/>
  <c r="DX107" i="2"/>
  <c r="W107" i="2"/>
  <c r="CH107" i="2"/>
  <c r="X107" i="2"/>
  <c r="AS107" i="2"/>
  <c r="AR107" i="2"/>
  <c r="HC107" i="2"/>
  <c r="HF107" i="2"/>
  <c r="GK107" i="2"/>
  <c r="HB107" i="2"/>
  <c r="GS107" i="2"/>
  <c r="GG107" i="2"/>
  <c r="FX107" i="2"/>
  <c r="GH107" i="2"/>
  <c r="FL107" i="2"/>
  <c r="FC107" i="2"/>
  <c r="GR107" i="2"/>
  <c r="FW107" i="2"/>
  <c r="FM107" i="2"/>
  <c r="EU107" i="2"/>
  <c r="EG107" i="2"/>
  <c r="DW107" i="2"/>
  <c r="DB107" i="2"/>
  <c r="DZ107" i="2"/>
  <c r="DL107" i="2"/>
  <c r="DE107" i="2"/>
  <c r="EQ107" i="2"/>
  <c r="EH107" i="2"/>
  <c r="CJ107" i="2"/>
  <c r="CR107" i="2"/>
  <c r="FP107" i="2"/>
  <c r="FB107" i="2"/>
  <c r="ER107" i="2"/>
  <c r="DM107" i="2"/>
  <c r="DV107" i="2"/>
  <c r="DA107" i="2"/>
  <c r="BW107" i="2"/>
  <c r="BL107" i="2"/>
  <c r="CQ107" i="2"/>
  <c r="CF107" i="2"/>
  <c r="BB107" i="2"/>
  <c r="CG107" i="2"/>
  <c r="BV107" i="2"/>
  <c r="BO107" i="2"/>
  <c r="BK107" i="2"/>
  <c r="BA107" i="2"/>
  <c r="AT107" i="2"/>
  <c r="CN105" i="2"/>
  <c r="EY105" i="2"/>
  <c r="FT105" i="2"/>
  <c r="AP107" i="2"/>
  <c r="AG107" i="2"/>
  <c r="AQ107" i="2"/>
  <c r="AF107" i="2"/>
  <c r="V107" i="2"/>
  <c r="U107" i="2"/>
  <c r="A108" i="2"/>
  <c r="Y107" i="2"/>
  <c r="AB106" i="2"/>
  <c r="AA106" i="2"/>
  <c r="AX103" i="2"/>
  <c r="Z106" i="2"/>
  <c r="AC105" i="2"/>
  <c r="EX107" i="2" l="1"/>
  <c r="EA107" i="2"/>
  <c r="HG107" i="2"/>
  <c r="EC107" i="2"/>
  <c r="EB107" i="2"/>
  <c r="HI107" i="2"/>
  <c r="DF107" i="2"/>
  <c r="FS107" i="2"/>
  <c r="EW107" i="2"/>
  <c r="HH107" i="2"/>
  <c r="GN107" i="2"/>
  <c r="DG107" i="2"/>
  <c r="DH107" i="2"/>
  <c r="FR107" i="2"/>
  <c r="FQ107" i="2"/>
  <c r="GM107" i="2"/>
  <c r="GL107" i="2"/>
  <c r="EV107" i="2"/>
  <c r="CM107" i="2"/>
  <c r="AV107" i="2"/>
  <c r="AW107" i="2"/>
  <c r="AU107" i="2"/>
  <c r="BR107" i="2"/>
  <c r="BP107" i="2"/>
  <c r="BQ107" i="2"/>
  <c r="CK107" i="2"/>
  <c r="CL107" i="2"/>
  <c r="GQ108" i="2"/>
  <c r="GP108" i="2"/>
  <c r="FU108" i="2"/>
  <c r="FA108" i="2"/>
  <c r="EZ108" i="2"/>
  <c r="FV108" i="2"/>
  <c r="EF108" i="2"/>
  <c r="EE108" i="2"/>
  <c r="DK108" i="2"/>
  <c r="DJ108" i="2"/>
  <c r="CP108" i="2"/>
  <c r="CO108" i="2"/>
  <c r="AZ108" i="2"/>
  <c r="BU108" i="2"/>
  <c r="BT108" i="2"/>
  <c r="AY108" i="2"/>
  <c r="AE108" i="2"/>
  <c r="AD108" i="2"/>
  <c r="K108" i="2"/>
  <c r="J108" i="2"/>
  <c r="I108" i="2"/>
  <c r="H145" i="2"/>
  <c r="L108" i="2"/>
  <c r="D146" i="2"/>
  <c r="G146" i="2" s="1"/>
  <c r="EY106" i="2"/>
  <c r="CN106" i="2"/>
  <c r="HJ106" i="2"/>
  <c r="FT106" i="2"/>
  <c r="ED106" i="2"/>
  <c r="DI106" i="2"/>
  <c r="GO106" i="2"/>
  <c r="HD108" i="2"/>
  <c r="HE108" i="2"/>
  <c r="FO108" i="2"/>
  <c r="GI108" i="2"/>
  <c r="ES108" i="2"/>
  <c r="DX108" i="2"/>
  <c r="CI108" i="2"/>
  <c r="BM108" i="2"/>
  <c r="FN108" i="2"/>
  <c r="DY108" i="2"/>
  <c r="DC108" i="2"/>
  <c r="ET108" i="2"/>
  <c r="DD108" i="2"/>
  <c r="CH108" i="2"/>
  <c r="BN108" i="2"/>
  <c r="AS108" i="2"/>
  <c r="AR108" i="2"/>
  <c r="GJ108" i="2"/>
  <c r="X108" i="2"/>
  <c r="W108" i="2"/>
  <c r="HC108" i="2"/>
  <c r="GR108" i="2"/>
  <c r="HF108" i="2"/>
  <c r="GK108" i="2"/>
  <c r="HB108" i="2"/>
  <c r="GS108" i="2"/>
  <c r="FP108" i="2"/>
  <c r="GG108" i="2"/>
  <c r="FX108" i="2"/>
  <c r="GH108" i="2"/>
  <c r="FL108" i="2"/>
  <c r="FC108" i="2"/>
  <c r="FW108" i="2"/>
  <c r="FB108" i="2"/>
  <c r="ER108" i="2"/>
  <c r="DV108" i="2"/>
  <c r="DM108" i="2"/>
  <c r="DA108" i="2"/>
  <c r="EU108" i="2"/>
  <c r="EG108" i="2"/>
  <c r="DW108" i="2"/>
  <c r="DB108" i="2"/>
  <c r="FM108" i="2"/>
  <c r="DZ108" i="2"/>
  <c r="DL108" i="2"/>
  <c r="DE108" i="2"/>
  <c r="CR108" i="2"/>
  <c r="EQ108" i="2"/>
  <c r="EH108" i="2"/>
  <c r="BK108" i="2"/>
  <c r="BW108" i="2"/>
  <c r="BL108" i="2"/>
  <c r="CJ108" i="2"/>
  <c r="CQ108" i="2"/>
  <c r="CF108" i="2"/>
  <c r="BB108" i="2"/>
  <c r="CG108" i="2"/>
  <c r="BV108" i="2"/>
  <c r="BO108" i="2"/>
  <c r="BA108" i="2"/>
  <c r="AT108" i="2"/>
  <c r="AA107" i="2"/>
  <c r="AB107" i="2"/>
  <c r="AF108" i="2"/>
  <c r="AP108" i="2"/>
  <c r="AG108" i="2"/>
  <c r="AQ108" i="2"/>
  <c r="Y108" i="2"/>
  <c r="U108" i="2"/>
  <c r="V108" i="2"/>
  <c r="A109" i="2"/>
  <c r="AX104" i="2"/>
  <c r="Z107" i="2"/>
  <c r="AC106" i="2"/>
  <c r="FS108" i="2" l="1"/>
  <c r="EW108" i="2"/>
  <c r="EB108" i="2"/>
  <c r="EA108" i="2"/>
  <c r="EX108" i="2"/>
  <c r="EC108" i="2"/>
  <c r="EV108" i="2"/>
  <c r="HI108" i="2"/>
  <c r="GN108" i="2"/>
  <c r="HH108" i="2"/>
  <c r="HG108" i="2"/>
  <c r="DG108" i="2"/>
  <c r="DF108" i="2"/>
  <c r="DH108" i="2"/>
  <c r="FQ108" i="2"/>
  <c r="FR108" i="2"/>
  <c r="GL108" i="2"/>
  <c r="GM108" i="2"/>
  <c r="CM108" i="2"/>
  <c r="BR108" i="2"/>
  <c r="BQ108" i="2"/>
  <c r="AV108" i="2"/>
  <c r="AU108" i="2"/>
  <c r="AW108" i="2"/>
  <c r="BP108" i="2"/>
  <c r="CK108" i="2"/>
  <c r="CL108" i="2"/>
  <c r="GQ109" i="2"/>
  <c r="GP109" i="2"/>
  <c r="FU109" i="2"/>
  <c r="FA109" i="2"/>
  <c r="EZ109" i="2"/>
  <c r="FV109" i="2"/>
  <c r="EF109" i="2"/>
  <c r="EE109" i="2"/>
  <c r="DK109" i="2"/>
  <c r="DJ109" i="2"/>
  <c r="BU109" i="2"/>
  <c r="BT109" i="2"/>
  <c r="CO109" i="2"/>
  <c r="CP109" i="2"/>
  <c r="AZ109" i="2"/>
  <c r="AY109" i="2"/>
  <c r="AE109" i="2"/>
  <c r="AD109" i="2"/>
  <c r="J109" i="2"/>
  <c r="K109" i="2"/>
  <c r="I109" i="2"/>
  <c r="H146" i="2"/>
  <c r="L109" i="2"/>
  <c r="D147" i="2"/>
  <c r="G147" i="2" s="1"/>
  <c r="HE109" i="2"/>
  <c r="GJ109" i="2"/>
  <c r="GI109" i="2"/>
  <c r="FO109" i="2"/>
  <c r="FN109" i="2"/>
  <c r="HD109" i="2"/>
  <c r="ET109" i="2"/>
  <c r="ES109" i="2"/>
  <c r="CH109" i="2"/>
  <c r="AS109" i="2"/>
  <c r="CI109" i="2"/>
  <c r="BM109" i="2"/>
  <c r="DY109" i="2"/>
  <c r="X109" i="2"/>
  <c r="DD109" i="2"/>
  <c r="DC109" i="2"/>
  <c r="BN109" i="2"/>
  <c r="AR109" i="2"/>
  <c r="DX109" i="2"/>
  <c r="W109" i="2"/>
  <c r="HF109" i="2"/>
  <c r="HC109" i="2"/>
  <c r="GR109" i="2"/>
  <c r="GK109" i="2"/>
  <c r="HB109" i="2"/>
  <c r="GS109" i="2"/>
  <c r="FW109" i="2"/>
  <c r="FM109" i="2"/>
  <c r="FP109" i="2"/>
  <c r="GG109" i="2"/>
  <c r="FX109" i="2"/>
  <c r="EQ109" i="2"/>
  <c r="EH109" i="2"/>
  <c r="CJ109" i="2"/>
  <c r="GH109" i="2"/>
  <c r="FL109" i="2"/>
  <c r="FC109" i="2"/>
  <c r="FB109" i="2"/>
  <c r="ER109" i="2"/>
  <c r="DV109" i="2"/>
  <c r="DM109" i="2"/>
  <c r="DA109" i="2"/>
  <c r="EU109" i="2"/>
  <c r="EG109" i="2"/>
  <c r="DW109" i="2"/>
  <c r="DB109" i="2"/>
  <c r="DZ109" i="2"/>
  <c r="DE109" i="2"/>
  <c r="CR109" i="2"/>
  <c r="CG109" i="2"/>
  <c r="BV109" i="2"/>
  <c r="BO109" i="2"/>
  <c r="BK109" i="2"/>
  <c r="BW109" i="2"/>
  <c r="BL109" i="2"/>
  <c r="DL109" i="2"/>
  <c r="CQ109" i="2"/>
  <c r="CF109" i="2"/>
  <c r="BB109" i="2"/>
  <c r="BA109" i="2"/>
  <c r="AT109" i="2"/>
  <c r="FT107" i="2"/>
  <c r="HJ107" i="2"/>
  <c r="CN107" i="2"/>
  <c r="DI107" i="2"/>
  <c r="EY107" i="2"/>
  <c r="GO107" i="2"/>
  <c r="ED107" i="2"/>
  <c r="AQ109" i="2"/>
  <c r="AG109" i="2"/>
  <c r="AF109" i="2"/>
  <c r="AP109" i="2"/>
  <c r="Y109" i="2"/>
  <c r="U109" i="2"/>
  <c r="V109" i="2"/>
  <c r="A110" i="2"/>
  <c r="AB108" i="2"/>
  <c r="AA108" i="2"/>
  <c r="AX105" i="2"/>
  <c r="Z108" i="2"/>
  <c r="AC107" i="2"/>
  <c r="EX109" i="2" l="1"/>
  <c r="EB109" i="2"/>
  <c r="HI109" i="2"/>
  <c r="EC109" i="2"/>
  <c r="FS109" i="2"/>
  <c r="HH109" i="2"/>
  <c r="GN109" i="2"/>
  <c r="HG109" i="2"/>
  <c r="DG109" i="2"/>
  <c r="DF109" i="2"/>
  <c r="DH109" i="2"/>
  <c r="FQ109" i="2"/>
  <c r="FR109" i="2"/>
  <c r="GL109" i="2"/>
  <c r="GM109" i="2"/>
  <c r="EV109" i="2"/>
  <c r="EW109" i="2"/>
  <c r="EA109" i="2"/>
  <c r="CM109" i="2"/>
  <c r="BQ109" i="2"/>
  <c r="AV109" i="2"/>
  <c r="AW109" i="2"/>
  <c r="AU109" i="2"/>
  <c r="BR109" i="2"/>
  <c r="BP109" i="2"/>
  <c r="CL109" i="2"/>
  <c r="CK109" i="2"/>
  <c r="GQ110" i="2"/>
  <c r="GP110" i="2"/>
  <c r="FU110" i="2"/>
  <c r="FV110" i="2"/>
  <c r="FA110" i="2"/>
  <c r="EZ110" i="2"/>
  <c r="EE110" i="2"/>
  <c r="CP110" i="2"/>
  <c r="CO110" i="2"/>
  <c r="DJ110" i="2"/>
  <c r="DK110" i="2"/>
  <c r="BU110" i="2"/>
  <c r="BT110" i="2"/>
  <c r="EF110" i="2"/>
  <c r="AZ110" i="2"/>
  <c r="AY110" i="2"/>
  <c r="AE110" i="2"/>
  <c r="AD110" i="2"/>
  <c r="J110" i="2"/>
  <c r="K110" i="2"/>
  <c r="I110" i="2"/>
  <c r="H147" i="2"/>
  <c r="L110" i="2"/>
  <c r="D148" i="2"/>
  <c r="G148" i="2" s="1"/>
  <c r="GO108" i="2"/>
  <c r="FT108" i="2"/>
  <c r="ED108" i="2"/>
  <c r="EY108" i="2"/>
  <c r="HJ108" i="2"/>
  <c r="DI108" i="2"/>
  <c r="HD110" i="2"/>
  <c r="HE110" i="2"/>
  <c r="GI110" i="2"/>
  <c r="GJ110" i="2"/>
  <c r="ET110" i="2"/>
  <c r="FO110" i="2"/>
  <c r="FN110" i="2"/>
  <c r="ES110" i="2"/>
  <c r="DX110" i="2"/>
  <c r="DD110" i="2"/>
  <c r="BN110" i="2"/>
  <c r="CH110" i="2"/>
  <c r="AS110" i="2"/>
  <c r="W110" i="2"/>
  <c r="DY110" i="2"/>
  <c r="CI110" i="2"/>
  <c r="BM110" i="2"/>
  <c r="X110" i="2"/>
  <c r="DC110" i="2"/>
  <c r="AR110" i="2"/>
  <c r="HC110" i="2"/>
  <c r="HF110" i="2"/>
  <c r="HB110" i="2"/>
  <c r="GS110" i="2"/>
  <c r="GR110" i="2"/>
  <c r="GH110" i="2"/>
  <c r="FL110" i="2"/>
  <c r="FC110" i="2"/>
  <c r="FW110" i="2"/>
  <c r="FM110" i="2"/>
  <c r="GK110" i="2"/>
  <c r="FP110" i="2"/>
  <c r="GG110" i="2"/>
  <c r="DZ110" i="2"/>
  <c r="DL110" i="2"/>
  <c r="DE110" i="2"/>
  <c r="EQ110" i="2"/>
  <c r="EH110" i="2"/>
  <c r="CJ110" i="2"/>
  <c r="CR110" i="2"/>
  <c r="FB110" i="2"/>
  <c r="ER110" i="2"/>
  <c r="DV110" i="2"/>
  <c r="DM110" i="2"/>
  <c r="DA110" i="2"/>
  <c r="FX110" i="2"/>
  <c r="DW110" i="2"/>
  <c r="EG110" i="2"/>
  <c r="DB110" i="2"/>
  <c r="EU110" i="2"/>
  <c r="CQ110" i="2"/>
  <c r="CF110" i="2"/>
  <c r="BB110" i="2"/>
  <c r="CG110" i="2"/>
  <c r="BV110" i="2"/>
  <c r="BO110" i="2"/>
  <c r="BK110" i="2"/>
  <c r="BW110" i="2"/>
  <c r="BL110" i="2"/>
  <c r="BA110" i="2"/>
  <c r="AT110" i="2"/>
  <c r="CN108" i="2"/>
  <c r="AB109" i="2"/>
  <c r="AA109" i="2"/>
  <c r="AP110" i="2"/>
  <c r="AF110" i="2"/>
  <c r="AG110" i="2"/>
  <c r="AQ110" i="2"/>
  <c r="U110" i="2"/>
  <c r="A111" i="2"/>
  <c r="Y110" i="2"/>
  <c r="V110" i="2"/>
  <c r="AX106" i="2"/>
  <c r="Z109" i="2"/>
  <c r="AC108" i="2"/>
  <c r="EB110" i="2" l="1"/>
  <c r="HG110" i="2"/>
  <c r="HH110" i="2"/>
  <c r="HI110" i="2"/>
  <c r="EX110" i="2"/>
  <c r="EC110" i="2"/>
  <c r="FS110" i="2"/>
  <c r="EV110" i="2"/>
  <c r="EW110" i="2"/>
  <c r="AU110" i="2"/>
  <c r="GN110" i="2"/>
  <c r="DG110" i="2"/>
  <c r="DF110" i="2"/>
  <c r="DH110" i="2"/>
  <c r="FQ110" i="2"/>
  <c r="FR110" i="2"/>
  <c r="GL110" i="2"/>
  <c r="GM110" i="2"/>
  <c r="EA110" i="2"/>
  <c r="CM110" i="2"/>
  <c r="AV110" i="2"/>
  <c r="AW110" i="2"/>
  <c r="BR110" i="2"/>
  <c r="BQ110" i="2"/>
  <c r="BP110" i="2"/>
  <c r="CK110" i="2"/>
  <c r="CL110" i="2"/>
  <c r="GQ111" i="2"/>
  <c r="GP111" i="2"/>
  <c r="FU111" i="2"/>
  <c r="FA111" i="2"/>
  <c r="EZ111" i="2"/>
  <c r="FV111" i="2"/>
  <c r="EF111" i="2"/>
  <c r="EE111" i="2"/>
  <c r="DK111" i="2"/>
  <c r="DJ111" i="2"/>
  <c r="CO111" i="2"/>
  <c r="CP111" i="2"/>
  <c r="BU111" i="2"/>
  <c r="BT111" i="2"/>
  <c r="AZ111" i="2"/>
  <c r="AY111" i="2"/>
  <c r="AE111" i="2"/>
  <c r="K111" i="2"/>
  <c r="AD111" i="2"/>
  <c r="J111" i="2"/>
  <c r="I111" i="2"/>
  <c r="H148" i="2"/>
  <c r="L111" i="2"/>
  <c r="D149" i="2"/>
  <c r="G149" i="2" s="1"/>
  <c r="CN109" i="2"/>
  <c r="EY109" i="2"/>
  <c r="GO109" i="2"/>
  <c r="HJ109" i="2"/>
  <c r="ED109" i="2"/>
  <c r="FT109" i="2"/>
  <c r="HD111" i="2"/>
  <c r="HE111" i="2"/>
  <c r="GI111" i="2"/>
  <c r="GJ111" i="2"/>
  <c r="ES111" i="2"/>
  <c r="ET111" i="2"/>
  <c r="FN111" i="2"/>
  <c r="DY111" i="2"/>
  <c r="FO111" i="2"/>
  <c r="DC111" i="2"/>
  <c r="DX111" i="2"/>
  <c r="DD111" i="2"/>
  <c r="BN111" i="2"/>
  <c r="BM111" i="2"/>
  <c r="CH111" i="2"/>
  <c r="AS111" i="2"/>
  <c r="W111" i="2"/>
  <c r="CI111" i="2"/>
  <c r="AR111" i="2"/>
  <c r="X111" i="2"/>
  <c r="HC111" i="2"/>
  <c r="HF111" i="2"/>
  <c r="GK111" i="2"/>
  <c r="HB111" i="2"/>
  <c r="GS111" i="2"/>
  <c r="GG111" i="2"/>
  <c r="FX111" i="2"/>
  <c r="GH111" i="2"/>
  <c r="FL111" i="2"/>
  <c r="FC111" i="2"/>
  <c r="FW111" i="2"/>
  <c r="FM111" i="2"/>
  <c r="FP111" i="2"/>
  <c r="EU111" i="2"/>
  <c r="EG111" i="2"/>
  <c r="DW111" i="2"/>
  <c r="DB111" i="2"/>
  <c r="DZ111" i="2"/>
  <c r="DL111" i="2"/>
  <c r="DE111" i="2"/>
  <c r="GR111" i="2"/>
  <c r="EQ111" i="2"/>
  <c r="EH111" i="2"/>
  <c r="CJ111" i="2"/>
  <c r="CR111" i="2"/>
  <c r="FB111" i="2"/>
  <c r="ER111" i="2"/>
  <c r="DM111" i="2"/>
  <c r="DV111" i="2"/>
  <c r="BW111" i="2"/>
  <c r="BL111" i="2"/>
  <c r="DA111" i="2"/>
  <c r="CQ111" i="2"/>
  <c r="CF111" i="2"/>
  <c r="BB111" i="2"/>
  <c r="CG111" i="2"/>
  <c r="BV111" i="2"/>
  <c r="BO111" i="2"/>
  <c r="BK111" i="2"/>
  <c r="BA111" i="2"/>
  <c r="AT111" i="2"/>
  <c r="DI109" i="2"/>
  <c r="AQ111" i="2"/>
  <c r="AF111" i="2"/>
  <c r="AP111" i="2"/>
  <c r="AG111" i="2"/>
  <c r="U111" i="2"/>
  <c r="V111" i="2"/>
  <c r="A112" i="2"/>
  <c r="Y111" i="2"/>
  <c r="AB110" i="2"/>
  <c r="AA110" i="2"/>
  <c r="AX107" i="2"/>
  <c r="Z110" i="2"/>
  <c r="AC109" i="2"/>
  <c r="FS111" i="2" l="1"/>
  <c r="EX111" i="2"/>
  <c r="AW111" i="2"/>
  <c r="FQ111" i="2"/>
  <c r="EA111" i="2"/>
  <c r="EW111" i="2"/>
  <c r="EB111" i="2"/>
  <c r="EC111" i="2"/>
  <c r="HI111" i="2"/>
  <c r="HH111" i="2"/>
  <c r="HG111" i="2"/>
  <c r="GN111" i="2"/>
  <c r="DF111" i="2"/>
  <c r="DH111" i="2"/>
  <c r="DG111" i="2"/>
  <c r="FR111" i="2"/>
  <c r="GM111" i="2"/>
  <c r="GL111" i="2"/>
  <c r="EV111" i="2"/>
  <c r="CM111" i="2"/>
  <c r="AV111" i="2"/>
  <c r="AU111" i="2"/>
  <c r="BR111" i="2"/>
  <c r="BQ111" i="2"/>
  <c r="BP111" i="2"/>
  <c r="CK111" i="2"/>
  <c r="CL111" i="2"/>
  <c r="GQ112" i="2"/>
  <c r="GP112" i="2"/>
  <c r="FU112" i="2"/>
  <c r="FV112" i="2"/>
  <c r="FA112" i="2"/>
  <c r="EZ112" i="2"/>
  <c r="EE112" i="2"/>
  <c r="DK112" i="2"/>
  <c r="EF112" i="2"/>
  <c r="CP112" i="2"/>
  <c r="CO112" i="2"/>
  <c r="DJ112" i="2"/>
  <c r="AZ112" i="2"/>
  <c r="BU112" i="2"/>
  <c r="BT112" i="2"/>
  <c r="AY112" i="2"/>
  <c r="AE112" i="2"/>
  <c r="AD112" i="2"/>
  <c r="J112" i="2"/>
  <c r="K112" i="2"/>
  <c r="I112" i="2"/>
  <c r="H149" i="2"/>
  <c r="L112" i="2"/>
  <c r="D150" i="2"/>
  <c r="G150" i="2" s="1"/>
  <c r="ED110" i="2"/>
  <c r="HJ110" i="2"/>
  <c r="EY110" i="2"/>
  <c r="HD112" i="2"/>
  <c r="HE112" i="2"/>
  <c r="FO112" i="2"/>
  <c r="GJ112" i="2"/>
  <c r="GI112" i="2"/>
  <c r="ES112" i="2"/>
  <c r="DX112" i="2"/>
  <c r="FN112" i="2"/>
  <c r="ET112" i="2"/>
  <c r="DY112" i="2"/>
  <c r="CI112" i="2"/>
  <c r="BM112" i="2"/>
  <c r="DC112" i="2"/>
  <c r="AR112" i="2"/>
  <c r="CH112" i="2"/>
  <c r="DD112" i="2"/>
  <c r="BN112" i="2"/>
  <c r="AS112" i="2"/>
  <c r="X112" i="2"/>
  <c r="W112" i="2"/>
  <c r="HC112" i="2"/>
  <c r="GR112" i="2"/>
  <c r="GK112" i="2"/>
  <c r="HF112" i="2"/>
  <c r="HB112" i="2"/>
  <c r="GS112" i="2"/>
  <c r="FP112" i="2"/>
  <c r="GG112" i="2"/>
  <c r="FX112" i="2"/>
  <c r="GH112" i="2"/>
  <c r="FL112" i="2"/>
  <c r="FC112" i="2"/>
  <c r="FB112" i="2"/>
  <c r="ER112" i="2"/>
  <c r="DV112" i="2"/>
  <c r="DM112" i="2"/>
  <c r="DA112" i="2"/>
  <c r="FW112" i="2"/>
  <c r="EU112" i="2"/>
  <c r="EG112" i="2"/>
  <c r="DW112" i="2"/>
  <c r="DB112" i="2"/>
  <c r="DZ112" i="2"/>
  <c r="DL112" i="2"/>
  <c r="DE112" i="2"/>
  <c r="FM112" i="2"/>
  <c r="EQ112" i="2"/>
  <c r="EH112" i="2"/>
  <c r="CJ112" i="2"/>
  <c r="CR112" i="2"/>
  <c r="BK112" i="2"/>
  <c r="BW112" i="2"/>
  <c r="BL112" i="2"/>
  <c r="CQ112" i="2"/>
  <c r="CF112" i="2"/>
  <c r="BB112" i="2"/>
  <c r="CG112" i="2"/>
  <c r="BV112" i="2"/>
  <c r="BO112" i="2"/>
  <c r="BA112" i="2"/>
  <c r="AT112" i="2"/>
  <c r="GO110" i="2"/>
  <c r="CN110" i="2"/>
  <c r="DI110" i="2"/>
  <c r="FT110" i="2"/>
  <c r="AA111" i="2"/>
  <c r="AQ112" i="2"/>
  <c r="AG112" i="2"/>
  <c r="AF112" i="2"/>
  <c r="AP112" i="2"/>
  <c r="Y112" i="2"/>
  <c r="U112" i="2"/>
  <c r="V112" i="2"/>
  <c r="A113" i="2"/>
  <c r="AB111" i="2"/>
  <c r="AX108" i="2"/>
  <c r="Z111" i="2"/>
  <c r="AC110" i="2"/>
  <c r="EX112" i="2" l="1"/>
  <c r="EB112" i="2"/>
  <c r="FQ112" i="2"/>
  <c r="EC112" i="2"/>
  <c r="HI112" i="2"/>
  <c r="FS112" i="2"/>
  <c r="EW112" i="2"/>
  <c r="EA112" i="2"/>
  <c r="GN112" i="2"/>
  <c r="HH112" i="2"/>
  <c r="HG112" i="2"/>
  <c r="DF112" i="2"/>
  <c r="DG112" i="2"/>
  <c r="DH112" i="2"/>
  <c r="FR112" i="2"/>
  <c r="GM112" i="2"/>
  <c r="GL112" i="2"/>
  <c r="EV112" i="2"/>
  <c r="CM112" i="2"/>
  <c r="AV112" i="2"/>
  <c r="AU112" i="2"/>
  <c r="AW112" i="2"/>
  <c r="BQ112" i="2"/>
  <c r="BR112" i="2"/>
  <c r="BP112" i="2"/>
  <c r="CK112" i="2"/>
  <c r="CL112" i="2"/>
  <c r="GQ113" i="2"/>
  <c r="GP113" i="2"/>
  <c r="FU113" i="2"/>
  <c r="FV113" i="2"/>
  <c r="EZ113" i="2"/>
  <c r="FA113" i="2"/>
  <c r="EF113" i="2"/>
  <c r="DK113" i="2"/>
  <c r="DJ113" i="2"/>
  <c r="EE113" i="2"/>
  <c r="CP113" i="2"/>
  <c r="CO113" i="2"/>
  <c r="BU113" i="2"/>
  <c r="BT113" i="2"/>
  <c r="AY113" i="2"/>
  <c r="AE113" i="2"/>
  <c r="AD113" i="2"/>
  <c r="AZ113" i="2"/>
  <c r="J113" i="2"/>
  <c r="K113" i="2"/>
  <c r="I113" i="2"/>
  <c r="H150" i="2"/>
  <c r="L113" i="2"/>
  <c r="D151" i="2"/>
  <c r="G151" i="2" s="1"/>
  <c r="DI111" i="2"/>
  <c r="GO111" i="2"/>
  <c r="HE113" i="2"/>
  <c r="HD113" i="2"/>
  <c r="GJ113" i="2"/>
  <c r="FO113" i="2"/>
  <c r="FN113" i="2"/>
  <c r="GI113" i="2"/>
  <c r="ET113" i="2"/>
  <c r="CH113" i="2"/>
  <c r="AS113" i="2"/>
  <c r="DY113" i="2"/>
  <c r="CI113" i="2"/>
  <c r="BM113" i="2"/>
  <c r="X113" i="2"/>
  <c r="AR113" i="2"/>
  <c r="DX113" i="2"/>
  <c r="BN113" i="2"/>
  <c r="W113" i="2"/>
  <c r="DD113" i="2"/>
  <c r="ES113" i="2"/>
  <c r="DC113" i="2"/>
  <c r="HF113" i="2"/>
  <c r="HC113" i="2"/>
  <c r="GR113" i="2"/>
  <c r="GK113" i="2"/>
  <c r="FW113" i="2"/>
  <c r="FM113" i="2"/>
  <c r="HB113" i="2"/>
  <c r="GS113" i="2"/>
  <c r="FP113" i="2"/>
  <c r="GG113" i="2"/>
  <c r="FX113" i="2"/>
  <c r="EQ113" i="2"/>
  <c r="EH113" i="2"/>
  <c r="CJ113" i="2"/>
  <c r="FB113" i="2"/>
  <c r="ER113" i="2"/>
  <c r="DV113" i="2"/>
  <c r="DM113" i="2"/>
  <c r="DA113" i="2"/>
  <c r="GH113" i="2"/>
  <c r="FL113" i="2"/>
  <c r="FC113" i="2"/>
  <c r="EU113" i="2"/>
  <c r="EG113" i="2"/>
  <c r="DW113" i="2"/>
  <c r="DB113" i="2"/>
  <c r="DL113" i="2"/>
  <c r="CR113" i="2"/>
  <c r="DZ113" i="2"/>
  <c r="DE113" i="2"/>
  <c r="CG113" i="2"/>
  <c r="BV113" i="2"/>
  <c r="BO113" i="2"/>
  <c r="BK113" i="2"/>
  <c r="BW113" i="2"/>
  <c r="BL113" i="2"/>
  <c r="CQ113" i="2"/>
  <c r="CF113" i="2"/>
  <c r="BB113" i="2"/>
  <c r="BA113" i="2"/>
  <c r="AT113" i="2"/>
  <c r="FT111" i="2"/>
  <c r="EY111" i="2"/>
  <c r="HJ111" i="2"/>
  <c r="ED111" i="2"/>
  <c r="CN111" i="2"/>
  <c r="AA112" i="2"/>
  <c r="AB112" i="2"/>
  <c r="AP113" i="2"/>
  <c r="AF113" i="2"/>
  <c r="AQ113" i="2"/>
  <c r="AG113" i="2"/>
  <c r="V113" i="2"/>
  <c r="A114" i="2"/>
  <c r="Y113" i="2"/>
  <c r="U113" i="2"/>
  <c r="AX109" i="2"/>
  <c r="Z112" i="2"/>
  <c r="AC111" i="2"/>
  <c r="EC113" i="2" l="1"/>
  <c r="EW113" i="2"/>
  <c r="EX113" i="2"/>
  <c r="FS113" i="2"/>
  <c r="HI113" i="2"/>
  <c r="EB113" i="2"/>
  <c r="HG113" i="2"/>
  <c r="AW113" i="2"/>
  <c r="EV113" i="2"/>
  <c r="GN113" i="2"/>
  <c r="HH113" i="2"/>
  <c r="DF113" i="2"/>
  <c r="DG113" i="2"/>
  <c r="DH113" i="2"/>
  <c r="FQ113" i="2"/>
  <c r="FR113" i="2"/>
  <c r="GL113" i="2"/>
  <c r="GM113" i="2"/>
  <c r="EA113" i="2"/>
  <c r="CM113" i="2"/>
  <c r="AV113" i="2"/>
  <c r="AU113" i="2"/>
  <c r="BQ113" i="2"/>
  <c r="BR113" i="2"/>
  <c r="BP113" i="2"/>
  <c r="CL113" i="2"/>
  <c r="CK113" i="2"/>
  <c r="GQ114" i="2"/>
  <c r="GP114" i="2"/>
  <c r="FU114" i="2"/>
  <c r="FV114" i="2"/>
  <c r="EZ114" i="2"/>
  <c r="EE114" i="2"/>
  <c r="FA114" i="2"/>
  <c r="EF114" i="2"/>
  <c r="CP114" i="2"/>
  <c r="CO114" i="2"/>
  <c r="DK114" i="2"/>
  <c r="DJ114" i="2"/>
  <c r="AZ114" i="2"/>
  <c r="BU114" i="2"/>
  <c r="BT114" i="2"/>
  <c r="AY114" i="2"/>
  <c r="AE114" i="2"/>
  <c r="AD114" i="2"/>
  <c r="J114" i="2"/>
  <c r="I114" i="2"/>
  <c r="K114" i="2"/>
  <c r="H151" i="2"/>
  <c r="L114" i="2"/>
  <c r="D152" i="2"/>
  <c r="G152" i="2" s="1"/>
  <c r="FT112" i="2"/>
  <c r="DI112" i="2"/>
  <c r="HJ112" i="2"/>
  <c r="ED112" i="2"/>
  <c r="EY112" i="2"/>
  <c r="GO112" i="2"/>
  <c r="HD114" i="2"/>
  <c r="HE114" i="2"/>
  <c r="GI114" i="2"/>
  <c r="GJ114" i="2"/>
  <c r="ET114" i="2"/>
  <c r="FN114" i="2"/>
  <c r="DD114" i="2"/>
  <c r="BN114" i="2"/>
  <c r="FO114" i="2"/>
  <c r="CH114" i="2"/>
  <c r="AS114" i="2"/>
  <c r="ES114" i="2"/>
  <c r="DX114" i="2"/>
  <c r="DC114" i="2"/>
  <c r="W114" i="2"/>
  <c r="X114" i="2"/>
  <c r="DY114" i="2"/>
  <c r="BM114" i="2"/>
  <c r="AR114" i="2"/>
  <c r="CI114" i="2"/>
  <c r="HC114" i="2"/>
  <c r="HF114" i="2"/>
  <c r="HB114" i="2"/>
  <c r="GS114" i="2"/>
  <c r="GR114" i="2"/>
  <c r="GH114" i="2"/>
  <c r="FL114" i="2"/>
  <c r="FC114" i="2"/>
  <c r="FW114" i="2"/>
  <c r="FM114" i="2"/>
  <c r="FP114" i="2"/>
  <c r="GK114" i="2"/>
  <c r="FX114" i="2"/>
  <c r="DZ114" i="2"/>
  <c r="DL114" i="2"/>
  <c r="DE114" i="2"/>
  <c r="GG114" i="2"/>
  <c r="EQ114" i="2"/>
  <c r="EH114" i="2"/>
  <c r="CJ114" i="2"/>
  <c r="CR114" i="2"/>
  <c r="FB114" i="2"/>
  <c r="ER114" i="2"/>
  <c r="DV114" i="2"/>
  <c r="DM114" i="2"/>
  <c r="DA114" i="2"/>
  <c r="EU114" i="2"/>
  <c r="DW114" i="2"/>
  <c r="EG114" i="2"/>
  <c r="DB114" i="2"/>
  <c r="CQ114" i="2"/>
  <c r="CF114" i="2"/>
  <c r="BB114" i="2"/>
  <c r="CG114" i="2"/>
  <c r="BV114" i="2"/>
  <c r="BO114" i="2"/>
  <c r="BK114" i="2"/>
  <c r="BW114" i="2"/>
  <c r="BL114" i="2"/>
  <c r="BA114" i="2"/>
  <c r="AT114" i="2"/>
  <c r="CN112" i="2"/>
  <c r="AA113" i="2"/>
  <c r="AB113" i="2"/>
  <c r="AF114" i="2"/>
  <c r="AP114" i="2"/>
  <c r="AQ114" i="2"/>
  <c r="AG114" i="2"/>
  <c r="V114" i="2"/>
  <c r="A115" i="2"/>
  <c r="Y114" i="2"/>
  <c r="U114" i="2"/>
  <c r="AX110" i="2"/>
  <c r="Z113" i="2"/>
  <c r="AC112" i="2"/>
  <c r="EW114" i="2" l="1"/>
  <c r="HG114" i="2"/>
  <c r="EV114" i="2"/>
  <c r="HH114" i="2"/>
  <c r="EC114" i="2"/>
  <c r="AU114" i="2"/>
  <c r="EX114" i="2"/>
  <c r="FS114" i="2"/>
  <c r="HI114" i="2"/>
  <c r="GN114" i="2"/>
  <c r="DF114" i="2"/>
  <c r="DG114" i="2"/>
  <c r="DH114" i="2"/>
  <c r="FR114" i="2"/>
  <c r="FQ114" i="2"/>
  <c r="GM114" i="2"/>
  <c r="GL114" i="2"/>
  <c r="EA114" i="2"/>
  <c r="EB114" i="2"/>
  <c r="CM114" i="2"/>
  <c r="BQ114" i="2"/>
  <c r="AV114" i="2"/>
  <c r="AW114" i="2"/>
  <c r="BR114" i="2"/>
  <c r="BP114" i="2"/>
  <c r="CK114" i="2"/>
  <c r="CL114" i="2"/>
  <c r="GQ115" i="2"/>
  <c r="GP115" i="2"/>
  <c r="FU115" i="2"/>
  <c r="FA115" i="2"/>
  <c r="EZ115" i="2"/>
  <c r="FV115" i="2"/>
  <c r="EF115" i="2"/>
  <c r="EE115" i="2"/>
  <c r="DK115" i="2"/>
  <c r="DJ115" i="2"/>
  <c r="CP115" i="2"/>
  <c r="CO115" i="2"/>
  <c r="BU115" i="2"/>
  <c r="AY115" i="2"/>
  <c r="AE115" i="2"/>
  <c r="BT115" i="2"/>
  <c r="AZ115" i="2"/>
  <c r="K115" i="2"/>
  <c r="AD115" i="2"/>
  <c r="J115" i="2"/>
  <c r="I115" i="2"/>
  <c r="H152" i="2"/>
  <c r="D154" i="2"/>
  <c r="G154" i="2" s="1"/>
  <c r="L115" i="2"/>
  <c r="D153" i="2"/>
  <c r="G153" i="2" s="1"/>
  <c r="CN113" i="2"/>
  <c r="EY113" i="2"/>
  <c r="HJ113" i="2"/>
  <c r="GO113" i="2"/>
  <c r="FT113" i="2"/>
  <c r="ED113" i="2"/>
  <c r="DI113" i="2"/>
  <c r="HD115" i="2"/>
  <c r="HE115" i="2"/>
  <c r="GI115" i="2"/>
  <c r="FO115" i="2"/>
  <c r="ES115" i="2"/>
  <c r="ET115" i="2"/>
  <c r="DY115" i="2"/>
  <c r="GJ115" i="2"/>
  <c r="DX115" i="2"/>
  <c r="DC115" i="2"/>
  <c r="DD115" i="2"/>
  <c r="BN115" i="2"/>
  <c r="FN115" i="2"/>
  <c r="CI115" i="2"/>
  <c r="BM115" i="2"/>
  <c r="W115" i="2"/>
  <c r="AS115" i="2"/>
  <c r="CH115" i="2"/>
  <c r="X115" i="2"/>
  <c r="AR115" i="2"/>
  <c r="HC115" i="2"/>
  <c r="HF115" i="2"/>
  <c r="GK115" i="2"/>
  <c r="HB115" i="2"/>
  <c r="GS115" i="2"/>
  <c r="GR115" i="2"/>
  <c r="GG115" i="2"/>
  <c r="FX115" i="2"/>
  <c r="GH115" i="2"/>
  <c r="FL115" i="2"/>
  <c r="FC115" i="2"/>
  <c r="FW115" i="2"/>
  <c r="FM115" i="2"/>
  <c r="EU115" i="2"/>
  <c r="EG115" i="2"/>
  <c r="DW115" i="2"/>
  <c r="DB115" i="2"/>
  <c r="FP115" i="2"/>
  <c r="DZ115" i="2"/>
  <c r="DL115" i="2"/>
  <c r="DE115" i="2"/>
  <c r="EQ115" i="2"/>
  <c r="EH115" i="2"/>
  <c r="CJ115" i="2"/>
  <c r="CR115" i="2"/>
  <c r="DV115" i="2"/>
  <c r="FB115" i="2"/>
  <c r="DA115" i="2"/>
  <c r="ER115" i="2"/>
  <c r="DM115" i="2"/>
  <c r="BW115" i="2"/>
  <c r="BL115" i="2"/>
  <c r="CQ115" i="2"/>
  <c r="CF115" i="2"/>
  <c r="BB115" i="2"/>
  <c r="CG115" i="2"/>
  <c r="BV115" i="2"/>
  <c r="BO115" i="2"/>
  <c r="BK115" i="2"/>
  <c r="BA115" i="2"/>
  <c r="AT115" i="2"/>
  <c r="AA114" i="2"/>
  <c r="AB114" i="2"/>
  <c r="AP115" i="2"/>
  <c r="AF115" i="2"/>
  <c r="AG115" i="2"/>
  <c r="AQ115" i="2"/>
  <c r="A116" i="2"/>
  <c r="Y115" i="2"/>
  <c r="V115" i="2"/>
  <c r="U115" i="2"/>
  <c r="AX111" i="2"/>
  <c r="Z114" i="2"/>
  <c r="AC113" i="2"/>
  <c r="FS115" i="2" l="1"/>
  <c r="EX115" i="2"/>
  <c r="HI115" i="2"/>
  <c r="EC115" i="2"/>
  <c r="AW115" i="2"/>
  <c r="EV115" i="2"/>
  <c r="GN115" i="2"/>
  <c r="HH115" i="2"/>
  <c r="HG115" i="2"/>
  <c r="DF115" i="2"/>
  <c r="DG115" i="2"/>
  <c r="DH115" i="2"/>
  <c r="FQ115" i="2"/>
  <c r="FR115" i="2"/>
  <c r="GL115" i="2"/>
  <c r="GM115" i="2"/>
  <c r="EW115" i="2"/>
  <c r="EA115" i="2"/>
  <c r="EB115" i="2"/>
  <c r="CM115" i="2"/>
  <c r="AV115" i="2"/>
  <c r="AU115" i="2"/>
  <c r="BQ115" i="2"/>
  <c r="BR115" i="2"/>
  <c r="BP115" i="2"/>
  <c r="CK115" i="2"/>
  <c r="CL115" i="2"/>
  <c r="GQ116" i="2"/>
  <c r="GP116" i="2"/>
  <c r="FU116" i="2"/>
  <c r="FA116" i="2"/>
  <c r="EZ116" i="2"/>
  <c r="EF116" i="2"/>
  <c r="EE116" i="2"/>
  <c r="FV116" i="2"/>
  <c r="DK116" i="2"/>
  <c r="DJ116" i="2"/>
  <c r="CP116" i="2"/>
  <c r="CO116" i="2"/>
  <c r="AZ116" i="2"/>
  <c r="BU116" i="2"/>
  <c r="BT116" i="2"/>
  <c r="AY116" i="2"/>
  <c r="AE116" i="2"/>
  <c r="AD116" i="2"/>
  <c r="K116" i="2"/>
  <c r="I116" i="2"/>
  <c r="J116" i="2"/>
  <c r="H154" i="2"/>
  <c r="D155" i="2"/>
  <c r="G155" i="2" s="1"/>
  <c r="H153" i="2"/>
  <c r="L116" i="2"/>
  <c r="FT114" i="2"/>
  <c r="GO114" i="2"/>
  <c r="HJ114" i="2"/>
  <c r="CN114" i="2"/>
  <c r="HD116" i="2"/>
  <c r="FO116" i="2"/>
  <c r="HE116" i="2"/>
  <c r="GJ116" i="2"/>
  <c r="ES116" i="2"/>
  <c r="DX116" i="2"/>
  <c r="CI116" i="2"/>
  <c r="BM116" i="2"/>
  <c r="ET116" i="2"/>
  <c r="DC116" i="2"/>
  <c r="DD116" i="2"/>
  <c r="CH116" i="2"/>
  <c r="BN116" i="2"/>
  <c r="AS116" i="2"/>
  <c r="AR116" i="2"/>
  <c r="FN116" i="2"/>
  <c r="DY116" i="2"/>
  <c r="GI116" i="2"/>
  <c r="X116" i="2"/>
  <c r="W116" i="2"/>
  <c r="HC116" i="2"/>
  <c r="GR116" i="2"/>
  <c r="GK116" i="2"/>
  <c r="HB116" i="2"/>
  <c r="GS116" i="2"/>
  <c r="FP116" i="2"/>
  <c r="GG116" i="2"/>
  <c r="FX116" i="2"/>
  <c r="HF116" i="2"/>
  <c r="GH116" i="2"/>
  <c r="FL116" i="2"/>
  <c r="FC116" i="2"/>
  <c r="FM116" i="2"/>
  <c r="FB116" i="2"/>
  <c r="ER116" i="2"/>
  <c r="DV116" i="2"/>
  <c r="DM116" i="2"/>
  <c r="DA116" i="2"/>
  <c r="EU116" i="2"/>
  <c r="EG116" i="2"/>
  <c r="DW116" i="2"/>
  <c r="DB116" i="2"/>
  <c r="FW116" i="2"/>
  <c r="DZ116" i="2"/>
  <c r="DL116" i="2"/>
  <c r="DE116" i="2"/>
  <c r="EQ116" i="2"/>
  <c r="EH116" i="2"/>
  <c r="CJ116" i="2"/>
  <c r="CR116" i="2"/>
  <c r="BK116" i="2"/>
  <c r="BW116" i="2"/>
  <c r="BL116" i="2"/>
  <c r="CQ116" i="2"/>
  <c r="CF116" i="2"/>
  <c r="BB116" i="2"/>
  <c r="CG116" i="2"/>
  <c r="BV116" i="2"/>
  <c r="BO116" i="2"/>
  <c r="BA116" i="2"/>
  <c r="AT116" i="2"/>
  <c r="DI114" i="2"/>
  <c r="ED114" i="2"/>
  <c r="EY114" i="2"/>
  <c r="AB115" i="2"/>
  <c r="AQ116" i="2"/>
  <c r="AG116" i="2"/>
  <c r="AP116" i="2"/>
  <c r="AF116" i="2"/>
  <c r="U116" i="2"/>
  <c r="V116" i="2"/>
  <c r="A117" i="2"/>
  <c r="Y116" i="2"/>
  <c r="AA115" i="2"/>
  <c r="AX112" i="2"/>
  <c r="Z115" i="2"/>
  <c r="AC114" i="2"/>
  <c r="EA116" i="2" l="1"/>
  <c r="EC116" i="2"/>
  <c r="EV116" i="2"/>
  <c r="HG116" i="2"/>
  <c r="HI116" i="2"/>
  <c r="EX116" i="2"/>
  <c r="EW116" i="2"/>
  <c r="FS116" i="2"/>
  <c r="GN116" i="2"/>
  <c r="HH116" i="2"/>
  <c r="DF116" i="2"/>
  <c r="DH116" i="2"/>
  <c r="DG116" i="2"/>
  <c r="FR116" i="2"/>
  <c r="FQ116" i="2"/>
  <c r="GM116" i="2"/>
  <c r="GL116" i="2"/>
  <c r="EB116" i="2"/>
  <c r="CM116" i="2"/>
  <c r="BR116" i="2"/>
  <c r="AV116" i="2"/>
  <c r="AU116" i="2"/>
  <c r="AW116" i="2"/>
  <c r="BQ116" i="2"/>
  <c r="BP116" i="2"/>
  <c r="CL116" i="2"/>
  <c r="CK116" i="2"/>
  <c r="GQ117" i="2"/>
  <c r="GP117" i="2"/>
  <c r="FU117" i="2"/>
  <c r="FA117" i="2"/>
  <c r="EZ117" i="2"/>
  <c r="EF117" i="2"/>
  <c r="EE117" i="2"/>
  <c r="FV117" i="2"/>
  <c r="DK117" i="2"/>
  <c r="DJ117" i="2"/>
  <c r="BU117" i="2"/>
  <c r="BT117" i="2"/>
  <c r="CP117" i="2"/>
  <c r="CO117" i="2"/>
  <c r="AY117" i="2"/>
  <c r="AE117" i="2"/>
  <c r="AD117" i="2"/>
  <c r="AZ117" i="2"/>
  <c r="J117" i="2"/>
  <c r="K117" i="2"/>
  <c r="I117" i="2"/>
  <c r="H155" i="2"/>
  <c r="D156" i="2"/>
  <c r="G156" i="2" s="1"/>
  <c r="L117" i="2"/>
  <c r="HE117" i="2"/>
  <c r="GJ117" i="2"/>
  <c r="HD117" i="2"/>
  <c r="GI117" i="2"/>
  <c r="FO117" i="2"/>
  <c r="FN117" i="2"/>
  <c r="ET117" i="2"/>
  <c r="ES117" i="2"/>
  <c r="DY117" i="2"/>
  <c r="CH117" i="2"/>
  <c r="AS117" i="2"/>
  <c r="DX117" i="2"/>
  <c r="CI117" i="2"/>
  <c r="BM117" i="2"/>
  <c r="X117" i="2"/>
  <c r="DD117" i="2"/>
  <c r="DC117" i="2"/>
  <c r="BN117" i="2"/>
  <c r="AR117" i="2"/>
  <c r="W117" i="2"/>
  <c r="HF117" i="2"/>
  <c r="GR117" i="2"/>
  <c r="HC117" i="2"/>
  <c r="GK117" i="2"/>
  <c r="FW117" i="2"/>
  <c r="FM117" i="2"/>
  <c r="FP117" i="2"/>
  <c r="HB117" i="2"/>
  <c r="GS117" i="2"/>
  <c r="GG117" i="2"/>
  <c r="FX117" i="2"/>
  <c r="EQ117" i="2"/>
  <c r="EH117" i="2"/>
  <c r="CJ117" i="2"/>
  <c r="FB117" i="2"/>
  <c r="ER117" i="2"/>
  <c r="DV117" i="2"/>
  <c r="DM117" i="2"/>
  <c r="DA117" i="2"/>
  <c r="EU117" i="2"/>
  <c r="EG117" i="2"/>
  <c r="DW117" i="2"/>
  <c r="DB117" i="2"/>
  <c r="GH117" i="2"/>
  <c r="FL117" i="2"/>
  <c r="FC117" i="2"/>
  <c r="DZ117" i="2"/>
  <c r="DE117" i="2"/>
  <c r="DL117" i="2"/>
  <c r="CR117" i="2"/>
  <c r="CG117" i="2"/>
  <c r="BV117" i="2"/>
  <c r="BO117" i="2"/>
  <c r="BK117" i="2"/>
  <c r="BW117" i="2"/>
  <c r="BL117" i="2"/>
  <c r="CQ117" i="2"/>
  <c r="CF117" i="2"/>
  <c r="BB117" i="2"/>
  <c r="BA117" i="2"/>
  <c r="AT117" i="2"/>
  <c r="ED115" i="2"/>
  <c r="DI115" i="2"/>
  <c r="EY115" i="2"/>
  <c r="HJ115" i="2"/>
  <c r="GO115" i="2"/>
  <c r="FT115" i="2"/>
  <c r="CN115" i="2"/>
  <c r="AB116" i="2"/>
  <c r="AA116" i="2"/>
  <c r="AQ117" i="2"/>
  <c r="AG117" i="2"/>
  <c r="AP117" i="2"/>
  <c r="AF117" i="2"/>
  <c r="A118" i="2"/>
  <c r="Y117" i="2"/>
  <c r="U117" i="2"/>
  <c r="V117" i="2"/>
  <c r="AX113" i="2"/>
  <c r="Z116" i="2"/>
  <c r="AC115" i="2"/>
  <c r="HI117" i="2" l="1"/>
  <c r="EA117" i="2"/>
  <c r="HG117" i="2"/>
  <c r="EX117" i="2"/>
  <c r="EC117" i="2"/>
  <c r="FS117" i="2"/>
  <c r="EB117" i="2"/>
  <c r="GN117" i="2"/>
  <c r="HH117" i="2"/>
  <c r="DF117" i="2"/>
  <c r="DG117" i="2"/>
  <c r="DH117" i="2"/>
  <c r="FQ117" i="2"/>
  <c r="FR117" i="2"/>
  <c r="GM117" i="2"/>
  <c r="GL117" i="2"/>
  <c r="EV117" i="2"/>
  <c r="EW117" i="2"/>
  <c r="CM117" i="2"/>
  <c r="AV117" i="2"/>
  <c r="AW117" i="2"/>
  <c r="AU117" i="2"/>
  <c r="BQ117" i="2"/>
  <c r="BR117" i="2"/>
  <c r="BP117" i="2"/>
  <c r="CL117" i="2"/>
  <c r="CK117" i="2"/>
  <c r="GQ118" i="2"/>
  <c r="GP118" i="2"/>
  <c r="FU118" i="2"/>
  <c r="FV118" i="2"/>
  <c r="FA118" i="2"/>
  <c r="EZ118" i="2"/>
  <c r="EF118" i="2"/>
  <c r="EE118" i="2"/>
  <c r="CP118" i="2"/>
  <c r="CO118" i="2"/>
  <c r="DK118" i="2"/>
  <c r="DJ118" i="2"/>
  <c r="BU118" i="2"/>
  <c r="BT118" i="2"/>
  <c r="AZ118" i="2"/>
  <c r="AY118" i="2"/>
  <c r="AE118" i="2"/>
  <c r="AD118" i="2"/>
  <c r="K118" i="2"/>
  <c r="J118" i="2"/>
  <c r="I118" i="2"/>
  <c r="H156" i="2"/>
  <c r="D157" i="2"/>
  <c r="G157" i="2" s="1"/>
  <c r="L118" i="2"/>
  <c r="FT116" i="2"/>
  <c r="EY116" i="2"/>
  <c r="ED116" i="2"/>
  <c r="HJ116" i="2"/>
  <c r="HD118" i="2"/>
  <c r="HE118" i="2"/>
  <c r="GI118" i="2"/>
  <c r="GJ118" i="2"/>
  <c r="ET118" i="2"/>
  <c r="FO118" i="2"/>
  <c r="FN118" i="2"/>
  <c r="ES118" i="2"/>
  <c r="DD118" i="2"/>
  <c r="BN118" i="2"/>
  <c r="DY118" i="2"/>
  <c r="CH118" i="2"/>
  <c r="AS118" i="2"/>
  <c r="W118" i="2"/>
  <c r="DC118" i="2"/>
  <c r="DX118" i="2"/>
  <c r="CI118" i="2"/>
  <c r="BM118" i="2"/>
  <c r="X118" i="2"/>
  <c r="AR118" i="2"/>
  <c r="HC118" i="2"/>
  <c r="HF118" i="2"/>
  <c r="HB118" i="2"/>
  <c r="GS118" i="2"/>
  <c r="GR118" i="2"/>
  <c r="GK118" i="2"/>
  <c r="GH118" i="2"/>
  <c r="FL118" i="2"/>
  <c r="FC118" i="2"/>
  <c r="FW118" i="2"/>
  <c r="FM118" i="2"/>
  <c r="FP118" i="2"/>
  <c r="DZ118" i="2"/>
  <c r="DL118" i="2"/>
  <c r="DE118" i="2"/>
  <c r="FX118" i="2"/>
  <c r="EQ118" i="2"/>
  <c r="EH118" i="2"/>
  <c r="CJ118" i="2"/>
  <c r="CR118" i="2"/>
  <c r="GG118" i="2"/>
  <c r="FB118" i="2"/>
  <c r="ER118" i="2"/>
  <c r="DV118" i="2"/>
  <c r="DM118" i="2"/>
  <c r="DA118" i="2"/>
  <c r="EG118" i="2"/>
  <c r="EU118" i="2"/>
  <c r="DW118" i="2"/>
  <c r="CQ118" i="2"/>
  <c r="CF118" i="2"/>
  <c r="BB118" i="2"/>
  <c r="CG118" i="2"/>
  <c r="BV118" i="2"/>
  <c r="BO118" i="2"/>
  <c r="BK118" i="2"/>
  <c r="DB118" i="2"/>
  <c r="BW118" i="2"/>
  <c r="BL118" i="2"/>
  <c r="BA118" i="2"/>
  <c r="AT118" i="2"/>
  <c r="CN116" i="2"/>
  <c r="GO116" i="2"/>
  <c r="DI116" i="2"/>
  <c r="AB117" i="2"/>
  <c r="AP118" i="2"/>
  <c r="AF118" i="2"/>
  <c r="AQ118" i="2"/>
  <c r="AG118" i="2"/>
  <c r="V118" i="2"/>
  <c r="A119" i="2"/>
  <c r="Y118" i="2"/>
  <c r="U118" i="2"/>
  <c r="AA117" i="2"/>
  <c r="AX114" i="2"/>
  <c r="Z117" i="2"/>
  <c r="AC116" i="2"/>
  <c r="EC118" i="2" l="1"/>
  <c r="HH118" i="2"/>
  <c r="EX118" i="2"/>
  <c r="FS118" i="2"/>
  <c r="FQ118" i="2"/>
  <c r="HI118" i="2"/>
  <c r="EA118" i="2"/>
  <c r="GN118" i="2"/>
  <c r="HG118" i="2"/>
  <c r="DG118" i="2"/>
  <c r="DF118" i="2"/>
  <c r="DH118" i="2"/>
  <c r="FR118" i="2"/>
  <c r="GM118" i="2"/>
  <c r="GL118" i="2"/>
  <c r="EV118" i="2"/>
  <c r="EW118" i="2"/>
  <c r="EB118" i="2"/>
  <c r="CM118" i="2"/>
  <c r="BQ118" i="2"/>
  <c r="AV118" i="2"/>
  <c r="AU118" i="2"/>
  <c r="AW118" i="2"/>
  <c r="BP118" i="2"/>
  <c r="BR118" i="2"/>
  <c r="CL118" i="2"/>
  <c r="CK118" i="2"/>
  <c r="GQ119" i="2"/>
  <c r="GP119" i="2"/>
  <c r="FU119" i="2"/>
  <c r="FA119" i="2"/>
  <c r="EZ119" i="2"/>
  <c r="FV119" i="2"/>
  <c r="EF119" i="2"/>
  <c r="EE119" i="2"/>
  <c r="DK119" i="2"/>
  <c r="DJ119" i="2"/>
  <c r="CP119" i="2"/>
  <c r="CO119" i="2"/>
  <c r="AZ119" i="2"/>
  <c r="BU119" i="2"/>
  <c r="BT119" i="2"/>
  <c r="AY119" i="2"/>
  <c r="AD119" i="2"/>
  <c r="K119" i="2"/>
  <c r="AE119" i="2"/>
  <c r="J119" i="2"/>
  <c r="I119" i="2"/>
  <c r="H157" i="2"/>
  <c r="D158" i="2"/>
  <c r="G158" i="2" s="1"/>
  <c r="L119" i="2"/>
  <c r="DI117" i="2"/>
  <c r="GO117" i="2"/>
  <c r="EY117" i="2"/>
  <c r="HD119" i="2"/>
  <c r="HE119" i="2"/>
  <c r="GI119" i="2"/>
  <c r="GJ119" i="2"/>
  <c r="ES119" i="2"/>
  <c r="ET119" i="2"/>
  <c r="FO119" i="2"/>
  <c r="FN119" i="2"/>
  <c r="DY119" i="2"/>
  <c r="DC119" i="2"/>
  <c r="DD119" i="2"/>
  <c r="BN119" i="2"/>
  <c r="BM119" i="2"/>
  <c r="CH119" i="2"/>
  <c r="AS119" i="2"/>
  <c r="W119" i="2"/>
  <c r="DX119" i="2"/>
  <c r="CI119" i="2"/>
  <c r="AR119" i="2"/>
  <c r="X119" i="2"/>
  <c r="HC119" i="2"/>
  <c r="HF119" i="2"/>
  <c r="GK119" i="2"/>
  <c r="HB119" i="2"/>
  <c r="GS119" i="2"/>
  <c r="GG119" i="2"/>
  <c r="FX119" i="2"/>
  <c r="GR119" i="2"/>
  <c r="GH119" i="2"/>
  <c r="FL119" i="2"/>
  <c r="FC119" i="2"/>
  <c r="FW119" i="2"/>
  <c r="FM119" i="2"/>
  <c r="EU119" i="2"/>
  <c r="EG119" i="2"/>
  <c r="DW119" i="2"/>
  <c r="DB119" i="2"/>
  <c r="DZ119" i="2"/>
  <c r="DL119" i="2"/>
  <c r="DE119" i="2"/>
  <c r="FP119" i="2"/>
  <c r="EQ119" i="2"/>
  <c r="EH119" i="2"/>
  <c r="CJ119" i="2"/>
  <c r="CR119" i="2"/>
  <c r="DV119" i="2"/>
  <c r="FB119" i="2"/>
  <c r="DA119" i="2"/>
  <c r="ER119" i="2"/>
  <c r="BW119" i="2"/>
  <c r="BL119" i="2"/>
  <c r="DM119" i="2"/>
  <c r="CQ119" i="2"/>
  <c r="CF119" i="2"/>
  <c r="BB119" i="2"/>
  <c r="CG119" i="2"/>
  <c r="BV119" i="2"/>
  <c r="BO119" i="2"/>
  <c r="BK119" i="2"/>
  <c r="BA119" i="2"/>
  <c r="AT119" i="2"/>
  <c r="ED117" i="2"/>
  <c r="FT117" i="2"/>
  <c r="CN117" i="2"/>
  <c r="HJ117" i="2"/>
  <c r="AB118" i="2"/>
  <c r="AA118" i="2"/>
  <c r="AQ119" i="2"/>
  <c r="AP119" i="2"/>
  <c r="AG119" i="2"/>
  <c r="AF119" i="2"/>
  <c r="V119" i="2"/>
  <c r="Y119" i="2"/>
  <c r="U119" i="2"/>
  <c r="A120" i="2"/>
  <c r="AX115" i="2"/>
  <c r="Z118" i="2"/>
  <c r="AC117" i="2"/>
  <c r="EX119" i="2" l="1"/>
  <c r="FR119" i="2"/>
  <c r="HG119" i="2"/>
  <c r="HI119" i="2"/>
  <c r="FQ119" i="2"/>
  <c r="EW119" i="2"/>
  <c r="EV119" i="2"/>
  <c r="EC119" i="2"/>
  <c r="FS119" i="2"/>
  <c r="EA119" i="2"/>
  <c r="EB119" i="2"/>
  <c r="GN119" i="2"/>
  <c r="HH119" i="2"/>
  <c r="DF119" i="2"/>
  <c r="DG119" i="2"/>
  <c r="DH119" i="2"/>
  <c r="GM119" i="2"/>
  <c r="GL119" i="2"/>
  <c r="CM119" i="2"/>
  <c r="AV119" i="2"/>
  <c r="AW119" i="2"/>
  <c r="AU119" i="2"/>
  <c r="BR119" i="2"/>
  <c r="BP119" i="2"/>
  <c r="BQ119" i="2"/>
  <c r="CL119" i="2"/>
  <c r="CK119" i="2"/>
  <c r="GQ120" i="2"/>
  <c r="GP120" i="2"/>
  <c r="FU120" i="2"/>
  <c r="FV120" i="2"/>
  <c r="EZ120" i="2"/>
  <c r="FA120" i="2"/>
  <c r="EF120" i="2"/>
  <c r="DJ120" i="2"/>
  <c r="EE120" i="2"/>
  <c r="CP120" i="2"/>
  <c r="CO120" i="2"/>
  <c r="DK120" i="2"/>
  <c r="AZ120" i="2"/>
  <c r="BU120" i="2"/>
  <c r="BT120" i="2"/>
  <c r="AY120" i="2"/>
  <c r="AE120" i="2"/>
  <c r="AD120" i="2"/>
  <c r="K120" i="2"/>
  <c r="J120" i="2"/>
  <c r="I120" i="2"/>
  <c r="H158" i="2"/>
  <c r="D159" i="2"/>
  <c r="G159" i="2" s="1"/>
  <c r="L120" i="2"/>
  <c r="EY118" i="2"/>
  <c r="ED118" i="2"/>
  <c r="HD120" i="2"/>
  <c r="FO120" i="2"/>
  <c r="GJ120" i="2"/>
  <c r="GI120" i="2"/>
  <c r="HE120" i="2"/>
  <c r="ES120" i="2"/>
  <c r="DX120" i="2"/>
  <c r="FN120" i="2"/>
  <c r="ET120" i="2"/>
  <c r="CI120" i="2"/>
  <c r="BM120" i="2"/>
  <c r="DC120" i="2"/>
  <c r="DY120" i="2"/>
  <c r="AR120" i="2"/>
  <c r="BN120" i="2"/>
  <c r="DD120" i="2"/>
  <c r="CH120" i="2"/>
  <c r="X120" i="2"/>
  <c r="W120" i="2"/>
  <c r="AS120" i="2"/>
  <c r="HC120" i="2"/>
  <c r="HF120" i="2"/>
  <c r="GR120" i="2"/>
  <c r="GK120" i="2"/>
  <c r="HB120" i="2"/>
  <c r="GS120" i="2"/>
  <c r="FP120" i="2"/>
  <c r="GG120" i="2"/>
  <c r="FX120" i="2"/>
  <c r="GH120" i="2"/>
  <c r="FL120" i="2"/>
  <c r="FC120" i="2"/>
  <c r="FB120" i="2"/>
  <c r="ER120" i="2"/>
  <c r="DV120" i="2"/>
  <c r="DM120" i="2"/>
  <c r="DA120" i="2"/>
  <c r="FM120" i="2"/>
  <c r="EU120" i="2"/>
  <c r="EG120" i="2"/>
  <c r="DW120" i="2"/>
  <c r="DB120" i="2"/>
  <c r="DZ120" i="2"/>
  <c r="DL120" i="2"/>
  <c r="DE120" i="2"/>
  <c r="FW120" i="2"/>
  <c r="EQ120" i="2"/>
  <c r="EH120" i="2"/>
  <c r="CJ120" i="2"/>
  <c r="BK120" i="2"/>
  <c r="CR120" i="2"/>
  <c r="BW120" i="2"/>
  <c r="BL120" i="2"/>
  <c r="CQ120" i="2"/>
  <c r="CF120" i="2"/>
  <c r="BB120" i="2"/>
  <c r="CG120" i="2"/>
  <c r="BV120" i="2"/>
  <c r="BO120" i="2"/>
  <c r="BA120" i="2"/>
  <c r="AT120" i="2"/>
  <c r="HJ118" i="2"/>
  <c r="DI118" i="2"/>
  <c r="CN118" i="2"/>
  <c r="FT118" i="2"/>
  <c r="GO118" i="2"/>
  <c r="AA119" i="2"/>
  <c r="AQ120" i="2"/>
  <c r="AG120" i="2"/>
  <c r="AP120" i="2"/>
  <c r="AF120" i="2"/>
  <c r="A121" i="2"/>
  <c r="Y120" i="2"/>
  <c r="U120" i="2"/>
  <c r="V120" i="2"/>
  <c r="AB119" i="2"/>
  <c r="AX116" i="2"/>
  <c r="Z119" i="2"/>
  <c r="AC118" i="2"/>
  <c r="EX120" i="2" l="1"/>
  <c r="FQ120" i="2"/>
  <c r="FR120" i="2"/>
  <c r="HI120" i="2"/>
  <c r="HH120" i="2"/>
  <c r="EC120" i="2"/>
  <c r="EA120" i="2"/>
  <c r="FS120" i="2"/>
  <c r="EB120" i="2"/>
  <c r="EW120" i="2"/>
  <c r="AU120" i="2"/>
  <c r="GN120" i="2"/>
  <c r="HG120" i="2"/>
  <c r="DG120" i="2"/>
  <c r="DF120" i="2"/>
  <c r="DH120" i="2"/>
  <c r="GL120" i="2"/>
  <c r="GM120" i="2"/>
  <c r="EV120" i="2"/>
  <c r="CM120" i="2"/>
  <c r="AV120" i="2"/>
  <c r="AW120" i="2"/>
  <c r="BP120" i="2"/>
  <c r="BQ120" i="2"/>
  <c r="BR120" i="2"/>
  <c r="CL120" i="2"/>
  <c r="CK120" i="2"/>
  <c r="GQ121" i="2"/>
  <c r="GP121" i="2"/>
  <c r="FU121" i="2"/>
  <c r="FV121" i="2"/>
  <c r="FA121" i="2"/>
  <c r="EF121" i="2"/>
  <c r="EZ121" i="2"/>
  <c r="DJ121" i="2"/>
  <c r="DK121" i="2"/>
  <c r="CO121" i="2"/>
  <c r="EE121" i="2"/>
  <c r="CP121" i="2"/>
  <c r="BU121" i="2"/>
  <c r="BT121" i="2"/>
  <c r="AY121" i="2"/>
  <c r="AE121" i="2"/>
  <c r="AD121" i="2"/>
  <c r="AZ121" i="2"/>
  <c r="J121" i="2"/>
  <c r="K121" i="2"/>
  <c r="I121" i="2"/>
  <c r="H159" i="2"/>
  <c r="D160" i="2"/>
  <c r="G160" i="2" s="1"/>
  <c r="L121" i="2"/>
  <c r="DI119" i="2"/>
  <c r="HJ119" i="2"/>
  <c r="GO119" i="2"/>
  <c r="CN119" i="2"/>
  <c r="ED119" i="2"/>
  <c r="HE121" i="2"/>
  <c r="GJ121" i="2"/>
  <c r="FO121" i="2"/>
  <c r="HD121" i="2"/>
  <c r="FN121" i="2"/>
  <c r="GI121" i="2"/>
  <c r="ES121" i="2"/>
  <c r="DX121" i="2"/>
  <c r="CH121" i="2"/>
  <c r="AS121" i="2"/>
  <c r="CI121" i="2"/>
  <c r="BM121" i="2"/>
  <c r="X121" i="2"/>
  <c r="ET121" i="2"/>
  <c r="DY121" i="2"/>
  <c r="AR121" i="2"/>
  <c r="DD121" i="2"/>
  <c r="DC121" i="2"/>
  <c r="BN121" i="2"/>
  <c r="W121" i="2"/>
  <c r="HF121" i="2"/>
  <c r="GR121" i="2"/>
  <c r="GK121" i="2"/>
  <c r="FW121" i="2"/>
  <c r="FM121" i="2"/>
  <c r="HC121" i="2"/>
  <c r="FP121" i="2"/>
  <c r="GG121" i="2"/>
  <c r="FX121" i="2"/>
  <c r="HB121" i="2"/>
  <c r="GS121" i="2"/>
  <c r="GH121" i="2"/>
  <c r="FL121" i="2"/>
  <c r="FC121" i="2"/>
  <c r="EQ121" i="2"/>
  <c r="EH121" i="2"/>
  <c r="CJ121" i="2"/>
  <c r="FB121" i="2"/>
  <c r="ER121" i="2"/>
  <c r="DV121" i="2"/>
  <c r="DM121" i="2"/>
  <c r="DA121" i="2"/>
  <c r="EU121" i="2"/>
  <c r="EG121" i="2"/>
  <c r="DW121" i="2"/>
  <c r="DB121" i="2"/>
  <c r="DZ121" i="2"/>
  <c r="CR121" i="2"/>
  <c r="DE121" i="2"/>
  <c r="DL121" i="2"/>
  <c r="CG121" i="2"/>
  <c r="BV121" i="2"/>
  <c r="BO121" i="2"/>
  <c r="BK121" i="2"/>
  <c r="BW121" i="2"/>
  <c r="BL121" i="2"/>
  <c r="CQ121" i="2"/>
  <c r="CF121" i="2"/>
  <c r="BB121" i="2"/>
  <c r="BA121" i="2"/>
  <c r="AT121" i="2"/>
  <c r="FT119" i="2"/>
  <c r="EY119" i="2"/>
  <c r="AA120" i="2"/>
  <c r="AB120" i="2"/>
  <c r="AP121" i="2"/>
  <c r="AF121" i="2"/>
  <c r="AQ121" i="2"/>
  <c r="AG121" i="2"/>
  <c r="V121" i="2"/>
  <c r="Y121" i="2"/>
  <c r="U121" i="2"/>
  <c r="A122" i="2"/>
  <c r="AX117" i="2"/>
  <c r="Z120" i="2"/>
  <c r="AC119" i="2"/>
  <c r="HI121" i="2" l="1"/>
  <c r="EA121" i="2"/>
  <c r="EB121" i="2"/>
  <c r="FR121" i="2"/>
  <c r="AW121" i="2"/>
  <c r="EW121" i="2"/>
  <c r="EC121" i="2"/>
  <c r="FQ121" i="2"/>
  <c r="EX121" i="2"/>
  <c r="FS121" i="2"/>
  <c r="EV121" i="2"/>
  <c r="GN121" i="2"/>
  <c r="HH121" i="2"/>
  <c r="HG121" i="2"/>
  <c r="DF121" i="2"/>
  <c r="DG121" i="2"/>
  <c r="DH121" i="2"/>
  <c r="GL121" i="2"/>
  <c r="GM121" i="2"/>
  <c r="CM121" i="2"/>
  <c r="AV121" i="2"/>
  <c r="AU121" i="2"/>
  <c r="BR121" i="2"/>
  <c r="BP121" i="2"/>
  <c r="BQ121" i="2"/>
  <c r="CL121" i="2"/>
  <c r="CK121" i="2"/>
  <c r="GQ122" i="2"/>
  <c r="GP122" i="2"/>
  <c r="FV122" i="2"/>
  <c r="FU122" i="2"/>
  <c r="FA122" i="2"/>
  <c r="EF122" i="2"/>
  <c r="EZ122" i="2"/>
  <c r="EE122" i="2"/>
  <c r="CP122" i="2"/>
  <c r="CO122" i="2"/>
  <c r="DK122" i="2"/>
  <c r="AZ122" i="2"/>
  <c r="DJ122" i="2"/>
  <c r="BU122" i="2"/>
  <c r="BT122" i="2"/>
  <c r="AY122" i="2"/>
  <c r="AD122" i="2"/>
  <c r="AE122" i="2"/>
  <c r="J122" i="2"/>
  <c r="I122" i="2"/>
  <c r="K122" i="2"/>
  <c r="H160" i="2"/>
  <c r="D161" i="2"/>
  <c r="G161" i="2" s="1"/>
  <c r="L122" i="2"/>
  <c r="HD122" i="2"/>
  <c r="HE122" i="2"/>
  <c r="GI122" i="2"/>
  <c r="GJ122" i="2"/>
  <c r="ET122" i="2"/>
  <c r="FN122" i="2"/>
  <c r="FO122" i="2"/>
  <c r="DY122" i="2"/>
  <c r="DD122" i="2"/>
  <c r="BN122" i="2"/>
  <c r="ES122" i="2"/>
  <c r="DX122" i="2"/>
  <c r="CH122" i="2"/>
  <c r="AS122" i="2"/>
  <c r="DC122" i="2"/>
  <c r="W122" i="2"/>
  <c r="X122" i="2"/>
  <c r="CI122" i="2"/>
  <c r="BM122" i="2"/>
  <c r="AR122" i="2"/>
  <c r="HC122" i="2"/>
  <c r="HF122" i="2"/>
  <c r="HB122" i="2"/>
  <c r="GS122" i="2"/>
  <c r="GR122" i="2"/>
  <c r="GH122" i="2"/>
  <c r="FL122" i="2"/>
  <c r="FC122" i="2"/>
  <c r="GK122" i="2"/>
  <c r="FW122" i="2"/>
  <c r="FM122" i="2"/>
  <c r="FP122" i="2"/>
  <c r="DZ122" i="2"/>
  <c r="DL122" i="2"/>
  <c r="DE122" i="2"/>
  <c r="EQ122" i="2"/>
  <c r="EH122" i="2"/>
  <c r="CJ122" i="2"/>
  <c r="CR122" i="2"/>
  <c r="FX122" i="2"/>
  <c r="FB122" i="2"/>
  <c r="ER122" i="2"/>
  <c r="DV122" i="2"/>
  <c r="DM122" i="2"/>
  <c r="DA122" i="2"/>
  <c r="GG122" i="2"/>
  <c r="DW122" i="2"/>
  <c r="EG122" i="2"/>
  <c r="DB122" i="2"/>
  <c r="EU122" i="2"/>
  <c r="CQ122" i="2"/>
  <c r="CF122" i="2"/>
  <c r="BB122" i="2"/>
  <c r="CG122" i="2"/>
  <c r="BV122" i="2"/>
  <c r="BO122" i="2"/>
  <c r="BK122" i="2"/>
  <c r="BW122" i="2"/>
  <c r="BL122" i="2"/>
  <c r="BA122" i="2"/>
  <c r="AT122" i="2"/>
  <c r="EY120" i="2"/>
  <c r="HJ120" i="2"/>
  <c r="CN120" i="2"/>
  <c r="DI120" i="2"/>
  <c r="FT120" i="2"/>
  <c r="ED120" i="2"/>
  <c r="GO120" i="2"/>
  <c r="AB121" i="2"/>
  <c r="AA121" i="2"/>
  <c r="AP122" i="2"/>
  <c r="AF122" i="2"/>
  <c r="AQ122" i="2"/>
  <c r="AG122" i="2"/>
  <c r="U122" i="2"/>
  <c r="V122" i="2"/>
  <c r="A123" i="2"/>
  <c r="Y122" i="2"/>
  <c r="AX118" i="2"/>
  <c r="Z121" i="2"/>
  <c r="AC120" i="2"/>
  <c r="EC122" i="2" l="1"/>
  <c r="HH122" i="2"/>
  <c r="FS122" i="2"/>
  <c r="HI122" i="2"/>
  <c r="EW122" i="2"/>
  <c r="AU122" i="2"/>
  <c r="EX122" i="2"/>
  <c r="EV122" i="2"/>
  <c r="GN122" i="2"/>
  <c r="HG122" i="2"/>
  <c r="DG122" i="2"/>
  <c r="DF122" i="2"/>
  <c r="DH122" i="2"/>
  <c r="FR122" i="2"/>
  <c r="FQ122" i="2"/>
  <c r="GM122" i="2"/>
  <c r="GL122" i="2"/>
  <c r="EA122" i="2"/>
  <c r="EB122" i="2"/>
  <c r="CM122" i="2"/>
  <c r="BR122" i="2"/>
  <c r="AV122" i="2"/>
  <c r="AW122" i="2"/>
  <c r="BP122" i="2"/>
  <c r="BQ122" i="2"/>
  <c r="CK122" i="2"/>
  <c r="CL122" i="2"/>
  <c r="GQ123" i="2"/>
  <c r="GP123" i="2"/>
  <c r="FU123" i="2"/>
  <c r="FA123" i="2"/>
  <c r="EZ123" i="2"/>
  <c r="FV123" i="2"/>
  <c r="EF123" i="2"/>
  <c r="EE123" i="2"/>
  <c r="DK123" i="2"/>
  <c r="DJ123" i="2"/>
  <c r="CO123" i="2"/>
  <c r="CP123" i="2"/>
  <c r="AZ123" i="2"/>
  <c r="AY123" i="2"/>
  <c r="AE123" i="2"/>
  <c r="BU123" i="2"/>
  <c r="BT123" i="2"/>
  <c r="AD123" i="2"/>
  <c r="K123" i="2"/>
  <c r="J123" i="2"/>
  <c r="I123" i="2"/>
  <c r="H161" i="2"/>
  <c r="D162" i="2"/>
  <c r="G162" i="2" s="1"/>
  <c r="L123" i="2"/>
  <c r="HD123" i="2"/>
  <c r="HE123" i="2"/>
  <c r="GI123" i="2"/>
  <c r="FO123" i="2"/>
  <c r="ES123" i="2"/>
  <c r="GJ123" i="2"/>
  <c r="ET123" i="2"/>
  <c r="DY123" i="2"/>
  <c r="FN123" i="2"/>
  <c r="DC123" i="2"/>
  <c r="DD123" i="2"/>
  <c r="BN123" i="2"/>
  <c r="CI123" i="2"/>
  <c r="BM123" i="2"/>
  <c r="W123" i="2"/>
  <c r="DX123" i="2"/>
  <c r="X123" i="2"/>
  <c r="AR123" i="2"/>
  <c r="CH123" i="2"/>
  <c r="AS123" i="2"/>
  <c r="HC123" i="2"/>
  <c r="HF123" i="2"/>
  <c r="GK123" i="2"/>
  <c r="HB123" i="2"/>
  <c r="GS123" i="2"/>
  <c r="GG123" i="2"/>
  <c r="FX123" i="2"/>
  <c r="GH123" i="2"/>
  <c r="FL123" i="2"/>
  <c r="FC123" i="2"/>
  <c r="GR123" i="2"/>
  <c r="FW123" i="2"/>
  <c r="FM123" i="2"/>
  <c r="EU123" i="2"/>
  <c r="EG123" i="2"/>
  <c r="DW123" i="2"/>
  <c r="DB123" i="2"/>
  <c r="DZ123" i="2"/>
  <c r="DL123" i="2"/>
  <c r="DE123" i="2"/>
  <c r="EQ123" i="2"/>
  <c r="EH123" i="2"/>
  <c r="CJ123" i="2"/>
  <c r="CR123" i="2"/>
  <c r="FP123" i="2"/>
  <c r="ER123" i="2"/>
  <c r="DM123" i="2"/>
  <c r="DV123" i="2"/>
  <c r="FB123" i="2"/>
  <c r="DA123" i="2"/>
  <c r="BW123" i="2"/>
  <c r="BL123" i="2"/>
  <c r="CQ123" i="2"/>
  <c r="CF123" i="2"/>
  <c r="BB123" i="2"/>
  <c r="CG123" i="2"/>
  <c r="BV123" i="2"/>
  <c r="BO123" i="2"/>
  <c r="BK123" i="2"/>
  <c r="BA123" i="2"/>
  <c r="AT123" i="2"/>
  <c r="FT121" i="2"/>
  <c r="HJ121" i="2"/>
  <c r="ED121" i="2"/>
  <c r="GO121" i="2"/>
  <c r="DI121" i="2"/>
  <c r="CN121" i="2"/>
  <c r="EY121" i="2"/>
  <c r="AB122" i="2"/>
  <c r="AP123" i="2"/>
  <c r="AQ123" i="2"/>
  <c r="AF123" i="2"/>
  <c r="AG123" i="2"/>
  <c r="U123" i="2"/>
  <c r="A124" i="2"/>
  <c r="Y123" i="2"/>
  <c r="V123" i="2"/>
  <c r="AA122" i="2"/>
  <c r="AX119" i="2"/>
  <c r="Z122" i="2"/>
  <c r="AC121" i="2"/>
  <c r="HH123" i="2" l="1"/>
  <c r="FS123" i="2"/>
  <c r="HI123" i="2"/>
  <c r="EC123" i="2"/>
  <c r="EB123" i="2"/>
  <c r="EA123" i="2"/>
  <c r="EX123" i="2"/>
  <c r="EV123" i="2"/>
  <c r="GN123" i="2"/>
  <c r="HG123" i="2"/>
  <c r="DF123" i="2"/>
  <c r="DG123" i="2"/>
  <c r="DH123" i="2"/>
  <c r="FQ123" i="2"/>
  <c r="FR123" i="2"/>
  <c r="GL123" i="2"/>
  <c r="GM123" i="2"/>
  <c r="EW123" i="2"/>
  <c r="CM123" i="2"/>
  <c r="BR123" i="2"/>
  <c r="AV123" i="2"/>
  <c r="AW123" i="2"/>
  <c r="AU123" i="2"/>
  <c r="BQ123" i="2"/>
  <c r="BP123" i="2"/>
  <c r="CL123" i="2"/>
  <c r="CK123" i="2"/>
  <c r="GQ124" i="2"/>
  <c r="GP124" i="2"/>
  <c r="FU124" i="2"/>
  <c r="FA124" i="2"/>
  <c r="EZ124" i="2"/>
  <c r="FV124" i="2"/>
  <c r="EF124" i="2"/>
  <c r="EE124" i="2"/>
  <c r="DK124" i="2"/>
  <c r="DJ124" i="2"/>
  <c r="CP124" i="2"/>
  <c r="CO124" i="2"/>
  <c r="AZ124" i="2"/>
  <c r="BU124" i="2"/>
  <c r="BT124" i="2"/>
  <c r="AY124" i="2"/>
  <c r="AE124" i="2"/>
  <c r="AD124" i="2"/>
  <c r="K124" i="2"/>
  <c r="J124" i="2"/>
  <c r="I124" i="2"/>
  <c r="H162" i="2"/>
  <c r="D163" i="2"/>
  <c r="G163" i="2" s="1"/>
  <c r="L124" i="2"/>
  <c r="EY122" i="2"/>
  <c r="ED122" i="2"/>
  <c r="FT122" i="2"/>
  <c r="HD124" i="2"/>
  <c r="HE124" i="2"/>
  <c r="FO124" i="2"/>
  <c r="GI124" i="2"/>
  <c r="ES124" i="2"/>
  <c r="GJ124" i="2"/>
  <c r="DX124" i="2"/>
  <c r="CI124" i="2"/>
  <c r="BM124" i="2"/>
  <c r="FN124" i="2"/>
  <c r="DY124" i="2"/>
  <c r="DC124" i="2"/>
  <c r="DD124" i="2"/>
  <c r="CH124" i="2"/>
  <c r="BN124" i="2"/>
  <c r="AS124" i="2"/>
  <c r="AR124" i="2"/>
  <c r="ET124" i="2"/>
  <c r="W124" i="2"/>
  <c r="X124" i="2"/>
  <c r="HC124" i="2"/>
  <c r="GR124" i="2"/>
  <c r="HF124" i="2"/>
  <c r="GK124" i="2"/>
  <c r="HB124" i="2"/>
  <c r="GS124" i="2"/>
  <c r="FP124" i="2"/>
  <c r="GG124" i="2"/>
  <c r="FX124" i="2"/>
  <c r="GH124" i="2"/>
  <c r="FL124" i="2"/>
  <c r="FC124" i="2"/>
  <c r="FW124" i="2"/>
  <c r="FB124" i="2"/>
  <c r="ER124" i="2"/>
  <c r="DV124" i="2"/>
  <c r="DM124" i="2"/>
  <c r="DA124" i="2"/>
  <c r="EU124" i="2"/>
  <c r="EG124" i="2"/>
  <c r="DW124" i="2"/>
  <c r="DB124" i="2"/>
  <c r="FM124" i="2"/>
  <c r="DZ124" i="2"/>
  <c r="DL124" i="2"/>
  <c r="DE124" i="2"/>
  <c r="CR124" i="2"/>
  <c r="EQ124" i="2"/>
  <c r="EH124" i="2"/>
  <c r="BK124" i="2"/>
  <c r="BW124" i="2"/>
  <c r="BL124" i="2"/>
  <c r="CQ124" i="2"/>
  <c r="CF124" i="2"/>
  <c r="BB124" i="2"/>
  <c r="CJ124" i="2"/>
  <c r="CG124" i="2"/>
  <c r="BV124" i="2"/>
  <c r="BO124" i="2"/>
  <c r="BA124" i="2"/>
  <c r="AT124" i="2"/>
  <c r="DI122" i="2"/>
  <c r="HJ122" i="2"/>
  <c r="CN122" i="2"/>
  <c r="GO122" i="2"/>
  <c r="AA123" i="2"/>
  <c r="AB123" i="2"/>
  <c r="AP124" i="2"/>
  <c r="AQ124" i="2"/>
  <c r="AF124" i="2"/>
  <c r="AG124" i="2"/>
  <c r="Y124" i="2"/>
  <c r="U124" i="2"/>
  <c r="V124" i="2"/>
  <c r="A125" i="2"/>
  <c r="AX120" i="2"/>
  <c r="Z123" i="2"/>
  <c r="AC122" i="2"/>
  <c r="FS124" i="2" l="1"/>
  <c r="EW124" i="2"/>
  <c r="HH124" i="2"/>
  <c r="EX124" i="2"/>
  <c r="HG124" i="2"/>
  <c r="EC124" i="2"/>
  <c r="HI124" i="2"/>
  <c r="EB124" i="2"/>
  <c r="GN124" i="2"/>
  <c r="DF124" i="2"/>
  <c r="DG124" i="2"/>
  <c r="DH124" i="2"/>
  <c r="FR124" i="2"/>
  <c r="FQ124" i="2"/>
  <c r="GM124" i="2"/>
  <c r="GL124" i="2"/>
  <c r="EV124" i="2"/>
  <c r="EA124" i="2"/>
  <c r="CM124" i="2"/>
  <c r="AV124" i="2"/>
  <c r="AU124" i="2"/>
  <c r="AW124" i="2"/>
  <c r="BP124" i="2"/>
  <c r="BQ124" i="2"/>
  <c r="BR124" i="2"/>
  <c r="CL124" i="2"/>
  <c r="CK124" i="2"/>
  <c r="GQ125" i="2"/>
  <c r="GP125" i="2"/>
  <c r="FU125" i="2"/>
  <c r="FA125" i="2"/>
  <c r="EZ125" i="2"/>
  <c r="FV125" i="2"/>
  <c r="EF125" i="2"/>
  <c r="EE125" i="2"/>
  <c r="DK125" i="2"/>
  <c r="DJ125" i="2"/>
  <c r="BU125" i="2"/>
  <c r="BT125" i="2"/>
  <c r="CO125" i="2"/>
  <c r="CP125" i="2"/>
  <c r="AZ125" i="2"/>
  <c r="AY125" i="2"/>
  <c r="AE125" i="2"/>
  <c r="J125" i="2"/>
  <c r="AD125" i="2"/>
  <c r="K125" i="2"/>
  <c r="I125" i="2"/>
  <c r="H163" i="2"/>
  <c r="D164" i="2"/>
  <c r="G164" i="2" s="1"/>
  <c r="L125" i="2"/>
  <c r="EY123" i="2"/>
  <c r="CN123" i="2"/>
  <c r="DI123" i="2"/>
  <c r="ED123" i="2"/>
  <c r="GO123" i="2"/>
  <c r="HJ123" i="2"/>
  <c r="FT123" i="2"/>
  <c r="HE125" i="2"/>
  <c r="GJ125" i="2"/>
  <c r="HD125" i="2"/>
  <c r="GI125" i="2"/>
  <c r="FO125" i="2"/>
  <c r="FN125" i="2"/>
  <c r="ET125" i="2"/>
  <c r="ES125" i="2"/>
  <c r="CH125" i="2"/>
  <c r="AS125" i="2"/>
  <c r="CI125" i="2"/>
  <c r="BM125" i="2"/>
  <c r="DX125" i="2"/>
  <c r="X125" i="2"/>
  <c r="DD125" i="2"/>
  <c r="DC125" i="2"/>
  <c r="BN125" i="2"/>
  <c r="AR125" i="2"/>
  <c r="DY125" i="2"/>
  <c r="W125" i="2"/>
  <c r="HF125" i="2"/>
  <c r="HC125" i="2"/>
  <c r="GR125" i="2"/>
  <c r="GK125" i="2"/>
  <c r="HB125" i="2"/>
  <c r="GS125" i="2"/>
  <c r="FW125" i="2"/>
  <c r="FM125" i="2"/>
  <c r="FP125" i="2"/>
  <c r="GG125" i="2"/>
  <c r="FX125" i="2"/>
  <c r="EQ125" i="2"/>
  <c r="EH125" i="2"/>
  <c r="CJ125" i="2"/>
  <c r="GH125" i="2"/>
  <c r="FL125" i="2"/>
  <c r="FC125" i="2"/>
  <c r="FB125" i="2"/>
  <c r="ER125" i="2"/>
  <c r="DV125" i="2"/>
  <c r="DM125" i="2"/>
  <c r="DA125" i="2"/>
  <c r="EU125" i="2"/>
  <c r="EG125" i="2"/>
  <c r="DW125" i="2"/>
  <c r="DB125" i="2"/>
  <c r="DZ125" i="2"/>
  <c r="DE125" i="2"/>
  <c r="CR125" i="2"/>
  <c r="DL125" i="2"/>
  <c r="CG125" i="2"/>
  <c r="BV125" i="2"/>
  <c r="BO125" i="2"/>
  <c r="BK125" i="2"/>
  <c r="BW125" i="2"/>
  <c r="BL125" i="2"/>
  <c r="CQ125" i="2"/>
  <c r="CF125" i="2"/>
  <c r="BB125" i="2"/>
  <c r="BA125" i="2"/>
  <c r="AT125" i="2"/>
  <c r="AA124" i="2"/>
  <c r="AB124" i="2"/>
  <c r="AQ125" i="2"/>
  <c r="AG125" i="2"/>
  <c r="AP125" i="2"/>
  <c r="AF125" i="2"/>
  <c r="V125" i="2"/>
  <c r="A126" i="2"/>
  <c r="Y125" i="2"/>
  <c r="U125" i="2"/>
  <c r="AX121" i="2"/>
  <c r="Z124" i="2"/>
  <c r="AC123" i="2"/>
  <c r="EC125" i="2" l="1"/>
  <c r="HI125" i="2"/>
  <c r="FS125" i="2"/>
  <c r="EA125" i="2"/>
  <c r="EW125" i="2"/>
  <c r="EX125" i="2"/>
  <c r="GN125" i="2"/>
  <c r="HG125" i="2"/>
  <c r="HH125" i="2"/>
  <c r="DG125" i="2"/>
  <c r="DF125" i="2"/>
  <c r="DH125" i="2"/>
  <c r="FQ125" i="2"/>
  <c r="FR125" i="2"/>
  <c r="GM125" i="2"/>
  <c r="GL125" i="2"/>
  <c r="EV125" i="2"/>
  <c r="EB125" i="2"/>
  <c r="CM125" i="2"/>
  <c r="AV125" i="2"/>
  <c r="AW125" i="2"/>
  <c r="AU125" i="2"/>
  <c r="BR125" i="2"/>
  <c r="BP125" i="2"/>
  <c r="BQ125" i="2"/>
  <c r="CL125" i="2"/>
  <c r="CK125" i="2"/>
  <c r="GQ126" i="2"/>
  <c r="GP126" i="2"/>
  <c r="FU126" i="2"/>
  <c r="FV126" i="2"/>
  <c r="FA126" i="2"/>
  <c r="EZ126" i="2"/>
  <c r="EE126" i="2"/>
  <c r="CP126" i="2"/>
  <c r="CO126" i="2"/>
  <c r="DJ126" i="2"/>
  <c r="EF126" i="2"/>
  <c r="DK126" i="2"/>
  <c r="BU126" i="2"/>
  <c r="BT126" i="2"/>
  <c r="AZ126" i="2"/>
  <c r="AY126" i="2"/>
  <c r="AE126" i="2"/>
  <c r="AD126" i="2"/>
  <c r="J126" i="2"/>
  <c r="K126" i="2"/>
  <c r="I126" i="2"/>
  <c r="H164" i="2"/>
  <c r="D165" i="2"/>
  <c r="G165" i="2" s="1"/>
  <c r="L126" i="2"/>
  <c r="DI124" i="2"/>
  <c r="HD126" i="2"/>
  <c r="HE126" i="2"/>
  <c r="GI126" i="2"/>
  <c r="GJ126" i="2"/>
  <c r="ET126" i="2"/>
  <c r="FO126" i="2"/>
  <c r="FN126" i="2"/>
  <c r="ES126" i="2"/>
  <c r="DX126" i="2"/>
  <c r="DD126" i="2"/>
  <c r="BN126" i="2"/>
  <c r="CH126" i="2"/>
  <c r="AS126" i="2"/>
  <c r="W126" i="2"/>
  <c r="CI126" i="2"/>
  <c r="BM126" i="2"/>
  <c r="X126" i="2"/>
  <c r="DC126" i="2"/>
  <c r="DY126" i="2"/>
  <c r="AR126" i="2"/>
  <c r="HC126" i="2"/>
  <c r="HF126" i="2"/>
  <c r="HB126" i="2"/>
  <c r="GS126" i="2"/>
  <c r="GR126" i="2"/>
  <c r="GH126" i="2"/>
  <c r="FL126" i="2"/>
  <c r="FC126" i="2"/>
  <c r="FW126" i="2"/>
  <c r="FM126" i="2"/>
  <c r="GK126" i="2"/>
  <c r="FP126" i="2"/>
  <c r="GG126" i="2"/>
  <c r="DZ126" i="2"/>
  <c r="DL126" i="2"/>
  <c r="DE126" i="2"/>
  <c r="EQ126" i="2"/>
  <c r="EH126" i="2"/>
  <c r="CJ126" i="2"/>
  <c r="CR126" i="2"/>
  <c r="FB126" i="2"/>
  <c r="ER126" i="2"/>
  <c r="DV126" i="2"/>
  <c r="DM126" i="2"/>
  <c r="DA126" i="2"/>
  <c r="FX126" i="2"/>
  <c r="DW126" i="2"/>
  <c r="EG126" i="2"/>
  <c r="DB126" i="2"/>
  <c r="EU126" i="2"/>
  <c r="CQ126" i="2"/>
  <c r="CF126" i="2"/>
  <c r="BB126" i="2"/>
  <c r="CG126" i="2"/>
  <c r="BV126" i="2"/>
  <c r="BO126" i="2"/>
  <c r="BK126" i="2"/>
  <c r="BW126" i="2"/>
  <c r="BL126" i="2"/>
  <c r="BA126" i="2"/>
  <c r="AT126" i="2"/>
  <c r="EY124" i="2"/>
  <c r="FT124" i="2"/>
  <c r="ED124" i="2"/>
  <c r="CN124" i="2"/>
  <c r="HJ124" i="2"/>
  <c r="GO124" i="2"/>
  <c r="AA125" i="2"/>
  <c r="AP126" i="2"/>
  <c r="AF126" i="2"/>
  <c r="AQ126" i="2"/>
  <c r="AG126" i="2"/>
  <c r="V126" i="2"/>
  <c r="A127" i="2"/>
  <c r="Y126" i="2"/>
  <c r="U126" i="2"/>
  <c r="AB125" i="2"/>
  <c r="AX122" i="2"/>
  <c r="Z125" i="2"/>
  <c r="AC124" i="2"/>
  <c r="FS126" i="2" l="1"/>
  <c r="EA126" i="2"/>
  <c r="HG126" i="2"/>
  <c r="HI126" i="2"/>
  <c r="EX126" i="2"/>
  <c r="EC126" i="2"/>
  <c r="EW126" i="2"/>
  <c r="EB126" i="2"/>
  <c r="GN126" i="2"/>
  <c r="HH126" i="2"/>
  <c r="DF126" i="2"/>
  <c r="DG126" i="2"/>
  <c r="DH126" i="2"/>
  <c r="FQ126" i="2"/>
  <c r="FR126" i="2"/>
  <c r="GL126" i="2"/>
  <c r="GM126" i="2"/>
  <c r="EV126" i="2"/>
  <c r="CM126" i="2"/>
  <c r="BR126" i="2"/>
  <c r="AV126" i="2"/>
  <c r="AU126" i="2"/>
  <c r="AW126" i="2"/>
  <c r="BP126" i="2"/>
  <c r="BQ126" i="2"/>
  <c r="CK126" i="2"/>
  <c r="CL126" i="2"/>
  <c r="GQ127" i="2"/>
  <c r="GP127" i="2"/>
  <c r="FU127" i="2"/>
  <c r="FA127" i="2"/>
  <c r="EZ127" i="2"/>
  <c r="FV127" i="2"/>
  <c r="EF127" i="2"/>
  <c r="EE127" i="2"/>
  <c r="DK127" i="2"/>
  <c r="DJ127" i="2"/>
  <c r="CO127" i="2"/>
  <c r="CP127" i="2"/>
  <c r="BU127" i="2"/>
  <c r="AZ127" i="2"/>
  <c r="BT127" i="2"/>
  <c r="AY127" i="2"/>
  <c r="K127" i="2"/>
  <c r="AE127" i="2"/>
  <c r="AD127" i="2"/>
  <c r="J127" i="2"/>
  <c r="I127" i="2"/>
  <c r="H165" i="2"/>
  <c r="D166" i="2"/>
  <c r="G166" i="2" s="1"/>
  <c r="L127" i="2"/>
  <c r="HJ125" i="2"/>
  <c r="GO125" i="2"/>
  <c r="CN125" i="2"/>
  <c r="ED125" i="2"/>
  <c r="FT125" i="2"/>
  <c r="EY125" i="2"/>
  <c r="DI125" i="2"/>
  <c r="HD127" i="2"/>
  <c r="HE127" i="2"/>
  <c r="GI127" i="2"/>
  <c r="GJ127" i="2"/>
  <c r="ES127" i="2"/>
  <c r="ET127" i="2"/>
  <c r="FN127" i="2"/>
  <c r="DY127" i="2"/>
  <c r="DC127" i="2"/>
  <c r="DX127" i="2"/>
  <c r="DD127" i="2"/>
  <c r="BN127" i="2"/>
  <c r="FO127" i="2"/>
  <c r="CI127" i="2"/>
  <c r="CH127" i="2"/>
  <c r="AS127" i="2"/>
  <c r="W127" i="2"/>
  <c r="BM127" i="2"/>
  <c r="AR127" i="2"/>
  <c r="X127" i="2"/>
  <c r="HC127" i="2"/>
  <c r="HI127" i="2" s="1"/>
  <c r="HF127" i="2"/>
  <c r="GK127" i="2"/>
  <c r="HB127" i="2"/>
  <c r="GS127" i="2"/>
  <c r="GG127" i="2"/>
  <c r="FX127" i="2"/>
  <c r="GH127" i="2"/>
  <c r="FL127" i="2"/>
  <c r="FC127" i="2"/>
  <c r="FW127" i="2"/>
  <c r="FM127" i="2"/>
  <c r="FP127" i="2"/>
  <c r="EU127" i="2"/>
  <c r="EG127" i="2"/>
  <c r="DW127" i="2"/>
  <c r="DB127" i="2"/>
  <c r="DZ127" i="2"/>
  <c r="DL127" i="2"/>
  <c r="DE127" i="2"/>
  <c r="EQ127" i="2"/>
  <c r="EH127" i="2"/>
  <c r="CJ127" i="2"/>
  <c r="CR127" i="2"/>
  <c r="GR127" i="2"/>
  <c r="FB127" i="2"/>
  <c r="ER127" i="2"/>
  <c r="DM127" i="2"/>
  <c r="DV127" i="2"/>
  <c r="BW127" i="2"/>
  <c r="BL127" i="2"/>
  <c r="CQ127" i="2"/>
  <c r="CF127" i="2"/>
  <c r="BB127" i="2"/>
  <c r="DA127" i="2"/>
  <c r="CG127" i="2"/>
  <c r="BV127" i="2"/>
  <c r="BO127" i="2"/>
  <c r="BK127" i="2"/>
  <c r="BA127" i="2"/>
  <c r="AT127" i="2"/>
  <c r="AA126" i="2"/>
  <c r="AB126" i="2"/>
  <c r="AQ127" i="2"/>
  <c r="AP127" i="2"/>
  <c r="AF127" i="2"/>
  <c r="AG127" i="2"/>
  <c r="A128" i="2"/>
  <c r="Y127" i="2"/>
  <c r="U127" i="2"/>
  <c r="V127" i="2"/>
  <c r="AX123" i="2"/>
  <c r="Z126" i="2"/>
  <c r="AC125" i="2"/>
  <c r="FS127" i="2" l="1"/>
  <c r="EV127" i="2"/>
  <c r="EC127" i="2"/>
  <c r="EX127" i="2"/>
  <c r="EW127" i="2"/>
  <c r="GN127" i="2"/>
  <c r="HH127" i="2"/>
  <c r="HG127" i="2"/>
  <c r="DG127" i="2"/>
  <c r="DF127" i="2"/>
  <c r="DH127" i="2"/>
  <c r="FQ127" i="2"/>
  <c r="FR127" i="2"/>
  <c r="GM127" i="2"/>
  <c r="GL127" i="2"/>
  <c r="EA127" i="2"/>
  <c r="EB127" i="2"/>
  <c r="CM127" i="2"/>
  <c r="BR127" i="2"/>
  <c r="AV127" i="2"/>
  <c r="AW127" i="2"/>
  <c r="AU127" i="2"/>
  <c r="BQ127" i="2"/>
  <c r="BP127" i="2"/>
  <c r="CL127" i="2"/>
  <c r="CK127" i="2"/>
  <c r="GQ128" i="2"/>
  <c r="GP128" i="2"/>
  <c r="FU128" i="2"/>
  <c r="FV128" i="2"/>
  <c r="FA128" i="2"/>
  <c r="EZ128" i="2"/>
  <c r="EE128" i="2"/>
  <c r="DK128" i="2"/>
  <c r="CP128" i="2"/>
  <c r="CO128" i="2"/>
  <c r="DJ128" i="2"/>
  <c r="EF128" i="2"/>
  <c r="AZ128" i="2"/>
  <c r="BU128" i="2"/>
  <c r="BT128" i="2"/>
  <c r="AY128" i="2"/>
  <c r="AE128" i="2"/>
  <c r="AD128" i="2"/>
  <c r="J128" i="2"/>
  <c r="K128" i="2"/>
  <c r="I128" i="2"/>
  <c r="H166" i="2"/>
  <c r="D167" i="2"/>
  <c r="G167" i="2" s="1"/>
  <c r="L128" i="2"/>
  <c r="EY126" i="2"/>
  <c r="FT126" i="2"/>
  <c r="CN126" i="2"/>
  <c r="ED126" i="2"/>
  <c r="GO126" i="2"/>
  <c r="HD128" i="2"/>
  <c r="HE128" i="2"/>
  <c r="FO128" i="2"/>
  <c r="GJ128" i="2"/>
  <c r="GI128" i="2"/>
  <c r="ES128" i="2"/>
  <c r="DX128" i="2"/>
  <c r="FN128" i="2"/>
  <c r="ET128" i="2"/>
  <c r="DY128" i="2"/>
  <c r="CI128" i="2"/>
  <c r="BM128" i="2"/>
  <c r="DC128" i="2"/>
  <c r="AR128" i="2"/>
  <c r="CH128" i="2"/>
  <c r="DD128" i="2"/>
  <c r="BN128" i="2"/>
  <c r="AS128" i="2"/>
  <c r="X128" i="2"/>
  <c r="W128" i="2"/>
  <c r="HC128" i="2"/>
  <c r="GR128" i="2"/>
  <c r="GK128" i="2"/>
  <c r="HF128" i="2"/>
  <c r="HB128" i="2"/>
  <c r="GS128" i="2"/>
  <c r="FP128" i="2"/>
  <c r="GG128" i="2"/>
  <c r="FX128" i="2"/>
  <c r="GH128" i="2"/>
  <c r="FL128" i="2"/>
  <c r="FC128" i="2"/>
  <c r="FB128" i="2"/>
  <c r="ER128" i="2"/>
  <c r="DV128" i="2"/>
  <c r="DM128" i="2"/>
  <c r="DA128" i="2"/>
  <c r="FW128" i="2"/>
  <c r="EU128" i="2"/>
  <c r="EG128" i="2"/>
  <c r="DW128" i="2"/>
  <c r="DB128" i="2"/>
  <c r="DZ128" i="2"/>
  <c r="DL128" i="2"/>
  <c r="DE128" i="2"/>
  <c r="FM128" i="2"/>
  <c r="EQ128" i="2"/>
  <c r="EH128" i="2"/>
  <c r="CJ128" i="2"/>
  <c r="BK128" i="2"/>
  <c r="BW128" i="2"/>
  <c r="BL128" i="2"/>
  <c r="CR128" i="2"/>
  <c r="CQ128" i="2"/>
  <c r="CF128" i="2"/>
  <c r="BB128" i="2"/>
  <c r="CG128" i="2"/>
  <c r="BV128" i="2"/>
  <c r="BO128" i="2"/>
  <c r="BA128" i="2"/>
  <c r="AT128" i="2"/>
  <c r="DI126" i="2"/>
  <c r="HJ126" i="2"/>
  <c r="AA127" i="2"/>
  <c r="AB127" i="2"/>
  <c r="AQ128" i="2"/>
  <c r="AG128" i="2"/>
  <c r="AP128" i="2"/>
  <c r="AF128" i="2"/>
  <c r="U128" i="2"/>
  <c r="Y128" i="2"/>
  <c r="V128" i="2"/>
  <c r="A129" i="2"/>
  <c r="AX124" i="2"/>
  <c r="Z127" i="2"/>
  <c r="AC126" i="2"/>
  <c r="HG128" i="2" l="1"/>
  <c r="FS128" i="2"/>
  <c r="EX128" i="2"/>
  <c r="EB128" i="2"/>
  <c r="EV128" i="2"/>
  <c r="HI128" i="2"/>
  <c r="EC128" i="2"/>
  <c r="EA128" i="2"/>
  <c r="GN128" i="2"/>
  <c r="HH128" i="2"/>
  <c r="DG128" i="2"/>
  <c r="DF128" i="2"/>
  <c r="DH128" i="2"/>
  <c r="FR128" i="2"/>
  <c r="FQ128" i="2"/>
  <c r="GL128" i="2"/>
  <c r="GM128" i="2"/>
  <c r="EW128" i="2"/>
  <c r="BR128" i="2"/>
  <c r="CM128" i="2"/>
  <c r="AV128" i="2"/>
  <c r="AU128" i="2"/>
  <c r="AW128" i="2"/>
  <c r="BQ128" i="2"/>
  <c r="BP128" i="2"/>
  <c r="CK128" i="2"/>
  <c r="CL128" i="2"/>
  <c r="GQ129" i="2"/>
  <c r="GP129" i="2"/>
  <c r="FU129" i="2"/>
  <c r="FV129" i="2"/>
  <c r="EZ129" i="2"/>
  <c r="FA129" i="2"/>
  <c r="EF129" i="2"/>
  <c r="DK129" i="2"/>
  <c r="EE129" i="2"/>
  <c r="DJ129" i="2"/>
  <c r="CP129" i="2"/>
  <c r="CO129" i="2"/>
  <c r="BU129" i="2"/>
  <c r="BT129" i="2"/>
  <c r="AY129" i="2"/>
  <c r="AE129" i="2"/>
  <c r="AZ129" i="2"/>
  <c r="J129" i="2"/>
  <c r="AD129" i="2"/>
  <c r="K129" i="2"/>
  <c r="I129" i="2"/>
  <c r="H167" i="2"/>
  <c r="D168" i="2"/>
  <c r="G168" i="2" s="1"/>
  <c r="L129" i="2"/>
  <c r="DI127" i="2"/>
  <c r="GO127" i="2"/>
  <c r="CN127" i="2"/>
  <c r="EY127" i="2"/>
  <c r="ED127" i="2"/>
  <c r="FT127" i="2"/>
  <c r="HE129" i="2"/>
  <c r="HD129" i="2"/>
  <c r="GJ129" i="2"/>
  <c r="FO129" i="2"/>
  <c r="FN129" i="2"/>
  <c r="GI129" i="2"/>
  <c r="ET129" i="2"/>
  <c r="CH129" i="2"/>
  <c r="AS129" i="2"/>
  <c r="DY129" i="2"/>
  <c r="CI129" i="2"/>
  <c r="BM129" i="2"/>
  <c r="X129" i="2"/>
  <c r="ES129" i="2"/>
  <c r="DX129" i="2"/>
  <c r="AR129" i="2"/>
  <c r="DD129" i="2"/>
  <c r="DC129" i="2"/>
  <c r="W129" i="2"/>
  <c r="BN129" i="2"/>
  <c r="HF129" i="2"/>
  <c r="HC129" i="2"/>
  <c r="GR129" i="2"/>
  <c r="GK129" i="2"/>
  <c r="FW129" i="2"/>
  <c r="FM129" i="2"/>
  <c r="HB129" i="2"/>
  <c r="GS129" i="2"/>
  <c r="FP129" i="2"/>
  <c r="GG129" i="2"/>
  <c r="FX129" i="2"/>
  <c r="EQ129" i="2"/>
  <c r="EH129" i="2"/>
  <c r="CJ129" i="2"/>
  <c r="FB129" i="2"/>
  <c r="ER129" i="2"/>
  <c r="DV129" i="2"/>
  <c r="DM129" i="2"/>
  <c r="DA129" i="2"/>
  <c r="GH129" i="2"/>
  <c r="FL129" i="2"/>
  <c r="FC129" i="2"/>
  <c r="EU129" i="2"/>
  <c r="EG129" i="2"/>
  <c r="DW129" i="2"/>
  <c r="DB129" i="2"/>
  <c r="DL129" i="2"/>
  <c r="CR129" i="2"/>
  <c r="DZ129" i="2"/>
  <c r="CG129" i="2"/>
  <c r="BV129" i="2"/>
  <c r="BO129" i="2"/>
  <c r="DE129" i="2"/>
  <c r="BK129" i="2"/>
  <c r="BW129" i="2"/>
  <c r="BL129" i="2"/>
  <c r="CQ129" i="2"/>
  <c r="CF129" i="2"/>
  <c r="BB129" i="2"/>
  <c r="BA129" i="2"/>
  <c r="AT129" i="2"/>
  <c r="HJ127" i="2"/>
  <c r="AA128" i="2"/>
  <c r="AP129" i="2"/>
  <c r="AF129" i="2"/>
  <c r="AQ129" i="2"/>
  <c r="AG129" i="2"/>
  <c r="Y129" i="2"/>
  <c r="U129" i="2"/>
  <c r="V129" i="2"/>
  <c r="A130" i="2"/>
  <c r="AB128" i="2"/>
  <c r="AX125" i="2"/>
  <c r="Z128" i="2"/>
  <c r="AC127" i="2"/>
  <c r="HI129" i="2" l="1"/>
  <c r="EV129" i="2"/>
  <c r="EX129" i="2"/>
  <c r="EC129" i="2"/>
  <c r="FS129" i="2"/>
  <c r="DG129" i="2"/>
  <c r="EA129" i="2"/>
  <c r="EW129" i="2"/>
  <c r="GN129" i="2"/>
  <c r="HG129" i="2"/>
  <c r="HH129" i="2"/>
  <c r="DF129" i="2"/>
  <c r="DH129" i="2"/>
  <c r="FQ129" i="2"/>
  <c r="FR129" i="2"/>
  <c r="GM129" i="2"/>
  <c r="GL129" i="2"/>
  <c r="EB129" i="2"/>
  <c r="BR129" i="2"/>
  <c r="CM129" i="2"/>
  <c r="AV129" i="2"/>
  <c r="AW129" i="2"/>
  <c r="AU129" i="2"/>
  <c r="BQ129" i="2"/>
  <c r="BP129" i="2"/>
  <c r="CL129" i="2"/>
  <c r="CK129" i="2"/>
  <c r="GQ130" i="2"/>
  <c r="GP130" i="2"/>
  <c r="FU130" i="2"/>
  <c r="FV130" i="2"/>
  <c r="EZ130" i="2"/>
  <c r="EE130" i="2"/>
  <c r="FA130" i="2"/>
  <c r="EF130" i="2"/>
  <c r="CP130" i="2"/>
  <c r="CO130" i="2"/>
  <c r="AZ130" i="2"/>
  <c r="DK130" i="2"/>
  <c r="DJ130" i="2"/>
  <c r="BU130" i="2"/>
  <c r="BT130" i="2"/>
  <c r="AY130" i="2"/>
  <c r="AD130" i="2"/>
  <c r="AE130" i="2"/>
  <c r="J130" i="2"/>
  <c r="I130" i="2"/>
  <c r="K130" i="2"/>
  <c r="H168" i="2"/>
  <c r="D169" i="2"/>
  <c r="G169" i="2" s="1"/>
  <c r="L130" i="2"/>
  <c r="GO128" i="2"/>
  <c r="FT128" i="2"/>
  <c r="CN128" i="2"/>
  <c r="DI128" i="2"/>
  <c r="ED128" i="2"/>
  <c r="EY128" i="2"/>
  <c r="HD130" i="2"/>
  <c r="HE130" i="2"/>
  <c r="GI130" i="2"/>
  <c r="GJ130" i="2"/>
  <c r="ET130" i="2"/>
  <c r="FN130" i="2"/>
  <c r="DD130" i="2"/>
  <c r="BN130" i="2"/>
  <c r="CH130" i="2"/>
  <c r="AS130" i="2"/>
  <c r="DY130" i="2"/>
  <c r="DC130" i="2"/>
  <c r="W130" i="2"/>
  <c r="FO130" i="2"/>
  <c r="X130" i="2"/>
  <c r="ES130" i="2"/>
  <c r="DX130" i="2"/>
  <c r="CI130" i="2"/>
  <c r="AR130" i="2"/>
  <c r="BM130" i="2"/>
  <c r="HC130" i="2"/>
  <c r="HI130" i="2" s="1"/>
  <c r="HF130" i="2"/>
  <c r="HB130" i="2"/>
  <c r="GS130" i="2"/>
  <c r="GR130" i="2"/>
  <c r="GH130" i="2"/>
  <c r="FL130" i="2"/>
  <c r="FC130" i="2"/>
  <c r="FW130" i="2"/>
  <c r="FM130" i="2"/>
  <c r="FP130" i="2"/>
  <c r="FX130" i="2"/>
  <c r="DZ130" i="2"/>
  <c r="DL130" i="2"/>
  <c r="DE130" i="2"/>
  <c r="GK130" i="2"/>
  <c r="GG130" i="2"/>
  <c r="EQ130" i="2"/>
  <c r="EH130" i="2"/>
  <c r="CJ130" i="2"/>
  <c r="CR130" i="2"/>
  <c r="FB130" i="2"/>
  <c r="ER130" i="2"/>
  <c r="DV130" i="2"/>
  <c r="DM130" i="2"/>
  <c r="DA130" i="2"/>
  <c r="EU130" i="2"/>
  <c r="DW130" i="2"/>
  <c r="EG130" i="2"/>
  <c r="DB130" i="2"/>
  <c r="CQ130" i="2"/>
  <c r="CF130" i="2"/>
  <c r="CG130" i="2"/>
  <c r="BV130" i="2"/>
  <c r="BO130" i="2"/>
  <c r="BK130" i="2"/>
  <c r="BW130" i="2"/>
  <c r="BL130" i="2"/>
  <c r="BA130" i="2"/>
  <c r="AT130" i="2"/>
  <c r="BB130" i="2"/>
  <c r="HJ128" i="2"/>
  <c r="AA129" i="2"/>
  <c r="AB129" i="2"/>
  <c r="AF130" i="2"/>
  <c r="AP130" i="2"/>
  <c r="AQ130" i="2"/>
  <c r="AG130" i="2"/>
  <c r="A131" i="2"/>
  <c r="V130" i="2"/>
  <c r="Y130" i="2"/>
  <c r="U130" i="2"/>
  <c r="AX126" i="2"/>
  <c r="Z129" i="2"/>
  <c r="AC128" i="2"/>
  <c r="EB130" i="2" l="1"/>
  <c r="EX130" i="2"/>
  <c r="EW130" i="2"/>
  <c r="HG130" i="2"/>
  <c r="FS130" i="2"/>
  <c r="HH130" i="2"/>
  <c r="EA130" i="2"/>
  <c r="EC130" i="2"/>
  <c r="EV130" i="2"/>
  <c r="FQ130" i="2"/>
  <c r="GN130" i="2"/>
  <c r="DG130" i="2"/>
  <c r="DF130" i="2"/>
  <c r="DH130" i="2"/>
  <c r="FR130" i="2"/>
  <c r="GM130" i="2"/>
  <c r="GL130" i="2"/>
  <c r="CM130" i="2"/>
  <c r="BQ130" i="2"/>
  <c r="AV130" i="2"/>
  <c r="AU130" i="2"/>
  <c r="AW130" i="2"/>
  <c r="BR130" i="2"/>
  <c r="BP130" i="2"/>
  <c r="CL130" i="2"/>
  <c r="CK130" i="2"/>
  <c r="GQ131" i="2"/>
  <c r="GP131" i="2"/>
  <c r="FU131" i="2"/>
  <c r="FA131" i="2"/>
  <c r="EZ131" i="2"/>
  <c r="FV131" i="2"/>
  <c r="EF131" i="2"/>
  <c r="EE131" i="2"/>
  <c r="DK131" i="2"/>
  <c r="DJ131" i="2"/>
  <c r="CP131" i="2"/>
  <c r="CO131" i="2"/>
  <c r="AY131" i="2"/>
  <c r="AE131" i="2"/>
  <c r="BU131" i="2"/>
  <c r="AZ131" i="2"/>
  <c r="BT131" i="2"/>
  <c r="AD131" i="2"/>
  <c r="K131" i="2"/>
  <c r="J131" i="2"/>
  <c r="I131" i="2"/>
  <c r="H169" i="2"/>
  <c r="D170" i="2"/>
  <c r="G170" i="2" s="1"/>
  <c r="L131" i="2"/>
  <c r="ED129" i="2"/>
  <c r="DI129" i="2"/>
  <c r="HE131" i="2"/>
  <c r="HD131" i="2"/>
  <c r="GI131" i="2"/>
  <c r="FO131" i="2"/>
  <c r="ES131" i="2"/>
  <c r="ET131" i="2"/>
  <c r="DY131" i="2"/>
  <c r="GJ131" i="2"/>
  <c r="DX131" i="2"/>
  <c r="DC131" i="2"/>
  <c r="DD131" i="2"/>
  <c r="BN131" i="2"/>
  <c r="CI131" i="2"/>
  <c r="BM131" i="2"/>
  <c r="W131" i="2"/>
  <c r="FN131" i="2"/>
  <c r="CH131" i="2"/>
  <c r="AS131" i="2"/>
  <c r="X131" i="2"/>
  <c r="AR131" i="2"/>
  <c r="HC131" i="2"/>
  <c r="HI131" i="2" s="1"/>
  <c r="HF131" i="2"/>
  <c r="GK131" i="2"/>
  <c r="HB131" i="2"/>
  <c r="GS131" i="2"/>
  <c r="GR131" i="2"/>
  <c r="GG131" i="2"/>
  <c r="FX131" i="2"/>
  <c r="GH131" i="2"/>
  <c r="FL131" i="2"/>
  <c r="FC131" i="2"/>
  <c r="FW131" i="2"/>
  <c r="FM131" i="2"/>
  <c r="EU131" i="2"/>
  <c r="EG131" i="2"/>
  <c r="DW131" i="2"/>
  <c r="DB131" i="2"/>
  <c r="FP131" i="2"/>
  <c r="DZ131" i="2"/>
  <c r="DL131" i="2"/>
  <c r="DE131" i="2"/>
  <c r="EQ131" i="2"/>
  <c r="EH131" i="2"/>
  <c r="CJ131" i="2"/>
  <c r="CR131" i="2"/>
  <c r="DV131" i="2"/>
  <c r="FB131" i="2"/>
  <c r="DA131" i="2"/>
  <c r="ER131" i="2"/>
  <c r="DM131" i="2"/>
  <c r="BW131" i="2"/>
  <c r="BL131" i="2"/>
  <c r="CQ131" i="2"/>
  <c r="CF131" i="2"/>
  <c r="BB131" i="2"/>
  <c r="CG131" i="2"/>
  <c r="BV131" i="2"/>
  <c r="BO131" i="2"/>
  <c r="BK131" i="2"/>
  <c r="BA131" i="2"/>
  <c r="AT131" i="2"/>
  <c r="HJ129" i="2"/>
  <c r="GO129" i="2"/>
  <c r="FT129" i="2"/>
  <c r="EY129" i="2"/>
  <c r="CN129" i="2"/>
  <c r="AB130" i="2"/>
  <c r="AP131" i="2"/>
  <c r="AG131" i="2"/>
  <c r="AQ131" i="2"/>
  <c r="AF131" i="2"/>
  <c r="V131" i="2"/>
  <c r="U131" i="2"/>
  <c r="A132" i="2"/>
  <c r="Y131" i="2"/>
  <c r="AA130" i="2"/>
  <c r="AX127" i="2"/>
  <c r="Z130" i="2"/>
  <c r="AC129" i="2"/>
  <c r="EX131" i="2" l="1"/>
  <c r="EC131" i="2"/>
  <c r="FS131" i="2"/>
  <c r="FQ131" i="2"/>
  <c r="GN131" i="2"/>
  <c r="HG131" i="2"/>
  <c r="HH131" i="2"/>
  <c r="DG131" i="2"/>
  <c r="DF131" i="2"/>
  <c r="DH131" i="2"/>
  <c r="FR131" i="2"/>
  <c r="GM131" i="2"/>
  <c r="GL131" i="2"/>
  <c r="EW131" i="2"/>
  <c r="EV131" i="2"/>
  <c r="EA131" i="2"/>
  <c r="EB131" i="2"/>
  <c r="CM131" i="2"/>
  <c r="AV131" i="2"/>
  <c r="AW131" i="2"/>
  <c r="AU131" i="2"/>
  <c r="BR131" i="2"/>
  <c r="BP131" i="2"/>
  <c r="BQ131" i="2"/>
  <c r="CK131" i="2"/>
  <c r="CL131" i="2"/>
  <c r="GQ132" i="2"/>
  <c r="GP132" i="2"/>
  <c r="FU132" i="2"/>
  <c r="FA132" i="2"/>
  <c r="EZ132" i="2"/>
  <c r="EF132" i="2"/>
  <c r="EE132" i="2"/>
  <c r="FV132" i="2"/>
  <c r="DK132" i="2"/>
  <c r="DJ132" i="2"/>
  <c r="CP132" i="2"/>
  <c r="CO132" i="2"/>
  <c r="AZ132" i="2"/>
  <c r="BU132" i="2"/>
  <c r="BT132" i="2"/>
  <c r="AY132" i="2"/>
  <c r="AE132" i="2"/>
  <c r="AD132" i="2"/>
  <c r="K132" i="2"/>
  <c r="J132" i="2"/>
  <c r="I132" i="2"/>
  <c r="H170" i="2"/>
  <c r="D171" i="2"/>
  <c r="G171" i="2" s="1"/>
  <c r="L132" i="2"/>
  <c r="AA131" i="2"/>
  <c r="HD132" i="2"/>
  <c r="HE132" i="2"/>
  <c r="FO132" i="2"/>
  <c r="GJ132" i="2"/>
  <c r="ES132" i="2"/>
  <c r="DX132" i="2"/>
  <c r="GI132" i="2"/>
  <c r="CI132" i="2"/>
  <c r="BM132" i="2"/>
  <c r="ET132" i="2"/>
  <c r="DC132" i="2"/>
  <c r="DD132" i="2"/>
  <c r="CH132" i="2"/>
  <c r="BN132" i="2"/>
  <c r="AS132" i="2"/>
  <c r="AR132" i="2"/>
  <c r="DY132" i="2"/>
  <c r="FN132" i="2"/>
  <c r="X132" i="2"/>
  <c r="W132" i="2"/>
  <c r="HC132" i="2"/>
  <c r="GR132" i="2"/>
  <c r="GK132" i="2"/>
  <c r="HB132" i="2"/>
  <c r="GS132" i="2"/>
  <c r="FP132" i="2"/>
  <c r="GG132" i="2"/>
  <c r="FX132" i="2"/>
  <c r="GH132" i="2"/>
  <c r="FL132" i="2"/>
  <c r="FC132" i="2"/>
  <c r="FM132" i="2"/>
  <c r="FB132" i="2"/>
  <c r="ER132" i="2"/>
  <c r="DV132" i="2"/>
  <c r="DM132" i="2"/>
  <c r="DA132" i="2"/>
  <c r="HF132" i="2"/>
  <c r="EU132" i="2"/>
  <c r="EG132" i="2"/>
  <c r="DW132" i="2"/>
  <c r="DB132" i="2"/>
  <c r="FW132" i="2"/>
  <c r="DZ132" i="2"/>
  <c r="DL132" i="2"/>
  <c r="DE132" i="2"/>
  <c r="EQ132" i="2"/>
  <c r="EH132" i="2"/>
  <c r="CJ132" i="2"/>
  <c r="CR132" i="2"/>
  <c r="BK132" i="2"/>
  <c r="BW132" i="2"/>
  <c r="BL132" i="2"/>
  <c r="CQ132" i="2"/>
  <c r="CF132" i="2"/>
  <c r="BB132" i="2"/>
  <c r="CG132" i="2"/>
  <c r="BV132" i="2"/>
  <c r="BO132" i="2"/>
  <c r="AT132" i="2"/>
  <c r="BA132" i="2"/>
  <c r="EY130" i="2"/>
  <c r="DI130" i="2"/>
  <c r="ED130" i="2"/>
  <c r="CN130" i="2"/>
  <c r="FT130" i="2"/>
  <c r="GO130" i="2"/>
  <c r="HJ130" i="2"/>
  <c r="AB131" i="2"/>
  <c r="AG132" i="2"/>
  <c r="AQ132" i="2"/>
  <c r="AP132" i="2"/>
  <c r="AF132" i="2"/>
  <c r="A133" i="2"/>
  <c r="V132" i="2"/>
  <c r="Y132" i="2"/>
  <c r="U132" i="2"/>
  <c r="AX128" i="2"/>
  <c r="Z131" i="2"/>
  <c r="AC130" i="2"/>
  <c r="FS132" i="2" l="1"/>
  <c r="EC132" i="2"/>
  <c r="HG132" i="2"/>
  <c r="HI132" i="2"/>
  <c r="EA132" i="2"/>
  <c r="EX132" i="2"/>
  <c r="EB132" i="2"/>
  <c r="GN132" i="2"/>
  <c r="HH132" i="2"/>
  <c r="DG132" i="2"/>
  <c r="DF132" i="2"/>
  <c r="DH132" i="2"/>
  <c r="FR132" i="2"/>
  <c r="FQ132" i="2"/>
  <c r="GL132" i="2"/>
  <c r="GM132" i="2"/>
  <c r="EV132" i="2"/>
  <c r="EW132" i="2"/>
  <c r="CM132" i="2"/>
  <c r="BR132" i="2"/>
  <c r="AV132" i="2"/>
  <c r="AU132" i="2"/>
  <c r="AW132" i="2"/>
  <c r="BP132" i="2"/>
  <c r="BQ132" i="2"/>
  <c r="CL132" i="2"/>
  <c r="CK132" i="2"/>
  <c r="GQ133" i="2"/>
  <c r="GP133" i="2"/>
  <c r="FU133" i="2"/>
  <c r="FA133" i="2"/>
  <c r="EZ133" i="2"/>
  <c r="EF133" i="2"/>
  <c r="EE133" i="2"/>
  <c r="FV133" i="2"/>
  <c r="DK133" i="2"/>
  <c r="DJ133" i="2"/>
  <c r="BU133" i="2"/>
  <c r="BT133" i="2"/>
  <c r="CP133" i="2"/>
  <c r="CO133" i="2"/>
  <c r="AY133" i="2"/>
  <c r="AE133" i="2"/>
  <c r="AZ133" i="2"/>
  <c r="J133" i="2"/>
  <c r="AD133" i="2"/>
  <c r="K133" i="2"/>
  <c r="I133" i="2"/>
  <c r="H171" i="2"/>
  <c r="D172" i="2"/>
  <c r="G172" i="2" s="1"/>
  <c r="L133" i="2"/>
  <c r="FT131" i="2"/>
  <c r="EY131" i="2"/>
  <c r="HJ131" i="2"/>
  <c r="HE133" i="2"/>
  <c r="GJ133" i="2"/>
  <c r="GI133" i="2"/>
  <c r="HD133" i="2"/>
  <c r="FO133" i="2"/>
  <c r="FN133" i="2"/>
  <c r="ET133" i="2"/>
  <c r="ES133" i="2"/>
  <c r="DY133" i="2"/>
  <c r="CH133" i="2"/>
  <c r="AS133" i="2"/>
  <c r="DX133" i="2"/>
  <c r="CI133" i="2"/>
  <c r="BM133" i="2"/>
  <c r="X133" i="2"/>
  <c r="DD133" i="2"/>
  <c r="DC133" i="2"/>
  <c r="BN133" i="2"/>
  <c r="AR133" i="2"/>
  <c r="W133" i="2"/>
  <c r="HF133" i="2"/>
  <c r="GR133" i="2"/>
  <c r="HC133" i="2"/>
  <c r="GK133" i="2"/>
  <c r="FW133" i="2"/>
  <c r="FM133" i="2"/>
  <c r="FP133" i="2"/>
  <c r="HB133" i="2"/>
  <c r="GS133" i="2"/>
  <c r="GG133" i="2"/>
  <c r="FX133" i="2"/>
  <c r="EQ133" i="2"/>
  <c r="EH133" i="2"/>
  <c r="CJ133" i="2"/>
  <c r="FB133" i="2"/>
  <c r="ER133" i="2"/>
  <c r="DV133" i="2"/>
  <c r="DM133" i="2"/>
  <c r="DA133" i="2"/>
  <c r="EU133" i="2"/>
  <c r="EG133" i="2"/>
  <c r="DW133" i="2"/>
  <c r="DB133" i="2"/>
  <c r="GH133" i="2"/>
  <c r="FL133" i="2"/>
  <c r="FC133" i="2"/>
  <c r="DZ133" i="2"/>
  <c r="DE133" i="2"/>
  <c r="DL133" i="2"/>
  <c r="CR133" i="2"/>
  <c r="CG133" i="2"/>
  <c r="BV133" i="2"/>
  <c r="BO133" i="2"/>
  <c r="BK133" i="2"/>
  <c r="BW133" i="2"/>
  <c r="BL133" i="2"/>
  <c r="CQ133" i="2"/>
  <c r="CF133" i="2"/>
  <c r="BB133" i="2"/>
  <c r="BA133" i="2"/>
  <c r="AT133" i="2"/>
  <c r="ED131" i="2"/>
  <c r="DI131" i="2"/>
  <c r="GO131" i="2"/>
  <c r="CN131" i="2"/>
  <c r="AB132" i="2"/>
  <c r="AA132" i="2"/>
  <c r="AQ133" i="2"/>
  <c r="AG133" i="2"/>
  <c r="AF133" i="2"/>
  <c r="AP133" i="2"/>
  <c r="U133" i="2"/>
  <c r="A134" i="2"/>
  <c r="V133" i="2"/>
  <c r="Y133" i="2"/>
  <c r="AX129" i="2"/>
  <c r="Z132" i="2"/>
  <c r="AC131" i="2"/>
  <c r="EV133" i="2" l="1"/>
  <c r="EW133" i="2"/>
  <c r="HH133" i="2"/>
  <c r="HI133" i="2"/>
  <c r="EX133" i="2"/>
  <c r="EC133" i="2"/>
  <c r="FS133" i="2"/>
  <c r="EB133" i="2"/>
  <c r="GN133" i="2"/>
  <c r="HG133" i="2"/>
  <c r="DF133" i="2"/>
  <c r="DG133" i="2"/>
  <c r="DH133" i="2"/>
  <c r="FR133" i="2"/>
  <c r="FQ133" i="2"/>
  <c r="GM133" i="2"/>
  <c r="GL133" i="2"/>
  <c r="EA133" i="2"/>
  <c r="CM133" i="2"/>
  <c r="BR133" i="2"/>
  <c r="AV133" i="2"/>
  <c r="AW133" i="2"/>
  <c r="AU133" i="2"/>
  <c r="BP133" i="2"/>
  <c r="BQ133" i="2"/>
  <c r="CK133" i="2"/>
  <c r="CL133" i="2"/>
  <c r="GQ134" i="2"/>
  <c r="GP134" i="2"/>
  <c r="FU134" i="2"/>
  <c r="FV134" i="2"/>
  <c r="FA134" i="2"/>
  <c r="EZ134" i="2"/>
  <c r="EF134" i="2"/>
  <c r="CP134" i="2"/>
  <c r="CO134" i="2"/>
  <c r="DK134" i="2"/>
  <c r="EE134" i="2"/>
  <c r="DJ134" i="2"/>
  <c r="BU134" i="2"/>
  <c r="BT134" i="2"/>
  <c r="AZ134" i="2"/>
  <c r="AY134" i="2"/>
  <c r="AE134" i="2"/>
  <c r="AD134" i="2"/>
  <c r="K134" i="2"/>
  <c r="J134" i="2"/>
  <c r="I134" i="2"/>
  <c r="H172" i="2"/>
  <c r="D173" i="2"/>
  <c r="G173" i="2" s="1"/>
  <c r="L134" i="2"/>
  <c r="GO132" i="2"/>
  <c r="HJ132" i="2"/>
  <c r="EY132" i="2"/>
  <c r="HD134" i="2"/>
  <c r="HE134" i="2"/>
  <c r="GI134" i="2"/>
  <c r="GJ134" i="2"/>
  <c r="ET134" i="2"/>
  <c r="FO134" i="2"/>
  <c r="FN134" i="2"/>
  <c r="ES134" i="2"/>
  <c r="DD134" i="2"/>
  <c r="BN134" i="2"/>
  <c r="DY134" i="2"/>
  <c r="CH134" i="2"/>
  <c r="AS134" i="2"/>
  <c r="W134" i="2"/>
  <c r="DC134" i="2"/>
  <c r="CI134" i="2"/>
  <c r="BM134" i="2"/>
  <c r="X134" i="2"/>
  <c r="DX134" i="2"/>
  <c r="AR134" i="2"/>
  <c r="HC134" i="2"/>
  <c r="HF134" i="2"/>
  <c r="HB134" i="2"/>
  <c r="GS134" i="2"/>
  <c r="GR134" i="2"/>
  <c r="GK134" i="2"/>
  <c r="GH134" i="2"/>
  <c r="FL134" i="2"/>
  <c r="FC134" i="2"/>
  <c r="FW134" i="2"/>
  <c r="FM134" i="2"/>
  <c r="FP134" i="2"/>
  <c r="DZ134" i="2"/>
  <c r="DL134" i="2"/>
  <c r="DE134" i="2"/>
  <c r="FX134" i="2"/>
  <c r="EQ134" i="2"/>
  <c r="EH134" i="2"/>
  <c r="CJ134" i="2"/>
  <c r="CR134" i="2"/>
  <c r="GG134" i="2"/>
  <c r="FB134" i="2"/>
  <c r="ER134" i="2"/>
  <c r="DV134" i="2"/>
  <c r="DM134" i="2"/>
  <c r="DA134" i="2"/>
  <c r="EG134" i="2"/>
  <c r="EU134" i="2"/>
  <c r="DW134" i="2"/>
  <c r="DB134" i="2"/>
  <c r="CQ134" i="2"/>
  <c r="CF134" i="2"/>
  <c r="CG134" i="2"/>
  <c r="BV134" i="2"/>
  <c r="BO134" i="2"/>
  <c r="BK134" i="2"/>
  <c r="BW134" i="2"/>
  <c r="BL134" i="2"/>
  <c r="BB134" i="2"/>
  <c r="BA134" i="2"/>
  <c r="AT134" i="2"/>
  <c r="DI132" i="2"/>
  <c r="FT132" i="2"/>
  <c r="CN132" i="2"/>
  <c r="ED132" i="2"/>
  <c r="AA133" i="2"/>
  <c r="AP134" i="2"/>
  <c r="AF134" i="2"/>
  <c r="AG134" i="2"/>
  <c r="AQ134" i="2"/>
  <c r="V134" i="2"/>
  <c r="U134" i="2"/>
  <c r="A135" i="2"/>
  <c r="Y134" i="2"/>
  <c r="AB133" i="2"/>
  <c r="AX130" i="2"/>
  <c r="Z133" i="2"/>
  <c r="AC132" i="2"/>
  <c r="EV134" i="2" l="1"/>
  <c r="HI134" i="2"/>
  <c r="EW134" i="2"/>
  <c r="HG134" i="2"/>
  <c r="EC134" i="2"/>
  <c r="EX134" i="2"/>
  <c r="EA134" i="2"/>
  <c r="FS134" i="2"/>
  <c r="GN134" i="2"/>
  <c r="HH134" i="2"/>
  <c r="DG134" i="2"/>
  <c r="DF134" i="2"/>
  <c r="DH134" i="2"/>
  <c r="FR134" i="2"/>
  <c r="FQ134" i="2"/>
  <c r="GM134" i="2"/>
  <c r="GL134" i="2"/>
  <c r="EB134" i="2"/>
  <c r="CM134" i="2"/>
  <c r="BR134" i="2"/>
  <c r="AV134" i="2"/>
  <c r="AU134" i="2"/>
  <c r="AW134" i="2"/>
  <c r="BQ134" i="2"/>
  <c r="BP134" i="2"/>
  <c r="CL134" i="2"/>
  <c r="CK134" i="2"/>
  <c r="GQ135" i="2"/>
  <c r="GP135" i="2"/>
  <c r="FU135" i="2"/>
  <c r="FA135" i="2"/>
  <c r="EZ135" i="2"/>
  <c r="FV135" i="2"/>
  <c r="EF135" i="2"/>
  <c r="EE135" i="2"/>
  <c r="DK135" i="2"/>
  <c r="DJ135" i="2"/>
  <c r="CP135" i="2"/>
  <c r="CO135" i="2"/>
  <c r="BT135" i="2"/>
  <c r="AZ135" i="2"/>
  <c r="BU135" i="2"/>
  <c r="AY135" i="2"/>
  <c r="K135" i="2"/>
  <c r="AD135" i="2"/>
  <c r="AE135" i="2"/>
  <c r="J135" i="2"/>
  <c r="I135" i="2"/>
  <c r="H173" i="2"/>
  <c r="D174" i="2"/>
  <c r="G174" i="2" s="1"/>
  <c r="L135" i="2"/>
  <c r="CN133" i="2"/>
  <c r="GO133" i="2"/>
  <c r="ED133" i="2"/>
  <c r="FT133" i="2"/>
  <c r="DI133" i="2"/>
  <c r="EY133" i="2"/>
  <c r="HE135" i="2"/>
  <c r="GI135" i="2"/>
  <c r="GJ135" i="2"/>
  <c r="ES135" i="2"/>
  <c r="HD135" i="2"/>
  <c r="ET135" i="2"/>
  <c r="FO135" i="2"/>
  <c r="FN135" i="2"/>
  <c r="DY135" i="2"/>
  <c r="DC135" i="2"/>
  <c r="DD135" i="2"/>
  <c r="BN135" i="2"/>
  <c r="DX135" i="2"/>
  <c r="CH135" i="2"/>
  <c r="AS135" i="2"/>
  <c r="W135" i="2"/>
  <c r="CI135" i="2"/>
  <c r="BM135" i="2"/>
  <c r="AR135" i="2"/>
  <c r="X135" i="2"/>
  <c r="HC135" i="2"/>
  <c r="HF135" i="2"/>
  <c r="GK135" i="2"/>
  <c r="HB135" i="2"/>
  <c r="GS135" i="2"/>
  <c r="GG135" i="2"/>
  <c r="FX135" i="2"/>
  <c r="GR135" i="2"/>
  <c r="GH135" i="2"/>
  <c r="FL135" i="2"/>
  <c r="FC135" i="2"/>
  <c r="FW135" i="2"/>
  <c r="FM135" i="2"/>
  <c r="EU135" i="2"/>
  <c r="EG135" i="2"/>
  <c r="DW135" i="2"/>
  <c r="DB135" i="2"/>
  <c r="DZ135" i="2"/>
  <c r="DL135" i="2"/>
  <c r="DE135" i="2"/>
  <c r="FP135" i="2"/>
  <c r="EQ135" i="2"/>
  <c r="EH135" i="2"/>
  <c r="CJ135" i="2"/>
  <c r="CR135" i="2"/>
  <c r="DV135" i="2"/>
  <c r="FB135" i="2"/>
  <c r="DA135" i="2"/>
  <c r="ER135" i="2"/>
  <c r="BW135" i="2"/>
  <c r="BL135" i="2"/>
  <c r="CQ135" i="2"/>
  <c r="CF135" i="2"/>
  <c r="BB135" i="2"/>
  <c r="DM135" i="2"/>
  <c r="CG135" i="2"/>
  <c r="BV135" i="2"/>
  <c r="BO135" i="2"/>
  <c r="BK135" i="2"/>
  <c r="BA135" i="2"/>
  <c r="AT135" i="2"/>
  <c r="HJ133" i="2"/>
  <c r="AB134" i="2"/>
  <c r="AA134" i="2"/>
  <c r="AQ135" i="2"/>
  <c r="AP135" i="2"/>
  <c r="AF135" i="2"/>
  <c r="AG135" i="2"/>
  <c r="U135" i="2"/>
  <c r="V135" i="2"/>
  <c r="Y135" i="2"/>
  <c r="A136" i="2"/>
  <c r="AX131" i="2"/>
  <c r="Z134" i="2"/>
  <c r="AC133" i="2"/>
  <c r="EX135" i="2" l="1"/>
  <c r="EW135" i="2"/>
  <c r="EA135" i="2"/>
  <c r="HI135" i="2"/>
  <c r="FS135" i="2"/>
  <c r="EC135" i="2"/>
  <c r="EV135" i="2"/>
  <c r="EB135" i="2"/>
  <c r="HG135" i="2"/>
  <c r="GN135" i="2"/>
  <c r="HH135" i="2"/>
  <c r="DG135" i="2"/>
  <c r="DF135" i="2"/>
  <c r="DH135" i="2"/>
  <c r="FQ135" i="2"/>
  <c r="FR135" i="2"/>
  <c r="GM135" i="2"/>
  <c r="GL135" i="2"/>
  <c r="CM135" i="2"/>
  <c r="BR135" i="2"/>
  <c r="AV135" i="2"/>
  <c r="AW135" i="2"/>
  <c r="AU135" i="2"/>
  <c r="BQ135" i="2"/>
  <c r="BP135" i="2"/>
  <c r="CK135" i="2"/>
  <c r="CL135" i="2"/>
  <c r="GQ136" i="2"/>
  <c r="GP136" i="2"/>
  <c r="FU136" i="2"/>
  <c r="FV136" i="2"/>
  <c r="EZ136" i="2"/>
  <c r="FA136" i="2"/>
  <c r="EF136" i="2"/>
  <c r="CP136" i="2"/>
  <c r="CO136" i="2"/>
  <c r="DK136" i="2"/>
  <c r="EE136" i="2"/>
  <c r="AZ136" i="2"/>
  <c r="BU136" i="2"/>
  <c r="BT136" i="2"/>
  <c r="DJ136" i="2"/>
  <c r="AY136" i="2"/>
  <c r="AE136" i="2"/>
  <c r="AD136" i="2"/>
  <c r="K136" i="2"/>
  <c r="J136" i="2"/>
  <c r="I136" i="2"/>
  <c r="H174" i="2"/>
  <c r="D175" i="2"/>
  <c r="G175" i="2" s="1"/>
  <c r="L136" i="2"/>
  <c r="HD136" i="2"/>
  <c r="FO136" i="2"/>
  <c r="HE136" i="2"/>
  <c r="GJ136" i="2"/>
  <c r="GI136" i="2"/>
  <c r="ES136" i="2"/>
  <c r="DX136" i="2"/>
  <c r="FN136" i="2"/>
  <c r="ET136" i="2"/>
  <c r="CI136" i="2"/>
  <c r="BM136" i="2"/>
  <c r="DC136" i="2"/>
  <c r="AR136" i="2"/>
  <c r="CH136" i="2"/>
  <c r="BN136" i="2"/>
  <c r="DY136" i="2"/>
  <c r="DD136" i="2"/>
  <c r="X136" i="2"/>
  <c r="W136" i="2"/>
  <c r="AS136" i="2"/>
  <c r="HC136" i="2"/>
  <c r="HF136" i="2"/>
  <c r="GR136" i="2"/>
  <c r="GK136" i="2"/>
  <c r="HB136" i="2"/>
  <c r="GS136" i="2"/>
  <c r="FP136" i="2"/>
  <c r="GG136" i="2"/>
  <c r="FX136" i="2"/>
  <c r="GH136" i="2"/>
  <c r="FL136" i="2"/>
  <c r="FC136" i="2"/>
  <c r="FB136" i="2"/>
  <c r="ER136" i="2"/>
  <c r="DV136" i="2"/>
  <c r="DM136" i="2"/>
  <c r="DA136" i="2"/>
  <c r="FM136" i="2"/>
  <c r="EU136" i="2"/>
  <c r="EG136" i="2"/>
  <c r="DW136" i="2"/>
  <c r="DB136" i="2"/>
  <c r="DZ136" i="2"/>
  <c r="DL136" i="2"/>
  <c r="DE136" i="2"/>
  <c r="FW136" i="2"/>
  <c r="EQ136" i="2"/>
  <c r="EH136" i="2"/>
  <c r="CJ136" i="2"/>
  <c r="BK136" i="2"/>
  <c r="BW136" i="2"/>
  <c r="BL136" i="2"/>
  <c r="CQ136" i="2"/>
  <c r="CF136" i="2"/>
  <c r="BB136" i="2"/>
  <c r="CR136" i="2"/>
  <c r="CG136" i="2"/>
  <c r="BV136" i="2"/>
  <c r="BO136" i="2"/>
  <c r="BA136" i="2"/>
  <c r="AT136" i="2"/>
  <c r="HJ134" i="2"/>
  <c r="DI134" i="2"/>
  <c r="EY134" i="2"/>
  <c r="ED134" i="2"/>
  <c r="FT134" i="2"/>
  <c r="GO134" i="2"/>
  <c r="CN134" i="2"/>
  <c r="AB135" i="2"/>
  <c r="AA135" i="2"/>
  <c r="AQ136" i="2"/>
  <c r="AG136" i="2"/>
  <c r="AP136" i="2"/>
  <c r="AF136" i="2"/>
  <c r="Y136" i="2"/>
  <c r="A137" i="2"/>
  <c r="U136" i="2"/>
  <c r="V136" i="2"/>
  <c r="AX132" i="2"/>
  <c r="Z135" i="2"/>
  <c r="AC134" i="2"/>
  <c r="FS136" i="2" l="1"/>
  <c r="HI136" i="2"/>
  <c r="EX136" i="2"/>
  <c r="EC136" i="2"/>
  <c r="AU136" i="2"/>
  <c r="EW136" i="2"/>
  <c r="EB136" i="2"/>
  <c r="EV136" i="2"/>
  <c r="GN136" i="2"/>
  <c r="HH136" i="2"/>
  <c r="HG136" i="2"/>
  <c r="DF136" i="2"/>
  <c r="DG136" i="2"/>
  <c r="DH136" i="2"/>
  <c r="FR136" i="2"/>
  <c r="FQ136" i="2"/>
  <c r="GM136" i="2"/>
  <c r="GL136" i="2"/>
  <c r="EA136" i="2"/>
  <c r="CM136" i="2"/>
  <c r="AV136" i="2"/>
  <c r="AW136" i="2"/>
  <c r="BR136" i="2"/>
  <c r="BP136" i="2"/>
  <c r="BQ136" i="2"/>
  <c r="CL136" i="2"/>
  <c r="CK136" i="2"/>
  <c r="GQ137" i="2"/>
  <c r="GP137" i="2"/>
  <c r="FU137" i="2"/>
  <c r="FV137" i="2"/>
  <c r="FA137" i="2"/>
  <c r="EF137" i="2"/>
  <c r="EZ137" i="2"/>
  <c r="DJ137" i="2"/>
  <c r="DK137" i="2"/>
  <c r="CO137" i="2"/>
  <c r="CP137" i="2"/>
  <c r="BU137" i="2"/>
  <c r="BT137" i="2"/>
  <c r="EE137" i="2"/>
  <c r="AY137" i="2"/>
  <c r="AE137" i="2"/>
  <c r="AZ137" i="2"/>
  <c r="AD137" i="2"/>
  <c r="J137" i="2"/>
  <c r="K137" i="2"/>
  <c r="I137" i="2"/>
  <c r="H175" i="2"/>
  <c r="D176" i="2"/>
  <c r="G176" i="2" s="1"/>
  <c r="L137" i="2"/>
  <c r="FT135" i="2"/>
  <c r="EY135" i="2"/>
  <c r="DI135" i="2"/>
  <c r="ED135" i="2"/>
  <c r="CN135" i="2"/>
  <c r="GO135" i="2"/>
  <c r="HJ135" i="2"/>
  <c r="HE137" i="2"/>
  <c r="HD137" i="2"/>
  <c r="GJ137" i="2"/>
  <c r="FO137" i="2"/>
  <c r="FN137" i="2"/>
  <c r="GI137" i="2"/>
  <c r="ES137" i="2"/>
  <c r="DX137" i="2"/>
  <c r="CH137" i="2"/>
  <c r="AS137" i="2"/>
  <c r="CI137" i="2"/>
  <c r="BM137" i="2"/>
  <c r="X137" i="2"/>
  <c r="AR137" i="2"/>
  <c r="BN137" i="2"/>
  <c r="ET137" i="2"/>
  <c r="DD137" i="2"/>
  <c r="DC137" i="2"/>
  <c r="W137" i="2"/>
  <c r="DY137" i="2"/>
  <c r="HF137" i="2"/>
  <c r="GR137" i="2"/>
  <c r="GK137" i="2"/>
  <c r="FW137" i="2"/>
  <c r="FM137" i="2"/>
  <c r="FP137" i="2"/>
  <c r="HC137" i="2"/>
  <c r="GG137" i="2"/>
  <c r="FX137" i="2"/>
  <c r="GH137" i="2"/>
  <c r="FL137" i="2"/>
  <c r="FC137" i="2"/>
  <c r="EQ137" i="2"/>
  <c r="EH137" i="2"/>
  <c r="CJ137" i="2"/>
  <c r="HB137" i="2"/>
  <c r="GS137" i="2"/>
  <c r="FB137" i="2"/>
  <c r="ER137" i="2"/>
  <c r="DV137" i="2"/>
  <c r="DM137" i="2"/>
  <c r="DA137" i="2"/>
  <c r="EU137" i="2"/>
  <c r="EG137" i="2"/>
  <c r="DW137" i="2"/>
  <c r="DB137" i="2"/>
  <c r="DZ137" i="2"/>
  <c r="CR137" i="2"/>
  <c r="DE137" i="2"/>
  <c r="DL137" i="2"/>
  <c r="CG137" i="2"/>
  <c r="BV137" i="2"/>
  <c r="BO137" i="2"/>
  <c r="BK137" i="2"/>
  <c r="BW137" i="2"/>
  <c r="BL137" i="2"/>
  <c r="CQ137" i="2"/>
  <c r="CF137" i="2"/>
  <c r="BB137" i="2"/>
  <c r="BA137" i="2"/>
  <c r="AT137" i="2"/>
  <c r="AP137" i="2"/>
  <c r="AF137" i="2"/>
  <c r="AQ137" i="2"/>
  <c r="AG137" i="2"/>
  <c r="A138" i="2"/>
  <c r="Y137" i="2"/>
  <c r="U137" i="2"/>
  <c r="V137" i="2"/>
  <c r="AA136" i="2"/>
  <c r="AB136" i="2"/>
  <c r="AX133" i="2"/>
  <c r="Z136" i="2"/>
  <c r="AC135" i="2"/>
  <c r="EX137" i="2" l="1"/>
  <c r="HH137" i="2"/>
  <c r="FS137" i="2"/>
  <c r="EV137" i="2"/>
  <c r="EC137" i="2"/>
  <c r="EB137" i="2"/>
  <c r="HI137" i="2"/>
  <c r="GN137" i="2"/>
  <c r="HG137" i="2"/>
  <c r="DF137" i="2"/>
  <c r="DG137" i="2"/>
  <c r="DH137" i="2"/>
  <c r="FQ137" i="2"/>
  <c r="FR137" i="2"/>
  <c r="GM137" i="2"/>
  <c r="GL137" i="2"/>
  <c r="EW137" i="2"/>
  <c r="EA137" i="2"/>
  <c r="CM137" i="2"/>
  <c r="BQ137" i="2"/>
  <c r="AV137" i="2"/>
  <c r="AW137" i="2"/>
  <c r="AU137" i="2"/>
  <c r="BR137" i="2"/>
  <c r="BP137" i="2"/>
  <c r="CK137" i="2"/>
  <c r="CL137" i="2"/>
  <c r="GQ138" i="2"/>
  <c r="GP138" i="2"/>
  <c r="FV138" i="2"/>
  <c r="FU138" i="2"/>
  <c r="FA138" i="2"/>
  <c r="EZ138" i="2"/>
  <c r="EF138" i="2"/>
  <c r="EE138" i="2"/>
  <c r="CP138" i="2"/>
  <c r="CO138" i="2"/>
  <c r="AZ138" i="2"/>
  <c r="DK138" i="2"/>
  <c r="BU138" i="2"/>
  <c r="BT138" i="2"/>
  <c r="DJ138" i="2"/>
  <c r="AY138" i="2"/>
  <c r="AE138" i="2"/>
  <c r="AD138" i="2"/>
  <c r="J138" i="2"/>
  <c r="I138" i="2"/>
  <c r="K138" i="2"/>
  <c r="H176" i="2"/>
  <c r="D177" i="2"/>
  <c r="G177" i="2" s="1"/>
  <c r="L138" i="2"/>
  <c r="ED136" i="2"/>
  <c r="EY136" i="2"/>
  <c r="HJ136" i="2"/>
  <c r="GO136" i="2"/>
  <c r="CN136" i="2"/>
  <c r="DI136" i="2"/>
  <c r="FT136" i="2"/>
  <c r="HD138" i="2"/>
  <c r="HE138" i="2"/>
  <c r="GJ138" i="2"/>
  <c r="GI138" i="2"/>
  <c r="ET138" i="2"/>
  <c r="FN138" i="2"/>
  <c r="FO138" i="2"/>
  <c r="DY138" i="2"/>
  <c r="DD138" i="2"/>
  <c r="BN138" i="2"/>
  <c r="ES138" i="2"/>
  <c r="DX138" i="2"/>
  <c r="CH138" i="2"/>
  <c r="DC138" i="2"/>
  <c r="W138" i="2"/>
  <c r="X138" i="2"/>
  <c r="BM138" i="2"/>
  <c r="CI138" i="2"/>
  <c r="AR138" i="2"/>
  <c r="AS138" i="2"/>
  <c r="HC138" i="2"/>
  <c r="HF138" i="2"/>
  <c r="HB138" i="2"/>
  <c r="GS138" i="2"/>
  <c r="GR138" i="2"/>
  <c r="GH138" i="2"/>
  <c r="FL138" i="2"/>
  <c r="FC138" i="2"/>
  <c r="GK138" i="2"/>
  <c r="FW138" i="2"/>
  <c r="FM138" i="2"/>
  <c r="FP138" i="2"/>
  <c r="DZ138" i="2"/>
  <c r="DL138" i="2"/>
  <c r="DE138" i="2"/>
  <c r="EQ138" i="2"/>
  <c r="EH138" i="2"/>
  <c r="CJ138" i="2"/>
  <c r="CR138" i="2"/>
  <c r="FX138" i="2"/>
  <c r="FB138" i="2"/>
  <c r="ER138" i="2"/>
  <c r="DV138" i="2"/>
  <c r="DM138" i="2"/>
  <c r="DA138" i="2"/>
  <c r="GG138" i="2"/>
  <c r="DW138" i="2"/>
  <c r="EG138" i="2"/>
  <c r="DB138" i="2"/>
  <c r="EU138" i="2"/>
  <c r="CQ138" i="2"/>
  <c r="CF138" i="2"/>
  <c r="CG138" i="2"/>
  <c r="BV138" i="2"/>
  <c r="BO138" i="2"/>
  <c r="BK138" i="2"/>
  <c r="BW138" i="2"/>
  <c r="BL138" i="2"/>
  <c r="BB138" i="2"/>
  <c r="BA138" i="2"/>
  <c r="AT138" i="2"/>
  <c r="AA137" i="2"/>
  <c r="AP138" i="2"/>
  <c r="AF138" i="2"/>
  <c r="AQ138" i="2"/>
  <c r="AG138" i="2"/>
  <c r="Y138" i="2"/>
  <c r="U138" i="2"/>
  <c r="V138" i="2"/>
  <c r="A139" i="2"/>
  <c r="AB137" i="2"/>
  <c r="AX134" i="2"/>
  <c r="Z137" i="2"/>
  <c r="AC136" i="2"/>
  <c r="EV138" i="2" l="1"/>
  <c r="EC138" i="2"/>
  <c r="EB138" i="2"/>
  <c r="HI138" i="2"/>
  <c r="EA138" i="2"/>
  <c r="FS138" i="2"/>
  <c r="EW138" i="2"/>
  <c r="EX138" i="2"/>
  <c r="GN138" i="2"/>
  <c r="HH138" i="2"/>
  <c r="HG138" i="2"/>
  <c r="DG138" i="2"/>
  <c r="DF138" i="2"/>
  <c r="DH138" i="2"/>
  <c r="FR138" i="2"/>
  <c r="FQ138" i="2"/>
  <c r="GM138" i="2"/>
  <c r="GL138" i="2"/>
  <c r="CM138" i="2"/>
  <c r="AV138" i="2"/>
  <c r="AU138" i="2"/>
  <c r="AW138" i="2"/>
  <c r="BR138" i="2"/>
  <c r="BQ138" i="2"/>
  <c r="BP138" i="2"/>
  <c r="CK138" i="2"/>
  <c r="CL138" i="2"/>
  <c r="GQ139" i="2"/>
  <c r="GP139" i="2"/>
  <c r="FU139" i="2"/>
  <c r="FA139" i="2"/>
  <c r="EZ139" i="2"/>
  <c r="FV139" i="2"/>
  <c r="EF139" i="2"/>
  <c r="EE139" i="2"/>
  <c r="DK139" i="2"/>
  <c r="DJ139" i="2"/>
  <c r="CO139" i="2"/>
  <c r="CP139" i="2"/>
  <c r="BT139" i="2"/>
  <c r="AZ139" i="2"/>
  <c r="AY139" i="2"/>
  <c r="AE139" i="2"/>
  <c r="BU139" i="2"/>
  <c r="K139" i="2"/>
  <c r="AD139" i="2"/>
  <c r="J139" i="2"/>
  <c r="I139" i="2"/>
  <c r="H177" i="2"/>
  <c r="D178" i="2"/>
  <c r="G178" i="2" s="1"/>
  <c r="L139" i="2"/>
  <c r="CN137" i="2"/>
  <c r="HJ137" i="2"/>
  <c r="DI137" i="2"/>
  <c r="EY137" i="2"/>
  <c r="HE139" i="2"/>
  <c r="HD139" i="2"/>
  <c r="GI139" i="2"/>
  <c r="FO139" i="2"/>
  <c r="ES139" i="2"/>
  <c r="GJ139" i="2"/>
  <c r="ET139" i="2"/>
  <c r="DY139" i="2"/>
  <c r="FN139" i="2"/>
  <c r="DC139" i="2"/>
  <c r="DD139" i="2"/>
  <c r="BN139" i="2"/>
  <c r="CI139" i="2"/>
  <c r="BM139" i="2"/>
  <c r="AS139" i="2"/>
  <c r="DX139" i="2"/>
  <c r="W139" i="2"/>
  <c r="CH139" i="2"/>
  <c r="X139" i="2"/>
  <c r="AR139" i="2"/>
  <c r="HC139" i="2"/>
  <c r="HF139" i="2"/>
  <c r="GK139" i="2"/>
  <c r="HB139" i="2"/>
  <c r="GS139" i="2"/>
  <c r="GG139" i="2"/>
  <c r="FX139" i="2"/>
  <c r="GH139" i="2"/>
  <c r="FL139" i="2"/>
  <c r="FC139" i="2"/>
  <c r="GR139" i="2"/>
  <c r="FW139" i="2"/>
  <c r="FM139" i="2"/>
  <c r="EU139" i="2"/>
  <c r="EG139" i="2"/>
  <c r="DW139" i="2"/>
  <c r="DB139" i="2"/>
  <c r="DZ139" i="2"/>
  <c r="DL139" i="2"/>
  <c r="DE139" i="2"/>
  <c r="EQ139" i="2"/>
  <c r="EH139" i="2"/>
  <c r="CJ139" i="2"/>
  <c r="CR139" i="2"/>
  <c r="FP139" i="2"/>
  <c r="ER139" i="2"/>
  <c r="DM139" i="2"/>
  <c r="DV139" i="2"/>
  <c r="FB139" i="2"/>
  <c r="DA139" i="2"/>
  <c r="BW139" i="2"/>
  <c r="BL139" i="2"/>
  <c r="CQ139" i="2"/>
  <c r="CF139" i="2"/>
  <c r="BB139" i="2"/>
  <c r="CG139" i="2"/>
  <c r="BV139" i="2"/>
  <c r="BO139" i="2"/>
  <c r="BK139" i="2"/>
  <c r="BA139" i="2"/>
  <c r="AT139" i="2"/>
  <c r="FT137" i="2"/>
  <c r="GO137" i="2"/>
  <c r="ED137" i="2"/>
  <c r="AA138" i="2"/>
  <c r="AB138" i="2"/>
  <c r="AP139" i="2"/>
  <c r="AQ139" i="2"/>
  <c r="AF139" i="2"/>
  <c r="AG139" i="2"/>
  <c r="V139" i="2"/>
  <c r="U139" i="2"/>
  <c r="A140" i="2"/>
  <c r="Y139" i="2"/>
  <c r="AX135" i="2"/>
  <c r="Z138" i="2"/>
  <c r="AC137" i="2"/>
  <c r="FS139" i="2" l="1"/>
  <c r="EW139" i="2"/>
  <c r="HH139" i="2"/>
  <c r="EA139" i="2"/>
  <c r="EB139" i="2"/>
  <c r="EX139" i="2"/>
  <c r="HI139" i="2"/>
  <c r="EC139" i="2"/>
  <c r="GN139" i="2"/>
  <c r="HG139" i="2"/>
  <c r="DF139" i="2"/>
  <c r="DG139" i="2"/>
  <c r="DH139" i="2"/>
  <c r="FR139" i="2"/>
  <c r="FQ139" i="2"/>
  <c r="GM139" i="2"/>
  <c r="GL139" i="2"/>
  <c r="EV139" i="2"/>
  <c r="CM139" i="2"/>
  <c r="AV139" i="2"/>
  <c r="AW139" i="2"/>
  <c r="AU139" i="2"/>
  <c r="BR139" i="2"/>
  <c r="BP139" i="2"/>
  <c r="BQ139" i="2"/>
  <c r="CL139" i="2"/>
  <c r="CK139" i="2"/>
  <c r="GQ140" i="2"/>
  <c r="GP140" i="2"/>
  <c r="FU140" i="2"/>
  <c r="FA140" i="2"/>
  <c r="EZ140" i="2"/>
  <c r="FV140" i="2"/>
  <c r="EF140" i="2"/>
  <c r="EE140" i="2"/>
  <c r="DK140" i="2"/>
  <c r="DJ140" i="2"/>
  <c r="CP140" i="2"/>
  <c r="CO140" i="2"/>
  <c r="AZ140" i="2"/>
  <c r="BU140" i="2"/>
  <c r="BT140" i="2"/>
  <c r="AY140" i="2"/>
  <c r="AE140" i="2"/>
  <c r="AD140" i="2"/>
  <c r="K140" i="2"/>
  <c r="J140" i="2"/>
  <c r="I140" i="2"/>
  <c r="H178" i="2"/>
  <c r="D179" i="2"/>
  <c r="G179" i="2" s="1"/>
  <c r="L140" i="2"/>
  <c r="EY138" i="2"/>
  <c r="HD140" i="2"/>
  <c r="HE140" i="2"/>
  <c r="FO140" i="2"/>
  <c r="GI140" i="2"/>
  <c r="ES140" i="2"/>
  <c r="DX140" i="2"/>
  <c r="CI140" i="2"/>
  <c r="BM140" i="2"/>
  <c r="GJ140" i="2"/>
  <c r="FN140" i="2"/>
  <c r="DY140" i="2"/>
  <c r="DC140" i="2"/>
  <c r="ET140" i="2"/>
  <c r="DD140" i="2"/>
  <c r="CH140" i="2"/>
  <c r="BN140" i="2"/>
  <c r="AR140" i="2"/>
  <c r="AS140" i="2"/>
  <c r="W140" i="2"/>
  <c r="X140" i="2"/>
  <c r="HC140" i="2"/>
  <c r="GR140" i="2"/>
  <c r="HF140" i="2"/>
  <c r="GK140" i="2"/>
  <c r="HB140" i="2"/>
  <c r="GS140" i="2"/>
  <c r="FP140" i="2"/>
  <c r="GG140" i="2"/>
  <c r="FX140" i="2"/>
  <c r="GH140" i="2"/>
  <c r="FL140" i="2"/>
  <c r="FC140" i="2"/>
  <c r="FW140" i="2"/>
  <c r="FB140" i="2"/>
  <c r="ER140" i="2"/>
  <c r="DV140" i="2"/>
  <c r="DM140" i="2"/>
  <c r="DA140" i="2"/>
  <c r="EU140" i="2"/>
  <c r="EG140" i="2"/>
  <c r="DW140" i="2"/>
  <c r="DB140" i="2"/>
  <c r="FM140" i="2"/>
  <c r="DZ140" i="2"/>
  <c r="DL140" i="2"/>
  <c r="DE140" i="2"/>
  <c r="CR140" i="2"/>
  <c r="EQ140" i="2"/>
  <c r="EH140" i="2"/>
  <c r="CJ140" i="2"/>
  <c r="BK140" i="2"/>
  <c r="BW140" i="2"/>
  <c r="BL140" i="2"/>
  <c r="CQ140" i="2"/>
  <c r="CF140" i="2"/>
  <c r="BB140" i="2"/>
  <c r="CG140" i="2"/>
  <c r="BV140" i="2"/>
  <c r="BO140" i="2"/>
  <c r="AT140" i="2"/>
  <c r="BA140" i="2"/>
  <c r="ED138" i="2"/>
  <c r="GO138" i="2"/>
  <c r="FT138" i="2"/>
  <c r="DI138" i="2"/>
  <c r="HJ138" i="2"/>
  <c r="CN138" i="2"/>
  <c r="AA139" i="2"/>
  <c r="AB139" i="2"/>
  <c r="AQ140" i="2"/>
  <c r="AP140" i="2"/>
  <c r="AF140" i="2"/>
  <c r="AG140" i="2"/>
  <c r="A141" i="2"/>
  <c r="U140" i="2"/>
  <c r="V140" i="2"/>
  <c r="Y140" i="2"/>
  <c r="AX136" i="2"/>
  <c r="Z139" i="2"/>
  <c r="AC138" i="2"/>
  <c r="FS140" i="2" l="1"/>
  <c r="EC140" i="2"/>
  <c r="HH140" i="2"/>
  <c r="EX140" i="2"/>
  <c r="EB140" i="2"/>
  <c r="FR140" i="2"/>
  <c r="HG140" i="2"/>
  <c r="HI140" i="2"/>
  <c r="EW140" i="2"/>
  <c r="GN140" i="2"/>
  <c r="DG140" i="2"/>
  <c r="DF140" i="2"/>
  <c r="DH140" i="2"/>
  <c r="FQ140" i="2"/>
  <c r="GM140" i="2"/>
  <c r="GL140" i="2"/>
  <c r="EV140" i="2"/>
  <c r="EA140" i="2"/>
  <c r="CM140" i="2"/>
  <c r="BR140" i="2"/>
  <c r="AV140" i="2"/>
  <c r="AU140" i="2"/>
  <c r="AW140" i="2"/>
  <c r="BP140" i="2"/>
  <c r="BQ140" i="2"/>
  <c r="CK140" i="2"/>
  <c r="CL140" i="2"/>
  <c r="GQ141" i="2"/>
  <c r="GP141" i="2"/>
  <c r="FU141" i="2"/>
  <c r="FA141" i="2"/>
  <c r="EZ141" i="2"/>
  <c r="FV141" i="2"/>
  <c r="EF141" i="2"/>
  <c r="EE141" i="2"/>
  <c r="DK141" i="2"/>
  <c r="DJ141" i="2"/>
  <c r="BU141" i="2"/>
  <c r="BT141" i="2"/>
  <c r="CO141" i="2"/>
  <c r="CP141" i="2"/>
  <c r="AZ141" i="2"/>
  <c r="AY141" i="2"/>
  <c r="AE141" i="2"/>
  <c r="AD141" i="2"/>
  <c r="J141" i="2"/>
  <c r="K141" i="2"/>
  <c r="I141" i="2"/>
  <c r="H179" i="2"/>
  <c r="D180" i="2"/>
  <c r="G180" i="2" s="1"/>
  <c r="L141" i="2"/>
  <c r="GO139" i="2"/>
  <c r="CN139" i="2"/>
  <c r="HJ139" i="2"/>
  <c r="DI139" i="2"/>
  <c r="HE141" i="2"/>
  <c r="GJ141" i="2"/>
  <c r="FO141" i="2"/>
  <c r="FN141" i="2"/>
  <c r="GI141" i="2"/>
  <c r="ET141" i="2"/>
  <c r="ES141" i="2"/>
  <c r="HD141" i="2"/>
  <c r="CH141" i="2"/>
  <c r="CI141" i="2"/>
  <c r="BM141" i="2"/>
  <c r="DY141" i="2"/>
  <c r="X141" i="2"/>
  <c r="DD141" i="2"/>
  <c r="DC141" i="2"/>
  <c r="BN141" i="2"/>
  <c r="AR141" i="2"/>
  <c r="DX141" i="2"/>
  <c r="AS141" i="2"/>
  <c r="W141" i="2"/>
  <c r="HF141" i="2"/>
  <c r="HC141" i="2"/>
  <c r="GR141" i="2"/>
  <c r="GK141" i="2"/>
  <c r="HB141" i="2"/>
  <c r="GS141" i="2"/>
  <c r="FW141" i="2"/>
  <c r="FM141" i="2"/>
  <c r="FP141" i="2"/>
  <c r="GG141" i="2"/>
  <c r="FX141" i="2"/>
  <c r="EQ141" i="2"/>
  <c r="EH141" i="2"/>
  <c r="CJ141" i="2"/>
  <c r="GH141" i="2"/>
  <c r="FL141" i="2"/>
  <c r="FC141" i="2"/>
  <c r="FB141" i="2"/>
  <c r="ER141" i="2"/>
  <c r="DV141" i="2"/>
  <c r="DM141" i="2"/>
  <c r="DA141" i="2"/>
  <c r="EU141" i="2"/>
  <c r="EG141" i="2"/>
  <c r="DW141" i="2"/>
  <c r="DB141" i="2"/>
  <c r="DZ141" i="2"/>
  <c r="DE141" i="2"/>
  <c r="CR141" i="2"/>
  <c r="CG141" i="2"/>
  <c r="BV141" i="2"/>
  <c r="BO141" i="2"/>
  <c r="DL141" i="2"/>
  <c r="BK141" i="2"/>
  <c r="BW141" i="2"/>
  <c r="BL141" i="2"/>
  <c r="CQ141" i="2"/>
  <c r="CF141" i="2"/>
  <c r="BB141" i="2"/>
  <c r="BA141" i="2"/>
  <c r="AT141" i="2"/>
  <c r="FT139" i="2"/>
  <c r="ED139" i="2"/>
  <c r="EY139" i="2"/>
  <c r="AA140" i="2"/>
  <c r="AQ141" i="2"/>
  <c r="AG141" i="2"/>
  <c r="AP141" i="2"/>
  <c r="AF141" i="2"/>
  <c r="A142" i="2"/>
  <c r="Y141" i="2"/>
  <c r="U141" i="2"/>
  <c r="V141" i="2"/>
  <c r="AB140" i="2"/>
  <c r="AX137" i="2"/>
  <c r="Z140" i="2"/>
  <c r="AC139" i="2"/>
  <c r="FS141" i="2" l="1"/>
  <c r="HH141" i="2"/>
  <c r="EA141" i="2"/>
  <c r="EB141" i="2"/>
  <c r="HG141" i="2"/>
  <c r="EX141" i="2"/>
  <c r="HI141" i="2"/>
  <c r="EV141" i="2"/>
  <c r="EW141" i="2"/>
  <c r="EC141" i="2"/>
  <c r="FR141" i="2"/>
  <c r="GN141" i="2"/>
  <c r="DG141" i="2"/>
  <c r="DF141" i="2"/>
  <c r="DH141" i="2"/>
  <c r="FQ141" i="2"/>
  <c r="GL141" i="2"/>
  <c r="GM141" i="2"/>
  <c r="CM141" i="2"/>
  <c r="BR141" i="2"/>
  <c r="AV141" i="2"/>
  <c r="AW141" i="2"/>
  <c r="AU141" i="2"/>
  <c r="BP141" i="2"/>
  <c r="BQ141" i="2"/>
  <c r="CK141" i="2"/>
  <c r="CL141" i="2"/>
  <c r="GQ142" i="2"/>
  <c r="FU142" i="2"/>
  <c r="GP142" i="2"/>
  <c r="FV142" i="2"/>
  <c r="FA142" i="2"/>
  <c r="EZ142" i="2"/>
  <c r="EE142" i="2"/>
  <c r="CP142" i="2"/>
  <c r="CO142" i="2"/>
  <c r="DJ142" i="2"/>
  <c r="DK142" i="2"/>
  <c r="BU142" i="2"/>
  <c r="BT142" i="2"/>
  <c r="EF142" i="2"/>
  <c r="AZ142" i="2"/>
  <c r="AY142" i="2"/>
  <c r="AE142" i="2"/>
  <c r="AD142" i="2"/>
  <c r="J142" i="2"/>
  <c r="K142" i="2"/>
  <c r="I142" i="2"/>
  <c r="H180" i="2"/>
  <c r="D181" i="2"/>
  <c r="G181" i="2" s="1"/>
  <c r="L142" i="2"/>
  <c r="FT140" i="2"/>
  <c r="DI140" i="2"/>
  <c r="CN140" i="2"/>
  <c r="GO140" i="2"/>
  <c r="EY140" i="2"/>
  <c r="ED140" i="2"/>
  <c r="HJ140" i="2"/>
  <c r="HD142" i="2"/>
  <c r="HE142" i="2"/>
  <c r="GJ142" i="2"/>
  <c r="ET142" i="2"/>
  <c r="FO142" i="2"/>
  <c r="FN142" i="2"/>
  <c r="ES142" i="2"/>
  <c r="DX142" i="2"/>
  <c r="DD142" i="2"/>
  <c r="BN142" i="2"/>
  <c r="GI142" i="2"/>
  <c r="CH142" i="2"/>
  <c r="W142" i="2"/>
  <c r="DC142" i="2"/>
  <c r="DY142" i="2"/>
  <c r="CI142" i="2"/>
  <c r="BM142" i="2"/>
  <c r="X142" i="2"/>
  <c r="AS142" i="2"/>
  <c r="AR142" i="2"/>
  <c r="HC142" i="2"/>
  <c r="HF142" i="2"/>
  <c r="HB142" i="2"/>
  <c r="GS142" i="2"/>
  <c r="GR142" i="2"/>
  <c r="GH142" i="2"/>
  <c r="FL142" i="2"/>
  <c r="FC142" i="2"/>
  <c r="FW142" i="2"/>
  <c r="FM142" i="2"/>
  <c r="GK142" i="2"/>
  <c r="FP142" i="2"/>
  <c r="GG142" i="2"/>
  <c r="DZ142" i="2"/>
  <c r="DL142" i="2"/>
  <c r="DE142" i="2"/>
  <c r="EQ142" i="2"/>
  <c r="EH142" i="2"/>
  <c r="CJ142" i="2"/>
  <c r="CR142" i="2"/>
  <c r="FB142" i="2"/>
  <c r="ER142" i="2"/>
  <c r="DV142" i="2"/>
  <c r="DM142" i="2"/>
  <c r="DA142" i="2"/>
  <c r="FX142" i="2"/>
  <c r="DW142" i="2"/>
  <c r="EG142" i="2"/>
  <c r="DB142" i="2"/>
  <c r="EU142" i="2"/>
  <c r="CQ142" i="2"/>
  <c r="CF142" i="2"/>
  <c r="CG142" i="2"/>
  <c r="BV142" i="2"/>
  <c r="BO142" i="2"/>
  <c r="BK142" i="2"/>
  <c r="BW142" i="2"/>
  <c r="BL142" i="2"/>
  <c r="BA142" i="2"/>
  <c r="AT142" i="2"/>
  <c r="BB142" i="2"/>
  <c r="AA141" i="2"/>
  <c r="AB141" i="2"/>
  <c r="AP142" i="2"/>
  <c r="AF142" i="2"/>
  <c r="AQ142" i="2"/>
  <c r="AG142" i="2"/>
  <c r="U142" i="2"/>
  <c r="V142" i="2"/>
  <c r="A143" i="2"/>
  <c r="Y142" i="2"/>
  <c r="AX138" i="2"/>
  <c r="Z141" i="2"/>
  <c r="AC140" i="2"/>
  <c r="EC142" i="2" l="1"/>
  <c r="HG142" i="2"/>
  <c r="EW142" i="2"/>
  <c r="FS142" i="2"/>
  <c r="HI142" i="2"/>
  <c r="EX142" i="2"/>
  <c r="EB142" i="2"/>
  <c r="EV142" i="2"/>
  <c r="GN142" i="2"/>
  <c r="HH142" i="2"/>
  <c r="DG142" i="2"/>
  <c r="DF142" i="2"/>
  <c r="DH142" i="2"/>
  <c r="FQ142" i="2"/>
  <c r="FR142" i="2"/>
  <c r="GM142" i="2"/>
  <c r="GL142" i="2"/>
  <c r="EA142" i="2"/>
  <c r="CM142" i="2"/>
  <c r="AV142" i="2"/>
  <c r="AU142" i="2"/>
  <c r="AW142" i="2"/>
  <c r="BR142" i="2"/>
  <c r="BQ142" i="2"/>
  <c r="BP142" i="2"/>
  <c r="CK142" i="2"/>
  <c r="CL142" i="2"/>
  <c r="GQ143" i="2"/>
  <c r="GP143" i="2"/>
  <c r="FU143" i="2"/>
  <c r="FA143" i="2"/>
  <c r="EZ143" i="2"/>
  <c r="FV143" i="2"/>
  <c r="EF143" i="2"/>
  <c r="EE143" i="2"/>
  <c r="DK143" i="2"/>
  <c r="DJ143" i="2"/>
  <c r="CO143" i="2"/>
  <c r="CP143" i="2"/>
  <c r="BU143" i="2"/>
  <c r="BT143" i="2"/>
  <c r="AZ143" i="2"/>
  <c r="AY143" i="2"/>
  <c r="AE143" i="2"/>
  <c r="K143" i="2"/>
  <c r="AD143" i="2"/>
  <c r="J143" i="2"/>
  <c r="I143" i="2"/>
  <c r="H181" i="2"/>
  <c r="D182" i="2"/>
  <c r="G182" i="2" s="1"/>
  <c r="L143" i="2"/>
  <c r="HE143" i="2"/>
  <c r="HD143" i="2"/>
  <c r="GJ143" i="2"/>
  <c r="GI143" i="2"/>
  <c r="ES143" i="2"/>
  <c r="ET143" i="2"/>
  <c r="FN143" i="2"/>
  <c r="DY143" i="2"/>
  <c r="FO143" i="2"/>
  <c r="DC143" i="2"/>
  <c r="DX143" i="2"/>
  <c r="DD143" i="2"/>
  <c r="BN143" i="2"/>
  <c r="AS143" i="2"/>
  <c r="CI143" i="2"/>
  <c r="BM143" i="2"/>
  <c r="CH143" i="2"/>
  <c r="W143" i="2"/>
  <c r="AR143" i="2"/>
  <c r="X143" i="2"/>
  <c r="HC143" i="2"/>
  <c r="HF143" i="2"/>
  <c r="GK143" i="2"/>
  <c r="HB143" i="2"/>
  <c r="GS143" i="2"/>
  <c r="GG143" i="2"/>
  <c r="FX143" i="2"/>
  <c r="GH143" i="2"/>
  <c r="FL143" i="2"/>
  <c r="FC143" i="2"/>
  <c r="FW143" i="2"/>
  <c r="FM143" i="2"/>
  <c r="GR143" i="2"/>
  <c r="FP143" i="2"/>
  <c r="EU143" i="2"/>
  <c r="EG143" i="2"/>
  <c r="DW143" i="2"/>
  <c r="DB143" i="2"/>
  <c r="DZ143" i="2"/>
  <c r="DL143" i="2"/>
  <c r="DE143" i="2"/>
  <c r="EQ143" i="2"/>
  <c r="EH143" i="2"/>
  <c r="CJ143" i="2"/>
  <c r="CR143" i="2"/>
  <c r="FB143" i="2"/>
  <c r="ER143" i="2"/>
  <c r="DM143" i="2"/>
  <c r="DV143" i="2"/>
  <c r="BW143" i="2"/>
  <c r="BL143" i="2"/>
  <c r="CQ143" i="2"/>
  <c r="CF143" i="2"/>
  <c r="BB143" i="2"/>
  <c r="CG143" i="2"/>
  <c r="BV143" i="2"/>
  <c r="BO143" i="2"/>
  <c r="DA143" i="2"/>
  <c r="BK143" i="2"/>
  <c r="BA143" i="2"/>
  <c r="AT143" i="2"/>
  <c r="ED141" i="2"/>
  <c r="CN141" i="2"/>
  <c r="HJ141" i="2"/>
  <c r="EY141" i="2"/>
  <c r="FT141" i="2"/>
  <c r="GO141" i="2"/>
  <c r="DI141" i="2"/>
  <c r="AB142" i="2"/>
  <c r="AQ143" i="2"/>
  <c r="AG143" i="2"/>
  <c r="AP143" i="2"/>
  <c r="AF143" i="2"/>
  <c r="U143" i="2"/>
  <c r="V143" i="2"/>
  <c r="Y143" i="2"/>
  <c r="A144" i="2"/>
  <c r="AA142" i="2"/>
  <c r="AX139" i="2"/>
  <c r="Z142" i="2"/>
  <c r="AC141" i="2"/>
  <c r="FS143" i="2" l="1"/>
  <c r="EA143" i="2"/>
  <c r="EC143" i="2"/>
  <c r="HI143" i="2"/>
  <c r="EX143" i="2"/>
  <c r="EV143" i="2"/>
  <c r="GN143" i="2"/>
  <c r="HG143" i="2"/>
  <c r="HH143" i="2"/>
  <c r="DG143" i="2"/>
  <c r="DF143" i="2"/>
  <c r="DH143" i="2"/>
  <c r="FR143" i="2"/>
  <c r="FQ143" i="2"/>
  <c r="GM143" i="2"/>
  <c r="GL143" i="2"/>
  <c r="EW143" i="2"/>
  <c r="EB143" i="2"/>
  <c r="CM143" i="2"/>
  <c r="BR143" i="2"/>
  <c r="BQ143" i="2"/>
  <c r="AV143" i="2"/>
  <c r="AW143" i="2"/>
  <c r="AU143" i="2"/>
  <c r="BP143" i="2"/>
  <c r="CK143" i="2"/>
  <c r="CL143" i="2"/>
  <c r="GQ144" i="2"/>
  <c r="GP144" i="2"/>
  <c r="FU144" i="2"/>
  <c r="FV144" i="2"/>
  <c r="FA144" i="2"/>
  <c r="EZ144" i="2"/>
  <c r="EE144" i="2"/>
  <c r="DK144" i="2"/>
  <c r="CP144" i="2"/>
  <c r="CO144" i="2"/>
  <c r="EF144" i="2"/>
  <c r="DJ144" i="2"/>
  <c r="AZ144" i="2"/>
  <c r="BU144" i="2"/>
  <c r="BT144" i="2"/>
  <c r="AY144" i="2"/>
  <c r="AE144" i="2"/>
  <c r="AD144" i="2"/>
  <c r="J144" i="2"/>
  <c r="K144" i="2"/>
  <c r="I144" i="2"/>
  <c r="H182" i="2"/>
  <c r="D183" i="2"/>
  <c r="G183" i="2" s="1"/>
  <c r="L144" i="2"/>
  <c r="HD144" i="2"/>
  <c r="HE144" i="2"/>
  <c r="FO144" i="2"/>
  <c r="GJ144" i="2"/>
  <c r="GI144" i="2"/>
  <c r="ES144" i="2"/>
  <c r="DX144" i="2"/>
  <c r="FN144" i="2"/>
  <c r="ET144" i="2"/>
  <c r="DY144" i="2"/>
  <c r="CI144" i="2"/>
  <c r="BM144" i="2"/>
  <c r="DC144" i="2"/>
  <c r="AR144" i="2"/>
  <c r="AS144" i="2"/>
  <c r="DD144" i="2"/>
  <c r="CH144" i="2"/>
  <c r="BN144" i="2"/>
  <c r="X144" i="2"/>
  <c r="W144" i="2"/>
  <c r="HC144" i="2"/>
  <c r="GR144" i="2"/>
  <c r="GK144" i="2"/>
  <c r="HF144" i="2"/>
  <c r="HB144" i="2"/>
  <c r="GS144" i="2"/>
  <c r="FP144" i="2"/>
  <c r="GG144" i="2"/>
  <c r="FX144" i="2"/>
  <c r="GH144" i="2"/>
  <c r="FL144" i="2"/>
  <c r="FC144" i="2"/>
  <c r="FB144" i="2"/>
  <c r="ER144" i="2"/>
  <c r="DV144" i="2"/>
  <c r="DM144" i="2"/>
  <c r="DA144" i="2"/>
  <c r="FW144" i="2"/>
  <c r="EU144" i="2"/>
  <c r="EG144" i="2"/>
  <c r="DW144" i="2"/>
  <c r="DB144" i="2"/>
  <c r="DZ144" i="2"/>
  <c r="DL144" i="2"/>
  <c r="DE144" i="2"/>
  <c r="FM144" i="2"/>
  <c r="EQ144" i="2"/>
  <c r="EH144" i="2"/>
  <c r="CJ144" i="2"/>
  <c r="CR144" i="2"/>
  <c r="BK144" i="2"/>
  <c r="BW144" i="2"/>
  <c r="BL144" i="2"/>
  <c r="CQ144" i="2"/>
  <c r="CF144" i="2"/>
  <c r="BB144" i="2"/>
  <c r="CG144" i="2"/>
  <c r="BV144" i="2"/>
  <c r="BO144" i="2"/>
  <c r="BA144" i="2"/>
  <c r="AT144" i="2"/>
  <c r="FT142" i="2"/>
  <c r="CN142" i="2"/>
  <c r="ED142" i="2"/>
  <c r="EY142" i="2"/>
  <c r="DI142" i="2"/>
  <c r="GO142" i="2"/>
  <c r="HJ142" i="2"/>
  <c r="AA143" i="2"/>
  <c r="AB143" i="2"/>
  <c r="AQ144" i="2"/>
  <c r="AG144" i="2"/>
  <c r="AP144" i="2"/>
  <c r="AF144" i="2"/>
  <c r="A145" i="2"/>
  <c r="Y144" i="2"/>
  <c r="U144" i="2"/>
  <c r="V144" i="2"/>
  <c r="AX140" i="2"/>
  <c r="Z143" i="2"/>
  <c r="AC142" i="2"/>
  <c r="EA144" i="2" l="1"/>
  <c r="FR144" i="2"/>
  <c r="HG144" i="2"/>
  <c r="EX144" i="2"/>
  <c r="EB144" i="2"/>
  <c r="HH144" i="2"/>
  <c r="HI144" i="2"/>
  <c r="EC144" i="2"/>
  <c r="FS144" i="2"/>
  <c r="EV144" i="2"/>
  <c r="GN144" i="2"/>
  <c r="DF144" i="2"/>
  <c r="DG144" i="2"/>
  <c r="DH144" i="2"/>
  <c r="FQ144" i="2"/>
  <c r="GL144" i="2"/>
  <c r="GM144" i="2"/>
  <c r="EW144" i="2"/>
  <c r="BR144" i="2"/>
  <c r="CM144" i="2"/>
  <c r="AV144" i="2"/>
  <c r="AU144" i="2"/>
  <c r="AW144" i="2"/>
  <c r="BP144" i="2"/>
  <c r="BQ144" i="2"/>
  <c r="CL144" i="2"/>
  <c r="CK144" i="2"/>
  <c r="GQ145" i="2"/>
  <c r="GP145" i="2"/>
  <c r="FU145" i="2"/>
  <c r="FV145" i="2"/>
  <c r="EZ145" i="2"/>
  <c r="EF145" i="2"/>
  <c r="FA145" i="2"/>
  <c r="DK145" i="2"/>
  <c r="DJ145" i="2"/>
  <c r="EE145" i="2"/>
  <c r="CP145" i="2"/>
  <c r="CO145" i="2"/>
  <c r="BU145" i="2"/>
  <c r="BT145" i="2"/>
  <c r="AY145" i="2"/>
  <c r="AE145" i="2"/>
  <c r="AZ145" i="2"/>
  <c r="AD145" i="2"/>
  <c r="J145" i="2"/>
  <c r="I145" i="2"/>
  <c r="K145" i="2"/>
  <c r="H183" i="2"/>
  <c r="D184" i="2"/>
  <c r="G184" i="2" s="1"/>
  <c r="L145" i="2"/>
  <c r="HJ143" i="2"/>
  <c r="CN143" i="2"/>
  <c r="FT143" i="2"/>
  <c r="HE145" i="2"/>
  <c r="HD145" i="2"/>
  <c r="GJ145" i="2"/>
  <c r="FO145" i="2"/>
  <c r="FN145" i="2"/>
  <c r="GI145" i="2"/>
  <c r="ET145" i="2"/>
  <c r="CH145" i="2"/>
  <c r="DY145" i="2"/>
  <c r="CI145" i="2"/>
  <c r="BM145" i="2"/>
  <c r="X145" i="2"/>
  <c r="AR145" i="2"/>
  <c r="ES145" i="2"/>
  <c r="BN145" i="2"/>
  <c r="AS145" i="2"/>
  <c r="W145" i="2"/>
  <c r="DC145" i="2"/>
  <c r="DX145" i="2"/>
  <c r="DD145" i="2"/>
  <c r="HF145" i="2"/>
  <c r="HC145" i="2"/>
  <c r="GR145" i="2"/>
  <c r="GK145" i="2"/>
  <c r="FW145" i="2"/>
  <c r="FM145" i="2"/>
  <c r="HB145" i="2"/>
  <c r="GS145" i="2"/>
  <c r="FP145" i="2"/>
  <c r="GG145" i="2"/>
  <c r="FX145" i="2"/>
  <c r="EQ145" i="2"/>
  <c r="EH145" i="2"/>
  <c r="CJ145" i="2"/>
  <c r="FB145" i="2"/>
  <c r="ER145" i="2"/>
  <c r="DV145" i="2"/>
  <c r="DM145" i="2"/>
  <c r="DA145" i="2"/>
  <c r="GH145" i="2"/>
  <c r="FL145" i="2"/>
  <c r="FC145" i="2"/>
  <c r="EU145" i="2"/>
  <c r="EG145" i="2"/>
  <c r="DW145" i="2"/>
  <c r="DB145" i="2"/>
  <c r="DL145" i="2"/>
  <c r="CR145" i="2"/>
  <c r="DZ145" i="2"/>
  <c r="CG145" i="2"/>
  <c r="BV145" i="2"/>
  <c r="BO145" i="2"/>
  <c r="BK145" i="2"/>
  <c r="DE145" i="2"/>
  <c r="BW145" i="2"/>
  <c r="BL145" i="2"/>
  <c r="CQ145" i="2"/>
  <c r="CF145" i="2"/>
  <c r="BB145" i="2"/>
  <c r="BA145" i="2"/>
  <c r="AT145" i="2"/>
  <c r="GO143" i="2"/>
  <c r="EY143" i="2"/>
  <c r="ED143" i="2"/>
  <c r="DI143" i="2"/>
  <c r="AA144" i="2"/>
  <c r="AB144" i="2"/>
  <c r="AP145" i="2"/>
  <c r="AF145" i="2"/>
  <c r="AQ145" i="2"/>
  <c r="AG145" i="2"/>
  <c r="A146" i="2"/>
  <c r="Y145" i="2"/>
  <c r="U145" i="2"/>
  <c r="V145" i="2"/>
  <c r="AX141" i="2"/>
  <c r="Z144" i="2"/>
  <c r="AC143" i="2"/>
  <c r="EX145" i="2" l="1"/>
  <c r="FR145" i="2"/>
  <c r="HG145" i="2"/>
  <c r="EA145" i="2"/>
  <c r="EB145" i="2"/>
  <c r="HH145" i="2"/>
  <c r="HI145" i="2"/>
  <c r="EC145" i="2"/>
  <c r="FS145" i="2"/>
  <c r="GN145" i="2"/>
  <c r="DG145" i="2"/>
  <c r="DF145" i="2"/>
  <c r="DH145" i="2"/>
  <c r="FQ145" i="2"/>
  <c r="GL145" i="2"/>
  <c r="GM145" i="2"/>
  <c r="EW145" i="2"/>
  <c r="EV145" i="2"/>
  <c r="BR145" i="2"/>
  <c r="CM145" i="2"/>
  <c r="AV145" i="2"/>
  <c r="AW145" i="2"/>
  <c r="AU145" i="2"/>
  <c r="BQ145" i="2"/>
  <c r="BP145" i="2"/>
  <c r="CL145" i="2"/>
  <c r="CK145" i="2"/>
  <c r="GQ146" i="2"/>
  <c r="GP146" i="2"/>
  <c r="FU146" i="2"/>
  <c r="FV146" i="2"/>
  <c r="EZ146" i="2"/>
  <c r="EE146" i="2"/>
  <c r="EF146" i="2"/>
  <c r="FA146" i="2"/>
  <c r="CP146" i="2"/>
  <c r="CO146" i="2"/>
  <c r="DJ146" i="2"/>
  <c r="AZ146" i="2"/>
  <c r="BU146" i="2"/>
  <c r="BT146" i="2"/>
  <c r="DK146" i="2"/>
  <c r="AY146" i="2"/>
  <c r="AE146" i="2"/>
  <c r="AD146" i="2"/>
  <c r="J146" i="2"/>
  <c r="I146" i="2"/>
  <c r="K146" i="2"/>
  <c r="H184" i="2"/>
  <c r="D185" i="2"/>
  <c r="G185" i="2" s="1"/>
  <c r="L146" i="2"/>
  <c r="ED144" i="2"/>
  <c r="DI144" i="2"/>
  <c r="HD146" i="2"/>
  <c r="HE146" i="2"/>
  <c r="GJ146" i="2"/>
  <c r="GI146" i="2"/>
  <c r="ET146" i="2"/>
  <c r="FN146" i="2"/>
  <c r="DD146" i="2"/>
  <c r="BN146" i="2"/>
  <c r="FO146" i="2"/>
  <c r="CH146" i="2"/>
  <c r="ES146" i="2"/>
  <c r="DX146" i="2"/>
  <c r="DC146" i="2"/>
  <c r="W146" i="2"/>
  <c r="X146" i="2"/>
  <c r="DY146" i="2"/>
  <c r="BM146" i="2"/>
  <c r="AR146" i="2"/>
  <c r="CI146" i="2"/>
  <c r="AS146" i="2"/>
  <c r="HC146" i="2"/>
  <c r="HF146" i="2"/>
  <c r="HB146" i="2"/>
  <c r="GS146" i="2"/>
  <c r="GR146" i="2"/>
  <c r="GH146" i="2"/>
  <c r="FL146" i="2"/>
  <c r="FC146" i="2"/>
  <c r="FW146" i="2"/>
  <c r="FM146" i="2"/>
  <c r="FP146" i="2"/>
  <c r="FX146" i="2"/>
  <c r="DZ146" i="2"/>
  <c r="DL146" i="2"/>
  <c r="DE146" i="2"/>
  <c r="GG146" i="2"/>
  <c r="EQ146" i="2"/>
  <c r="EH146" i="2"/>
  <c r="CJ146" i="2"/>
  <c r="CR146" i="2"/>
  <c r="GK146" i="2"/>
  <c r="FB146" i="2"/>
  <c r="ER146" i="2"/>
  <c r="DV146" i="2"/>
  <c r="DM146" i="2"/>
  <c r="DA146" i="2"/>
  <c r="EU146" i="2"/>
  <c r="DW146" i="2"/>
  <c r="EG146" i="2"/>
  <c r="DB146" i="2"/>
  <c r="CQ146" i="2"/>
  <c r="CF146" i="2"/>
  <c r="CG146" i="2"/>
  <c r="BV146" i="2"/>
  <c r="BO146" i="2"/>
  <c r="BK146" i="2"/>
  <c r="BW146" i="2"/>
  <c r="BL146" i="2"/>
  <c r="BA146" i="2"/>
  <c r="AT146" i="2"/>
  <c r="BB146" i="2"/>
  <c r="GO144" i="2"/>
  <c r="CN144" i="2"/>
  <c r="EY144" i="2"/>
  <c r="HJ144" i="2"/>
  <c r="FT144" i="2"/>
  <c r="AA145" i="2"/>
  <c r="AF146" i="2"/>
  <c r="AP146" i="2"/>
  <c r="AQ146" i="2"/>
  <c r="AG146" i="2"/>
  <c r="V146" i="2"/>
  <c r="Y146" i="2"/>
  <c r="U146" i="2"/>
  <c r="A147" i="2"/>
  <c r="AB145" i="2"/>
  <c r="AX142" i="2"/>
  <c r="Z145" i="2"/>
  <c r="AC144" i="2"/>
  <c r="HH146" i="2" l="1"/>
  <c r="FS146" i="2"/>
  <c r="EA146" i="2"/>
  <c r="HI146" i="2"/>
  <c r="FR146" i="2"/>
  <c r="HG146" i="2"/>
  <c r="EX146" i="2"/>
  <c r="EC146" i="2"/>
  <c r="EW146" i="2"/>
  <c r="GN146" i="2"/>
  <c r="DF146" i="2"/>
  <c r="DH146" i="2"/>
  <c r="DG146" i="2"/>
  <c r="FQ146" i="2"/>
  <c r="GL146" i="2"/>
  <c r="GM146" i="2"/>
  <c r="EV146" i="2"/>
  <c r="EB146" i="2"/>
  <c r="CM146" i="2"/>
  <c r="BR146" i="2"/>
  <c r="AV146" i="2"/>
  <c r="AU146" i="2"/>
  <c r="AW146" i="2"/>
  <c r="BP146" i="2"/>
  <c r="BQ146" i="2"/>
  <c r="CL146" i="2"/>
  <c r="CK146" i="2"/>
  <c r="GQ147" i="2"/>
  <c r="GP147" i="2"/>
  <c r="FU147" i="2"/>
  <c r="FA147" i="2"/>
  <c r="EZ147" i="2"/>
  <c r="FV147" i="2"/>
  <c r="EF147" i="2"/>
  <c r="EE147" i="2"/>
  <c r="DK147" i="2"/>
  <c r="DJ147" i="2"/>
  <c r="CP147" i="2"/>
  <c r="CO147" i="2"/>
  <c r="BU147" i="2"/>
  <c r="AY147" i="2"/>
  <c r="AE147" i="2"/>
  <c r="BT147" i="2"/>
  <c r="AZ147" i="2"/>
  <c r="AD147" i="2"/>
  <c r="K147" i="2"/>
  <c r="J147" i="2"/>
  <c r="I147" i="2"/>
  <c r="H185" i="2"/>
  <c r="D186" i="2"/>
  <c r="G186" i="2" s="1"/>
  <c r="L147" i="2"/>
  <c r="HE147" i="2"/>
  <c r="HD147" i="2"/>
  <c r="GI147" i="2"/>
  <c r="FO147" i="2"/>
  <c r="ES147" i="2"/>
  <c r="ET147" i="2"/>
  <c r="DY147" i="2"/>
  <c r="DX147" i="2"/>
  <c r="DC147" i="2"/>
  <c r="DD147" i="2"/>
  <c r="BN147" i="2"/>
  <c r="FN147" i="2"/>
  <c r="CI147" i="2"/>
  <c r="BM147" i="2"/>
  <c r="AS147" i="2"/>
  <c r="W147" i="2"/>
  <c r="GJ147" i="2"/>
  <c r="CH147" i="2"/>
  <c r="X147" i="2"/>
  <c r="AR147" i="2"/>
  <c r="HC147" i="2"/>
  <c r="HF147" i="2"/>
  <c r="GK147" i="2"/>
  <c r="HB147" i="2"/>
  <c r="GS147" i="2"/>
  <c r="GR147" i="2"/>
  <c r="GG147" i="2"/>
  <c r="FX147" i="2"/>
  <c r="GH147" i="2"/>
  <c r="FL147" i="2"/>
  <c r="FC147" i="2"/>
  <c r="FW147" i="2"/>
  <c r="FM147" i="2"/>
  <c r="EU147" i="2"/>
  <c r="EG147" i="2"/>
  <c r="DW147" i="2"/>
  <c r="DB147" i="2"/>
  <c r="FP147" i="2"/>
  <c r="DZ147" i="2"/>
  <c r="DL147" i="2"/>
  <c r="DE147" i="2"/>
  <c r="EQ147" i="2"/>
  <c r="EH147" i="2"/>
  <c r="CJ147" i="2"/>
  <c r="CR147" i="2"/>
  <c r="DV147" i="2"/>
  <c r="FB147" i="2"/>
  <c r="DA147" i="2"/>
  <c r="ER147" i="2"/>
  <c r="DM147" i="2"/>
  <c r="BW147" i="2"/>
  <c r="BL147" i="2"/>
  <c r="CQ147" i="2"/>
  <c r="CF147" i="2"/>
  <c r="BB147" i="2"/>
  <c r="CG147" i="2"/>
  <c r="BV147" i="2"/>
  <c r="BO147" i="2"/>
  <c r="BK147" i="2"/>
  <c r="BA147" i="2"/>
  <c r="AT147" i="2"/>
  <c r="CN145" i="2"/>
  <c r="GO145" i="2"/>
  <c r="FT145" i="2"/>
  <c r="HJ145" i="2"/>
  <c r="EY145" i="2"/>
  <c r="DI145" i="2"/>
  <c r="ED145" i="2"/>
  <c r="AA146" i="2"/>
  <c r="AB146" i="2"/>
  <c r="AP147" i="2"/>
  <c r="AQ147" i="2"/>
  <c r="AG147" i="2"/>
  <c r="AF147" i="2"/>
  <c r="V147" i="2"/>
  <c r="U147" i="2"/>
  <c r="Y147" i="2"/>
  <c r="A148" i="2"/>
  <c r="AX143" i="2"/>
  <c r="Z146" i="2"/>
  <c r="AC145" i="2"/>
  <c r="EX147" i="2" l="1"/>
  <c r="EW147" i="2"/>
  <c r="HI147" i="2"/>
  <c r="EC147" i="2"/>
  <c r="FS147" i="2"/>
  <c r="HH147" i="2"/>
  <c r="GN147" i="2"/>
  <c r="HG147" i="2"/>
  <c r="DG147" i="2"/>
  <c r="DF147" i="2"/>
  <c r="DH147" i="2"/>
  <c r="FR147" i="2"/>
  <c r="FQ147" i="2"/>
  <c r="GM147" i="2"/>
  <c r="GL147" i="2"/>
  <c r="EV147" i="2"/>
  <c r="EA147" i="2"/>
  <c r="EB147" i="2"/>
  <c r="CM147" i="2"/>
  <c r="BP147" i="2"/>
  <c r="AV147" i="2"/>
  <c r="AW147" i="2"/>
  <c r="AU147" i="2"/>
  <c r="BR147" i="2"/>
  <c r="BQ147" i="2"/>
  <c r="CL147" i="2"/>
  <c r="CK147" i="2"/>
  <c r="GQ148" i="2"/>
  <c r="GP148" i="2"/>
  <c r="FU148" i="2"/>
  <c r="FA148" i="2"/>
  <c r="EZ148" i="2"/>
  <c r="EF148" i="2"/>
  <c r="EE148" i="2"/>
  <c r="FV148" i="2"/>
  <c r="DK148" i="2"/>
  <c r="DJ148" i="2"/>
  <c r="CP148" i="2"/>
  <c r="CO148" i="2"/>
  <c r="AZ148" i="2"/>
  <c r="BU148" i="2"/>
  <c r="BT148" i="2"/>
  <c r="AY148" i="2"/>
  <c r="AE148" i="2"/>
  <c r="AD148" i="2"/>
  <c r="K148" i="2"/>
  <c r="I148" i="2"/>
  <c r="J148" i="2"/>
  <c r="H186" i="2"/>
  <c r="D187" i="2"/>
  <c r="G187" i="2" s="1"/>
  <c r="L148" i="2"/>
  <c r="EY146" i="2"/>
  <c r="FT146" i="2"/>
  <c r="CN146" i="2"/>
  <c r="DI146" i="2"/>
  <c r="GO146" i="2"/>
  <c r="ED146" i="2"/>
  <c r="HD148" i="2"/>
  <c r="FO148" i="2"/>
  <c r="GI148" i="2"/>
  <c r="GJ148" i="2"/>
  <c r="ES148" i="2"/>
  <c r="DX148" i="2"/>
  <c r="HE148" i="2"/>
  <c r="CI148" i="2"/>
  <c r="BM148" i="2"/>
  <c r="ET148" i="2"/>
  <c r="DC148" i="2"/>
  <c r="DD148" i="2"/>
  <c r="CH148" i="2"/>
  <c r="BN148" i="2"/>
  <c r="AR148" i="2"/>
  <c r="FN148" i="2"/>
  <c r="AS148" i="2"/>
  <c r="DY148" i="2"/>
  <c r="X148" i="2"/>
  <c r="W148" i="2"/>
  <c r="HC148" i="2"/>
  <c r="GR148" i="2"/>
  <c r="GK148" i="2"/>
  <c r="HB148" i="2"/>
  <c r="GS148" i="2"/>
  <c r="HF148" i="2"/>
  <c r="FP148" i="2"/>
  <c r="GG148" i="2"/>
  <c r="FX148" i="2"/>
  <c r="GH148" i="2"/>
  <c r="FL148" i="2"/>
  <c r="FC148" i="2"/>
  <c r="FM148" i="2"/>
  <c r="FB148" i="2"/>
  <c r="ER148" i="2"/>
  <c r="DV148" i="2"/>
  <c r="DM148" i="2"/>
  <c r="DA148" i="2"/>
  <c r="EU148" i="2"/>
  <c r="EG148" i="2"/>
  <c r="DW148" i="2"/>
  <c r="DB148" i="2"/>
  <c r="FW148" i="2"/>
  <c r="DZ148" i="2"/>
  <c r="DL148" i="2"/>
  <c r="DE148" i="2"/>
  <c r="EQ148" i="2"/>
  <c r="EH148" i="2"/>
  <c r="CJ148" i="2"/>
  <c r="CR148" i="2"/>
  <c r="BK148" i="2"/>
  <c r="BW148" i="2"/>
  <c r="BL148" i="2"/>
  <c r="CQ148" i="2"/>
  <c r="CF148" i="2"/>
  <c r="BB148" i="2"/>
  <c r="CG148" i="2"/>
  <c r="BV148" i="2"/>
  <c r="BO148" i="2"/>
  <c r="BA148" i="2"/>
  <c r="AT148" i="2"/>
  <c r="HJ146" i="2"/>
  <c r="AB147" i="2"/>
  <c r="AF148" i="2"/>
  <c r="AQ148" i="2"/>
  <c r="AG148" i="2"/>
  <c r="AP148" i="2"/>
  <c r="V148" i="2"/>
  <c r="Y148" i="2"/>
  <c r="U148" i="2"/>
  <c r="A149" i="2"/>
  <c r="AA147" i="2"/>
  <c r="AX144" i="2"/>
  <c r="Z147" i="2"/>
  <c r="AC146" i="2"/>
  <c r="HI148" i="2" l="1"/>
  <c r="EX148" i="2"/>
  <c r="FS148" i="2"/>
  <c r="EC148" i="2"/>
  <c r="EA148" i="2"/>
  <c r="EV148" i="2"/>
  <c r="GN148" i="2"/>
  <c r="HG148" i="2"/>
  <c r="HH148" i="2"/>
  <c r="DG148" i="2"/>
  <c r="DF148" i="2"/>
  <c r="DH148" i="2"/>
  <c r="FQ148" i="2"/>
  <c r="FR148" i="2"/>
  <c r="GL148" i="2"/>
  <c r="GM148" i="2"/>
  <c r="EW148" i="2"/>
  <c r="EB148" i="2"/>
  <c r="CM148" i="2"/>
  <c r="AV148" i="2"/>
  <c r="AU148" i="2"/>
  <c r="AW148" i="2"/>
  <c r="BR148" i="2"/>
  <c r="BQ148" i="2"/>
  <c r="BP148" i="2"/>
  <c r="CK148" i="2"/>
  <c r="CL148" i="2"/>
  <c r="GQ149" i="2"/>
  <c r="GP149" i="2"/>
  <c r="FU149" i="2"/>
  <c r="FA149" i="2"/>
  <c r="EZ149" i="2"/>
  <c r="EF149" i="2"/>
  <c r="EE149" i="2"/>
  <c r="FV149" i="2"/>
  <c r="DK149" i="2"/>
  <c r="DJ149" i="2"/>
  <c r="BU149" i="2"/>
  <c r="BT149" i="2"/>
  <c r="CP149" i="2"/>
  <c r="CO149" i="2"/>
  <c r="AY149" i="2"/>
  <c r="AE149" i="2"/>
  <c r="AZ149" i="2"/>
  <c r="J149" i="2"/>
  <c r="AD149" i="2"/>
  <c r="K149" i="2"/>
  <c r="I149" i="2"/>
  <c r="H187" i="2"/>
  <c r="D188" i="2"/>
  <c r="G188" i="2" s="1"/>
  <c r="L149" i="2"/>
  <c r="AA148" i="2"/>
  <c r="ED147" i="2"/>
  <c r="DI147" i="2"/>
  <c r="GO147" i="2"/>
  <c r="EY147" i="2"/>
  <c r="HE149" i="2"/>
  <c r="GJ149" i="2"/>
  <c r="HD149" i="2"/>
  <c r="FN149" i="2"/>
  <c r="GI149" i="2"/>
  <c r="FO149" i="2"/>
  <c r="ET149" i="2"/>
  <c r="ES149" i="2"/>
  <c r="DY149" i="2"/>
  <c r="CH149" i="2"/>
  <c r="DX149" i="2"/>
  <c r="CI149" i="2"/>
  <c r="BM149" i="2"/>
  <c r="X149" i="2"/>
  <c r="DD149" i="2"/>
  <c r="DC149" i="2"/>
  <c r="BN149" i="2"/>
  <c r="AR149" i="2"/>
  <c r="AS149" i="2"/>
  <c r="W149" i="2"/>
  <c r="HF149" i="2"/>
  <c r="GR149" i="2"/>
  <c r="HC149" i="2"/>
  <c r="GK149" i="2"/>
  <c r="FW149" i="2"/>
  <c r="FM149" i="2"/>
  <c r="FP149" i="2"/>
  <c r="HB149" i="2"/>
  <c r="GS149" i="2"/>
  <c r="GG149" i="2"/>
  <c r="FX149" i="2"/>
  <c r="EQ149" i="2"/>
  <c r="EH149" i="2"/>
  <c r="CJ149" i="2"/>
  <c r="FB149" i="2"/>
  <c r="ER149" i="2"/>
  <c r="DV149" i="2"/>
  <c r="DM149" i="2"/>
  <c r="DA149" i="2"/>
  <c r="EU149" i="2"/>
  <c r="EG149" i="2"/>
  <c r="DW149" i="2"/>
  <c r="DB149" i="2"/>
  <c r="GH149" i="2"/>
  <c r="FL149" i="2"/>
  <c r="FC149" i="2"/>
  <c r="DZ149" i="2"/>
  <c r="DE149" i="2"/>
  <c r="DL149" i="2"/>
  <c r="CR149" i="2"/>
  <c r="CG149" i="2"/>
  <c r="BV149" i="2"/>
  <c r="BO149" i="2"/>
  <c r="BK149" i="2"/>
  <c r="BW149" i="2"/>
  <c r="BL149" i="2"/>
  <c r="CQ149" i="2"/>
  <c r="CF149" i="2"/>
  <c r="BB149" i="2"/>
  <c r="BA149" i="2"/>
  <c r="AT149" i="2"/>
  <c r="FT147" i="2"/>
  <c r="HJ147" i="2"/>
  <c r="CN147" i="2"/>
  <c r="AB148" i="2"/>
  <c r="AQ149" i="2"/>
  <c r="AG149" i="2"/>
  <c r="AF149" i="2"/>
  <c r="AP149" i="2"/>
  <c r="A150" i="2"/>
  <c r="Y149" i="2"/>
  <c r="U149" i="2"/>
  <c r="V149" i="2"/>
  <c r="AX145" i="2"/>
  <c r="Z148" i="2"/>
  <c r="AC147" i="2"/>
  <c r="EC149" i="2" l="1"/>
  <c r="EX149" i="2"/>
  <c r="HG149" i="2"/>
  <c r="HH149" i="2"/>
  <c r="FS149" i="2"/>
  <c r="EW149" i="2"/>
  <c r="HI149" i="2"/>
  <c r="GN149" i="2"/>
  <c r="DF149" i="2"/>
  <c r="DG149" i="2"/>
  <c r="DH149" i="2"/>
  <c r="FR149" i="2"/>
  <c r="FQ149" i="2"/>
  <c r="GL149" i="2"/>
  <c r="GM149" i="2"/>
  <c r="EV149" i="2"/>
  <c r="EA149" i="2"/>
  <c r="EB149" i="2"/>
  <c r="CM149" i="2"/>
  <c r="BQ149" i="2"/>
  <c r="BR149" i="2"/>
  <c r="AV149" i="2"/>
  <c r="AW149" i="2"/>
  <c r="AU149" i="2"/>
  <c r="BP149" i="2"/>
  <c r="CL149" i="2"/>
  <c r="CK149" i="2"/>
  <c r="GQ150" i="2"/>
  <c r="GP150" i="2"/>
  <c r="FU150" i="2"/>
  <c r="FV150" i="2"/>
  <c r="FA150" i="2"/>
  <c r="EZ150" i="2"/>
  <c r="EF150" i="2"/>
  <c r="EE150" i="2"/>
  <c r="CP150" i="2"/>
  <c r="CO150" i="2"/>
  <c r="DK150" i="2"/>
  <c r="DJ150" i="2"/>
  <c r="BU150" i="2"/>
  <c r="BT150" i="2"/>
  <c r="AZ150" i="2"/>
  <c r="AY150" i="2"/>
  <c r="AE150" i="2"/>
  <c r="AD150" i="2"/>
  <c r="K150" i="2"/>
  <c r="J150" i="2"/>
  <c r="I150" i="2"/>
  <c r="H188" i="2"/>
  <c r="D189" i="2"/>
  <c r="G189" i="2" s="1"/>
  <c r="L150" i="2"/>
  <c r="AA149" i="2"/>
  <c r="HJ148" i="2"/>
  <c r="HD150" i="2"/>
  <c r="HE150" i="2"/>
  <c r="GJ150" i="2"/>
  <c r="ET150" i="2"/>
  <c r="FN150" i="2"/>
  <c r="FO150" i="2"/>
  <c r="GI150" i="2"/>
  <c r="ES150" i="2"/>
  <c r="DD150" i="2"/>
  <c r="BN150" i="2"/>
  <c r="DY150" i="2"/>
  <c r="CH150" i="2"/>
  <c r="W150" i="2"/>
  <c r="DX150" i="2"/>
  <c r="CI150" i="2"/>
  <c r="BM150" i="2"/>
  <c r="X150" i="2"/>
  <c r="DC150" i="2"/>
  <c r="AS150" i="2"/>
  <c r="AR150" i="2"/>
  <c r="HC150" i="2"/>
  <c r="HF150" i="2"/>
  <c r="HB150" i="2"/>
  <c r="GS150" i="2"/>
  <c r="GR150" i="2"/>
  <c r="GK150" i="2"/>
  <c r="GH150" i="2"/>
  <c r="FL150" i="2"/>
  <c r="FC150" i="2"/>
  <c r="FW150" i="2"/>
  <c r="FM150" i="2"/>
  <c r="FP150" i="2"/>
  <c r="DZ150" i="2"/>
  <c r="DL150" i="2"/>
  <c r="DE150" i="2"/>
  <c r="FX150" i="2"/>
  <c r="EQ150" i="2"/>
  <c r="EH150" i="2"/>
  <c r="CJ150" i="2"/>
  <c r="CR150" i="2"/>
  <c r="GG150" i="2"/>
  <c r="FB150" i="2"/>
  <c r="ER150" i="2"/>
  <c r="DV150" i="2"/>
  <c r="DM150" i="2"/>
  <c r="DA150" i="2"/>
  <c r="EG150" i="2"/>
  <c r="EU150" i="2"/>
  <c r="DW150" i="2"/>
  <c r="CQ150" i="2"/>
  <c r="CF150" i="2"/>
  <c r="DB150" i="2"/>
  <c r="CG150" i="2"/>
  <c r="BV150" i="2"/>
  <c r="BO150" i="2"/>
  <c r="BK150" i="2"/>
  <c r="BW150" i="2"/>
  <c r="BL150" i="2"/>
  <c r="BB150" i="2"/>
  <c r="BA150" i="2"/>
  <c r="AT150" i="2"/>
  <c r="CN148" i="2"/>
  <c r="EY148" i="2"/>
  <c r="FT148" i="2"/>
  <c r="GO148" i="2"/>
  <c r="DI148" i="2"/>
  <c r="ED148" i="2"/>
  <c r="AP150" i="2"/>
  <c r="AF150" i="2"/>
  <c r="AQ150" i="2"/>
  <c r="AG150" i="2"/>
  <c r="V150" i="2"/>
  <c r="A151" i="2"/>
  <c r="Y150" i="2"/>
  <c r="U150" i="2"/>
  <c r="AB149" i="2"/>
  <c r="AX146" i="2"/>
  <c r="Z149" i="2"/>
  <c r="AC148" i="2"/>
  <c r="HH150" i="2" l="1"/>
  <c r="EC150" i="2"/>
  <c r="EV150" i="2"/>
  <c r="FS150" i="2"/>
  <c r="HI150" i="2"/>
  <c r="HG150" i="2"/>
  <c r="EX150" i="2"/>
  <c r="GN150" i="2"/>
  <c r="DF150" i="2"/>
  <c r="DG150" i="2"/>
  <c r="DH150" i="2"/>
  <c r="FQ150" i="2"/>
  <c r="FR150" i="2"/>
  <c r="GL150" i="2"/>
  <c r="GM150" i="2"/>
  <c r="EW150" i="2"/>
  <c r="EA150" i="2"/>
  <c r="EB150" i="2"/>
  <c r="CM150" i="2"/>
  <c r="BQ150" i="2"/>
  <c r="BR150" i="2"/>
  <c r="AV150" i="2"/>
  <c r="AU150" i="2"/>
  <c r="AW150" i="2"/>
  <c r="BP150" i="2"/>
  <c r="CL150" i="2"/>
  <c r="CK150" i="2"/>
  <c r="GQ151" i="2"/>
  <c r="GP151" i="2"/>
  <c r="FU151" i="2"/>
  <c r="FA151" i="2"/>
  <c r="EZ151" i="2"/>
  <c r="FV151" i="2"/>
  <c r="EF151" i="2"/>
  <c r="EE151" i="2"/>
  <c r="DK151" i="2"/>
  <c r="DJ151" i="2"/>
  <c r="CP151" i="2"/>
  <c r="CO151" i="2"/>
  <c r="AZ151" i="2"/>
  <c r="BU151" i="2"/>
  <c r="BT151" i="2"/>
  <c r="AY151" i="2"/>
  <c r="AD151" i="2"/>
  <c r="K151" i="2"/>
  <c r="AE151" i="2"/>
  <c r="J151" i="2"/>
  <c r="I151" i="2"/>
  <c r="H189" i="2"/>
  <c r="D190" i="2"/>
  <c r="G190" i="2" s="1"/>
  <c r="L151" i="2"/>
  <c r="AA150" i="2"/>
  <c r="DI149" i="2"/>
  <c r="EY149" i="2"/>
  <c r="HJ149" i="2"/>
  <c r="ED149" i="2"/>
  <c r="GO149" i="2"/>
  <c r="HE151" i="2"/>
  <c r="GJ151" i="2"/>
  <c r="GI151" i="2"/>
  <c r="ES151" i="2"/>
  <c r="ET151" i="2"/>
  <c r="FN151" i="2"/>
  <c r="DY151" i="2"/>
  <c r="FO151" i="2"/>
  <c r="DC151" i="2"/>
  <c r="HD151" i="2"/>
  <c r="DD151" i="2"/>
  <c r="BN151" i="2"/>
  <c r="AS151" i="2"/>
  <c r="CH151" i="2"/>
  <c r="W151" i="2"/>
  <c r="DX151" i="2"/>
  <c r="CI151" i="2"/>
  <c r="BM151" i="2"/>
  <c r="AR151" i="2"/>
  <c r="X151" i="2"/>
  <c r="HC151" i="2"/>
  <c r="HF151" i="2"/>
  <c r="GK151" i="2"/>
  <c r="HB151" i="2"/>
  <c r="GS151" i="2"/>
  <c r="GG151" i="2"/>
  <c r="FX151" i="2"/>
  <c r="GR151" i="2"/>
  <c r="GH151" i="2"/>
  <c r="FL151" i="2"/>
  <c r="FC151" i="2"/>
  <c r="FW151" i="2"/>
  <c r="FM151" i="2"/>
  <c r="EU151" i="2"/>
  <c r="EG151" i="2"/>
  <c r="DW151" i="2"/>
  <c r="DB151" i="2"/>
  <c r="DZ151" i="2"/>
  <c r="DL151" i="2"/>
  <c r="DE151" i="2"/>
  <c r="FP151" i="2"/>
  <c r="EQ151" i="2"/>
  <c r="EH151" i="2"/>
  <c r="CJ151" i="2"/>
  <c r="CR151" i="2"/>
  <c r="DV151" i="2"/>
  <c r="FB151" i="2"/>
  <c r="DA151" i="2"/>
  <c r="ER151" i="2"/>
  <c r="BW151" i="2"/>
  <c r="BL151" i="2"/>
  <c r="CQ151" i="2"/>
  <c r="CF151" i="2"/>
  <c r="BB151" i="2"/>
  <c r="CG151" i="2"/>
  <c r="BV151" i="2"/>
  <c r="BO151" i="2"/>
  <c r="DM151" i="2"/>
  <c r="BK151" i="2"/>
  <c r="BA151" i="2"/>
  <c r="AT151" i="2"/>
  <c r="FT149" i="2"/>
  <c r="CN149" i="2"/>
  <c r="AB150" i="2"/>
  <c r="AQ151" i="2"/>
  <c r="AF151" i="2"/>
  <c r="AP151" i="2"/>
  <c r="AG151" i="2"/>
  <c r="A152" i="2"/>
  <c r="U151" i="2"/>
  <c r="V151" i="2"/>
  <c r="Y151" i="2"/>
  <c r="AX147" i="2"/>
  <c r="Z150" i="2"/>
  <c r="AC149" i="2"/>
  <c r="N17" i="6"/>
  <c r="N19" i="6" s="1"/>
  <c r="EX151" i="2" l="1"/>
  <c r="EC151" i="2"/>
  <c r="EV151" i="2"/>
  <c r="HI151" i="2"/>
  <c r="EW151" i="2"/>
  <c r="FS151" i="2"/>
  <c r="EB151" i="2"/>
  <c r="EA151" i="2"/>
  <c r="AW151" i="2"/>
  <c r="GN151" i="2"/>
  <c r="HG151" i="2"/>
  <c r="HH151" i="2"/>
  <c r="DG151" i="2"/>
  <c r="DH151" i="2"/>
  <c r="DF151" i="2"/>
  <c r="FR151" i="2"/>
  <c r="FQ151" i="2"/>
  <c r="GL151" i="2"/>
  <c r="GM151" i="2"/>
  <c r="BQ151" i="2"/>
  <c r="BR151" i="2"/>
  <c r="CM151" i="2"/>
  <c r="AV151" i="2"/>
  <c r="AU151" i="2"/>
  <c r="BP151" i="2"/>
  <c r="CK151" i="2"/>
  <c r="CL151" i="2"/>
  <c r="T24" i="6"/>
  <c r="T25" i="6" s="1"/>
  <c r="T26" i="6" s="1"/>
  <c r="GQ152" i="2"/>
  <c r="GP152" i="2"/>
  <c r="FU152" i="2"/>
  <c r="FV152" i="2"/>
  <c r="EZ152" i="2"/>
  <c r="FA152" i="2"/>
  <c r="EF152" i="2"/>
  <c r="EE152" i="2"/>
  <c r="CP152" i="2"/>
  <c r="CO152" i="2"/>
  <c r="DK152" i="2"/>
  <c r="AZ152" i="2"/>
  <c r="DJ152" i="2"/>
  <c r="BU152" i="2"/>
  <c r="BT152" i="2"/>
  <c r="AY152" i="2"/>
  <c r="AE152" i="2"/>
  <c r="AD152" i="2"/>
  <c r="K152" i="2"/>
  <c r="J152" i="2"/>
  <c r="I152" i="2"/>
  <c r="H190" i="2"/>
  <c r="D191" i="2"/>
  <c r="G191" i="2" s="1"/>
  <c r="L152" i="2"/>
  <c r="CN150" i="2"/>
  <c r="ED150" i="2"/>
  <c r="DI150" i="2"/>
  <c r="HD152" i="2"/>
  <c r="GJ152" i="2"/>
  <c r="GI152" i="2"/>
  <c r="FO152" i="2"/>
  <c r="ES152" i="2"/>
  <c r="DX152" i="2"/>
  <c r="FN152" i="2"/>
  <c r="ET152" i="2"/>
  <c r="CI152" i="2"/>
  <c r="BM152" i="2"/>
  <c r="HE152" i="2"/>
  <c r="DC152" i="2"/>
  <c r="DY152" i="2"/>
  <c r="AR152" i="2"/>
  <c r="DD152" i="2"/>
  <c r="CH152" i="2"/>
  <c r="BN152" i="2"/>
  <c r="AS152" i="2"/>
  <c r="X152" i="2"/>
  <c r="W152" i="2"/>
  <c r="HC152" i="2"/>
  <c r="HF152" i="2"/>
  <c r="GR152" i="2"/>
  <c r="GK152" i="2"/>
  <c r="HB152" i="2"/>
  <c r="GS152" i="2"/>
  <c r="FP152" i="2"/>
  <c r="GG152" i="2"/>
  <c r="FX152" i="2"/>
  <c r="GH152" i="2"/>
  <c r="FL152" i="2"/>
  <c r="FC152" i="2"/>
  <c r="FB152" i="2"/>
  <c r="ER152" i="2"/>
  <c r="DV152" i="2"/>
  <c r="DM152" i="2"/>
  <c r="DA152" i="2"/>
  <c r="FM152" i="2"/>
  <c r="EU152" i="2"/>
  <c r="EG152" i="2"/>
  <c r="DW152" i="2"/>
  <c r="DB152" i="2"/>
  <c r="DZ152" i="2"/>
  <c r="DL152" i="2"/>
  <c r="DE152" i="2"/>
  <c r="FW152" i="2"/>
  <c r="EQ152" i="2"/>
  <c r="EH152" i="2"/>
  <c r="CJ152" i="2"/>
  <c r="BK152" i="2"/>
  <c r="CR152" i="2"/>
  <c r="BW152" i="2"/>
  <c r="BL152" i="2"/>
  <c r="CQ152" i="2"/>
  <c r="CF152" i="2"/>
  <c r="BB152" i="2"/>
  <c r="CG152" i="2"/>
  <c r="BV152" i="2"/>
  <c r="BO152" i="2"/>
  <c r="BA152" i="2"/>
  <c r="AT152" i="2"/>
  <c r="FT150" i="2"/>
  <c r="GO150" i="2"/>
  <c r="HJ150" i="2"/>
  <c r="EY150" i="2"/>
  <c r="AB151" i="2"/>
  <c r="AQ152" i="2"/>
  <c r="AG152" i="2"/>
  <c r="AP152" i="2"/>
  <c r="AF152" i="2"/>
  <c r="Y152" i="2"/>
  <c r="U152" i="2"/>
  <c r="V152" i="2"/>
  <c r="A153" i="2"/>
  <c r="AA151" i="2"/>
  <c r="AX148" i="2"/>
  <c r="Z151" i="2"/>
  <c r="AC150" i="2"/>
  <c r="HI152" i="2" l="1"/>
  <c r="EB152" i="2"/>
  <c r="EV152" i="2"/>
  <c r="EC152" i="2"/>
  <c r="FS152" i="2"/>
  <c r="EX152" i="2"/>
  <c r="HG152" i="2"/>
  <c r="GN152" i="2"/>
  <c r="HH152" i="2"/>
  <c r="DF152" i="2"/>
  <c r="DG152" i="2"/>
  <c r="DH152" i="2"/>
  <c r="FQ152" i="2"/>
  <c r="FR152" i="2"/>
  <c r="GL152" i="2"/>
  <c r="GM152" i="2"/>
  <c r="EW152" i="2"/>
  <c r="EA152" i="2"/>
  <c r="BR152" i="2"/>
  <c r="CM152" i="2"/>
  <c r="BP152" i="2"/>
  <c r="AV152" i="2"/>
  <c r="AU152" i="2"/>
  <c r="AW152" i="2"/>
  <c r="BQ152" i="2"/>
  <c r="CK152" i="2"/>
  <c r="CL152" i="2"/>
  <c r="GQ153" i="2"/>
  <c r="GP153" i="2"/>
  <c r="FU153" i="2"/>
  <c r="FV153" i="2"/>
  <c r="FA153" i="2"/>
  <c r="EF153" i="2"/>
  <c r="EZ153" i="2"/>
  <c r="DJ153" i="2"/>
  <c r="DK153" i="2"/>
  <c r="CO153" i="2"/>
  <c r="CP153" i="2"/>
  <c r="BU153" i="2"/>
  <c r="BT153" i="2"/>
  <c r="EE153" i="2"/>
  <c r="AY153" i="2"/>
  <c r="AE153" i="2"/>
  <c r="AZ153" i="2"/>
  <c r="AD153" i="2"/>
  <c r="J153" i="2"/>
  <c r="K153" i="2"/>
  <c r="I153" i="2"/>
  <c r="A154" i="2"/>
  <c r="H191" i="2"/>
  <c r="D192" i="2"/>
  <c r="G192" i="2" s="1"/>
  <c r="L153" i="2"/>
  <c r="FT151" i="2"/>
  <c r="DI151" i="2"/>
  <c r="HE153" i="2"/>
  <c r="HD153" i="2"/>
  <c r="GJ153" i="2"/>
  <c r="FN153" i="2"/>
  <c r="FO153" i="2"/>
  <c r="ES153" i="2"/>
  <c r="DX153" i="2"/>
  <c r="CH153" i="2"/>
  <c r="CI153" i="2"/>
  <c r="BM153" i="2"/>
  <c r="GI153" i="2"/>
  <c r="X153" i="2"/>
  <c r="ET153" i="2"/>
  <c r="DY153" i="2"/>
  <c r="AR153" i="2"/>
  <c r="DD153" i="2"/>
  <c r="DC153" i="2"/>
  <c r="BN153" i="2"/>
  <c r="AS153" i="2"/>
  <c r="W153" i="2"/>
  <c r="HF153" i="2"/>
  <c r="GR153" i="2"/>
  <c r="GK153" i="2"/>
  <c r="FW153" i="2"/>
  <c r="FM153" i="2"/>
  <c r="FP153" i="2"/>
  <c r="GG153" i="2"/>
  <c r="FX153" i="2"/>
  <c r="GH153" i="2"/>
  <c r="FL153" i="2"/>
  <c r="FC153" i="2"/>
  <c r="EQ153" i="2"/>
  <c r="EH153" i="2"/>
  <c r="CJ153" i="2"/>
  <c r="HC153" i="2"/>
  <c r="FB153" i="2"/>
  <c r="ER153" i="2"/>
  <c r="DV153" i="2"/>
  <c r="DM153" i="2"/>
  <c r="DA153" i="2"/>
  <c r="HB153" i="2"/>
  <c r="GS153" i="2"/>
  <c r="EU153" i="2"/>
  <c r="EG153" i="2"/>
  <c r="DW153" i="2"/>
  <c r="DB153" i="2"/>
  <c r="DZ153" i="2"/>
  <c r="CR153" i="2"/>
  <c r="DE153" i="2"/>
  <c r="DL153" i="2"/>
  <c r="CG153" i="2"/>
  <c r="BV153" i="2"/>
  <c r="BO153" i="2"/>
  <c r="BK153" i="2"/>
  <c r="BW153" i="2"/>
  <c r="BL153" i="2"/>
  <c r="CQ153" i="2"/>
  <c r="CF153" i="2"/>
  <c r="BB153" i="2"/>
  <c r="BA153" i="2"/>
  <c r="AT153" i="2"/>
  <c r="GO151" i="2"/>
  <c r="CN151" i="2"/>
  <c r="HJ151" i="2"/>
  <c r="EY151" i="2"/>
  <c r="ED151" i="2"/>
  <c r="AA152" i="2"/>
  <c r="AB152" i="2"/>
  <c r="AP153" i="2"/>
  <c r="AF153" i="2"/>
  <c r="AQ153" i="2"/>
  <c r="AG153" i="2"/>
  <c r="V153" i="2"/>
  <c r="U153" i="2"/>
  <c r="Y153" i="2"/>
  <c r="AX149" i="2"/>
  <c r="Z152" i="2"/>
  <c r="AC151" i="2"/>
  <c r="EX153" i="2" l="1"/>
  <c r="EA153" i="2"/>
  <c r="EB153" i="2"/>
  <c r="HI153" i="2"/>
  <c r="FS153" i="2"/>
  <c r="EC153" i="2"/>
  <c r="HH153" i="2"/>
  <c r="GN153" i="2"/>
  <c r="HG153" i="2"/>
  <c r="DF153" i="2"/>
  <c r="DG153" i="2"/>
  <c r="DH153" i="2"/>
  <c r="FR153" i="2"/>
  <c r="FQ153" i="2"/>
  <c r="GL153" i="2"/>
  <c r="GM153" i="2"/>
  <c r="EV153" i="2"/>
  <c r="EW153" i="2"/>
  <c r="CM153" i="2"/>
  <c r="BP153" i="2"/>
  <c r="BR153" i="2"/>
  <c r="AV153" i="2"/>
  <c r="AW153" i="2"/>
  <c r="AU153" i="2"/>
  <c r="BQ153" i="2"/>
  <c r="CL153" i="2"/>
  <c r="CK153" i="2"/>
  <c r="A155" i="2"/>
  <c r="GQ154" i="2"/>
  <c r="GP154" i="2"/>
  <c r="FV154" i="2"/>
  <c r="FU154" i="2"/>
  <c r="FA154" i="2"/>
  <c r="EF154" i="2"/>
  <c r="EZ154" i="2"/>
  <c r="EE154" i="2"/>
  <c r="CP154" i="2"/>
  <c r="CO154" i="2"/>
  <c r="DJ154" i="2"/>
  <c r="AZ154" i="2"/>
  <c r="BU154" i="2"/>
  <c r="BT154" i="2"/>
  <c r="DK154" i="2"/>
  <c r="AY154" i="2"/>
  <c r="AD154" i="2"/>
  <c r="AE154" i="2"/>
  <c r="J154" i="2"/>
  <c r="I154" i="2"/>
  <c r="K154" i="2"/>
  <c r="FW154" i="2"/>
  <c r="FL154" i="2"/>
  <c r="GR154" i="2"/>
  <c r="FX154" i="2"/>
  <c r="FM154" i="2"/>
  <c r="GS154" i="2"/>
  <c r="GG154" i="2"/>
  <c r="FN154" i="2"/>
  <c r="HB154" i="2"/>
  <c r="HC154" i="2"/>
  <c r="GI154" i="2"/>
  <c r="FP154" i="2"/>
  <c r="HD154" i="2"/>
  <c r="HG154" i="2" s="1"/>
  <c r="GJ154" i="2"/>
  <c r="HE154" i="2"/>
  <c r="GK154" i="2"/>
  <c r="FB154" i="2"/>
  <c r="HF154" i="2"/>
  <c r="FC154" i="2"/>
  <c r="ER154" i="2"/>
  <c r="EH154" i="2"/>
  <c r="DV154" i="2"/>
  <c r="GH154" i="2"/>
  <c r="EQ154" i="2"/>
  <c r="ES154" i="2"/>
  <c r="EU154" i="2"/>
  <c r="DZ154" i="2"/>
  <c r="FO154" i="2"/>
  <c r="DL154" i="2"/>
  <c r="DD154" i="2"/>
  <c r="CJ154" i="2"/>
  <c r="EG154" i="2"/>
  <c r="DM154" i="2"/>
  <c r="DE154" i="2"/>
  <c r="ET154" i="2"/>
  <c r="CQ154" i="2"/>
  <c r="BW154" i="2"/>
  <c r="BL154" i="2"/>
  <c r="AS154" i="2"/>
  <c r="DW154" i="2"/>
  <c r="CR154" i="2"/>
  <c r="CF154" i="2"/>
  <c r="BM154" i="2"/>
  <c r="BA154" i="2"/>
  <c r="AT154" i="2"/>
  <c r="DX154" i="2"/>
  <c r="DA154" i="2"/>
  <c r="DY154" i="2"/>
  <c r="DC154" i="2"/>
  <c r="CI154" i="2"/>
  <c r="BK154" i="2"/>
  <c r="BN154" i="2"/>
  <c r="U154" i="2"/>
  <c r="BV154" i="2"/>
  <c r="BO154" i="2"/>
  <c r="AP154" i="2"/>
  <c r="V154" i="2"/>
  <c r="L154" i="2"/>
  <c r="DB154" i="2"/>
  <c r="CG154" i="2"/>
  <c r="AQ154" i="2"/>
  <c r="AF154" i="2"/>
  <c r="W154" i="2"/>
  <c r="CH154" i="2"/>
  <c r="BB154" i="2"/>
  <c r="AR154" i="2"/>
  <c r="AG154" i="2"/>
  <c r="X154" i="2"/>
  <c r="Y154" i="2"/>
  <c r="H192" i="2"/>
  <c r="D193" i="2"/>
  <c r="G193" i="2" s="1"/>
  <c r="ED152" i="2"/>
  <c r="FT152" i="2"/>
  <c r="EY152" i="2"/>
  <c r="CN152" i="2"/>
  <c r="GO152" i="2"/>
  <c r="HJ152" i="2"/>
  <c r="DI152" i="2"/>
  <c r="AA153" i="2"/>
  <c r="AB153" i="2"/>
  <c r="AX150" i="2"/>
  <c r="Z153" i="2"/>
  <c r="AC152" i="2"/>
  <c r="HH154" i="2" l="1"/>
  <c r="EB154" i="2"/>
  <c r="AB154" i="2"/>
  <c r="EX154" i="2"/>
  <c r="AA154" i="2"/>
  <c r="EV154" i="2"/>
  <c r="EC154" i="2"/>
  <c r="EA154" i="2"/>
  <c r="FS154" i="2"/>
  <c r="HI154" i="2"/>
  <c r="GN154" i="2"/>
  <c r="DF154" i="2"/>
  <c r="DG154" i="2"/>
  <c r="DH154" i="2"/>
  <c r="FQ154" i="2"/>
  <c r="FR154" i="2"/>
  <c r="GL154" i="2"/>
  <c r="GM154" i="2"/>
  <c r="EW154" i="2"/>
  <c r="Z154" i="2"/>
  <c r="CM154" i="2"/>
  <c r="BR154" i="2"/>
  <c r="AV154" i="2"/>
  <c r="AU154" i="2"/>
  <c r="AW154" i="2"/>
  <c r="BQ154" i="2"/>
  <c r="BP154" i="2"/>
  <c r="CL154" i="2"/>
  <c r="CK154" i="2"/>
  <c r="GQ155" i="2"/>
  <c r="GP155" i="2"/>
  <c r="FU155" i="2"/>
  <c r="FA155" i="2"/>
  <c r="EZ155" i="2"/>
  <c r="FV155" i="2"/>
  <c r="EF155" i="2"/>
  <c r="EE155" i="2"/>
  <c r="DK155" i="2"/>
  <c r="DJ155" i="2"/>
  <c r="CO155" i="2"/>
  <c r="CP155" i="2"/>
  <c r="AZ155" i="2"/>
  <c r="AY155" i="2"/>
  <c r="AE155" i="2"/>
  <c r="BU155" i="2"/>
  <c r="BT155" i="2"/>
  <c r="AD155" i="2"/>
  <c r="K155" i="2"/>
  <c r="J155" i="2"/>
  <c r="I155" i="2"/>
  <c r="GR155" i="2"/>
  <c r="FX155" i="2"/>
  <c r="FM155" i="2"/>
  <c r="GS155" i="2"/>
  <c r="GG155" i="2"/>
  <c r="FN155" i="2"/>
  <c r="HB155" i="2"/>
  <c r="GH155" i="2"/>
  <c r="FO155" i="2"/>
  <c r="HC155" i="2"/>
  <c r="HD155" i="2"/>
  <c r="HG155" i="2" s="1"/>
  <c r="GJ155" i="2"/>
  <c r="HE155" i="2"/>
  <c r="HH155" i="2" s="1"/>
  <c r="GK155" i="2"/>
  <c r="FB155" i="2"/>
  <c r="HF155" i="2"/>
  <c r="FC155" i="2"/>
  <c r="FW155" i="2"/>
  <c r="FL155" i="2"/>
  <c r="ES155" i="2"/>
  <c r="ER155" i="2"/>
  <c r="DW155" i="2"/>
  <c r="ET155" i="2"/>
  <c r="GI155" i="2"/>
  <c r="EU155" i="2"/>
  <c r="EG155" i="2"/>
  <c r="FP155" i="2"/>
  <c r="EH155" i="2"/>
  <c r="DM155" i="2"/>
  <c r="DE155" i="2"/>
  <c r="EQ155" i="2"/>
  <c r="DV155" i="2"/>
  <c r="BV155" i="2"/>
  <c r="DY155" i="2"/>
  <c r="CR155" i="2"/>
  <c r="DZ155" i="2"/>
  <c r="DB155" i="2"/>
  <c r="CH155" i="2"/>
  <c r="BO155" i="2"/>
  <c r="DC155" i="2"/>
  <c r="CI155" i="2"/>
  <c r="DD155" i="2"/>
  <c r="DL155" i="2"/>
  <c r="BK155" i="2"/>
  <c r="BB155" i="2"/>
  <c r="AR155" i="2"/>
  <c r="DX155" i="2"/>
  <c r="CF155" i="2"/>
  <c r="AQ155" i="2"/>
  <c r="AG155" i="2"/>
  <c r="U155" i="2"/>
  <c r="V155" i="2"/>
  <c r="CJ155" i="2"/>
  <c r="AT155" i="2"/>
  <c r="X155" i="2"/>
  <c r="Y155" i="2"/>
  <c r="BL155" i="2"/>
  <c r="CQ155" i="2"/>
  <c r="BM155" i="2"/>
  <c r="L155" i="2"/>
  <c r="CG155" i="2"/>
  <c r="AS155" i="2"/>
  <c r="DA155" i="2"/>
  <c r="BW155" i="2"/>
  <c r="BN155" i="2"/>
  <c r="BA155" i="2"/>
  <c r="AP155" i="2"/>
  <c r="AF155" i="2"/>
  <c r="W155" i="2"/>
  <c r="A156" i="2"/>
  <c r="H193" i="2"/>
  <c r="HJ154" i="2"/>
  <c r="D194" i="2"/>
  <c r="G194" i="2" s="1"/>
  <c r="DI153" i="2"/>
  <c r="FT153" i="2"/>
  <c r="CN153" i="2"/>
  <c r="HJ153" i="2"/>
  <c r="GO153" i="2"/>
  <c r="EY153" i="2"/>
  <c r="ED153" i="2"/>
  <c r="AC153" i="2"/>
  <c r="AX151" i="2"/>
  <c r="EA155" i="2" l="1"/>
  <c r="AC154" i="2"/>
  <c r="EY154" i="2"/>
  <c r="ED154" i="2"/>
  <c r="DI154" i="2"/>
  <c r="EW155" i="2"/>
  <c r="EX155" i="2"/>
  <c r="EC155" i="2"/>
  <c r="HI155" i="2"/>
  <c r="AW155" i="2"/>
  <c r="CN154" i="2"/>
  <c r="FS155" i="2"/>
  <c r="FT154" i="2"/>
  <c r="GO154" i="2"/>
  <c r="GN155" i="2"/>
  <c r="DG155" i="2"/>
  <c r="DF155" i="2"/>
  <c r="DH155" i="2"/>
  <c r="FR155" i="2"/>
  <c r="FQ155" i="2"/>
  <c r="GM155" i="2"/>
  <c r="GL155" i="2"/>
  <c r="EV155" i="2"/>
  <c r="EB155" i="2"/>
  <c r="Z155" i="2"/>
  <c r="CM155" i="2"/>
  <c r="BQ155" i="2"/>
  <c r="AV155" i="2"/>
  <c r="AU155" i="2"/>
  <c r="BR155" i="2"/>
  <c r="BP155" i="2"/>
  <c r="CK155" i="2"/>
  <c r="CL155" i="2"/>
  <c r="AA155" i="2"/>
  <c r="A157" i="2"/>
  <c r="GQ156" i="2"/>
  <c r="GP156" i="2"/>
  <c r="FU156" i="2"/>
  <c r="FA156" i="2"/>
  <c r="EZ156" i="2"/>
  <c r="FV156" i="2"/>
  <c r="EF156" i="2"/>
  <c r="EE156" i="2"/>
  <c r="DK156" i="2"/>
  <c r="DJ156" i="2"/>
  <c r="CP156" i="2"/>
  <c r="CO156" i="2"/>
  <c r="AZ156" i="2"/>
  <c r="BU156" i="2"/>
  <c r="BT156" i="2"/>
  <c r="AY156" i="2"/>
  <c r="AE156" i="2"/>
  <c r="AD156" i="2"/>
  <c r="K156" i="2"/>
  <c r="J156" i="2"/>
  <c r="I156" i="2"/>
  <c r="GS156" i="2"/>
  <c r="GG156" i="2"/>
  <c r="FN156" i="2"/>
  <c r="HB156" i="2"/>
  <c r="GH156" i="2"/>
  <c r="FO156" i="2"/>
  <c r="HC156" i="2"/>
  <c r="GI156" i="2"/>
  <c r="FP156" i="2"/>
  <c r="HD156" i="2"/>
  <c r="HE156" i="2"/>
  <c r="GK156" i="2"/>
  <c r="FB156" i="2"/>
  <c r="HF156" i="2"/>
  <c r="FC156" i="2"/>
  <c r="FW156" i="2"/>
  <c r="FL156" i="2"/>
  <c r="GR156" i="2"/>
  <c r="FX156" i="2"/>
  <c r="FM156" i="2"/>
  <c r="ET156" i="2"/>
  <c r="EU156" i="2"/>
  <c r="DX156" i="2"/>
  <c r="GJ156" i="2"/>
  <c r="EH156" i="2"/>
  <c r="DL156" i="2"/>
  <c r="EQ156" i="2"/>
  <c r="ER156" i="2"/>
  <c r="DV156" i="2"/>
  <c r="BV156" i="2"/>
  <c r="ES156" i="2"/>
  <c r="DW156" i="2"/>
  <c r="CQ156" i="2"/>
  <c r="BW156" i="2"/>
  <c r="DC156" i="2"/>
  <c r="DM156" i="2"/>
  <c r="DE156" i="2"/>
  <c r="AQ156" i="2"/>
  <c r="EG156" i="2"/>
  <c r="DY156" i="2"/>
  <c r="BK156" i="2"/>
  <c r="AR156" i="2"/>
  <c r="DZ156" i="2"/>
  <c r="DA156" i="2"/>
  <c r="CG156" i="2"/>
  <c r="BN156" i="2"/>
  <c r="AG156" i="2"/>
  <c r="CR156" i="2"/>
  <c r="BL156" i="2"/>
  <c r="BA156" i="2"/>
  <c r="X156" i="2"/>
  <c r="BB156" i="2"/>
  <c r="DB156" i="2"/>
  <c r="DD156" i="2"/>
  <c r="BO156" i="2"/>
  <c r="CF156" i="2"/>
  <c r="AP156" i="2"/>
  <c r="CH156" i="2"/>
  <c r="AS156" i="2"/>
  <c r="CI156" i="2"/>
  <c r="AT156" i="2"/>
  <c r="U156" i="2"/>
  <c r="CJ156" i="2"/>
  <c r="V156" i="2"/>
  <c r="BM156" i="2"/>
  <c r="Y156" i="2"/>
  <c r="W156" i="2"/>
  <c r="L156" i="2"/>
  <c r="AF156" i="2"/>
  <c r="AB155" i="2"/>
  <c r="H194" i="2"/>
  <c r="D195" i="2"/>
  <c r="G195" i="2" s="1"/>
  <c r="AX152" i="2"/>
  <c r="HH156" i="2" l="1"/>
  <c r="HG156" i="2"/>
  <c r="ED155" i="2"/>
  <c r="FS156" i="2"/>
  <c r="EY155" i="2"/>
  <c r="AB156" i="2"/>
  <c r="EX156" i="2"/>
  <c r="EB156" i="2"/>
  <c r="DH156" i="2"/>
  <c r="HI156" i="2"/>
  <c r="EV156" i="2"/>
  <c r="EC156" i="2"/>
  <c r="EW156" i="2"/>
  <c r="GN156" i="2"/>
  <c r="GO155" i="2"/>
  <c r="DI155" i="2"/>
  <c r="DG156" i="2"/>
  <c r="DF156" i="2"/>
  <c r="FR156" i="2"/>
  <c r="FQ156" i="2"/>
  <c r="CN155" i="2"/>
  <c r="GM156" i="2"/>
  <c r="GL156" i="2"/>
  <c r="EA156" i="2"/>
  <c r="CM156" i="2"/>
  <c r="BQ156" i="2"/>
  <c r="AV156" i="2"/>
  <c r="AU156" i="2"/>
  <c r="AW156" i="2"/>
  <c r="BR156" i="2"/>
  <c r="BP156" i="2"/>
  <c r="CL156" i="2"/>
  <c r="CK156" i="2"/>
  <c r="HJ155" i="2"/>
  <c r="FT155" i="2"/>
  <c r="Z156" i="2"/>
  <c r="AC155" i="2"/>
  <c r="A158" i="2"/>
  <c r="GQ157" i="2"/>
  <c r="GP157" i="2"/>
  <c r="FU157" i="2"/>
  <c r="FA157" i="2"/>
  <c r="EZ157" i="2"/>
  <c r="FV157" i="2"/>
  <c r="EF157" i="2"/>
  <c r="EE157" i="2"/>
  <c r="DK157" i="2"/>
  <c r="DJ157" i="2"/>
  <c r="BU157" i="2"/>
  <c r="BT157" i="2"/>
  <c r="CO157" i="2"/>
  <c r="CP157" i="2"/>
  <c r="AZ157" i="2"/>
  <c r="AY157" i="2"/>
  <c r="AE157" i="2"/>
  <c r="J157" i="2"/>
  <c r="AD157" i="2"/>
  <c r="K157" i="2"/>
  <c r="I157" i="2"/>
  <c r="HB157" i="2"/>
  <c r="GH157" i="2"/>
  <c r="FO157" i="2"/>
  <c r="HC157" i="2"/>
  <c r="GI157" i="2"/>
  <c r="FP157" i="2"/>
  <c r="HD157" i="2"/>
  <c r="GJ157" i="2"/>
  <c r="HE157" i="2"/>
  <c r="HF157" i="2"/>
  <c r="FC157" i="2"/>
  <c r="FW157" i="2"/>
  <c r="FL157" i="2"/>
  <c r="GR157" i="2"/>
  <c r="FX157" i="2"/>
  <c r="FM157" i="2"/>
  <c r="GS157" i="2"/>
  <c r="GG157" i="2"/>
  <c r="FN157" i="2"/>
  <c r="EU157" i="2"/>
  <c r="DY157" i="2"/>
  <c r="EG157" i="2"/>
  <c r="EH157" i="2"/>
  <c r="GK157" i="2"/>
  <c r="ER157" i="2"/>
  <c r="DM157" i="2"/>
  <c r="ES157" i="2"/>
  <c r="ET157" i="2"/>
  <c r="DW157" i="2"/>
  <c r="CQ157" i="2"/>
  <c r="BW157" i="2"/>
  <c r="FB157" i="2"/>
  <c r="DX157" i="2"/>
  <c r="CR157" i="2"/>
  <c r="CF157" i="2"/>
  <c r="BV157" i="2"/>
  <c r="BM157" i="2"/>
  <c r="BB157" i="2"/>
  <c r="AT157" i="2"/>
  <c r="DA157" i="2"/>
  <c r="CG157" i="2"/>
  <c r="BN157" i="2"/>
  <c r="EQ157" i="2"/>
  <c r="DB157" i="2"/>
  <c r="DL157" i="2"/>
  <c r="DV157" i="2"/>
  <c r="DD157" i="2"/>
  <c r="CJ157" i="2"/>
  <c r="AP157" i="2"/>
  <c r="DZ157" i="2"/>
  <c r="CI157" i="2"/>
  <c r="AS157" i="2"/>
  <c r="BA157" i="2"/>
  <c r="AF157" i="2"/>
  <c r="DC157" i="2"/>
  <c r="BK157" i="2"/>
  <c r="AG157" i="2"/>
  <c r="V157" i="2"/>
  <c r="DE157" i="2"/>
  <c r="BL157" i="2"/>
  <c r="W157" i="2"/>
  <c r="BO157" i="2"/>
  <c r="X157" i="2"/>
  <c r="AQ157" i="2"/>
  <c r="Y157" i="2"/>
  <c r="L157" i="2"/>
  <c r="U157" i="2"/>
  <c r="CH157" i="2"/>
  <c r="AR157" i="2"/>
  <c r="AA156" i="2"/>
  <c r="H195" i="2"/>
  <c r="AX154" i="2"/>
  <c r="D196" i="2"/>
  <c r="G196" i="2" s="1"/>
  <c r="AX153" i="2"/>
  <c r="HH157" i="2" l="1"/>
  <c r="HG157" i="2"/>
  <c r="EX157" i="2"/>
  <c r="EC157" i="2"/>
  <c r="EA157" i="2"/>
  <c r="CN156" i="2"/>
  <c r="EB157" i="2"/>
  <c r="FS157" i="2"/>
  <c r="EV157" i="2"/>
  <c r="HI157" i="2"/>
  <c r="GN157" i="2"/>
  <c r="DF157" i="2"/>
  <c r="DG157" i="2"/>
  <c r="DH157" i="2"/>
  <c r="FQ157" i="2"/>
  <c r="FR157" i="2"/>
  <c r="GM157" i="2"/>
  <c r="GL157" i="2"/>
  <c r="EW157" i="2"/>
  <c r="CM157" i="2"/>
  <c r="BR157" i="2"/>
  <c r="AV157" i="2"/>
  <c r="AW157" i="2"/>
  <c r="AU157" i="2"/>
  <c r="BQ157" i="2"/>
  <c r="BP157" i="2"/>
  <c r="CK157" i="2"/>
  <c r="CL157" i="2"/>
  <c r="FT156" i="2"/>
  <c r="DI156" i="2"/>
  <c r="GO156" i="2"/>
  <c r="EY156" i="2"/>
  <c r="HJ156" i="2"/>
  <c r="AB157" i="2"/>
  <c r="ED156" i="2"/>
  <c r="AA157" i="2"/>
  <c r="Z157" i="2"/>
  <c r="AC156" i="2"/>
  <c r="A159" i="2"/>
  <c r="GQ158" i="2"/>
  <c r="FU158" i="2"/>
  <c r="GP158" i="2"/>
  <c r="FV158" i="2"/>
  <c r="FA158" i="2"/>
  <c r="EZ158" i="2"/>
  <c r="EE158" i="2"/>
  <c r="EF158" i="2"/>
  <c r="CP158" i="2"/>
  <c r="CO158" i="2"/>
  <c r="DJ158" i="2"/>
  <c r="DK158" i="2"/>
  <c r="BU158" i="2"/>
  <c r="BT158" i="2"/>
  <c r="AZ158" i="2"/>
  <c r="AY158" i="2"/>
  <c r="AE158" i="2"/>
  <c r="AD158" i="2"/>
  <c r="J158" i="2"/>
  <c r="K158" i="2"/>
  <c r="I158" i="2"/>
  <c r="HC158" i="2"/>
  <c r="GI158" i="2"/>
  <c r="FP158" i="2"/>
  <c r="HD158" i="2"/>
  <c r="HG158" i="2" s="1"/>
  <c r="GJ158" i="2"/>
  <c r="HE158" i="2"/>
  <c r="HH158" i="2" s="1"/>
  <c r="GK158" i="2"/>
  <c r="FB158" i="2"/>
  <c r="HF158" i="2"/>
  <c r="FW158" i="2"/>
  <c r="FL158" i="2"/>
  <c r="GR158" i="2"/>
  <c r="FX158" i="2"/>
  <c r="FM158" i="2"/>
  <c r="GS158" i="2"/>
  <c r="GG158" i="2"/>
  <c r="FN158" i="2"/>
  <c r="HB158" i="2"/>
  <c r="GH158" i="2"/>
  <c r="FO158" i="2"/>
  <c r="FC158" i="2"/>
  <c r="EH158" i="2"/>
  <c r="DZ158" i="2"/>
  <c r="EQ158" i="2"/>
  <c r="ER158" i="2"/>
  <c r="ET158" i="2"/>
  <c r="DV158" i="2"/>
  <c r="EU158" i="2"/>
  <c r="DX158" i="2"/>
  <c r="CR158" i="2"/>
  <c r="CF158" i="2"/>
  <c r="EG158" i="2"/>
  <c r="DY158" i="2"/>
  <c r="DA158" i="2"/>
  <c r="CG158" i="2"/>
  <c r="DL158" i="2"/>
  <c r="CQ158" i="2"/>
  <c r="DM158" i="2"/>
  <c r="DW158" i="2"/>
  <c r="DC158" i="2"/>
  <c r="CI158" i="2"/>
  <c r="DD158" i="2"/>
  <c r="CJ158" i="2"/>
  <c r="BA158" i="2"/>
  <c r="AP158" i="2"/>
  <c r="DE158" i="2"/>
  <c r="ES158" i="2"/>
  <c r="BL158" i="2"/>
  <c r="AS158" i="2"/>
  <c r="BN158" i="2"/>
  <c r="V158" i="2"/>
  <c r="BW158" i="2"/>
  <c r="AR158" i="2"/>
  <c r="CH158" i="2"/>
  <c r="BB158" i="2"/>
  <c r="AT158" i="2"/>
  <c r="Y158" i="2"/>
  <c r="X158" i="2"/>
  <c r="AF158" i="2"/>
  <c r="DB158" i="2"/>
  <c r="AG158" i="2"/>
  <c r="BK158" i="2"/>
  <c r="L158" i="2"/>
  <c r="BM158" i="2"/>
  <c r="U158" i="2"/>
  <c r="BV158" i="2"/>
  <c r="BO158" i="2"/>
  <c r="AQ158" i="2"/>
  <c r="W158" i="2"/>
  <c r="H196" i="2"/>
  <c r="AX155" i="2"/>
  <c r="D197" i="2"/>
  <c r="G197" i="2" s="1"/>
  <c r="EC158" i="2" l="1"/>
  <c r="EV158" i="2"/>
  <c r="EW158" i="2"/>
  <c r="ED157" i="2"/>
  <c r="AU158" i="2"/>
  <c r="EX158" i="2"/>
  <c r="FS158" i="2"/>
  <c r="EA158" i="2"/>
  <c r="HI158" i="2"/>
  <c r="GN158" i="2"/>
  <c r="DG158" i="2"/>
  <c r="DF158" i="2"/>
  <c r="DI157" i="2"/>
  <c r="DH158" i="2"/>
  <c r="FQ158" i="2"/>
  <c r="FR158" i="2"/>
  <c r="GL158" i="2"/>
  <c r="GM158" i="2"/>
  <c r="EB158" i="2"/>
  <c r="CN157" i="2"/>
  <c r="CM158" i="2"/>
  <c r="AV158" i="2"/>
  <c r="AW158" i="2"/>
  <c r="BQ158" i="2"/>
  <c r="BR158" i="2"/>
  <c r="BP158" i="2"/>
  <c r="CL158" i="2"/>
  <c r="CK158" i="2"/>
  <c r="HJ157" i="2"/>
  <c r="AC157" i="2"/>
  <c r="GO157" i="2"/>
  <c r="FT157" i="2"/>
  <c r="AB158" i="2"/>
  <c r="AA158" i="2"/>
  <c r="Z158" i="2"/>
  <c r="EY157" i="2"/>
  <c r="A160" i="2"/>
  <c r="GQ159" i="2"/>
  <c r="GP159" i="2"/>
  <c r="FU159" i="2"/>
  <c r="FA159" i="2"/>
  <c r="EZ159" i="2"/>
  <c r="FV159" i="2"/>
  <c r="EF159" i="2"/>
  <c r="EE159" i="2"/>
  <c r="DK159" i="2"/>
  <c r="DJ159" i="2"/>
  <c r="CO159" i="2"/>
  <c r="CP159" i="2"/>
  <c r="BU159" i="2"/>
  <c r="AZ159" i="2"/>
  <c r="BT159" i="2"/>
  <c r="AY159" i="2"/>
  <c r="K159" i="2"/>
  <c r="AE159" i="2"/>
  <c r="AD159" i="2"/>
  <c r="J159" i="2"/>
  <c r="I159" i="2"/>
  <c r="HD159" i="2"/>
  <c r="GJ159" i="2"/>
  <c r="HE159" i="2"/>
  <c r="GK159" i="2"/>
  <c r="FB159" i="2"/>
  <c r="HF159" i="2"/>
  <c r="FC159" i="2"/>
  <c r="GR159" i="2"/>
  <c r="FX159" i="2"/>
  <c r="FM159" i="2"/>
  <c r="GS159" i="2"/>
  <c r="GG159" i="2"/>
  <c r="FN159" i="2"/>
  <c r="HB159" i="2"/>
  <c r="GH159" i="2"/>
  <c r="FO159" i="2"/>
  <c r="HC159" i="2"/>
  <c r="GI159" i="2"/>
  <c r="FP159" i="2"/>
  <c r="EG159" i="2"/>
  <c r="ER159" i="2"/>
  <c r="FL159" i="2"/>
  <c r="ES159" i="2"/>
  <c r="ET159" i="2"/>
  <c r="DW159" i="2"/>
  <c r="FW159" i="2"/>
  <c r="EH159" i="2"/>
  <c r="DY159" i="2"/>
  <c r="DA159" i="2"/>
  <c r="CG159" i="2"/>
  <c r="EQ159" i="2"/>
  <c r="DZ159" i="2"/>
  <c r="DB159" i="2"/>
  <c r="CH159" i="2"/>
  <c r="DD159" i="2"/>
  <c r="BK159" i="2"/>
  <c r="AR159" i="2"/>
  <c r="DL159" i="2"/>
  <c r="BL159" i="2"/>
  <c r="AS159" i="2"/>
  <c r="DM159" i="2"/>
  <c r="DV159" i="2"/>
  <c r="EU159" i="2"/>
  <c r="DX159" i="2"/>
  <c r="CR159" i="2"/>
  <c r="CF159" i="2"/>
  <c r="BO159" i="2"/>
  <c r="BB159" i="2"/>
  <c r="DE159" i="2"/>
  <c r="Y159" i="2"/>
  <c r="BM159" i="2"/>
  <c r="BN159" i="2"/>
  <c r="BV159" i="2"/>
  <c r="BA159" i="2"/>
  <c r="AP159" i="2"/>
  <c r="U159" i="2"/>
  <c r="BW159" i="2"/>
  <c r="AQ159" i="2"/>
  <c r="V159" i="2"/>
  <c r="CQ159" i="2"/>
  <c r="CI159" i="2"/>
  <c r="AT159" i="2"/>
  <c r="AF159" i="2"/>
  <c r="W159" i="2"/>
  <c r="DC159" i="2"/>
  <c r="CJ159" i="2"/>
  <c r="AG159" i="2"/>
  <c r="X159" i="2"/>
  <c r="L159" i="2"/>
  <c r="H197" i="2"/>
  <c r="AX156" i="2"/>
  <c r="D198" i="2"/>
  <c r="G198" i="2" s="1"/>
  <c r="ED158" i="2" l="1"/>
  <c r="EA159" i="2"/>
  <c r="EC159" i="2"/>
  <c r="HI159" i="2"/>
  <c r="HH159" i="2"/>
  <c r="FS159" i="2"/>
  <c r="EX159" i="2"/>
  <c r="EV159" i="2"/>
  <c r="EB159" i="2"/>
  <c r="GN159" i="2"/>
  <c r="HG159" i="2"/>
  <c r="DF159" i="2"/>
  <c r="DI158" i="2"/>
  <c r="DG159" i="2"/>
  <c r="DH159" i="2"/>
  <c r="FR159" i="2"/>
  <c r="FQ159" i="2"/>
  <c r="GL159" i="2"/>
  <c r="GM159" i="2"/>
  <c r="EW159" i="2"/>
  <c r="CM159" i="2"/>
  <c r="BR159" i="2"/>
  <c r="AV159" i="2"/>
  <c r="AW159" i="2"/>
  <c r="AU159" i="2"/>
  <c r="BQ159" i="2"/>
  <c r="BP159" i="2"/>
  <c r="CL159" i="2"/>
  <c r="CK159" i="2"/>
  <c r="HJ158" i="2"/>
  <c r="GO158" i="2"/>
  <c r="FT158" i="2"/>
  <c r="EY158" i="2"/>
  <c r="AB159" i="2"/>
  <c r="Z159" i="2"/>
  <c r="AA159" i="2"/>
  <c r="AC158" i="2"/>
  <c r="CN158" i="2"/>
  <c r="A161" i="2"/>
  <c r="GQ160" i="2"/>
  <c r="GP160" i="2"/>
  <c r="FU160" i="2"/>
  <c r="FV160" i="2"/>
  <c r="FA160" i="2"/>
  <c r="EZ160" i="2"/>
  <c r="EE160" i="2"/>
  <c r="DK160" i="2"/>
  <c r="EF160" i="2"/>
  <c r="CP160" i="2"/>
  <c r="CO160" i="2"/>
  <c r="AZ160" i="2"/>
  <c r="BU160" i="2"/>
  <c r="BT160" i="2"/>
  <c r="DJ160" i="2"/>
  <c r="AY160" i="2"/>
  <c r="AE160" i="2"/>
  <c r="AD160" i="2"/>
  <c r="J160" i="2"/>
  <c r="K160" i="2"/>
  <c r="I160" i="2"/>
  <c r="HE160" i="2"/>
  <c r="GK160" i="2"/>
  <c r="FB160" i="2"/>
  <c r="HF160" i="2"/>
  <c r="FC160" i="2"/>
  <c r="FW160" i="2"/>
  <c r="FL160" i="2"/>
  <c r="GR160" i="2"/>
  <c r="GS160" i="2"/>
  <c r="GG160" i="2"/>
  <c r="FN160" i="2"/>
  <c r="HB160" i="2"/>
  <c r="GH160" i="2"/>
  <c r="FO160" i="2"/>
  <c r="HC160" i="2"/>
  <c r="GI160" i="2"/>
  <c r="FP160" i="2"/>
  <c r="HD160" i="2"/>
  <c r="HG160" i="2" s="1"/>
  <c r="GJ160" i="2"/>
  <c r="EH160" i="2"/>
  <c r="ET160" i="2"/>
  <c r="DL160" i="2"/>
  <c r="FM160" i="2"/>
  <c r="EG160" i="2"/>
  <c r="DX160" i="2"/>
  <c r="EQ160" i="2"/>
  <c r="FX160" i="2"/>
  <c r="ER160" i="2"/>
  <c r="DZ160" i="2"/>
  <c r="DB160" i="2"/>
  <c r="CH160" i="2"/>
  <c r="ES160" i="2"/>
  <c r="DC160" i="2"/>
  <c r="CI160" i="2"/>
  <c r="DV160" i="2"/>
  <c r="DW160" i="2"/>
  <c r="DY160" i="2"/>
  <c r="CQ160" i="2"/>
  <c r="BW160" i="2"/>
  <c r="BN160" i="2"/>
  <c r="CR160" i="2"/>
  <c r="CF160" i="2"/>
  <c r="BO160" i="2"/>
  <c r="DA160" i="2"/>
  <c r="DE160" i="2"/>
  <c r="AQ160" i="2"/>
  <c r="AG160" i="2"/>
  <c r="EU160" i="2"/>
  <c r="DM160" i="2"/>
  <c r="BV160" i="2"/>
  <c r="AR160" i="2"/>
  <c r="AF160" i="2"/>
  <c r="CG160" i="2"/>
  <c r="DD160" i="2"/>
  <c r="CJ160" i="2"/>
  <c r="AT160" i="2"/>
  <c r="W160" i="2"/>
  <c r="L160" i="2"/>
  <c r="BK160" i="2"/>
  <c r="X160" i="2"/>
  <c r="BL160" i="2"/>
  <c r="BA160" i="2"/>
  <c r="Y160" i="2"/>
  <c r="BM160" i="2"/>
  <c r="BB160" i="2"/>
  <c r="AS160" i="2"/>
  <c r="U160" i="2"/>
  <c r="V160" i="2"/>
  <c r="AP160" i="2"/>
  <c r="H198" i="2"/>
  <c r="D199" i="2"/>
  <c r="G199" i="2" s="1"/>
  <c r="AX157" i="2"/>
  <c r="HI160" i="2" l="1"/>
  <c r="FS160" i="2"/>
  <c r="EC160" i="2"/>
  <c r="ED159" i="2"/>
  <c r="EY159" i="2"/>
  <c r="DG160" i="2"/>
  <c r="HH160" i="2"/>
  <c r="EX160" i="2"/>
  <c r="AU160" i="2"/>
  <c r="EV160" i="2"/>
  <c r="EB160" i="2"/>
  <c r="EW160" i="2"/>
  <c r="GN160" i="2"/>
  <c r="DI159" i="2"/>
  <c r="DH160" i="2"/>
  <c r="DF160" i="2"/>
  <c r="FQ160" i="2"/>
  <c r="FR160" i="2"/>
  <c r="GM160" i="2"/>
  <c r="GL160" i="2"/>
  <c r="EA160" i="2"/>
  <c r="CM160" i="2"/>
  <c r="BR160" i="2"/>
  <c r="AV160" i="2"/>
  <c r="AW160" i="2"/>
  <c r="BQ160" i="2"/>
  <c r="BP160" i="2"/>
  <c r="CL160" i="2"/>
  <c r="CK160" i="2"/>
  <c r="CN159" i="2"/>
  <c r="FT159" i="2"/>
  <c r="GO159" i="2"/>
  <c r="Z160" i="2"/>
  <c r="AC159" i="2"/>
  <c r="HJ159" i="2"/>
  <c r="AA160" i="2"/>
  <c r="A162" i="2"/>
  <c r="GQ161" i="2"/>
  <c r="GP161" i="2"/>
  <c r="FU161" i="2"/>
  <c r="FV161" i="2"/>
  <c r="EZ161" i="2"/>
  <c r="FA161" i="2"/>
  <c r="EF161" i="2"/>
  <c r="DK161" i="2"/>
  <c r="EE161" i="2"/>
  <c r="DJ161" i="2"/>
  <c r="CP161" i="2"/>
  <c r="CO161" i="2"/>
  <c r="BU161" i="2"/>
  <c r="BT161" i="2"/>
  <c r="AY161" i="2"/>
  <c r="AE161" i="2"/>
  <c r="AZ161" i="2"/>
  <c r="J161" i="2"/>
  <c r="AD161" i="2"/>
  <c r="K161" i="2"/>
  <c r="I161" i="2"/>
  <c r="HF161" i="2"/>
  <c r="FC161" i="2"/>
  <c r="FW161" i="2"/>
  <c r="FL161" i="2"/>
  <c r="GR161" i="2"/>
  <c r="FX161" i="2"/>
  <c r="FM161" i="2"/>
  <c r="GS161" i="2"/>
  <c r="HB161" i="2"/>
  <c r="GH161" i="2"/>
  <c r="FO161" i="2"/>
  <c r="HC161" i="2"/>
  <c r="GI161" i="2"/>
  <c r="FP161" i="2"/>
  <c r="HD161" i="2"/>
  <c r="HG161" i="2" s="1"/>
  <c r="GJ161" i="2"/>
  <c r="HE161" i="2"/>
  <c r="GK161" i="2"/>
  <c r="FB161" i="2"/>
  <c r="EQ161" i="2"/>
  <c r="DM161" i="2"/>
  <c r="EG161" i="2"/>
  <c r="ER161" i="2"/>
  <c r="DY161" i="2"/>
  <c r="ET161" i="2"/>
  <c r="DC161" i="2"/>
  <c r="CI161" i="2"/>
  <c r="GG161" i="2"/>
  <c r="EU161" i="2"/>
  <c r="DL161" i="2"/>
  <c r="DD161" i="2"/>
  <c r="CJ161" i="2"/>
  <c r="EH161" i="2"/>
  <c r="CR161" i="2"/>
  <c r="ES161" i="2"/>
  <c r="DB161" i="2"/>
  <c r="CH161" i="2"/>
  <c r="BB161" i="2"/>
  <c r="AP161" i="2"/>
  <c r="DV161" i="2"/>
  <c r="DE161" i="2"/>
  <c r="AQ161" i="2"/>
  <c r="FN161" i="2"/>
  <c r="DW161" i="2"/>
  <c r="DX161" i="2"/>
  <c r="DZ161" i="2"/>
  <c r="BV161" i="2"/>
  <c r="BM161" i="2"/>
  <c r="AT161" i="2"/>
  <c r="BL161" i="2"/>
  <c r="W161" i="2"/>
  <c r="CQ161" i="2"/>
  <c r="BO161" i="2"/>
  <c r="AG161" i="2"/>
  <c r="DA161" i="2"/>
  <c r="BW161" i="2"/>
  <c r="AR161" i="2"/>
  <c r="CF161" i="2"/>
  <c r="AS161" i="2"/>
  <c r="L161" i="2"/>
  <c r="CG161" i="2"/>
  <c r="U161" i="2"/>
  <c r="BK161" i="2"/>
  <c r="BA161" i="2"/>
  <c r="V161" i="2"/>
  <c r="BN161" i="2"/>
  <c r="AF161" i="2"/>
  <c r="X161" i="2"/>
  <c r="Y161" i="2"/>
  <c r="AB160" i="2"/>
  <c r="H199" i="2"/>
  <c r="AX158" i="2"/>
  <c r="D200" i="2"/>
  <c r="G200" i="2" s="1"/>
  <c r="HH161" i="2" l="1"/>
  <c r="ED160" i="2"/>
  <c r="EA161" i="2"/>
  <c r="AB161" i="2"/>
  <c r="EB161" i="2"/>
  <c r="EX161" i="2"/>
  <c r="FS161" i="2"/>
  <c r="AW161" i="2"/>
  <c r="EC161" i="2"/>
  <c r="EW161" i="2"/>
  <c r="HI161" i="2"/>
  <c r="GN161" i="2"/>
  <c r="DH161" i="2"/>
  <c r="DG161" i="2"/>
  <c r="DF161" i="2"/>
  <c r="FR161" i="2"/>
  <c r="FQ161" i="2"/>
  <c r="CN160" i="2"/>
  <c r="GL161" i="2"/>
  <c r="GM161" i="2"/>
  <c r="EV161" i="2"/>
  <c r="CM161" i="2"/>
  <c r="AV161" i="2"/>
  <c r="AU161" i="2"/>
  <c r="BR161" i="2"/>
  <c r="BQ161" i="2"/>
  <c r="BP161" i="2"/>
  <c r="CK161" i="2"/>
  <c r="CL161" i="2"/>
  <c r="EY160" i="2"/>
  <c r="HJ160" i="2"/>
  <c r="FT160" i="2"/>
  <c r="GO160" i="2"/>
  <c r="Z161" i="2"/>
  <c r="AC160" i="2"/>
  <c r="DI160" i="2"/>
  <c r="AA161" i="2"/>
  <c r="A163" i="2"/>
  <c r="GQ162" i="2"/>
  <c r="GP162" i="2"/>
  <c r="FU162" i="2"/>
  <c r="FV162" i="2"/>
  <c r="EZ162" i="2"/>
  <c r="FA162" i="2"/>
  <c r="EE162" i="2"/>
  <c r="EF162" i="2"/>
  <c r="CP162" i="2"/>
  <c r="CO162" i="2"/>
  <c r="DK162" i="2"/>
  <c r="AZ162" i="2"/>
  <c r="DJ162" i="2"/>
  <c r="BU162" i="2"/>
  <c r="BT162" i="2"/>
  <c r="AY162" i="2"/>
  <c r="AD162" i="2"/>
  <c r="AE162" i="2"/>
  <c r="J162" i="2"/>
  <c r="I162" i="2"/>
  <c r="K162" i="2"/>
  <c r="FW162" i="2"/>
  <c r="FL162" i="2"/>
  <c r="GR162" i="2"/>
  <c r="FX162" i="2"/>
  <c r="FM162" i="2"/>
  <c r="GS162" i="2"/>
  <c r="GG162" i="2"/>
  <c r="FN162" i="2"/>
  <c r="HB162" i="2"/>
  <c r="HC162" i="2"/>
  <c r="GI162" i="2"/>
  <c r="FP162" i="2"/>
  <c r="HD162" i="2"/>
  <c r="GJ162" i="2"/>
  <c r="HE162" i="2"/>
  <c r="GK162" i="2"/>
  <c r="FB162" i="2"/>
  <c r="HF162" i="2"/>
  <c r="FC162" i="2"/>
  <c r="ER162" i="2"/>
  <c r="GH162" i="2"/>
  <c r="EG162" i="2"/>
  <c r="DV162" i="2"/>
  <c r="EQ162" i="2"/>
  <c r="FO162" i="2"/>
  <c r="ET162" i="2"/>
  <c r="DZ162" i="2"/>
  <c r="DL162" i="2"/>
  <c r="DD162" i="2"/>
  <c r="CJ162" i="2"/>
  <c r="DM162" i="2"/>
  <c r="DE162" i="2"/>
  <c r="DX162" i="2"/>
  <c r="DC162" i="2"/>
  <c r="DY162" i="2"/>
  <c r="EH162" i="2"/>
  <c r="BL162" i="2"/>
  <c r="AS162" i="2"/>
  <c r="ES162" i="2"/>
  <c r="BV162" i="2"/>
  <c r="BM162" i="2"/>
  <c r="BA162" i="2"/>
  <c r="AT162" i="2"/>
  <c r="EU162" i="2"/>
  <c r="CQ162" i="2"/>
  <c r="DA162" i="2"/>
  <c r="CG162" i="2"/>
  <c r="DW162" i="2"/>
  <c r="CH162" i="2"/>
  <c r="BB162" i="2"/>
  <c r="BK162" i="2"/>
  <c r="AF162" i="2"/>
  <c r="U162" i="2"/>
  <c r="CR162" i="2"/>
  <c r="BN162" i="2"/>
  <c r="AG162" i="2"/>
  <c r="V162" i="2"/>
  <c r="L162" i="2"/>
  <c r="DB162" i="2"/>
  <c r="BO162" i="2"/>
  <c r="AP162" i="2"/>
  <c r="W162" i="2"/>
  <c r="BW162" i="2"/>
  <c r="AQ162" i="2"/>
  <c r="X162" i="2"/>
  <c r="CF162" i="2"/>
  <c r="AR162" i="2"/>
  <c r="Y162" i="2"/>
  <c r="CI162" i="2"/>
  <c r="H200" i="2"/>
  <c r="D201" i="2"/>
  <c r="G201" i="2" s="1"/>
  <c r="AX159" i="2"/>
  <c r="DI161" i="2" l="1"/>
  <c r="EY161" i="2"/>
  <c r="EW162" i="2"/>
  <c r="ED161" i="2"/>
  <c r="EC162" i="2"/>
  <c r="EB162" i="2"/>
  <c r="HH162" i="2"/>
  <c r="HG162" i="2"/>
  <c r="FS162" i="2"/>
  <c r="AU162" i="2"/>
  <c r="EX162" i="2"/>
  <c r="EA162" i="2"/>
  <c r="EV162" i="2"/>
  <c r="HI162" i="2"/>
  <c r="GN162" i="2"/>
  <c r="DH162" i="2"/>
  <c r="DF162" i="2"/>
  <c r="DG162" i="2"/>
  <c r="FQ162" i="2"/>
  <c r="FR162" i="2"/>
  <c r="GM162" i="2"/>
  <c r="GL162" i="2"/>
  <c r="CM162" i="2"/>
  <c r="BQ162" i="2"/>
  <c r="AV162" i="2"/>
  <c r="AW162" i="2"/>
  <c r="BR162" i="2"/>
  <c r="BP162" i="2"/>
  <c r="CL162" i="2"/>
  <c r="CK162" i="2"/>
  <c r="CN161" i="2"/>
  <c r="Z162" i="2"/>
  <c r="GO161" i="2"/>
  <c r="AC161" i="2"/>
  <c r="HJ161" i="2"/>
  <c r="FT161" i="2"/>
  <c r="AA162" i="2"/>
  <c r="AB162" i="2"/>
  <c r="A164" i="2"/>
  <c r="GQ163" i="2"/>
  <c r="GP163" i="2"/>
  <c r="FU163" i="2"/>
  <c r="FA163" i="2"/>
  <c r="EZ163" i="2"/>
  <c r="FV163" i="2"/>
  <c r="EF163" i="2"/>
  <c r="EE163" i="2"/>
  <c r="DK163" i="2"/>
  <c r="DJ163" i="2"/>
  <c r="CP163" i="2"/>
  <c r="CO163" i="2"/>
  <c r="AY163" i="2"/>
  <c r="AE163" i="2"/>
  <c r="BU163" i="2"/>
  <c r="AZ163" i="2"/>
  <c r="BT163" i="2"/>
  <c r="AD163" i="2"/>
  <c r="K163" i="2"/>
  <c r="J163" i="2"/>
  <c r="I163" i="2"/>
  <c r="GR163" i="2"/>
  <c r="FX163" i="2"/>
  <c r="FM163" i="2"/>
  <c r="GS163" i="2"/>
  <c r="GG163" i="2"/>
  <c r="FN163" i="2"/>
  <c r="HB163" i="2"/>
  <c r="GH163" i="2"/>
  <c r="FO163" i="2"/>
  <c r="HC163" i="2"/>
  <c r="HD163" i="2"/>
  <c r="GJ163" i="2"/>
  <c r="HE163" i="2"/>
  <c r="GK163" i="2"/>
  <c r="FB163" i="2"/>
  <c r="HF163" i="2"/>
  <c r="FC163" i="2"/>
  <c r="FW163" i="2"/>
  <c r="FL163" i="2"/>
  <c r="ES163" i="2"/>
  <c r="EQ163" i="2"/>
  <c r="DW163" i="2"/>
  <c r="GI163" i="2"/>
  <c r="ET163" i="2"/>
  <c r="FP163" i="2"/>
  <c r="EG163" i="2"/>
  <c r="DM163" i="2"/>
  <c r="DE163" i="2"/>
  <c r="EH163" i="2"/>
  <c r="DV163" i="2"/>
  <c r="BV163" i="2"/>
  <c r="DL163" i="2"/>
  <c r="CR163" i="2"/>
  <c r="CF163" i="2"/>
  <c r="BO163" i="2"/>
  <c r="DX163" i="2"/>
  <c r="DA163" i="2"/>
  <c r="CG163" i="2"/>
  <c r="DY163" i="2"/>
  <c r="DB163" i="2"/>
  <c r="ER163" i="2"/>
  <c r="DZ163" i="2"/>
  <c r="EU163" i="2"/>
  <c r="DD163" i="2"/>
  <c r="CJ163" i="2"/>
  <c r="BK163" i="2"/>
  <c r="BB163" i="2"/>
  <c r="AR163" i="2"/>
  <c r="BN163" i="2"/>
  <c r="AP163" i="2"/>
  <c r="W163" i="2"/>
  <c r="BW163" i="2"/>
  <c r="AS163" i="2"/>
  <c r="CH163" i="2"/>
  <c r="AT163" i="2"/>
  <c r="X163" i="2"/>
  <c r="CI163" i="2"/>
  <c r="Y163" i="2"/>
  <c r="AF163" i="2"/>
  <c r="CQ163" i="2"/>
  <c r="BL163" i="2"/>
  <c r="AG163" i="2"/>
  <c r="L163" i="2"/>
  <c r="U163" i="2"/>
  <c r="V163" i="2"/>
  <c r="DC163" i="2"/>
  <c r="BM163" i="2"/>
  <c r="BA163" i="2"/>
  <c r="AQ163" i="2"/>
  <c r="H201" i="2"/>
  <c r="D202" i="2"/>
  <c r="G202" i="2" s="1"/>
  <c r="AX160" i="2"/>
  <c r="HG163" i="2" l="1"/>
  <c r="HH163" i="2"/>
  <c r="ED162" i="2"/>
  <c r="EY162" i="2"/>
  <c r="EB163" i="2"/>
  <c r="EA163" i="2"/>
  <c r="EV163" i="2"/>
  <c r="HI163" i="2"/>
  <c r="FS163" i="2"/>
  <c r="EC163" i="2"/>
  <c r="EX163" i="2"/>
  <c r="DH163" i="2"/>
  <c r="EW163" i="2"/>
  <c r="GN163" i="2"/>
  <c r="DF163" i="2"/>
  <c r="DG163" i="2"/>
  <c r="FR163" i="2"/>
  <c r="FQ163" i="2"/>
  <c r="GM163" i="2"/>
  <c r="GL163" i="2"/>
  <c r="CM163" i="2"/>
  <c r="AV163" i="2"/>
  <c r="AW163" i="2"/>
  <c r="AU163" i="2"/>
  <c r="BR163" i="2"/>
  <c r="BQ163" i="2"/>
  <c r="BP163" i="2"/>
  <c r="CK163" i="2"/>
  <c r="CL163" i="2"/>
  <c r="GO162" i="2"/>
  <c r="HJ162" i="2"/>
  <c r="FT162" i="2"/>
  <c r="Z163" i="2"/>
  <c r="AC162" i="2"/>
  <c r="DI162" i="2"/>
  <c r="CN162" i="2"/>
  <c r="AA163" i="2"/>
  <c r="A165" i="2"/>
  <c r="GQ164" i="2"/>
  <c r="GP164" i="2"/>
  <c r="FU164" i="2"/>
  <c r="FA164" i="2"/>
  <c r="EZ164" i="2"/>
  <c r="EF164" i="2"/>
  <c r="EE164" i="2"/>
  <c r="FV164" i="2"/>
  <c r="DK164" i="2"/>
  <c r="DJ164" i="2"/>
  <c r="CP164" i="2"/>
  <c r="CO164" i="2"/>
  <c r="AZ164" i="2"/>
  <c r="BU164" i="2"/>
  <c r="BT164" i="2"/>
  <c r="AY164" i="2"/>
  <c r="AE164" i="2"/>
  <c r="AD164" i="2"/>
  <c r="K164" i="2"/>
  <c r="I164" i="2"/>
  <c r="J164" i="2"/>
  <c r="GS164" i="2"/>
  <c r="GG164" i="2"/>
  <c r="FN164" i="2"/>
  <c r="HB164" i="2"/>
  <c r="GH164" i="2"/>
  <c r="FO164" i="2"/>
  <c r="HC164" i="2"/>
  <c r="GI164" i="2"/>
  <c r="FP164" i="2"/>
  <c r="HD164" i="2"/>
  <c r="HE164" i="2"/>
  <c r="HH164" i="2" s="1"/>
  <c r="GK164" i="2"/>
  <c r="FB164" i="2"/>
  <c r="HF164" i="2"/>
  <c r="FC164" i="2"/>
  <c r="FW164" i="2"/>
  <c r="FL164" i="2"/>
  <c r="GR164" i="2"/>
  <c r="FX164" i="2"/>
  <c r="FM164" i="2"/>
  <c r="ET164" i="2"/>
  <c r="ES164" i="2"/>
  <c r="DX164" i="2"/>
  <c r="GJ164" i="2"/>
  <c r="EG164" i="2"/>
  <c r="DL164" i="2"/>
  <c r="EQ164" i="2"/>
  <c r="DV164" i="2"/>
  <c r="BV164" i="2"/>
  <c r="ER164" i="2"/>
  <c r="DW164" i="2"/>
  <c r="CQ164" i="2"/>
  <c r="BW164" i="2"/>
  <c r="EU164" i="2"/>
  <c r="DZ164" i="2"/>
  <c r="DA164" i="2"/>
  <c r="DC164" i="2"/>
  <c r="CI164" i="2"/>
  <c r="AQ164" i="2"/>
  <c r="DD164" i="2"/>
  <c r="CJ164" i="2"/>
  <c r="BK164" i="2"/>
  <c r="AR164" i="2"/>
  <c r="DE164" i="2"/>
  <c r="DM164" i="2"/>
  <c r="BN164" i="2"/>
  <c r="AG164" i="2"/>
  <c r="EH164" i="2"/>
  <c r="DY164" i="2"/>
  <c r="CR164" i="2"/>
  <c r="Y164" i="2"/>
  <c r="DB164" i="2"/>
  <c r="BM164" i="2"/>
  <c r="BA164" i="2"/>
  <c r="BO164" i="2"/>
  <c r="BB164" i="2"/>
  <c r="AP164" i="2"/>
  <c r="CF164" i="2"/>
  <c r="AS164" i="2"/>
  <c r="U164" i="2"/>
  <c r="CG164" i="2"/>
  <c r="AT164" i="2"/>
  <c r="V164" i="2"/>
  <c r="BL164" i="2"/>
  <c r="CH164" i="2"/>
  <c r="AF164" i="2"/>
  <c r="W164" i="2"/>
  <c r="L164" i="2"/>
  <c r="X164" i="2"/>
  <c r="AB163" i="2"/>
  <c r="H202" i="2"/>
  <c r="AX161" i="2"/>
  <c r="D203" i="2"/>
  <c r="G203" i="2" s="1"/>
  <c r="HG164" i="2" l="1"/>
  <c r="FS164" i="2"/>
  <c r="DI163" i="2"/>
  <c r="EY163" i="2"/>
  <c r="ED163" i="2"/>
  <c r="DH164" i="2"/>
  <c r="EA164" i="2"/>
  <c r="EX164" i="2"/>
  <c r="EV164" i="2"/>
  <c r="FR164" i="2"/>
  <c r="EC164" i="2"/>
  <c r="HI164" i="2"/>
  <c r="EW164" i="2"/>
  <c r="GN164" i="2"/>
  <c r="DG164" i="2"/>
  <c r="DF164" i="2"/>
  <c r="FQ164" i="2"/>
  <c r="GM164" i="2"/>
  <c r="GL164" i="2"/>
  <c r="EB164" i="2"/>
  <c r="CN163" i="2"/>
  <c r="CM164" i="2"/>
  <c r="BQ164" i="2"/>
  <c r="AV164" i="2"/>
  <c r="AU164" i="2"/>
  <c r="AW164" i="2"/>
  <c r="BP164" i="2"/>
  <c r="BR164" i="2"/>
  <c r="CK164" i="2"/>
  <c r="CL164" i="2"/>
  <c r="HJ163" i="2"/>
  <c r="GO163" i="2"/>
  <c r="AB164" i="2"/>
  <c r="FT163" i="2"/>
  <c r="Z164" i="2"/>
  <c r="AC163" i="2"/>
  <c r="AA164" i="2"/>
  <c r="A166" i="2"/>
  <c r="GQ165" i="2"/>
  <c r="FU165" i="2"/>
  <c r="GP165" i="2"/>
  <c r="FA165" i="2"/>
  <c r="EZ165" i="2"/>
  <c r="EF165" i="2"/>
  <c r="EE165" i="2"/>
  <c r="FV165" i="2"/>
  <c r="DK165" i="2"/>
  <c r="DJ165" i="2"/>
  <c r="BU165" i="2"/>
  <c r="BT165" i="2"/>
  <c r="CP165" i="2"/>
  <c r="CO165" i="2"/>
  <c r="AY165" i="2"/>
  <c r="AE165" i="2"/>
  <c r="AZ165" i="2"/>
  <c r="J165" i="2"/>
  <c r="AD165" i="2"/>
  <c r="K165" i="2"/>
  <c r="I165" i="2"/>
  <c r="HB165" i="2"/>
  <c r="GH165" i="2"/>
  <c r="FO165" i="2"/>
  <c r="HC165" i="2"/>
  <c r="GI165" i="2"/>
  <c r="FP165" i="2"/>
  <c r="HD165" i="2"/>
  <c r="GJ165" i="2"/>
  <c r="HE165" i="2"/>
  <c r="HF165" i="2"/>
  <c r="FC165" i="2"/>
  <c r="FW165" i="2"/>
  <c r="FL165" i="2"/>
  <c r="GR165" i="2"/>
  <c r="FX165" i="2"/>
  <c r="FM165" i="2"/>
  <c r="GS165" i="2"/>
  <c r="GG165" i="2"/>
  <c r="FN165" i="2"/>
  <c r="EU165" i="2"/>
  <c r="DY165" i="2"/>
  <c r="EG165" i="2"/>
  <c r="GK165" i="2"/>
  <c r="EQ165" i="2"/>
  <c r="DM165" i="2"/>
  <c r="FB165" i="2"/>
  <c r="ES165" i="2"/>
  <c r="DW165" i="2"/>
  <c r="CQ165" i="2"/>
  <c r="BW165" i="2"/>
  <c r="ET165" i="2"/>
  <c r="DX165" i="2"/>
  <c r="CR165" i="2"/>
  <c r="CF165" i="2"/>
  <c r="DD165" i="2"/>
  <c r="EH165" i="2"/>
  <c r="DL165" i="2"/>
  <c r="ER165" i="2"/>
  <c r="DV165" i="2"/>
  <c r="BM165" i="2"/>
  <c r="BB165" i="2"/>
  <c r="AT165" i="2"/>
  <c r="DZ165" i="2"/>
  <c r="BN165" i="2"/>
  <c r="DB165" i="2"/>
  <c r="CH165" i="2"/>
  <c r="AP165" i="2"/>
  <c r="BV165" i="2"/>
  <c r="AR165" i="2"/>
  <c r="AF165" i="2"/>
  <c r="DA165" i="2"/>
  <c r="CI165" i="2"/>
  <c r="DC165" i="2"/>
  <c r="CJ165" i="2"/>
  <c r="V165" i="2"/>
  <c r="DE165" i="2"/>
  <c r="BK165" i="2"/>
  <c r="BA165" i="2"/>
  <c r="W165" i="2"/>
  <c r="U165" i="2"/>
  <c r="BL165" i="2"/>
  <c r="X165" i="2"/>
  <c r="BO165" i="2"/>
  <c r="Y165" i="2"/>
  <c r="CG165" i="2"/>
  <c r="AS165" i="2"/>
  <c r="AG165" i="2"/>
  <c r="AQ165" i="2"/>
  <c r="L165" i="2"/>
  <c r="H203" i="2"/>
  <c r="AX162" i="2"/>
  <c r="HH165" i="2" l="1"/>
  <c r="EA165" i="2"/>
  <c r="EX165" i="2"/>
  <c r="EB165" i="2"/>
  <c r="HG165" i="2"/>
  <c r="EC165" i="2"/>
  <c r="FS165" i="2"/>
  <c r="FR165" i="2"/>
  <c r="HI165" i="2"/>
  <c r="GN165" i="2"/>
  <c r="DF165" i="2"/>
  <c r="DH165" i="2"/>
  <c r="DI164" i="2"/>
  <c r="DG165" i="2"/>
  <c r="FQ165" i="2"/>
  <c r="GM165" i="2"/>
  <c r="GL165" i="2"/>
  <c r="EV165" i="2"/>
  <c r="EW165" i="2"/>
  <c r="CM165" i="2"/>
  <c r="AV165" i="2"/>
  <c r="AW165" i="2"/>
  <c r="AU165" i="2"/>
  <c r="BR165" i="2"/>
  <c r="BQ165" i="2"/>
  <c r="BP165" i="2"/>
  <c r="CL165" i="2"/>
  <c r="CK165" i="2"/>
  <c r="GO164" i="2"/>
  <c r="AB165" i="2"/>
  <c r="FT164" i="2"/>
  <c r="HJ164" i="2"/>
  <c r="ED164" i="2"/>
  <c r="EY164" i="2"/>
  <c r="CN164" i="2"/>
  <c r="AC164" i="2"/>
  <c r="Z165" i="2"/>
  <c r="AA165" i="2"/>
  <c r="A167" i="2"/>
  <c r="GQ166" i="2"/>
  <c r="FU166" i="2"/>
  <c r="FV166" i="2"/>
  <c r="GP166" i="2"/>
  <c r="FA166" i="2"/>
  <c r="EZ166" i="2"/>
  <c r="EF166" i="2"/>
  <c r="CP166" i="2"/>
  <c r="CO166" i="2"/>
  <c r="DK166" i="2"/>
  <c r="EE166" i="2"/>
  <c r="DJ166" i="2"/>
  <c r="BU166" i="2"/>
  <c r="BT166" i="2"/>
  <c r="AZ166" i="2"/>
  <c r="AY166" i="2"/>
  <c r="AE166" i="2"/>
  <c r="AD166" i="2"/>
  <c r="K166" i="2"/>
  <c r="J166" i="2"/>
  <c r="I166" i="2"/>
  <c r="HC166" i="2"/>
  <c r="GI166" i="2"/>
  <c r="FP166" i="2"/>
  <c r="HD166" i="2"/>
  <c r="GJ166" i="2"/>
  <c r="HE166" i="2"/>
  <c r="GK166" i="2"/>
  <c r="FB166" i="2"/>
  <c r="HF166" i="2"/>
  <c r="FW166" i="2"/>
  <c r="FL166" i="2"/>
  <c r="GR166" i="2"/>
  <c r="FX166" i="2"/>
  <c r="FM166" i="2"/>
  <c r="GS166" i="2"/>
  <c r="GG166" i="2"/>
  <c r="FN166" i="2"/>
  <c r="HB166" i="2"/>
  <c r="GH166" i="2"/>
  <c r="FO166" i="2"/>
  <c r="EG166" i="2"/>
  <c r="DZ166" i="2"/>
  <c r="ES166" i="2"/>
  <c r="DV166" i="2"/>
  <c r="EU166" i="2"/>
  <c r="DX166" i="2"/>
  <c r="CR166" i="2"/>
  <c r="CF166" i="2"/>
  <c r="FC166" i="2"/>
  <c r="DY166" i="2"/>
  <c r="DA166" i="2"/>
  <c r="CG166" i="2"/>
  <c r="CQ166" i="2"/>
  <c r="BW166" i="2"/>
  <c r="EH166" i="2"/>
  <c r="DB166" i="2"/>
  <c r="CH166" i="2"/>
  <c r="BA166" i="2"/>
  <c r="AP166" i="2"/>
  <c r="EQ166" i="2"/>
  <c r="DL166" i="2"/>
  <c r="DC166" i="2"/>
  <c r="ER166" i="2"/>
  <c r="DM166" i="2"/>
  <c r="ET166" i="2"/>
  <c r="DW166" i="2"/>
  <c r="DE166" i="2"/>
  <c r="BL166" i="2"/>
  <c r="AS166" i="2"/>
  <c r="BM166" i="2"/>
  <c r="V166" i="2"/>
  <c r="BO166" i="2"/>
  <c r="AQ166" i="2"/>
  <c r="AF166" i="2"/>
  <c r="AR166" i="2"/>
  <c r="AG166" i="2"/>
  <c r="Y166" i="2"/>
  <c r="BV166" i="2"/>
  <c r="AT166" i="2"/>
  <c r="DD166" i="2"/>
  <c r="CI166" i="2"/>
  <c r="BB166" i="2"/>
  <c r="CJ166" i="2"/>
  <c r="X166" i="2"/>
  <c r="BK166" i="2"/>
  <c r="U166" i="2"/>
  <c r="BN166" i="2"/>
  <c r="W166" i="2"/>
  <c r="L166" i="2"/>
  <c r="AX163" i="2"/>
  <c r="ED165" i="2" l="1"/>
  <c r="EC166" i="2"/>
  <c r="CN165" i="2"/>
  <c r="FS166" i="2"/>
  <c r="HG166" i="2"/>
  <c r="HI166" i="2"/>
  <c r="EX166" i="2"/>
  <c r="EW166" i="2"/>
  <c r="EY165" i="2"/>
  <c r="FR166" i="2"/>
  <c r="GN166" i="2"/>
  <c r="HH166" i="2"/>
  <c r="DG166" i="2"/>
  <c r="DF166" i="2"/>
  <c r="DH166" i="2"/>
  <c r="FQ166" i="2"/>
  <c r="GM166" i="2"/>
  <c r="GL166" i="2"/>
  <c r="EV166" i="2"/>
  <c r="EA166" i="2"/>
  <c r="EB166" i="2"/>
  <c r="CM166" i="2"/>
  <c r="BQ166" i="2"/>
  <c r="AV166" i="2"/>
  <c r="AU166" i="2"/>
  <c r="AW166" i="2"/>
  <c r="BR166" i="2"/>
  <c r="BP166" i="2"/>
  <c r="CL166" i="2"/>
  <c r="CK166" i="2"/>
  <c r="DI165" i="2"/>
  <c r="AB166" i="2"/>
  <c r="FT165" i="2"/>
  <c r="HJ165" i="2"/>
  <c r="GO165" i="2"/>
  <c r="AC165" i="2"/>
  <c r="Z166" i="2"/>
  <c r="AA166" i="2"/>
  <c r="A168" i="2"/>
  <c r="GQ167" i="2"/>
  <c r="GP167" i="2"/>
  <c r="FU167" i="2"/>
  <c r="FA167" i="2"/>
  <c r="EZ167" i="2"/>
  <c r="FV167" i="2"/>
  <c r="EF167" i="2"/>
  <c r="EE167" i="2"/>
  <c r="DK167" i="2"/>
  <c r="DJ167" i="2"/>
  <c r="CP167" i="2"/>
  <c r="CO167" i="2"/>
  <c r="BT167" i="2"/>
  <c r="AZ167" i="2"/>
  <c r="BU167" i="2"/>
  <c r="AY167" i="2"/>
  <c r="K167" i="2"/>
  <c r="AD167" i="2"/>
  <c r="AE167" i="2"/>
  <c r="J167" i="2"/>
  <c r="I167" i="2"/>
  <c r="HD167" i="2"/>
  <c r="GJ167" i="2"/>
  <c r="HE167" i="2"/>
  <c r="GK167" i="2"/>
  <c r="FB167" i="2"/>
  <c r="HF167" i="2"/>
  <c r="FC167" i="2"/>
  <c r="GR167" i="2"/>
  <c r="FX167" i="2"/>
  <c r="FM167" i="2"/>
  <c r="GS167" i="2"/>
  <c r="GG167" i="2"/>
  <c r="FN167" i="2"/>
  <c r="HB167" i="2"/>
  <c r="GH167" i="2"/>
  <c r="FO167" i="2"/>
  <c r="HC167" i="2"/>
  <c r="GI167" i="2"/>
  <c r="FP167" i="2"/>
  <c r="EG167" i="2"/>
  <c r="FL167" i="2"/>
  <c r="EQ167" i="2"/>
  <c r="FW167" i="2"/>
  <c r="EU167" i="2"/>
  <c r="DW167" i="2"/>
  <c r="DY167" i="2"/>
  <c r="DA167" i="2"/>
  <c r="CG167" i="2"/>
  <c r="EH167" i="2"/>
  <c r="DZ167" i="2"/>
  <c r="DB167" i="2"/>
  <c r="CH167" i="2"/>
  <c r="ES167" i="2"/>
  <c r="DM167" i="2"/>
  <c r="CR167" i="2"/>
  <c r="ET167" i="2"/>
  <c r="DV167" i="2"/>
  <c r="DX167" i="2"/>
  <c r="DD167" i="2"/>
  <c r="CJ167" i="2"/>
  <c r="BK167" i="2"/>
  <c r="AR167" i="2"/>
  <c r="DE167" i="2"/>
  <c r="BL167" i="2"/>
  <c r="AS167" i="2"/>
  <c r="BV167" i="2"/>
  <c r="BO167" i="2"/>
  <c r="BB167" i="2"/>
  <c r="ER167" i="2"/>
  <c r="DL167" i="2"/>
  <c r="CF167" i="2"/>
  <c r="BM167" i="2"/>
  <c r="BN167" i="2"/>
  <c r="AF167" i="2"/>
  <c r="U167" i="2"/>
  <c r="AP167" i="2"/>
  <c r="AG167" i="2"/>
  <c r="V167" i="2"/>
  <c r="CQ167" i="2"/>
  <c r="BA167" i="2"/>
  <c r="AQ167" i="2"/>
  <c r="W167" i="2"/>
  <c r="Y167" i="2"/>
  <c r="L167" i="2"/>
  <c r="DC167" i="2"/>
  <c r="BW167" i="2"/>
  <c r="AT167" i="2"/>
  <c r="X167" i="2"/>
  <c r="CI167" i="2"/>
  <c r="AX164" i="2"/>
  <c r="HJ166" i="2" l="1"/>
  <c r="HI167" i="2"/>
  <c r="FR167" i="2"/>
  <c r="EC167" i="2"/>
  <c r="EY166" i="2"/>
  <c r="EX167" i="2"/>
  <c r="EA167" i="2"/>
  <c r="DG167" i="2"/>
  <c r="EB167" i="2"/>
  <c r="HH167" i="2"/>
  <c r="FS167" i="2"/>
  <c r="GN167" i="2"/>
  <c r="HG167" i="2"/>
  <c r="DI166" i="2"/>
  <c r="DF167" i="2"/>
  <c r="DH167" i="2"/>
  <c r="FQ167" i="2"/>
  <c r="GM167" i="2"/>
  <c r="GL167" i="2"/>
  <c r="EV167" i="2"/>
  <c r="EW167" i="2"/>
  <c r="CM167" i="2"/>
  <c r="AV167" i="2"/>
  <c r="AW167" i="2"/>
  <c r="AU167" i="2"/>
  <c r="BR167" i="2"/>
  <c r="BP167" i="2"/>
  <c r="BQ167" i="2"/>
  <c r="CL167" i="2"/>
  <c r="CK167" i="2"/>
  <c r="ED166" i="2"/>
  <c r="CN166" i="2"/>
  <c r="FT166" i="2"/>
  <c r="GO166" i="2"/>
  <c r="AB167" i="2"/>
  <c r="AC166" i="2"/>
  <c r="AA167" i="2"/>
  <c r="Z167" i="2"/>
  <c r="A169" i="2"/>
  <c r="GQ168" i="2"/>
  <c r="GP168" i="2"/>
  <c r="FU168" i="2"/>
  <c r="FV168" i="2"/>
  <c r="EZ168" i="2"/>
  <c r="FA168" i="2"/>
  <c r="EF168" i="2"/>
  <c r="CP168" i="2"/>
  <c r="CO168" i="2"/>
  <c r="DK168" i="2"/>
  <c r="EE168" i="2"/>
  <c r="AZ168" i="2"/>
  <c r="BU168" i="2"/>
  <c r="BT168" i="2"/>
  <c r="DJ168" i="2"/>
  <c r="AY168" i="2"/>
  <c r="AE168" i="2"/>
  <c r="AD168" i="2"/>
  <c r="K168" i="2"/>
  <c r="J168" i="2"/>
  <c r="I168" i="2"/>
  <c r="HE168" i="2"/>
  <c r="GK168" i="2"/>
  <c r="FB168" i="2"/>
  <c r="HF168" i="2"/>
  <c r="FC168" i="2"/>
  <c r="FW168" i="2"/>
  <c r="FL168" i="2"/>
  <c r="GR168" i="2"/>
  <c r="GS168" i="2"/>
  <c r="GG168" i="2"/>
  <c r="FN168" i="2"/>
  <c r="HB168" i="2"/>
  <c r="GH168" i="2"/>
  <c r="FO168" i="2"/>
  <c r="HC168" i="2"/>
  <c r="GI168" i="2"/>
  <c r="FP168" i="2"/>
  <c r="HD168" i="2"/>
  <c r="GJ168" i="2"/>
  <c r="EH168" i="2"/>
  <c r="ES168" i="2"/>
  <c r="DL168" i="2"/>
  <c r="FM168" i="2"/>
  <c r="DX168" i="2"/>
  <c r="FX168" i="2"/>
  <c r="EQ168" i="2"/>
  <c r="DZ168" i="2"/>
  <c r="DB168" i="2"/>
  <c r="CH168" i="2"/>
  <c r="ER168" i="2"/>
  <c r="DC168" i="2"/>
  <c r="CI168" i="2"/>
  <c r="DE168" i="2"/>
  <c r="EG168" i="2"/>
  <c r="BN168" i="2"/>
  <c r="ET168" i="2"/>
  <c r="DM168" i="2"/>
  <c r="BV168" i="2"/>
  <c r="BO168" i="2"/>
  <c r="EU168" i="2"/>
  <c r="DV168" i="2"/>
  <c r="CQ168" i="2"/>
  <c r="DW168" i="2"/>
  <c r="DY168" i="2"/>
  <c r="DA168" i="2"/>
  <c r="CG168" i="2"/>
  <c r="AQ168" i="2"/>
  <c r="AG168" i="2"/>
  <c r="CR168" i="2"/>
  <c r="BB168" i="2"/>
  <c r="AP168" i="2"/>
  <c r="AR168" i="2"/>
  <c r="DD168" i="2"/>
  <c r="BW168" i="2"/>
  <c r="AS168" i="2"/>
  <c r="CF168" i="2"/>
  <c r="AT168" i="2"/>
  <c r="W168" i="2"/>
  <c r="L168" i="2"/>
  <c r="CJ168" i="2"/>
  <c r="X168" i="2"/>
  <c r="BK168" i="2"/>
  <c r="Y168" i="2"/>
  <c r="BL168" i="2"/>
  <c r="AF168" i="2"/>
  <c r="U168" i="2"/>
  <c r="BM168" i="2"/>
  <c r="BA168" i="2"/>
  <c r="V168" i="2"/>
  <c r="AX165" i="2"/>
  <c r="HI168" i="2" l="1"/>
  <c r="DI167" i="2"/>
  <c r="DG168" i="2"/>
  <c r="EC168" i="2"/>
  <c r="EW168" i="2"/>
  <c r="EB168" i="2"/>
  <c r="EV168" i="2"/>
  <c r="HH168" i="2"/>
  <c r="FS168" i="2"/>
  <c r="EX168" i="2"/>
  <c r="EY167" i="2"/>
  <c r="GN168" i="2"/>
  <c r="HG168" i="2"/>
  <c r="DF168" i="2"/>
  <c r="DH168" i="2"/>
  <c r="FQ168" i="2"/>
  <c r="FR168" i="2"/>
  <c r="GM168" i="2"/>
  <c r="GL168" i="2"/>
  <c r="EA168" i="2"/>
  <c r="CM168" i="2"/>
  <c r="AV168" i="2"/>
  <c r="AU168" i="2"/>
  <c r="AW168" i="2"/>
  <c r="BP168" i="2"/>
  <c r="BR168" i="2"/>
  <c r="BQ168" i="2"/>
  <c r="CK168" i="2"/>
  <c r="CL168" i="2"/>
  <c r="CN167" i="2"/>
  <c r="GO167" i="2"/>
  <c r="HJ167" i="2"/>
  <c r="FT167" i="2"/>
  <c r="AC167" i="2"/>
  <c r="AB168" i="2"/>
  <c r="Z168" i="2"/>
  <c r="ED167" i="2"/>
  <c r="AA168" i="2"/>
  <c r="A170" i="2"/>
  <c r="GQ169" i="2"/>
  <c r="GP169" i="2"/>
  <c r="FU169" i="2"/>
  <c r="FV169" i="2"/>
  <c r="FA169" i="2"/>
  <c r="EF169" i="2"/>
  <c r="EZ169" i="2"/>
  <c r="DJ169" i="2"/>
  <c r="DK169" i="2"/>
  <c r="CO169" i="2"/>
  <c r="CP169" i="2"/>
  <c r="BU169" i="2"/>
  <c r="BT169" i="2"/>
  <c r="EE169" i="2"/>
  <c r="AY169" i="2"/>
  <c r="AE169" i="2"/>
  <c r="AZ169" i="2"/>
  <c r="AD169" i="2"/>
  <c r="J169" i="2"/>
  <c r="K169" i="2"/>
  <c r="I169" i="2"/>
  <c r="HF169" i="2"/>
  <c r="FC169" i="2"/>
  <c r="FW169" i="2"/>
  <c r="FL169" i="2"/>
  <c r="GR169" i="2"/>
  <c r="FX169" i="2"/>
  <c r="FM169" i="2"/>
  <c r="GS169" i="2"/>
  <c r="HB169" i="2"/>
  <c r="GH169" i="2"/>
  <c r="FO169" i="2"/>
  <c r="HC169" i="2"/>
  <c r="GI169" i="2"/>
  <c r="FP169" i="2"/>
  <c r="HD169" i="2"/>
  <c r="GJ169" i="2"/>
  <c r="HE169" i="2"/>
  <c r="GK169" i="2"/>
  <c r="FB169" i="2"/>
  <c r="EQ169" i="2"/>
  <c r="EU169" i="2"/>
  <c r="DM169" i="2"/>
  <c r="FN169" i="2"/>
  <c r="EH169" i="2"/>
  <c r="DY169" i="2"/>
  <c r="GG169" i="2"/>
  <c r="ES169" i="2"/>
  <c r="DC169" i="2"/>
  <c r="CI169" i="2"/>
  <c r="ET169" i="2"/>
  <c r="DL169" i="2"/>
  <c r="DD169" i="2"/>
  <c r="CJ169" i="2"/>
  <c r="DW169" i="2"/>
  <c r="DX169" i="2"/>
  <c r="DZ169" i="2"/>
  <c r="CR169" i="2"/>
  <c r="CF169" i="2"/>
  <c r="BB169" i="2"/>
  <c r="DA169" i="2"/>
  <c r="CG169" i="2"/>
  <c r="DB169" i="2"/>
  <c r="EG169" i="2"/>
  <c r="ER169" i="2"/>
  <c r="BM169" i="2"/>
  <c r="AT169" i="2"/>
  <c r="DV169" i="2"/>
  <c r="BK169" i="2"/>
  <c r="AG169" i="2"/>
  <c r="X169" i="2"/>
  <c r="CQ169" i="2"/>
  <c r="BN169" i="2"/>
  <c r="DE169" i="2"/>
  <c r="BO169" i="2"/>
  <c r="AP169" i="2"/>
  <c r="L169" i="2"/>
  <c r="BV169" i="2"/>
  <c r="AQ169" i="2"/>
  <c r="BW169" i="2"/>
  <c r="AR169" i="2"/>
  <c r="U169" i="2"/>
  <c r="BL169" i="2"/>
  <c r="BA169" i="2"/>
  <c r="CH169" i="2"/>
  <c r="AS169" i="2"/>
  <c r="AF169" i="2"/>
  <c r="V169" i="2"/>
  <c r="W169" i="2"/>
  <c r="Y169" i="2"/>
  <c r="AX166" i="2"/>
  <c r="HH169" i="2" l="1"/>
  <c r="EY168" i="2"/>
  <c r="EX169" i="2"/>
  <c r="EA169" i="2"/>
  <c r="EB169" i="2"/>
  <c r="FS169" i="2"/>
  <c r="HI169" i="2"/>
  <c r="EC169" i="2"/>
  <c r="GN169" i="2"/>
  <c r="HG169" i="2"/>
  <c r="DI168" i="2"/>
  <c r="DG169" i="2"/>
  <c r="DH169" i="2"/>
  <c r="DF169" i="2"/>
  <c r="FR169" i="2"/>
  <c r="FQ169" i="2"/>
  <c r="GM169" i="2"/>
  <c r="GL169" i="2"/>
  <c r="EV169" i="2"/>
  <c r="EW169" i="2"/>
  <c r="CM169" i="2"/>
  <c r="BR169" i="2"/>
  <c r="AV169" i="2"/>
  <c r="AW169" i="2"/>
  <c r="AU169" i="2"/>
  <c r="BQ169" i="2"/>
  <c r="BP169" i="2"/>
  <c r="CL169" i="2"/>
  <c r="CK169" i="2"/>
  <c r="ED168" i="2"/>
  <c r="GO168" i="2"/>
  <c r="HJ168" i="2"/>
  <c r="FT168" i="2"/>
  <c r="CN168" i="2"/>
  <c r="Z169" i="2"/>
  <c r="AC168" i="2"/>
  <c r="AB169" i="2"/>
  <c r="AA169" i="2"/>
  <c r="A171" i="2"/>
  <c r="GQ170" i="2"/>
  <c r="GP170" i="2"/>
  <c r="FV170" i="2"/>
  <c r="FU170" i="2"/>
  <c r="FA170" i="2"/>
  <c r="EZ170" i="2"/>
  <c r="EF170" i="2"/>
  <c r="EE170" i="2"/>
  <c r="CP170" i="2"/>
  <c r="CO170" i="2"/>
  <c r="DK170" i="2"/>
  <c r="AZ170" i="2"/>
  <c r="BU170" i="2"/>
  <c r="BT170" i="2"/>
  <c r="DJ170" i="2"/>
  <c r="AY170" i="2"/>
  <c r="AE170" i="2"/>
  <c r="AD170" i="2"/>
  <c r="J170" i="2"/>
  <c r="I170" i="2"/>
  <c r="K170" i="2"/>
  <c r="FW170" i="2"/>
  <c r="FL170" i="2"/>
  <c r="GR170" i="2"/>
  <c r="FX170" i="2"/>
  <c r="FM170" i="2"/>
  <c r="GS170" i="2"/>
  <c r="GG170" i="2"/>
  <c r="FN170" i="2"/>
  <c r="HB170" i="2"/>
  <c r="HC170" i="2"/>
  <c r="GI170" i="2"/>
  <c r="FP170" i="2"/>
  <c r="HD170" i="2"/>
  <c r="GJ170" i="2"/>
  <c r="HE170" i="2"/>
  <c r="GK170" i="2"/>
  <c r="FB170" i="2"/>
  <c r="HF170" i="2"/>
  <c r="FC170" i="2"/>
  <c r="ER170" i="2"/>
  <c r="DV170" i="2"/>
  <c r="ES170" i="2"/>
  <c r="DZ170" i="2"/>
  <c r="EU170" i="2"/>
  <c r="DL170" i="2"/>
  <c r="DD170" i="2"/>
  <c r="CJ170" i="2"/>
  <c r="GH170" i="2"/>
  <c r="DM170" i="2"/>
  <c r="DE170" i="2"/>
  <c r="EH170" i="2"/>
  <c r="DA170" i="2"/>
  <c r="EQ170" i="2"/>
  <c r="ET170" i="2"/>
  <c r="DC170" i="2"/>
  <c r="CI170" i="2"/>
  <c r="BL170" i="2"/>
  <c r="DW170" i="2"/>
  <c r="BM170" i="2"/>
  <c r="BA170" i="2"/>
  <c r="DX170" i="2"/>
  <c r="FO170" i="2"/>
  <c r="DY170" i="2"/>
  <c r="CQ170" i="2"/>
  <c r="BW170" i="2"/>
  <c r="EG170" i="2"/>
  <c r="BV170" i="2"/>
  <c r="AP170" i="2"/>
  <c r="AF170" i="2"/>
  <c r="CG170" i="2"/>
  <c r="BB170" i="2"/>
  <c r="AR170" i="2"/>
  <c r="AG170" i="2"/>
  <c r="CH170" i="2"/>
  <c r="AS170" i="2"/>
  <c r="U170" i="2"/>
  <c r="CR170" i="2"/>
  <c r="BK170" i="2"/>
  <c r="AT170" i="2"/>
  <c r="V170" i="2"/>
  <c r="W170" i="2"/>
  <c r="L170" i="2"/>
  <c r="DB170" i="2"/>
  <c r="BN170" i="2"/>
  <c r="BO170" i="2"/>
  <c r="X170" i="2"/>
  <c r="CF170" i="2"/>
  <c r="Y170" i="2"/>
  <c r="AQ170" i="2"/>
  <c r="AX167" i="2"/>
  <c r="CN169" i="2" l="1"/>
  <c r="HI170" i="2"/>
  <c r="EX170" i="2"/>
  <c r="EY169" i="2"/>
  <c r="EC170" i="2"/>
  <c r="EV170" i="2"/>
  <c r="FS170" i="2"/>
  <c r="GN170" i="2"/>
  <c r="HH170" i="2"/>
  <c r="HG170" i="2"/>
  <c r="DH170" i="2"/>
  <c r="DF170" i="2"/>
  <c r="DG170" i="2"/>
  <c r="FQ170" i="2"/>
  <c r="FR170" i="2"/>
  <c r="GL170" i="2"/>
  <c r="GM170" i="2"/>
  <c r="EW170" i="2"/>
  <c r="EB170" i="2"/>
  <c r="EA170" i="2"/>
  <c r="CM170" i="2"/>
  <c r="BR170" i="2"/>
  <c r="AV170" i="2"/>
  <c r="AU170" i="2"/>
  <c r="AW170" i="2"/>
  <c r="BQ170" i="2"/>
  <c r="BP170" i="2"/>
  <c r="CL170" i="2"/>
  <c r="CK170" i="2"/>
  <c r="DI169" i="2"/>
  <c r="ED169" i="2"/>
  <c r="GO169" i="2"/>
  <c r="HJ169" i="2"/>
  <c r="AB170" i="2"/>
  <c r="AC169" i="2"/>
  <c r="Z170" i="2"/>
  <c r="AA170" i="2"/>
  <c r="FT169" i="2"/>
  <c r="A172" i="2"/>
  <c r="GQ171" i="2"/>
  <c r="GP171" i="2"/>
  <c r="FU171" i="2"/>
  <c r="FA171" i="2"/>
  <c r="EZ171" i="2"/>
  <c r="FV171" i="2"/>
  <c r="EF171" i="2"/>
  <c r="EE171" i="2"/>
  <c r="DK171" i="2"/>
  <c r="DJ171" i="2"/>
  <c r="CO171" i="2"/>
  <c r="CP171" i="2"/>
  <c r="BT171" i="2"/>
  <c r="AZ171" i="2"/>
  <c r="AY171" i="2"/>
  <c r="AE171" i="2"/>
  <c r="BU171" i="2"/>
  <c r="K171" i="2"/>
  <c r="AD171" i="2"/>
  <c r="J171" i="2"/>
  <c r="I171" i="2"/>
  <c r="GR171" i="2"/>
  <c r="FX171" i="2"/>
  <c r="FM171" i="2"/>
  <c r="GS171" i="2"/>
  <c r="GG171" i="2"/>
  <c r="FN171" i="2"/>
  <c r="HB171" i="2"/>
  <c r="GH171" i="2"/>
  <c r="FO171" i="2"/>
  <c r="HC171" i="2"/>
  <c r="HD171" i="2"/>
  <c r="GJ171" i="2"/>
  <c r="HE171" i="2"/>
  <c r="GK171" i="2"/>
  <c r="FB171" i="2"/>
  <c r="HF171" i="2"/>
  <c r="FC171" i="2"/>
  <c r="FW171" i="2"/>
  <c r="FL171" i="2"/>
  <c r="ES171" i="2"/>
  <c r="GI171" i="2"/>
  <c r="EH171" i="2"/>
  <c r="DW171" i="2"/>
  <c r="FP171" i="2"/>
  <c r="EU171" i="2"/>
  <c r="DM171" i="2"/>
  <c r="DE171" i="2"/>
  <c r="EG171" i="2"/>
  <c r="DV171" i="2"/>
  <c r="BV171" i="2"/>
  <c r="DY171" i="2"/>
  <c r="DD171" i="2"/>
  <c r="DZ171" i="2"/>
  <c r="BO171" i="2"/>
  <c r="EQ171" i="2"/>
  <c r="CQ171" i="2"/>
  <c r="BW171" i="2"/>
  <c r="ER171" i="2"/>
  <c r="CR171" i="2"/>
  <c r="ET171" i="2"/>
  <c r="DL171" i="2"/>
  <c r="DB171" i="2"/>
  <c r="CH171" i="2"/>
  <c r="BK171" i="2"/>
  <c r="BB171" i="2"/>
  <c r="AR171" i="2"/>
  <c r="DX171" i="2"/>
  <c r="BM171" i="2"/>
  <c r="AT171" i="2"/>
  <c r="U171" i="2"/>
  <c r="BA171" i="2"/>
  <c r="AF171" i="2"/>
  <c r="X171" i="2"/>
  <c r="CF171" i="2"/>
  <c r="AG171" i="2"/>
  <c r="Y171" i="2"/>
  <c r="CG171" i="2"/>
  <c r="AP171" i="2"/>
  <c r="DA171" i="2"/>
  <c r="CI171" i="2"/>
  <c r="AQ171" i="2"/>
  <c r="L171" i="2"/>
  <c r="V171" i="2"/>
  <c r="W171" i="2"/>
  <c r="DC171" i="2"/>
  <c r="CJ171" i="2"/>
  <c r="BL171" i="2"/>
  <c r="AS171" i="2"/>
  <c r="BN171" i="2"/>
  <c r="AX168" i="2"/>
  <c r="EA171" i="2" l="1"/>
  <c r="EB171" i="2"/>
  <c r="FS171" i="2"/>
  <c r="HI171" i="2"/>
  <c r="EC171" i="2"/>
  <c r="EX171" i="2"/>
  <c r="DH171" i="2"/>
  <c r="EW171" i="2"/>
  <c r="GN171" i="2"/>
  <c r="HG171" i="2"/>
  <c r="HH171" i="2"/>
  <c r="DI170" i="2"/>
  <c r="DG171" i="2"/>
  <c r="DF171" i="2"/>
  <c r="FQ171" i="2"/>
  <c r="FR171" i="2"/>
  <c r="GM171" i="2"/>
  <c r="GL171" i="2"/>
  <c r="EV171" i="2"/>
  <c r="CL171" i="2"/>
  <c r="CM171" i="2"/>
  <c r="BQ171" i="2"/>
  <c r="BR171" i="2"/>
  <c r="AV171" i="2"/>
  <c r="AW171" i="2"/>
  <c r="AU171" i="2"/>
  <c r="BP171" i="2"/>
  <c r="CK171" i="2"/>
  <c r="HJ170" i="2"/>
  <c r="EY170" i="2"/>
  <c r="CN170" i="2"/>
  <c r="ED170" i="2"/>
  <c r="GO170" i="2"/>
  <c r="FT170" i="2"/>
  <c r="AC170" i="2"/>
  <c r="Z171" i="2"/>
  <c r="AB171" i="2"/>
  <c r="AA171" i="2"/>
  <c r="A173" i="2"/>
  <c r="GQ172" i="2"/>
  <c r="GP172" i="2"/>
  <c r="FU172" i="2"/>
  <c r="FA172" i="2"/>
  <c r="EZ172" i="2"/>
  <c r="FV172" i="2"/>
  <c r="EF172" i="2"/>
  <c r="EE172" i="2"/>
  <c r="DK172" i="2"/>
  <c r="DJ172" i="2"/>
  <c r="CP172" i="2"/>
  <c r="CO172" i="2"/>
  <c r="AZ172" i="2"/>
  <c r="BU172" i="2"/>
  <c r="BT172" i="2"/>
  <c r="AY172" i="2"/>
  <c r="AE172" i="2"/>
  <c r="AD172" i="2"/>
  <c r="K172" i="2"/>
  <c r="J172" i="2"/>
  <c r="I172" i="2"/>
  <c r="GS172" i="2"/>
  <c r="GG172" i="2"/>
  <c r="FN172" i="2"/>
  <c r="HB172" i="2"/>
  <c r="GH172" i="2"/>
  <c r="FO172" i="2"/>
  <c r="HC172" i="2"/>
  <c r="GI172" i="2"/>
  <c r="FP172" i="2"/>
  <c r="HD172" i="2"/>
  <c r="HE172" i="2"/>
  <c r="GK172" i="2"/>
  <c r="FB172" i="2"/>
  <c r="HF172" i="2"/>
  <c r="FC172" i="2"/>
  <c r="FW172" i="2"/>
  <c r="FL172" i="2"/>
  <c r="GR172" i="2"/>
  <c r="FX172" i="2"/>
  <c r="FM172" i="2"/>
  <c r="ET172" i="2"/>
  <c r="ER172" i="2"/>
  <c r="DX172" i="2"/>
  <c r="GJ172" i="2"/>
  <c r="DL172" i="2"/>
  <c r="EH172" i="2"/>
  <c r="DV172" i="2"/>
  <c r="BV172" i="2"/>
  <c r="EQ172" i="2"/>
  <c r="DW172" i="2"/>
  <c r="CQ172" i="2"/>
  <c r="BW172" i="2"/>
  <c r="EU172" i="2"/>
  <c r="DM172" i="2"/>
  <c r="DA172" i="2"/>
  <c r="CG172" i="2"/>
  <c r="DY172" i="2"/>
  <c r="DB172" i="2"/>
  <c r="CH172" i="2"/>
  <c r="BK172" i="2"/>
  <c r="DZ172" i="2"/>
  <c r="DC172" i="2"/>
  <c r="EG172" i="2"/>
  <c r="DE172" i="2"/>
  <c r="BN172" i="2"/>
  <c r="AG172" i="2"/>
  <c r="ES172" i="2"/>
  <c r="CR172" i="2"/>
  <c r="CF172" i="2"/>
  <c r="DD172" i="2"/>
  <c r="CJ172" i="2"/>
  <c r="BL172" i="2"/>
  <c r="AQ172" i="2"/>
  <c r="BM172" i="2"/>
  <c r="AR172" i="2"/>
  <c r="BO172" i="2"/>
  <c r="BA172" i="2"/>
  <c r="AS172" i="2"/>
  <c r="BB172" i="2"/>
  <c r="AT172" i="2"/>
  <c r="AF172" i="2"/>
  <c r="U172" i="2"/>
  <c r="V172" i="2"/>
  <c r="X172" i="2"/>
  <c r="AP172" i="2"/>
  <c r="W172" i="2"/>
  <c r="L172" i="2"/>
  <c r="CI172" i="2"/>
  <c r="Y172" i="2"/>
  <c r="AX169" i="2"/>
  <c r="HI172" i="2" l="1"/>
  <c r="EB172" i="2"/>
  <c r="EY171" i="2"/>
  <c r="ED171" i="2"/>
  <c r="EA172" i="2"/>
  <c r="EW172" i="2"/>
  <c r="EV172" i="2"/>
  <c r="HG172" i="2"/>
  <c r="EC172" i="2"/>
  <c r="EX172" i="2"/>
  <c r="FS172" i="2"/>
  <c r="GN172" i="2"/>
  <c r="HH172" i="2"/>
  <c r="DH172" i="2"/>
  <c r="DG172" i="2"/>
  <c r="DF172" i="2"/>
  <c r="FR172" i="2"/>
  <c r="FQ172" i="2"/>
  <c r="GL172" i="2"/>
  <c r="GM172" i="2"/>
  <c r="CL172" i="2"/>
  <c r="CM172" i="2"/>
  <c r="BQ172" i="2"/>
  <c r="BR172" i="2"/>
  <c r="AV172" i="2"/>
  <c r="AU172" i="2"/>
  <c r="AW172" i="2"/>
  <c r="BP172" i="2"/>
  <c r="CK172" i="2"/>
  <c r="CN171" i="2"/>
  <c r="HJ171" i="2"/>
  <c r="FT171" i="2"/>
  <c r="GO171" i="2"/>
  <c r="AC171" i="2"/>
  <c r="Z172" i="2"/>
  <c r="AB172" i="2"/>
  <c r="DI171" i="2"/>
  <c r="A174" i="2"/>
  <c r="GQ173" i="2"/>
  <c r="GP173" i="2"/>
  <c r="FU173" i="2"/>
  <c r="FA173" i="2"/>
  <c r="EZ173" i="2"/>
  <c r="FV173" i="2"/>
  <c r="EF173" i="2"/>
  <c r="EE173" i="2"/>
  <c r="DK173" i="2"/>
  <c r="DJ173" i="2"/>
  <c r="BU173" i="2"/>
  <c r="BT173" i="2"/>
  <c r="CO173" i="2"/>
  <c r="CP173" i="2"/>
  <c r="AZ173" i="2"/>
  <c r="AY173" i="2"/>
  <c r="AE173" i="2"/>
  <c r="AD173" i="2"/>
  <c r="J173" i="2"/>
  <c r="K173" i="2"/>
  <c r="I173" i="2"/>
  <c r="HB173" i="2"/>
  <c r="GH173" i="2"/>
  <c r="FO173" i="2"/>
  <c r="HC173" i="2"/>
  <c r="GI173" i="2"/>
  <c r="FP173" i="2"/>
  <c r="HD173" i="2"/>
  <c r="GJ173" i="2"/>
  <c r="HE173" i="2"/>
  <c r="HF173" i="2"/>
  <c r="FC173" i="2"/>
  <c r="FW173" i="2"/>
  <c r="FL173" i="2"/>
  <c r="GR173" i="2"/>
  <c r="FX173" i="2"/>
  <c r="FM173" i="2"/>
  <c r="GS173" i="2"/>
  <c r="GG173" i="2"/>
  <c r="FN173" i="2"/>
  <c r="EU173" i="2"/>
  <c r="ET173" i="2"/>
  <c r="DY173" i="2"/>
  <c r="GK173" i="2"/>
  <c r="EH173" i="2"/>
  <c r="DM173" i="2"/>
  <c r="FB173" i="2"/>
  <c r="ER173" i="2"/>
  <c r="DW173" i="2"/>
  <c r="CQ173" i="2"/>
  <c r="BW173" i="2"/>
  <c r="ES173" i="2"/>
  <c r="DX173" i="2"/>
  <c r="CR173" i="2"/>
  <c r="CF173" i="2"/>
  <c r="DB173" i="2"/>
  <c r="EG173" i="2"/>
  <c r="EQ173" i="2"/>
  <c r="DD173" i="2"/>
  <c r="CJ173" i="2"/>
  <c r="BM173" i="2"/>
  <c r="BB173" i="2"/>
  <c r="DE173" i="2"/>
  <c r="BN173" i="2"/>
  <c r="DL173" i="2"/>
  <c r="DV173" i="2"/>
  <c r="BV173" i="2"/>
  <c r="AP173" i="2"/>
  <c r="DZ173" i="2"/>
  <c r="AS173" i="2"/>
  <c r="L173" i="2"/>
  <c r="DA173" i="2"/>
  <c r="DC173" i="2"/>
  <c r="CG173" i="2"/>
  <c r="V173" i="2"/>
  <c r="CH173" i="2"/>
  <c r="W173" i="2"/>
  <c r="CI173" i="2"/>
  <c r="BK173" i="2"/>
  <c r="X173" i="2"/>
  <c r="BL173" i="2"/>
  <c r="BA173" i="2"/>
  <c r="AQ173" i="2"/>
  <c r="AF173" i="2"/>
  <c r="Y173" i="2"/>
  <c r="BO173" i="2"/>
  <c r="AR173" i="2"/>
  <c r="AG173" i="2"/>
  <c r="AT173" i="2"/>
  <c r="U173" i="2"/>
  <c r="AA172" i="2"/>
  <c r="AX170" i="2"/>
  <c r="HJ172" i="2" l="1"/>
  <c r="HH173" i="2"/>
  <c r="ED172" i="2"/>
  <c r="EX173" i="2"/>
  <c r="EW173" i="2"/>
  <c r="EB173" i="2"/>
  <c r="EC173" i="2"/>
  <c r="HI173" i="2"/>
  <c r="FS173" i="2"/>
  <c r="GN173" i="2"/>
  <c r="HG173" i="2"/>
  <c r="DH173" i="2"/>
  <c r="DG173" i="2"/>
  <c r="DF173" i="2"/>
  <c r="FQ173" i="2"/>
  <c r="FR173" i="2"/>
  <c r="CL173" i="2"/>
  <c r="GM173" i="2"/>
  <c r="GL173" i="2"/>
  <c r="EV173" i="2"/>
  <c r="EA173" i="2"/>
  <c r="BQ173" i="2"/>
  <c r="CM173" i="2"/>
  <c r="BR173" i="2"/>
  <c r="AV173" i="2"/>
  <c r="AW173" i="2"/>
  <c r="AU173" i="2"/>
  <c r="BP173" i="2"/>
  <c r="CK173" i="2"/>
  <c r="DI172" i="2"/>
  <c r="AA173" i="2"/>
  <c r="GO172" i="2"/>
  <c r="FT172" i="2"/>
  <c r="EY172" i="2"/>
  <c r="Z173" i="2"/>
  <c r="AC172" i="2"/>
  <c r="AB173" i="2"/>
  <c r="CN172" i="2"/>
  <c r="A175" i="2"/>
  <c r="GQ174" i="2"/>
  <c r="GP174" i="2"/>
  <c r="FV174" i="2"/>
  <c r="FU174" i="2"/>
  <c r="FA174" i="2"/>
  <c r="EZ174" i="2"/>
  <c r="EE174" i="2"/>
  <c r="CP174" i="2"/>
  <c r="CO174" i="2"/>
  <c r="DK174" i="2"/>
  <c r="DJ174" i="2"/>
  <c r="BU174" i="2"/>
  <c r="BT174" i="2"/>
  <c r="EF174" i="2"/>
  <c r="AZ174" i="2"/>
  <c r="AY174" i="2"/>
  <c r="AE174" i="2"/>
  <c r="AD174" i="2"/>
  <c r="J174" i="2"/>
  <c r="K174" i="2"/>
  <c r="I174" i="2"/>
  <c r="HC174" i="2"/>
  <c r="GI174" i="2"/>
  <c r="FP174" i="2"/>
  <c r="HD174" i="2"/>
  <c r="GJ174" i="2"/>
  <c r="HE174" i="2"/>
  <c r="HH174" i="2" s="1"/>
  <c r="GK174" i="2"/>
  <c r="FB174" i="2"/>
  <c r="HF174" i="2"/>
  <c r="FW174" i="2"/>
  <c r="FL174" i="2"/>
  <c r="GR174" i="2"/>
  <c r="FX174" i="2"/>
  <c r="FM174" i="2"/>
  <c r="GS174" i="2"/>
  <c r="GG174" i="2"/>
  <c r="FN174" i="2"/>
  <c r="HB174" i="2"/>
  <c r="GH174" i="2"/>
  <c r="FO174" i="2"/>
  <c r="DZ174" i="2"/>
  <c r="ER174" i="2"/>
  <c r="DV174" i="2"/>
  <c r="FC174" i="2"/>
  <c r="ET174" i="2"/>
  <c r="DX174" i="2"/>
  <c r="CR174" i="2"/>
  <c r="CF174" i="2"/>
  <c r="EU174" i="2"/>
  <c r="DY174" i="2"/>
  <c r="DA174" i="2"/>
  <c r="CG174" i="2"/>
  <c r="DL174" i="2"/>
  <c r="DE174" i="2"/>
  <c r="DM174" i="2"/>
  <c r="DW174" i="2"/>
  <c r="EG174" i="2"/>
  <c r="BV174" i="2"/>
  <c r="BA174" i="2"/>
  <c r="EH174" i="2"/>
  <c r="CQ174" i="2"/>
  <c r="EQ174" i="2"/>
  <c r="ES174" i="2"/>
  <c r="DC174" i="2"/>
  <c r="CI174" i="2"/>
  <c r="BL174" i="2"/>
  <c r="AS174" i="2"/>
  <c r="CJ174" i="2"/>
  <c r="BK174" i="2"/>
  <c r="L174" i="2"/>
  <c r="BN174" i="2"/>
  <c r="AP174" i="2"/>
  <c r="BO174" i="2"/>
  <c r="AQ174" i="2"/>
  <c r="Y174" i="2"/>
  <c r="DB174" i="2"/>
  <c r="AR174" i="2"/>
  <c r="DD174" i="2"/>
  <c r="AT174" i="2"/>
  <c r="BW174" i="2"/>
  <c r="BM174" i="2"/>
  <c r="W174" i="2"/>
  <c r="X174" i="2"/>
  <c r="CH174" i="2"/>
  <c r="BB174" i="2"/>
  <c r="U174" i="2"/>
  <c r="AF174" i="2"/>
  <c r="V174" i="2"/>
  <c r="AG174" i="2"/>
  <c r="AX171" i="2"/>
  <c r="EY173" i="2" l="1"/>
  <c r="EC174" i="2"/>
  <c r="HG174" i="2"/>
  <c r="EA174" i="2"/>
  <c r="EB174" i="2"/>
  <c r="EX174" i="2"/>
  <c r="FS174" i="2"/>
  <c r="HI174" i="2"/>
  <c r="GN174" i="2"/>
  <c r="DI173" i="2"/>
  <c r="DH174" i="2"/>
  <c r="DF174" i="2"/>
  <c r="DG174" i="2"/>
  <c r="FQ174" i="2"/>
  <c r="FR174" i="2"/>
  <c r="CL174" i="2"/>
  <c r="GL174" i="2"/>
  <c r="GM174" i="2"/>
  <c r="EV174" i="2"/>
  <c r="EW174" i="2"/>
  <c r="CM174" i="2"/>
  <c r="BR174" i="2"/>
  <c r="AV174" i="2"/>
  <c r="AU174" i="2"/>
  <c r="AW174" i="2"/>
  <c r="BQ174" i="2"/>
  <c r="BP174" i="2"/>
  <c r="CK174" i="2"/>
  <c r="FT173" i="2"/>
  <c r="CN173" i="2"/>
  <c r="AC173" i="2"/>
  <c r="GO173" i="2"/>
  <c r="HJ173" i="2"/>
  <c r="Z174" i="2"/>
  <c r="AB174" i="2"/>
  <c r="A176" i="2"/>
  <c r="GQ175" i="2"/>
  <c r="GP175" i="2"/>
  <c r="FU175" i="2"/>
  <c r="FA175" i="2"/>
  <c r="EZ175" i="2"/>
  <c r="FV175" i="2"/>
  <c r="EF175" i="2"/>
  <c r="EE175" i="2"/>
  <c r="DK175" i="2"/>
  <c r="DJ175" i="2"/>
  <c r="CO175" i="2"/>
  <c r="CP175" i="2"/>
  <c r="BU175" i="2"/>
  <c r="BT175" i="2"/>
  <c r="AZ175" i="2"/>
  <c r="AY175" i="2"/>
  <c r="AE175" i="2"/>
  <c r="K175" i="2"/>
  <c r="AD175" i="2"/>
  <c r="J175" i="2"/>
  <c r="I175" i="2"/>
  <c r="HD175" i="2"/>
  <c r="GJ175" i="2"/>
  <c r="HE175" i="2"/>
  <c r="GK175" i="2"/>
  <c r="FB175" i="2"/>
  <c r="HF175" i="2"/>
  <c r="FC175" i="2"/>
  <c r="GR175" i="2"/>
  <c r="FX175" i="2"/>
  <c r="FM175" i="2"/>
  <c r="GS175" i="2"/>
  <c r="GG175" i="2"/>
  <c r="FN175" i="2"/>
  <c r="HB175" i="2"/>
  <c r="GH175" i="2"/>
  <c r="FO175" i="2"/>
  <c r="HC175" i="2"/>
  <c r="GI175" i="2"/>
  <c r="FP175" i="2"/>
  <c r="EG175" i="2"/>
  <c r="EH175" i="2"/>
  <c r="ET175" i="2"/>
  <c r="DW175" i="2"/>
  <c r="DY175" i="2"/>
  <c r="DA175" i="2"/>
  <c r="CG175" i="2"/>
  <c r="FL175" i="2"/>
  <c r="DZ175" i="2"/>
  <c r="DB175" i="2"/>
  <c r="CH175" i="2"/>
  <c r="FW175" i="2"/>
  <c r="ER175" i="2"/>
  <c r="ES175" i="2"/>
  <c r="EU175" i="2"/>
  <c r="CR175" i="2"/>
  <c r="CF175" i="2"/>
  <c r="BK175" i="2"/>
  <c r="DL175" i="2"/>
  <c r="DC175" i="2"/>
  <c r="CI175" i="2"/>
  <c r="BL175" i="2"/>
  <c r="DM175" i="2"/>
  <c r="DD175" i="2"/>
  <c r="DV175" i="2"/>
  <c r="DX175" i="2"/>
  <c r="BO175" i="2"/>
  <c r="BB175" i="2"/>
  <c r="EQ175" i="2"/>
  <c r="BA175" i="2"/>
  <c r="AR175" i="2"/>
  <c r="BW175" i="2"/>
  <c r="AT175" i="2"/>
  <c r="AF175" i="2"/>
  <c r="CJ175" i="2"/>
  <c r="AG175" i="2"/>
  <c r="BM175" i="2"/>
  <c r="U175" i="2"/>
  <c r="BN175" i="2"/>
  <c r="V175" i="2"/>
  <c r="CQ175" i="2"/>
  <c r="AP175" i="2"/>
  <c r="W175" i="2"/>
  <c r="Y175" i="2"/>
  <c r="BV175" i="2"/>
  <c r="AS175" i="2"/>
  <c r="DE175" i="2"/>
  <c r="AQ175" i="2"/>
  <c r="X175" i="2"/>
  <c r="L175" i="2"/>
  <c r="ED173" i="2"/>
  <c r="AA174" i="2"/>
  <c r="AA175" i="2" s="1"/>
  <c r="AX172" i="2"/>
  <c r="HI175" i="2" l="1"/>
  <c r="EA175" i="2"/>
  <c r="ED174" i="2"/>
  <c r="EB175" i="2"/>
  <c r="EW175" i="2"/>
  <c r="FS175" i="2"/>
  <c r="EX175" i="2"/>
  <c r="EC175" i="2"/>
  <c r="EV175" i="2"/>
  <c r="FQ175" i="2"/>
  <c r="GN175" i="2"/>
  <c r="HH175" i="2"/>
  <c r="HG175" i="2"/>
  <c r="DF175" i="2"/>
  <c r="DI174" i="2"/>
  <c r="DH175" i="2"/>
  <c r="DG175" i="2"/>
  <c r="FR175" i="2"/>
  <c r="CN174" i="2"/>
  <c r="GL175" i="2"/>
  <c r="GM175" i="2"/>
  <c r="BR175" i="2"/>
  <c r="CL175" i="2"/>
  <c r="CM175" i="2"/>
  <c r="AV175" i="2"/>
  <c r="AW175" i="2"/>
  <c r="AU175" i="2"/>
  <c r="BP175" i="2"/>
  <c r="BQ175" i="2"/>
  <c r="CK175" i="2"/>
  <c r="HJ174" i="2"/>
  <c r="GO174" i="2"/>
  <c r="EY174" i="2"/>
  <c r="FT174" i="2"/>
  <c r="Z175" i="2"/>
  <c r="AB175" i="2"/>
  <c r="AC174" i="2"/>
  <c r="A177" i="2"/>
  <c r="GQ176" i="2"/>
  <c r="GP176" i="2"/>
  <c r="FU176" i="2"/>
  <c r="FV176" i="2"/>
  <c r="FA176" i="2"/>
  <c r="EZ176" i="2"/>
  <c r="EE176" i="2"/>
  <c r="DK176" i="2"/>
  <c r="EF176" i="2"/>
  <c r="CP176" i="2"/>
  <c r="CO176" i="2"/>
  <c r="DJ176" i="2"/>
  <c r="AZ176" i="2"/>
  <c r="BU176" i="2"/>
  <c r="BT176" i="2"/>
  <c r="AY176" i="2"/>
  <c r="AE176" i="2"/>
  <c r="AD176" i="2"/>
  <c r="J176" i="2"/>
  <c r="K176" i="2"/>
  <c r="I176" i="2"/>
  <c r="HE176" i="2"/>
  <c r="GK176" i="2"/>
  <c r="FB176" i="2"/>
  <c r="HF176" i="2"/>
  <c r="FC176" i="2"/>
  <c r="FW176" i="2"/>
  <c r="FL176" i="2"/>
  <c r="GR176" i="2"/>
  <c r="GS176" i="2"/>
  <c r="GG176" i="2"/>
  <c r="FN176" i="2"/>
  <c r="HB176" i="2"/>
  <c r="GH176" i="2"/>
  <c r="FO176" i="2"/>
  <c r="HC176" i="2"/>
  <c r="GI176" i="2"/>
  <c r="FP176" i="2"/>
  <c r="HD176" i="2"/>
  <c r="GJ176" i="2"/>
  <c r="EH176" i="2"/>
  <c r="FM176" i="2"/>
  <c r="ER176" i="2"/>
  <c r="DL176" i="2"/>
  <c r="FX176" i="2"/>
  <c r="DX176" i="2"/>
  <c r="EG176" i="2"/>
  <c r="DZ176" i="2"/>
  <c r="DB176" i="2"/>
  <c r="CH176" i="2"/>
  <c r="EQ176" i="2"/>
  <c r="DC176" i="2"/>
  <c r="CI176" i="2"/>
  <c r="DV176" i="2"/>
  <c r="DA176" i="2"/>
  <c r="DW176" i="2"/>
  <c r="DY176" i="2"/>
  <c r="DE176" i="2"/>
  <c r="BN176" i="2"/>
  <c r="ES176" i="2"/>
  <c r="BO176" i="2"/>
  <c r="ET176" i="2"/>
  <c r="EU176" i="2"/>
  <c r="CQ176" i="2"/>
  <c r="BW176" i="2"/>
  <c r="AQ176" i="2"/>
  <c r="AG176" i="2"/>
  <c r="DM176" i="2"/>
  <c r="CR176" i="2"/>
  <c r="BM176" i="2"/>
  <c r="U176" i="2"/>
  <c r="DD176" i="2"/>
  <c r="BB176" i="2"/>
  <c r="AP176" i="2"/>
  <c r="W176" i="2"/>
  <c r="L176" i="2"/>
  <c r="BV176" i="2"/>
  <c r="AR176" i="2"/>
  <c r="AF176" i="2"/>
  <c r="X176" i="2"/>
  <c r="CF176" i="2"/>
  <c r="AS176" i="2"/>
  <c r="Y176" i="2"/>
  <c r="CG176" i="2"/>
  <c r="BK176" i="2"/>
  <c r="AT176" i="2"/>
  <c r="CJ176" i="2"/>
  <c r="BL176" i="2"/>
  <c r="BA176" i="2"/>
  <c r="V176" i="2"/>
  <c r="AX173" i="2"/>
  <c r="EY175" i="2" l="1"/>
  <c r="EB176" i="2"/>
  <c r="EC176" i="2"/>
  <c r="HH176" i="2"/>
  <c r="EX176" i="2"/>
  <c r="FS176" i="2"/>
  <c r="FQ176" i="2"/>
  <c r="EV176" i="2"/>
  <c r="HI176" i="2"/>
  <c r="AU176" i="2"/>
  <c r="GN176" i="2"/>
  <c r="HG176" i="2"/>
  <c r="DG176" i="2"/>
  <c r="DI175" i="2"/>
  <c r="DH176" i="2"/>
  <c r="DF176" i="2"/>
  <c r="FR176" i="2"/>
  <c r="GM176" i="2"/>
  <c r="GL176" i="2"/>
  <c r="EW176" i="2"/>
  <c r="EA176" i="2"/>
  <c r="CN175" i="2"/>
  <c r="CL176" i="2"/>
  <c r="CM176" i="2"/>
  <c r="AV176" i="2"/>
  <c r="AW176" i="2"/>
  <c r="BR176" i="2"/>
  <c r="BP176" i="2"/>
  <c r="BQ176" i="2"/>
  <c r="CK176" i="2"/>
  <c r="HJ175" i="2"/>
  <c r="GO175" i="2"/>
  <c r="ED175" i="2"/>
  <c r="FT175" i="2"/>
  <c r="Z176" i="2"/>
  <c r="AC175" i="2"/>
  <c r="AA176" i="2"/>
  <c r="AB176" i="2"/>
  <c r="A178" i="2"/>
  <c r="GQ177" i="2"/>
  <c r="GP177" i="2"/>
  <c r="FU177" i="2"/>
  <c r="FV177" i="2"/>
  <c r="EZ177" i="2"/>
  <c r="FA177" i="2"/>
  <c r="EF177" i="2"/>
  <c r="DK177" i="2"/>
  <c r="EE177" i="2"/>
  <c r="DJ177" i="2"/>
  <c r="CP177" i="2"/>
  <c r="CO177" i="2"/>
  <c r="BU177" i="2"/>
  <c r="BT177" i="2"/>
  <c r="AY177" i="2"/>
  <c r="AE177" i="2"/>
  <c r="AZ177" i="2"/>
  <c r="AD177" i="2"/>
  <c r="J177" i="2"/>
  <c r="I177" i="2"/>
  <c r="K177" i="2"/>
  <c r="HF177" i="2"/>
  <c r="FC177" i="2"/>
  <c r="FW177" i="2"/>
  <c r="FL177" i="2"/>
  <c r="GR177" i="2"/>
  <c r="FX177" i="2"/>
  <c r="FM177" i="2"/>
  <c r="GS177" i="2"/>
  <c r="HB177" i="2"/>
  <c r="GH177" i="2"/>
  <c r="FO177" i="2"/>
  <c r="HC177" i="2"/>
  <c r="GI177" i="2"/>
  <c r="FP177" i="2"/>
  <c r="HD177" i="2"/>
  <c r="GJ177" i="2"/>
  <c r="HE177" i="2"/>
  <c r="GK177" i="2"/>
  <c r="FB177" i="2"/>
  <c r="EQ177" i="2"/>
  <c r="ET177" i="2"/>
  <c r="DM177" i="2"/>
  <c r="FN177" i="2"/>
  <c r="EG177" i="2"/>
  <c r="DY177" i="2"/>
  <c r="GG177" i="2"/>
  <c r="ER177" i="2"/>
  <c r="DC177" i="2"/>
  <c r="CI177" i="2"/>
  <c r="ES177" i="2"/>
  <c r="DL177" i="2"/>
  <c r="DD177" i="2"/>
  <c r="CJ177" i="2"/>
  <c r="BV177" i="2"/>
  <c r="BB177" i="2"/>
  <c r="DV177" i="2"/>
  <c r="CQ177" i="2"/>
  <c r="BW177" i="2"/>
  <c r="DW177" i="2"/>
  <c r="CR177" i="2"/>
  <c r="DX177" i="2"/>
  <c r="EH177" i="2"/>
  <c r="DZ177" i="2"/>
  <c r="DB177" i="2"/>
  <c r="CH177" i="2"/>
  <c r="BM177" i="2"/>
  <c r="AT177" i="2"/>
  <c r="EU177" i="2"/>
  <c r="CF177" i="2"/>
  <c r="AQ177" i="2"/>
  <c r="DA177" i="2"/>
  <c r="BL177" i="2"/>
  <c r="AS177" i="2"/>
  <c r="DE177" i="2"/>
  <c r="BN177" i="2"/>
  <c r="BA177" i="2"/>
  <c r="BO177" i="2"/>
  <c r="L177" i="2"/>
  <c r="AF177" i="2"/>
  <c r="AG177" i="2"/>
  <c r="U177" i="2"/>
  <c r="Y177" i="2"/>
  <c r="AP177" i="2"/>
  <c r="V177" i="2"/>
  <c r="W177" i="2"/>
  <c r="CG177" i="2"/>
  <c r="BK177" i="2"/>
  <c r="AR177" i="2"/>
  <c r="X177" i="2"/>
  <c r="AX174" i="2"/>
  <c r="HH177" i="2" l="1"/>
  <c r="FQ177" i="2"/>
  <c r="FS177" i="2"/>
  <c r="EC177" i="2"/>
  <c r="EW177" i="2"/>
  <c r="HI177" i="2"/>
  <c r="EX177" i="2"/>
  <c r="EV177" i="2"/>
  <c r="GN177" i="2"/>
  <c r="HG177" i="2"/>
  <c r="DG177" i="2"/>
  <c r="DH177" i="2"/>
  <c r="DF177" i="2"/>
  <c r="FR177" i="2"/>
  <c r="GM177" i="2"/>
  <c r="GL177" i="2"/>
  <c r="EB177" i="2"/>
  <c r="EA177" i="2"/>
  <c r="CM177" i="2"/>
  <c r="AV177" i="2"/>
  <c r="AW177" i="2"/>
  <c r="AU177" i="2"/>
  <c r="BR177" i="2"/>
  <c r="BP177" i="2"/>
  <c r="BQ177" i="2"/>
  <c r="CL177" i="2"/>
  <c r="CK177" i="2"/>
  <c r="EY176" i="2"/>
  <c r="DI176" i="2"/>
  <c r="HJ176" i="2"/>
  <c r="GO176" i="2"/>
  <c r="ED176" i="2"/>
  <c r="Z177" i="2"/>
  <c r="AC176" i="2"/>
  <c r="FT176" i="2"/>
  <c r="CN176" i="2"/>
  <c r="AA177" i="2"/>
  <c r="A179" i="2"/>
  <c r="GQ178" i="2"/>
  <c r="GP178" i="2"/>
  <c r="FU178" i="2"/>
  <c r="FV178" i="2"/>
  <c r="EZ178" i="2"/>
  <c r="EE178" i="2"/>
  <c r="FA178" i="2"/>
  <c r="EF178" i="2"/>
  <c r="CP178" i="2"/>
  <c r="CO178" i="2"/>
  <c r="DK178" i="2"/>
  <c r="DJ178" i="2"/>
  <c r="AZ178" i="2"/>
  <c r="BU178" i="2"/>
  <c r="BT178" i="2"/>
  <c r="AY178" i="2"/>
  <c r="AE178" i="2"/>
  <c r="AD178" i="2"/>
  <c r="J178" i="2"/>
  <c r="I178" i="2"/>
  <c r="K178" i="2"/>
  <c r="FW178" i="2"/>
  <c r="FL178" i="2"/>
  <c r="GR178" i="2"/>
  <c r="FX178" i="2"/>
  <c r="FM178" i="2"/>
  <c r="GS178" i="2"/>
  <c r="GG178" i="2"/>
  <c r="FN178" i="2"/>
  <c r="HB178" i="2"/>
  <c r="HC178" i="2"/>
  <c r="GI178" i="2"/>
  <c r="FP178" i="2"/>
  <c r="HD178" i="2"/>
  <c r="GJ178" i="2"/>
  <c r="HE178" i="2"/>
  <c r="GK178" i="2"/>
  <c r="FB178" i="2"/>
  <c r="HF178" i="2"/>
  <c r="FC178" i="2"/>
  <c r="ER178" i="2"/>
  <c r="DV178" i="2"/>
  <c r="FO178" i="2"/>
  <c r="EQ178" i="2"/>
  <c r="DZ178" i="2"/>
  <c r="GH178" i="2"/>
  <c r="ET178" i="2"/>
  <c r="DL178" i="2"/>
  <c r="DD178" i="2"/>
  <c r="CJ178" i="2"/>
  <c r="EU178" i="2"/>
  <c r="DM178" i="2"/>
  <c r="DE178" i="2"/>
  <c r="EG178" i="2"/>
  <c r="DX178" i="2"/>
  <c r="CQ178" i="2"/>
  <c r="EH178" i="2"/>
  <c r="DY178" i="2"/>
  <c r="ES178" i="2"/>
  <c r="DA178" i="2"/>
  <c r="CG178" i="2"/>
  <c r="BL178" i="2"/>
  <c r="DB178" i="2"/>
  <c r="CH178" i="2"/>
  <c r="BM178" i="2"/>
  <c r="BA178" i="2"/>
  <c r="DC178" i="2"/>
  <c r="DW178" i="2"/>
  <c r="BV178" i="2"/>
  <c r="BW178" i="2"/>
  <c r="AP178" i="2"/>
  <c r="U178" i="2"/>
  <c r="CR178" i="2"/>
  <c r="CF178" i="2"/>
  <c r="BB178" i="2"/>
  <c r="AQ178" i="2"/>
  <c r="V178" i="2"/>
  <c r="L178" i="2"/>
  <c r="CI178" i="2"/>
  <c r="BK178" i="2"/>
  <c r="AR178" i="2"/>
  <c r="W178" i="2"/>
  <c r="BN178" i="2"/>
  <c r="AS178" i="2"/>
  <c r="X178" i="2"/>
  <c r="AG178" i="2"/>
  <c r="BO178" i="2"/>
  <c r="AT178" i="2"/>
  <c r="AF178" i="2"/>
  <c r="Y178" i="2"/>
  <c r="AB177" i="2"/>
  <c r="AX175" i="2"/>
  <c r="FQ178" i="2" l="1"/>
  <c r="EA178" i="2"/>
  <c r="EW178" i="2"/>
  <c r="ED177" i="2"/>
  <c r="EB178" i="2"/>
  <c r="HH178" i="2"/>
  <c r="HG178" i="2"/>
  <c r="FS178" i="2"/>
  <c r="HI178" i="2"/>
  <c r="EX178" i="2"/>
  <c r="EC178" i="2"/>
  <c r="GN178" i="2"/>
  <c r="DG178" i="2"/>
  <c r="DF178" i="2"/>
  <c r="DH178" i="2"/>
  <c r="FR178" i="2"/>
  <c r="GM178" i="2"/>
  <c r="GL178" i="2"/>
  <c r="EV178" i="2"/>
  <c r="CL178" i="2"/>
  <c r="CM178" i="2"/>
  <c r="AV178" i="2"/>
  <c r="AU178" i="2"/>
  <c r="AW178" i="2"/>
  <c r="BP178" i="2"/>
  <c r="BR178" i="2"/>
  <c r="BQ178" i="2"/>
  <c r="CK178" i="2"/>
  <c r="HJ177" i="2"/>
  <c r="FT177" i="2"/>
  <c r="CN177" i="2"/>
  <c r="AB178" i="2"/>
  <c r="EY177" i="2"/>
  <c r="GO177" i="2"/>
  <c r="Z178" i="2"/>
  <c r="DI177" i="2"/>
  <c r="AC177" i="2"/>
  <c r="AA178" i="2"/>
  <c r="A180" i="2"/>
  <c r="GQ179" i="2"/>
  <c r="GP179" i="2"/>
  <c r="FU179" i="2"/>
  <c r="FA179" i="2"/>
  <c r="EZ179" i="2"/>
  <c r="FV179" i="2"/>
  <c r="EF179" i="2"/>
  <c r="DK179" i="2"/>
  <c r="EE179" i="2"/>
  <c r="DJ179" i="2"/>
  <c r="CP179" i="2"/>
  <c r="CO179" i="2"/>
  <c r="BU179" i="2"/>
  <c r="AY179" i="2"/>
  <c r="BT179" i="2"/>
  <c r="AZ179" i="2"/>
  <c r="AE179" i="2"/>
  <c r="AD179" i="2"/>
  <c r="K179" i="2"/>
  <c r="J179" i="2"/>
  <c r="I179" i="2"/>
  <c r="GR179" i="2"/>
  <c r="FX179" i="2"/>
  <c r="FM179" i="2"/>
  <c r="GS179" i="2"/>
  <c r="GG179" i="2"/>
  <c r="FN179" i="2"/>
  <c r="HB179" i="2"/>
  <c r="GH179" i="2"/>
  <c r="FO179" i="2"/>
  <c r="HC179" i="2"/>
  <c r="HD179" i="2"/>
  <c r="GJ179" i="2"/>
  <c r="HE179" i="2"/>
  <c r="GK179" i="2"/>
  <c r="FB179" i="2"/>
  <c r="HF179" i="2"/>
  <c r="FC179" i="2"/>
  <c r="FW179" i="2"/>
  <c r="FL179" i="2"/>
  <c r="ES179" i="2"/>
  <c r="EG179" i="2"/>
  <c r="DW179" i="2"/>
  <c r="ET179" i="2"/>
  <c r="DM179" i="2"/>
  <c r="DE179" i="2"/>
  <c r="GI179" i="2"/>
  <c r="DV179" i="2"/>
  <c r="BV179" i="2"/>
  <c r="DB179" i="2"/>
  <c r="DL179" i="2"/>
  <c r="DD179" i="2"/>
  <c r="CJ179" i="2"/>
  <c r="BO179" i="2"/>
  <c r="EH179" i="2"/>
  <c r="DX179" i="2"/>
  <c r="EQ179" i="2"/>
  <c r="DY179" i="2"/>
  <c r="ER179" i="2"/>
  <c r="DZ179" i="2"/>
  <c r="FP179" i="2"/>
  <c r="EU179" i="2"/>
  <c r="CR179" i="2"/>
  <c r="CF179" i="2"/>
  <c r="BK179" i="2"/>
  <c r="BB179" i="2"/>
  <c r="AR179" i="2"/>
  <c r="CH179" i="2"/>
  <c r="BL179" i="2"/>
  <c r="AP179" i="2"/>
  <c r="U179" i="2"/>
  <c r="BN179" i="2"/>
  <c r="AS179" i="2"/>
  <c r="AG179" i="2"/>
  <c r="AT179" i="2"/>
  <c r="X179" i="2"/>
  <c r="Y179" i="2"/>
  <c r="CQ179" i="2"/>
  <c r="BA179" i="2"/>
  <c r="DA179" i="2"/>
  <c r="BW179" i="2"/>
  <c r="L179" i="2"/>
  <c r="CI179" i="2"/>
  <c r="BM179" i="2"/>
  <c r="AQ179" i="2"/>
  <c r="AF179" i="2"/>
  <c r="V179" i="2"/>
  <c r="DC179" i="2"/>
  <c r="CG179" i="2"/>
  <c r="W179" i="2"/>
  <c r="AX176" i="2"/>
  <c r="EA179" i="2" l="1"/>
  <c r="EB179" i="2"/>
  <c r="ED178" i="2"/>
  <c r="DF179" i="2"/>
  <c r="EV179" i="2"/>
  <c r="HI179" i="2"/>
  <c r="HH179" i="2"/>
  <c r="HG179" i="2"/>
  <c r="FS179" i="2"/>
  <c r="EX179" i="2"/>
  <c r="AW179" i="2"/>
  <c r="EC179" i="2"/>
  <c r="FQ179" i="2"/>
  <c r="EW179" i="2"/>
  <c r="GN179" i="2"/>
  <c r="DG179" i="2"/>
  <c r="DH179" i="2"/>
  <c r="FR179" i="2"/>
  <c r="GL179" i="2"/>
  <c r="GM179" i="2"/>
  <c r="CL179" i="2"/>
  <c r="CM179" i="2"/>
  <c r="BP179" i="2"/>
  <c r="AV179" i="2"/>
  <c r="AU179" i="2"/>
  <c r="BR179" i="2"/>
  <c r="BQ179" i="2"/>
  <c r="CK179" i="2"/>
  <c r="AC178" i="2"/>
  <c r="DI178" i="2"/>
  <c r="GO178" i="2"/>
  <c r="FT178" i="2"/>
  <c r="HJ178" i="2"/>
  <c r="CN178" i="2"/>
  <c r="AB179" i="2"/>
  <c r="Z179" i="2"/>
  <c r="AA179" i="2"/>
  <c r="EY178" i="2"/>
  <c r="A181" i="2"/>
  <c r="GQ180" i="2"/>
  <c r="GP180" i="2"/>
  <c r="FU180" i="2"/>
  <c r="FA180" i="2"/>
  <c r="EZ180" i="2"/>
  <c r="EF180" i="2"/>
  <c r="FV180" i="2"/>
  <c r="DK180" i="2"/>
  <c r="EE180" i="2"/>
  <c r="CP180" i="2"/>
  <c r="CO180" i="2"/>
  <c r="DJ180" i="2"/>
  <c r="AZ180" i="2"/>
  <c r="BU180" i="2"/>
  <c r="BT180" i="2"/>
  <c r="AY180" i="2"/>
  <c r="AE180" i="2"/>
  <c r="AD180" i="2"/>
  <c r="K180" i="2"/>
  <c r="I180" i="2"/>
  <c r="J180" i="2"/>
  <c r="GS180" i="2"/>
  <c r="GG180" i="2"/>
  <c r="FN180" i="2"/>
  <c r="HB180" i="2"/>
  <c r="GH180" i="2"/>
  <c r="FO180" i="2"/>
  <c r="HC180" i="2"/>
  <c r="GI180" i="2"/>
  <c r="FP180" i="2"/>
  <c r="HD180" i="2"/>
  <c r="HE180" i="2"/>
  <c r="GK180" i="2"/>
  <c r="FB180" i="2"/>
  <c r="HF180" i="2"/>
  <c r="FC180" i="2"/>
  <c r="FW180" i="2"/>
  <c r="FL180" i="2"/>
  <c r="GR180" i="2"/>
  <c r="FX180" i="2"/>
  <c r="FM180" i="2"/>
  <c r="ET180" i="2"/>
  <c r="GJ180" i="2"/>
  <c r="EQ180" i="2"/>
  <c r="DX180" i="2"/>
  <c r="DL180" i="2"/>
  <c r="EG180" i="2"/>
  <c r="DV180" i="2"/>
  <c r="BV180" i="2"/>
  <c r="EH180" i="2"/>
  <c r="DW180" i="2"/>
  <c r="CQ180" i="2"/>
  <c r="BW180" i="2"/>
  <c r="ES180" i="2"/>
  <c r="DZ180" i="2"/>
  <c r="DE180" i="2"/>
  <c r="EU180" i="2"/>
  <c r="CR180" i="2"/>
  <c r="CF180" i="2"/>
  <c r="BK180" i="2"/>
  <c r="DA180" i="2"/>
  <c r="DM180" i="2"/>
  <c r="DC180" i="2"/>
  <c r="CI180" i="2"/>
  <c r="BN180" i="2"/>
  <c r="AG180" i="2"/>
  <c r="ER180" i="2"/>
  <c r="DY180" i="2"/>
  <c r="DB180" i="2"/>
  <c r="AT180" i="2"/>
  <c r="Y180" i="2"/>
  <c r="DD180" i="2"/>
  <c r="CG180" i="2"/>
  <c r="CH180" i="2"/>
  <c r="BL180" i="2"/>
  <c r="AF180" i="2"/>
  <c r="CJ180" i="2"/>
  <c r="BM180" i="2"/>
  <c r="AP180" i="2"/>
  <c r="BO180" i="2"/>
  <c r="AQ180" i="2"/>
  <c r="U180" i="2"/>
  <c r="BA180" i="2"/>
  <c r="AR180" i="2"/>
  <c r="V180" i="2"/>
  <c r="X180" i="2"/>
  <c r="BB180" i="2"/>
  <c r="AS180" i="2"/>
  <c r="W180" i="2"/>
  <c r="L180" i="2"/>
  <c r="AX177" i="2"/>
  <c r="HG180" i="2" l="1"/>
  <c r="ED179" i="2"/>
  <c r="EY179" i="2"/>
  <c r="EX180" i="2"/>
  <c r="HI180" i="2"/>
  <c r="EC180" i="2"/>
  <c r="EW180" i="2"/>
  <c r="FS180" i="2"/>
  <c r="FQ180" i="2"/>
  <c r="GN180" i="2"/>
  <c r="HH180" i="2"/>
  <c r="DH180" i="2"/>
  <c r="DI179" i="2"/>
  <c r="DG180" i="2"/>
  <c r="DF180" i="2"/>
  <c r="FR180" i="2"/>
  <c r="CN179" i="2"/>
  <c r="GL180" i="2"/>
  <c r="GM180" i="2"/>
  <c r="EV180" i="2"/>
  <c r="EA180" i="2"/>
  <c r="EB180" i="2"/>
  <c r="CM180" i="2"/>
  <c r="BR180" i="2"/>
  <c r="AV180" i="2"/>
  <c r="AW180" i="2"/>
  <c r="AU180" i="2"/>
  <c r="BP180" i="2"/>
  <c r="BQ180" i="2"/>
  <c r="CL180" i="2"/>
  <c r="CK180" i="2"/>
  <c r="HJ179" i="2"/>
  <c r="AC179" i="2"/>
  <c r="GO179" i="2"/>
  <c r="FT179" i="2"/>
  <c r="Z180" i="2"/>
  <c r="AB180" i="2"/>
  <c r="AA180" i="2"/>
  <c r="A182" i="2"/>
  <c r="GQ181" i="2"/>
  <c r="GP181" i="2"/>
  <c r="FU181" i="2"/>
  <c r="FA181" i="2"/>
  <c r="EZ181" i="2"/>
  <c r="EF181" i="2"/>
  <c r="FV181" i="2"/>
  <c r="DK181" i="2"/>
  <c r="DJ181" i="2"/>
  <c r="EE181" i="2"/>
  <c r="BU181" i="2"/>
  <c r="CP181" i="2"/>
  <c r="CO181" i="2"/>
  <c r="BT181" i="2"/>
  <c r="AY181" i="2"/>
  <c r="AE181" i="2"/>
  <c r="AZ181" i="2"/>
  <c r="J181" i="2"/>
  <c r="AD181" i="2"/>
  <c r="K181" i="2"/>
  <c r="I181" i="2"/>
  <c r="HB181" i="2"/>
  <c r="GH181" i="2"/>
  <c r="FO181" i="2"/>
  <c r="HC181" i="2"/>
  <c r="GI181" i="2"/>
  <c r="FP181" i="2"/>
  <c r="HD181" i="2"/>
  <c r="GJ181" i="2"/>
  <c r="HE181" i="2"/>
  <c r="HF181" i="2"/>
  <c r="FC181" i="2"/>
  <c r="FW181" i="2"/>
  <c r="FL181" i="2"/>
  <c r="GR181" i="2"/>
  <c r="FX181" i="2"/>
  <c r="FM181" i="2"/>
  <c r="GS181" i="2"/>
  <c r="GG181" i="2"/>
  <c r="FN181" i="2"/>
  <c r="EU181" i="2"/>
  <c r="ES181" i="2"/>
  <c r="DY181" i="2"/>
  <c r="GK181" i="2"/>
  <c r="FB181" i="2"/>
  <c r="EG181" i="2"/>
  <c r="DM181" i="2"/>
  <c r="EQ181" i="2"/>
  <c r="DW181" i="2"/>
  <c r="CQ181" i="2"/>
  <c r="ER181" i="2"/>
  <c r="DX181" i="2"/>
  <c r="CR181" i="2"/>
  <c r="DL181" i="2"/>
  <c r="EH181" i="2"/>
  <c r="DV181" i="2"/>
  <c r="DB181" i="2"/>
  <c r="CF181" i="2"/>
  <c r="BM181" i="2"/>
  <c r="BB181" i="2"/>
  <c r="ET181" i="2"/>
  <c r="DZ181" i="2"/>
  <c r="DC181" i="2"/>
  <c r="CG181" i="2"/>
  <c r="BN181" i="2"/>
  <c r="DD181" i="2"/>
  <c r="CJ181" i="2"/>
  <c r="AP181" i="2"/>
  <c r="CI181" i="2"/>
  <c r="BO181" i="2"/>
  <c r="BA181" i="2"/>
  <c r="DA181" i="2"/>
  <c r="AR181" i="2"/>
  <c r="DE181" i="2"/>
  <c r="AS181" i="2"/>
  <c r="V181" i="2"/>
  <c r="AT181" i="2"/>
  <c r="AF181" i="2"/>
  <c r="W181" i="2"/>
  <c r="BV181" i="2"/>
  <c r="AG181" i="2"/>
  <c r="X181" i="2"/>
  <c r="BW181" i="2"/>
  <c r="BK181" i="2"/>
  <c r="Y181" i="2"/>
  <c r="L181" i="2"/>
  <c r="U181" i="2"/>
  <c r="CH181" i="2"/>
  <c r="BL181" i="2"/>
  <c r="AQ181" i="2"/>
  <c r="AX178" i="2"/>
  <c r="FS181" i="2" l="1"/>
  <c r="EW181" i="2"/>
  <c r="ED180" i="2"/>
  <c r="HG181" i="2"/>
  <c r="EV181" i="2"/>
  <c r="EC181" i="2"/>
  <c r="HI181" i="2"/>
  <c r="EA181" i="2"/>
  <c r="EX181" i="2"/>
  <c r="EB181" i="2"/>
  <c r="FQ181" i="2"/>
  <c r="AU181" i="2"/>
  <c r="GN181" i="2"/>
  <c r="HH181" i="2"/>
  <c r="DG181" i="2"/>
  <c r="DI180" i="2"/>
  <c r="DF181" i="2"/>
  <c r="DH181" i="2"/>
  <c r="FR181" i="2"/>
  <c r="CN180" i="2"/>
  <c r="GM181" i="2"/>
  <c r="GL181" i="2"/>
  <c r="CM181" i="2"/>
  <c r="BP181" i="2"/>
  <c r="AV181" i="2"/>
  <c r="AW181" i="2"/>
  <c r="BQ181" i="2"/>
  <c r="BR181" i="2"/>
  <c r="CL181" i="2"/>
  <c r="CK181" i="2"/>
  <c r="EY180" i="2"/>
  <c r="GO180" i="2"/>
  <c r="Z181" i="2"/>
  <c r="AC180" i="2"/>
  <c r="HJ180" i="2"/>
  <c r="FT180" i="2"/>
  <c r="AA181" i="2"/>
  <c r="A183" i="2"/>
  <c r="GQ182" i="2"/>
  <c r="GP182" i="2"/>
  <c r="FV182" i="2"/>
  <c r="FU182" i="2"/>
  <c r="FA182" i="2"/>
  <c r="EE182" i="2"/>
  <c r="EF182" i="2"/>
  <c r="EZ182" i="2"/>
  <c r="CP182" i="2"/>
  <c r="CO182" i="2"/>
  <c r="DK182" i="2"/>
  <c r="BU182" i="2"/>
  <c r="BT182" i="2"/>
  <c r="DJ182" i="2"/>
  <c r="AZ182" i="2"/>
  <c r="AY182" i="2"/>
  <c r="AE182" i="2"/>
  <c r="AD182" i="2"/>
  <c r="K182" i="2"/>
  <c r="J182" i="2"/>
  <c r="I182" i="2"/>
  <c r="HC182" i="2"/>
  <c r="GI182" i="2"/>
  <c r="FP182" i="2"/>
  <c r="HD182" i="2"/>
  <c r="GJ182" i="2"/>
  <c r="HE182" i="2"/>
  <c r="GK182" i="2"/>
  <c r="FB182" i="2"/>
  <c r="HF182" i="2"/>
  <c r="FW182" i="2"/>
  <c r="FL182" i="2"/>
  <c r="GR182" i="2"/>
  <c r="FX182" i="2"/>
  <c r="FM182" i="2"/>
  <c r="GS182" i="2"/>
  <c r="GG182" i="2"/>
  <c r="FN182" i="2"/>
  <c r="HB182" i="2"/>
  <c r="GH182" i="2"/>
  <c r="FO182" i="2"/>
  <c r="EU182" i="2"/>
  <c r="EQ182" i="2"/>
  <c r="DV182" i="2"/>
  <c r="FC182" i="2"/>
  <c r="ES182" i="2"/>
  <c r="DX182" i="2"/>
  <c r="CR182" i="2"/>
  <c r="ET182" i="2"/>
  <c r="DY182" i="2"/>
  <c r="DA182" i="2"/>
  <c r="DC182" i="2"/>
  <c r="DE182" i="2"/>
  <c r="CG182" i="2"/>
  <c r="CH182" i="2"/>
  <c r="BA182" i="2"/>
  <c r="EG182" i="2"/>
  <c r="DL182" i="2"/>
  <c r="EH182" i="2"/>
  <c r="DM182" i="2"/>
  <c r="ER182" i="2"/>
  <c r="DW182" i="2"/>
  <c r="CQ182" i="2"/>
  <c r="BL182" i="2"/>
  <c r="AS182" i="2"/>
  <c r="DZ182" i="2"/>
  <c r="AT182" i="2"/>
  <c r="BW182" i="2"/>
  <c r="BM182" i="2"/>
  <c r="CF182" i="2"/>
  <c r="BN182" i="2"/>
  <c r="Y182" i="2"/>
  <c r="DB182" i="2"/>
  <c r="CI182" i="2"/>
  <c r="BO182" i="2"/>
  <c r="DD182" i="2"/>
  <c r="CJ182" i="2"/>
  <c r="AP182" i="2"/>
  <c r="AQ182" i="2"/>
  <c r="AF182" i="2"/>
  <c r="BB182" i="2"/>
  <c r="L182" i="2"/>
  <c r="X182" i="2"/>
  <c r="AR182" i="2"/>
  <c r="AG182" i="2"/>
  <c r="U182" i="2"/>
  <c r="V182" i="2"/>
  <c r="BV182" i="2"/>
  <c r="BK182" i="2"/>
  <c r="W182" i="2"/>
  <c r="AB181" i="2"/>
  <c r="AX179" i="2"/>
  <c r="FS182" i="2" l="1"/>
  <c r="EX182" i="2"/>
  <c r="DG182" i="2"/>
  <c r="EC182" i="2"/>
  <c r="EA182" i="2"/>
  <c r="EV182" i="2"/>
  <c r="HI182" i="2"/>
  <c r="GN182" i="2"/>
  <c r="AB182" i="2"/>
  <c r="HH182" i="2"/>
  <c r="HG182" i="2"/>
  <c r="DH182" i="2"/>
  <c r="DF182" i="2"/>
  <c r="FR182" i="2"/>
  <c r="FQ182" i="2"/>
  <c r="CN181" i="2"/>
  <c r="GM182" i="2"/>
  <c r="GL182" i="2"/>
  <c r="EW182" i="2"/>
  <c r="AW182" i="2"/>
  <c r="EB182" i="2"/>
  <c r="CM182" i="2"/>
  <c r="BP182" i="2"/>
  <c r="AV182" i="2"/>
  <c r="AU182" i="2"/>
  <c r="BR182" i="2"/>
  <c r="BQ182" i="2"/>
  <c r="CL182" i="2"/>
  <c r="CK182" i="2"/>
  <c r="ED181" i="2"/>
  <c r="GO181" i="2"/>
  <c r="FT181" i="2"/>
  <c r="HJ181" i="2"/>
  <c r="Z182" i="2"/>
  <c r="AC181" i="2"/>
  <c r="DI181" i="2"/>
  <c r="EY181" i="2"/>
  <c r="AA182" i="2"/>
  <c r="A184" i="2"/>
  <c r="GQ183" i="2"/>
  <c r="GP183" i="2"/>
  <c r="FU183" i="2"/>
  <c r="FA183" i="2"/>
  <c r="EZ183" i="2"/>
  <c r="FV183" i="2"/>
  <c r="EF183" i="2"/>
  <c r="DK183" i="2"/>
  <c r="EE183" i="2"/>
  <c r="DJ183" i="2"/>
  <c r="CP183" i="2"/>
  <c r="CO183" i="2"/>
  <c r="AZ183" i="2"/>
  <c r="BU183" i="2"/>
  <c r="BT183" i="2"/>
  <c r="AY183" i="2"/>
  <c r="AD183" i="2"/>
  <c r="K183" i="2"/>
  <c r="AE183" i="2"/>
  <c r="J183" i="2"/>
  <c r="I183" i="2"/>
  <c r="HD183" i="2"/>
  <c r="GJ183" i="2"/>
  <c r="HE183" i="2"/>
  <c r="GK183" i="2"/>
  <c r="FB183" i="2"/>
  <c r="HF183" i="2"/>
  <c r="FC183" i="2"/>
  <c r="GR183" i="2"/>
  <c r="FX183" i="2"/>
  <c r="FM183" i="2"/>
  <c r="GS183" i="2"/>
  <c r="GG183" i="2"/>
  <c r="FN183" i="2"/>
  <c r="HB183" i="2"/>
  <c r="GH183" i="2"/>
  <c r="FO183" i="2"/>
  <c r="HC183" i="2"/>
  <c r="GI183" i="2"/>
  <c r="FP183" i="2"/>
  <c r="EG183" i="2"/>
  <c r="FW183" i="2"/>
  <c r="ES183" i="2"/>
  <c r="FL183" i="2"/>
  <c r="EU183" i="2"/>
  <c r="DY183" i="2"/>
  <c r="DA183" i="2"/>
  <c r="DZ183" i="2"/>
  <c r="DB183" i="2"/>
  <c r="EQ183" i="2"/>
  <c r="DL183" i="2"/>
  <c r="ER183" i="2"/>
  <c r="DM183" i="2"/>
  <c r="ET183" i="2"/>
  <c r="DV183" i="2"/>
  <c r="CH183" i="2"/>
  <c r="BK183" i="2"/>
  <c r="DW183" i="2"/>
  <c r="CQ183" i="2"/>
  <c r="CI183" i="2"/>
  <c r="BL183" i="2"/>
  <c r="DX183" i="2"/>
  <c r="CR183" i="2"/>
  <c r="DD183" i="2"/>
  <c r="BV183" i="2"/>
  <c r="BO183" i="2"/>
  <c r="BB183" i="2"/>
  <c r="EH183" i="2"/>
  <c r="CG183" i="2"/>
  <c r="AF183" i="2"/>
  <c r="AP183" i="2"/>
  <c r="BA183" i="2"/>
  <c r="AQ183" i="2"/>
  <c r="AR183" i="2"/>
  <c r="AS183" i="2"/>
  <c r="U183" i="2"/>
  <c r="L183" i="2"/>
  <c r="BM183" i="2"/>
  <c r="AT183" i="2"/>
  <c r="V183" i="2"/>
  <c r="DC183" i="2"/>
  <c r="BW183" i="2"/>
  <c r="BN183" i="2"/>
  <c r="W183" i="2"/>
  <c r="Y183" i="2"/>
  <c r="CJ183" i="2"/>
  <c r="DE183" i="2"/>
  <c r="CF183" i="2"/>
  <c r="X183" i="2"/>
  <c r="AG183" i="2"/>
  <c r="AX180" i="2"/>
  <c r="ED182" i="2" l="1"/>
  <c r="FS183" i="2"/>
  <c r="EY182" i="2"/>
  <c r="EA183" i="2"/>
  <c r="EB183" i="2"/>
  <c r="EX183" i="2"/>
  <c r="HI183" i="2"/>
  <c r="EC183" i="2"/>
  <c r="HH183" i="2"/>
  <c r="GN183" i="2"/>
  <c r="HG183" i="2"/>
  <c r="DI182" i="2"/>
  <c r="DF183" i="2"/>
  <c r="DG183" i="2"/>
  <c r="DH183" i="2"/>
  <c r="FR183" i="2"/>
  <c r="FQ183" i="2"/>
  <c r="GM183" i="2"/>
  <c r="GL183" i="2"/>
  <c r="EW183" i="2"/>
  <c r="EV183" i="2"/>
  <c r="CM183" i="2"/>
  <c r="AV183" i="2"/>
  <c r="AU183" i="2"/>
  <c r="AW183" i="2"/>
  <c r="BP183" i="2"/>
  <c r="BQ183" i="2"/>
  <c r="BR183" i="2"/>
  <c r="CK183" i="2"/>
  <c r="CL183" i="2"/>
  <c r="FT182" i="2"/>
  <c r="CN182" i="2"/>
  <c r="Z183" i="2"/>
  <c r="AC182" i="2"/>
  <c r="HJ182" i="2"/>
  <c r="GO182" i="2"/>
  <c r="AB183" i="2"/>
  <c r="AA183" i="2"/>
  <c r="A185" i="2"/>
  <c r="GQ184" i="2"/>
  <c r="GP184" i="2"/>
  <c r="FU184" i="2"/>
  <c r="FV184" i="2"/>
  <c r="EZ184" i="2"/>
  <c r="FA184" i="2"/>
  <c r="EF184" i="2"/>
  <c r="EE184" i="2"/>
  <c r="CP184" i="2"/>
  <c r="DK184" i="2"/>
  <c r="CO184" i="2"/>
  <c r="AZ184" i="2"/>
  <c r="BU184" i="2"/>
  <c r="BT184" i="2"/>
  <c r="DJ184" i="2"/>
  <c r="AY184" i="2"/>
  <c r="AE184" i="2"/>
  <c r="AD184" i="2"/>
  <c r="K184" i="2"/>
  <c r="J184" i="2"/>
  <c r="I184" i="2"/>
  <c r="HE184" i="2"/>
  <c r="GK184" i="2"/>
  <c r="FB184" i="2"/>
  <c r="HF184" i="2"/>
  <c r="FC184" i="2"/>
  <c r="FW184" i="2"/>
  <c r="FL184" i="2"/>
  <c r="GR184" i="2"/>
  <c r="GS184" i="2"/>
  <c r="GG184" i="2"/>
  <c r="FN184" i="2"/>
  <c r="HB184" i="2"/>
  <c r="GH184" i="2"/>
  <c r="FO184" i="2"/>
  <c r="HC184" i="2"/>
  <c r="GI184" i="2"/>
  <c r="FP184" i="2"/>
  <c r="HD184" i="2"/>
  <c r="GJ184" i="2"/>
  <c r="EH184" i="2"/>
  <c r="EQ184" i="2"/>
  <c r="EU184" i="2"/>
  <c r="DZ184" i="2"/>
  <c r="DB184" i="2"/>
  <c r="FM184" i="2"/>
  <c r="EG184" i="2"/>
  <c r="DC184" i="2"/>
  <c r="DW184" i="2"/>
  <c r="CQ184" i="2"/>
  <c r="FX184" i="2"/>
  <c r="DX184" i="2"/>
  <c r="DY184" i="2"/>
  <c r="DA184" i="2"/>
  <c r="CI184" i="2"/>
  <c r="BN184" i="2"/>
  <c r="ER184" i="2"/>
  <c r="DD184" i="2"/>
  <c r="CJ184" i="2"/>
  <c r="BO184" i="2"/>
  <c r="ES184" i="2"/>
  <c r="DE184" i="2"/>
  <c r="ET184" i="2"/>
  <c r="DL184" i="2"/>
  <c r="DM184" i="2"/>
  <c r="BW184" i="2"/>
  <c r="AQ184" i="2"/>
  <c r="DV184" i="2"/>
  <c r="CR184" i="2"/>
  <c r="BL184" i="2"/>
  <c r="AS184" i="2"/>
  <c r="BV184" i="2"/>
  <c r="AF184" i="2"/>
  <c r="CF184" i="2"/>
  <c r="BA184" i="2"/>
  <c r="AG184" i="2"/>
  <c r="W184" i="2"/>
  <c r="L184" i="2"/>
  <c r="CG184" i="2"/>
  <c r="BB184" i="2"/>
  <c r="X184" i="2"/>
  <c r="CH184" i="2"/>
  <c r="Y184" i="2"/>
  <c r="AP184" i="2"/>
  <c r="BM184" i="2"/>
  <c r="AT184" i="2"/>
  <c r="U184" i="2"/>
  <c r="BK184" i="2"/>
  <c r="AR184" i="2"/>
  <c r="V184" i="2"/>
  <c r="AX181" i="2"/>
  <c r="HI184" i="2" l="1"/>
  <c r="EY183" i="2"/>
  <c r="FS184" i="2"/>
  <c r="EX184" i="2"/>
  <c r="EC184" i="2"/>
  <c r="AW184" i="2"/>
  <c r="EB184" i="2"/>
  <c r="EV184" i="2"/>
  <c r="EA184" i="2"/>
  <c r="GN184" i="2"/>
  <c r="HG184" i="2"/>
  <c r="HH184" i="2"/>
  <c r="DI183" i="2"/>
  <c r="DG184" i="2"/>
  <c r="DH184" i="2"/>
  <c r="DF184" i="2"/>
  <c r="FR184" i="2"/>
  <c r="FQ184" i="2"/>
  <c r="GM184" i="2"/>
  <c r="GL184" i="2"/>
  <c r="EW184" i="2"/>
  <c r="CN183" i="2"/>
  <c r="CM184" i="2"/>
  <c r="BP184" i="2"/>
  <c r="AV184" i="2"/>
  <c r="AU184" i="2"/>
  <c r="BQ184" i="2"/>
  <c r="BR184" i="2"/>
  <c r="CK184" i="2"/>
  <c r="CL184" i="2"/>
  <c r="AC183" i="2"/>
  <c r="GO183" i="2"/>
  <c r="FT183" i="2"/>
  <c r="HJ183" i="2"/>
  <c r="Z184" i="2"/>
  <c r="AB184" i="2"/>
  <c r="ED183" i="2"/>
  <c r="AA184" i="2"/>
  <c r="A186" i="2"/>
  <c r="GQ185" i="2"/>
  <c r="GP185" i="2"/>
  <c r="FU185" i="2"/>
  <c r="FV185" i="2"/>
  <c r="FA185" i="2"/>
  <c r="EF185" i="2"/>
  <c r="EZ185" i="2"/>
  <c r="EE185" i="2"/>
  <c r="DK185" i="2"/>
  <c r="DJ185" i="2"/>
  <c r="CO185" i="2"/>
  <c r="CP185" i="2"/>
  <c r="BU185" i="2"/>
  <c r="AY185" i="2"/>
  <c r="AE185" i="2"/>
  <c r="AZ185" i="2"/>
  <c r="BT185" i="2"/>
  <c r="AD185" i="2"/>
  <c r="J185" i="2"/>
  <c r="K185" i="2"/>
  <c r="I185" i="2"/>
  <c r="HF185" i="2"/>
  <c r="FC185" i="2"/>
  <c r="FW185" i="2"/>
  <c r="FL185" i="2"/>
  <c r="GR185" i="2"/>
  <c r="FX185" i="2"/>
  <c r="FM185" i="2"/>
  <c r="GS185" i="2"/>
  <c r="HB185" i="2"/>
  <c r="GH185" i="2"/>
  <c r="FO185" i="2"/>
  <c r="HC185" i="2"/>
  <c r="GI185" i="2"/>
  <c r="FP185" i="2"/>
  <c r="HD185" i="2"/>
  <c r="GJ185" i="2"/>
  <c r="HE185" i="2"/>
  <c r="GK185" i="2"/>
  <c r="FB185" i="2"/>
  <c r="EQ185" i="2"/>
  <c r="FN185" i="2"/>
  <c r="ES185" i="2"/>
  <c r="GG185" i="2"/>
  <c r="EH185" i="2"/>
  <c r="DC185" i="2"/>
  <c r="ER185" i="2"/>
  <c r="DL185" i="2"/>
  <c r="DD185" i="2"/>
  <c r="EU185" i="2"/>
  <c r="DZ185" i="2"/>
  <c r="DB185" i="2"/>
  <c r="CJ185" i="2"/>
  <c r="BB185" i="2"/>
  <c r="DM185" i="2"/>
  <c r="DV185" i="2"/>
  <c r="DW185" i="2"/>
  <c r="EG185" i="2"/>
  <c r="DX185" i="2"/>
  <c r="CR185" i="2"/>
  <c r="CF185" i="2"/>
  <c r="BM185" i="2"/>
  <c r="AT185" i="2"/>
  <c r="ET185" i="2"/>
  <c r="DY185" i="2"/>
  <c r="CG185" i="2"/>
  <c r="X185" i="2"/>
  <c r="CQ185" i="2"/>
  <c r="DA185" i="2"/>
  <c r="CI185" i="2"/>
  <c r="BK185" i="2"/>
  <c r="AP185" i="2"/>
  <c r="Y185" i="2"/>
  <c r="DE185" i="2"/>
  <c r="BL185" i="2"/>
  <c r="AQ185" i="2"/>
  <c r="BN185" i="2"/>
  <c r="AR185" i="2"/>
  <c r="AF185" i="2"/>
  <c r="L185" i="2"/>
  <c r="BO185" i="2"/>
  <c r="BA185" i="2"/>
  <c r="AS185" i="2"/>
  <c r="AG185" i="2"/>
  <c r="BV185" i="2"/>
  <c r="U185" i="2"/>
  <c r="BW185" i="2"/>
  <c r="V185" i="2"/>
  <c r="W185" i="2"/>
  <c r="CH185" i="2"/>
  <c r="AX182" i="2"/>
  <c r="HI185" i="2" l="1"/>
  <c r="EY184" i="2"/>
  <c r="ED184" i="2"/>
  <c r="EA185" i="2"/>
  <c r="EW185" i="2"/>
  <c r="EB185" i="2"/>
  <c r="EV185" i="2"/>
  <c r="HH185" i="2"/>
  <c r="HG185" i="2"/>
  <c r="AU185" i="2"/>
  <c r="EX185" i="2"/>
  <c r="FS185" i="2"/>
  <c r="EC185" i="2"/>
  <c r="GN185" i="2"/>
  <c r="DI184" i="2"/>
  <c r="DG185" i="2"/>
  <c r="DH185" i="2"/>
  <c r="DF185" i="2"/>
  <c r="FR185" i="2"/>
  <c r="FQ185" i="2"/>
  <c r="GL185" i="2"/>
  <c r="GM185" i="2"/>
  <c r="CM185" i="2"/>
  <c r="AV185" i="2"/>
  <c r="AW185" i="2"/>
  <c r="BR185" i="2"/>
  <c r="BP185" i="2"/>
  <c r="BQ185" i="2"/>
  <c r="CK185" i="2"/>
  <c r="CL185" i="2"/>
  <c r="HJ184" i="2"/>
  <c r="CN184" i="2"/>
  <c r="Z185" i="2"/>
  <c r="GO184" i="2"/>
  <c r="FT184" i="2"/>
  <c r="AC184" i="2"/>
  <c r="AA185" i="2"/>
  <c r="AB185" i="2"/>
  <c r="A187" i="2"/>
  <c r="GQ186" i="2"/>
  <c r="GP186" i="2"/>
  <c r="FV186" i="2"/>
  <c r="FU186" i="2"/>
  <c r="FA186" i="2"/>
  <c r="EF186" i="2"/>
  <c r="EE186" i="2"/>
  <c r="EZ186" i="2"/>
  <c r="CP186" i="2"/>
  <c r="CO186" i="2"/>
  <c r="DK186" i="2"/>
  <c r="AZ186" i="2"/>
  <c r="BU186" i="2"/>
  <c r="BT186" i="2"/>
  <c r="DJ186" i="2"/>
  <c r="AY186" i="2"/>
  <c r="AD186" i="2"/>
  <c r="AE186" i="2"/>
  <c r="J186" i="2"/>
  <c r="I186" i="2"/>
  <c r="K186" i="2"/>
  <c r="FW186" i="2"/>
  <c r="FL186" i="2"/>
  <c r="GR186" i="2"/>
  <c r="FX186" i="2"/>
  <c r="FM186" i="2"/>
  <c r="GS186" i="2"/>
  <c r="GG186" i="2"/>
  <c r="FN186" i="2"/>
  <c r="HB186" i="2"/>
  <c r="HC186" i="2"/>
  <c r="GI186" i="2"/>
  <c r="FP186" i="2"/>
  <c r="HD186" i="2"/>
  <c r="GJ186" i="2"/>
  <c r="HE186" i="2"/>
  <c r="GK186" i="2"/>
  <c r="FB186" i="2"/>
  <c r="HF186" i="2"/>
  <c r="FC186" i="2"/>
  <c r="ER186" i="2"/>
  <c r="EU186" i="2"/>
  <c r="FO186" i="2"/>
  <c r="EH186" i="2"/>
  <c r="GH186" i="2"/>
  <c r="ES186" i="2"/>
  <c r="DL186" i="2"/>
  <c r="DD186" i="2"/>
  <c r="ET186" i="2"/>
  <c r="DM186" i="2"/>
  <c r="DE186" i="2"/>
  <c r="EG186" i="2"/>
  <c r="DV186" i="2"/>
  <c r="EQ186" i="2"/>
  <c r="DW186" i="2"/>
  <c r="CQ186" i="2"/>
  <c r="BL186" i="2"/>
  <c r="DX186" i="2"/>
  <c r="CR186" i="2"/>
  <c r="BV186" i="2"/>
  <c r="BM186" i="2"/>
  <c r="BA186" i="2"/>
  <c r="DY186" i="2"/>
  <c r="DA186" i="2"/>
  <c r="DZ186" i="2"/>
  <c r="DC186" i="2"/>
  <c r="CG186" i="2"/>
  <c r="BO186" i="2"/>
  <c r="AR186" i="2"/>
  <c r="AT186" i="2"/>
  <c r="BW186" i="2"/>
  <c r="U186" i="2"/>
  <c r="DB186" i="2"/>
  <c r="CF186" i="2"/>
  <c r="V186" i="2"/>
  <c r="CH186" i="2"/>
  <c r="W186" i="2"/>
  <c r="L186" i="2"/>
  <c r="CI186" i="2"/>
  <c r="BK186" i="2"/>
  <c r="BB186" i="2"/>
  <c r="AP186" i="2"/>
  <c r="AF186" i="2"/>
  <c r="X186" i="2"/>
  <c r="CJ186" i="2"/>
  <c r="BN186" i="2"/>
  <c r="AQ186" i="2"/>
  <c r="AG186" i="2"/>
  <c r="Y186" i="2"/>
  <c r="AS186" i="2"/>
  <c r="AX183" i="2"/>
  <c r="HG186" i="2" l="1"/>
  <c r="HH186" i="2"/>
  <c r="FR186" i="2"/>
  <c r="EA186" i="2"/>
  <c r="EB186" i="2"/>
  <c r="ED185" i="2"/>
  <c r="EW186" i="2"/>
  <c r="FS186" i="2"/>
  <c r="EX186" i="2"/>
  <c r="EC186" i="2"/>
  <c r="EV186" i="2"/>
  <c r="HI186" i="2"/>
  <c r="GN186" i="2"/>
  <c r="DH186" i="2"/>
  <c r="DI185" i="2"/>
  <c r="DG186" i="2"/>
  <c r="DF186" i="2"/>
  <c r="FQ186" i="2"/>
  <c r="GM186" i="2"/>
  <c r="GL186" i="2"/>
  <c r="CM186" i="2"/>
  <c r="AV186" i="2"/>
  <c r="AW186" i="2"/>
  <c r="AU186" i="2"/>
  <c r="BR186" i="2"/>
  <c r="BQ186" i="2"/>
  <c r="BP186" i="2"/>
  <c r="CL186" i="2"/>
  <c r="CK186" i="2"/>
  <c r="HJ185" i="2"/>
  <c r="FT185" i="2"/>
  <c r="EY185" i="2"/>
  <c r="GO185" i="2"/>
  <c r="CN185" i="2"/>
  <c r="Z186" i="2"/>
  <c r="AC185" i="2"/>
  <c r="AA186" i="2"/>
  <c r="A188" i="2"/>
  <c r="GQ187" i="2"/>
  <c r="GP187" i="2"/>
  <c r="FU187" i="2"/>
  <c r="FA187" i="2"/>
  <c r="FV187" i="2"/>
  <c r="EF187" i="2"/>
  <c r="EZ187" i="2"/>
  <c r="DK187" i="2"/>
  <c r="DJ187" i="2"/>
  <c r="EE187" i="2"/>
  <c r="CO187" i="2"/>
  <c r="CP187" i="2"/>
  <c r="AZ187" i="2"/>
  <c r="AY187" i="2"/>
  <c r="BU187" i="2"/>
  <c r="BT187" i="2"/>
  <c r="AD187" i="2"/>
  <c r="K187" i="2"/>
  <c r="AE187" i="2"/>
  <c r="J187" i="2"/>
  <c r="I187" i="2"/>
  <c r="GR187" i="2"/>
  <c r="FX187" i="2"/>
  <c r="FM187" i="2"/>
  <c r="GS187" i="2"/>
  <c r="GG187" i="2"/>
  <c r="FN187" i="2"/>
  <c r="HB187" i="2"/>
  <c r="GH187" i="2"/>
  <c r="FO187" i="2"/>
  <c r="HC187" i="2"/>
  <c r="HD187" i="2"/>
  <c r="GJ187" i="2"/>
  <c r="HE187" i="2"/>
  <c r="GK187" i="2"/>
  <c r="FB187" i="2"/>
  <c r="HF187" i="2"/>
  <c r="FC187" i="2"/>
  <c r="FW187" i="2"/>
  <c r="FL187" i="2"/>
  <c r="ES187" i="2"/>
  <c r="FP187" i="2"/>
  <c r="ER187" i="2"/>
  <c r="GI187" i="2"/>
  <c r="EU187" i="2"/>
  <c r="DM187" i="2"/>
  <c r="DE187" i="2"/>
  <c r="DV187" i="2"/>
  <c r="DX187" i="2"/>
  <c r="CR187" i="2"/>
  <c r="DY187" i="2"/>
  <c r="DZ187" i="2"/>
  <c r="DB187" i="2"/>
  <c r="BV187" i="2"/>
  <c r="BO187" i="2"/>
  <c r="EG187" i="2"/>
  <c r="DC187" i="2"/>
  <c r="BW187" i="2"/>
  <c r="EH187" i="2"/>
  <c r="DD187" i="2"/>
  <c r="EQ187" i="2"/>
  <c r="ET187" i="2"/>
  <c r="DL187" i="2"/>
  <c r="CH187" i="2"/>
  <c r="BK187" i="2"/>
  <c r="BB187" i="2"/>
  <c r="AR187" i="2"/>
  <c r="DW187" i="2"/>
  <c r="CF187" i="2"/>
  <c r="AF187" i="2"/>
  <c r="AG187" i="2"/>
  <c r="CI187" i="2"/>
  <c r="BM187" i="2"/>
  <c r="CJ187" i="2"/>
  <c r="BN187" i="2"/>
  <c r="AP187" i="2"/>
  <c r="X187" i="2"/>
  <c r="AQ187" i="2"/>
  <c r="Y187" i="2"/>
  <c r="CQ187" i="2"/>
  <c r="AS187" i="2"/>
  <c r="DA187" i="2"/>
  <c r="AT187" i="2"/>
  <c r="L187" i="2"/>
  <c r="U187" i="2"/>
  <c r="CG187" i="2"/>
  <c r="V187" i="2"/>
  <c r="BA187" i="2"/>
  <c r="BL187" i="2"/>
  <c r="W187" i="2"/>
  <c r="AB186" i="2"/>
  <c r="AX184" i="2"/>
  <c r="EY186" i="2" l="1"/>
  <c r="EC187" i="2"/>
  <c r="EB187" i="2"/>
  <c r="HH187" i="2"/>
  <c r="HG187" i="2"/>
  <c r="HI187" i="2"/>
  <c r="EX187" i="2"/>
  <c r="FS187" i="2"/>
  <c r="GN187" i="2"/>
  <c r="AB187" i="2"/>
  <c r="DF187" i="2"/>
  <c r="DG187" i="2"/>
  <c r="DH187" i="2"/>
  <c r="DI186" i="2"/>
  <c r="FQ187" i="2"/>
  <c r="FR187" i="2"/>
  <c r="GM187" i="2"/>
  <c r="GL187" i="2"/>
  <c r="EV187" i="2"/>
  <c r="EW187" i="2"/>
  <c r="EA187" i="2"/>
  <c r="CM187" i="2"/>
  <c r="BQ187" i="2"/>
  <c r="BR187" i="2"/>
  <c r="AV187" i="2"/>
  <c r="AU187" i="2"/>
  <c r="AW187" i="2"/>
  <c r="BP187" i="2"/>
  <c r="CK187" i="2"/>
  <c r="CL187" i="2"/>
  <c r="CN186" i="2"/>
  <c r="FT186" i="2"/>
  <c r="HJ186" i="2"/>
  <c r="GO186" i="2"/>
  <c r="Z187" i="2"/>
  <c r="AC186" i="2"/>
  <c r="ED186" i="2"/>
  <c r="AA187" i="2"/>
  <c r="A189" i="2"/>
  <c r="GQ188" i="2"/>
  <c r="GP188" i="2"/>
  <c r="FU188" i="2"/>
  <c r="FA188" i="2"/>
  <c r="EZ188" i="2"/>
  <c r="FV188" i="2"/>
  <c r="EF188" i="2"/>
  <c r="DK188" i="2"/>
  <c r="EE188" i="2"/>
  <c r="CP188" i="2"/>
  <c r="CO188" i="2"/>
  <c r="AZ188" i="2"/>
  <c r="DJ188" i="2"/>
  <c r="BU188" i="2"/>
  <c r="BT188" i="2"/>
  <c r="AY188" i="2"/>
  <c r="AE188" i="2"/>
  <c r="AD188" i="2"/>
  <c r="K188" i="2"/>
  <c r="J188" i="2"/>
  <c r="I188" i="2"/>
  <c r="GS188" i="2"/>
  <c r="GG188" i="2"/>
  <c r="FN188" i="2"/>
  <c r="HB188" i="2"/>
  <c r="GH188" i="2"/>
  <c r="FO188" i="2"/>
  <c r="HC188" i="2"/>
  <c r="GI188" i="2"/>
  <c r="FP188" i="2"/>
  <c r="HD188" i="2"/>
  <c r="HG188" i="2" s="1"/>
  <c r="HE188" i="2"/>
  <c r="GK188" i="2"/>
  <c r="FB188" i="2"/>
  <c r="HF188" i="2"/>
  <c r="FC188" i="2"/>
  <c r="FW188" i="2"/>
  <c r="FL188" i="2"/>
  <c r="GR188" i="2"/>
  <c r="FX188" i="2"/>
  <c r="FM188" i="2"/>
  <c r="ET188" i="2"/>
  <c r="EH188" i="2"/>
  <c r="EU188" i="2"/>
  <c r="DV188" i="2"/>
  <c r="GJ188" i="2"/>
  <c r="EG188" i="2"/>
  <c r="DW188" i="2"/>
  <c r="CQ188" i="2"/>
  <c r="ER188" i="2"/>
  <c r="ES188" i="2"/>
  <c r="DE188" i="2"/>
  <c r="BW188" i="2"/>
  <c r="DL188" i="2"/>
  <c r="CF188" i="2"/>
  <c r="BK188" i="2"/>
  <c r="DM188" i="2"/>
  <c r="DX188" i="2"/>
  <c r="DY188" i="2"/>
  <c r="DA188" i="2"/>
  <c r="CI188" i="2"/>
  <c r="BN188" i="2"/>
  <c r="EQ188" i="2"/>
  <c r="DZ188" i="2"/>
  <c r="DB188" i="2"/>
  <c r="BA188" i="2"/>
  <c r="AQ188" i="2"/>
  <c r="Y188" i="2"/>
  <c r="DC188" i="2"/>
  <c r="DD188" i="2"/>
  <c r="AS188" i="2"/>
  <c r="AF188" i="2"/>
  <c r="AT188" i="2"/>
  <c r="AG188" i="2"/>
  <c r="BV188" i="2"/>
  <c r="BL188" i="2"/>
  <c r="CG188" i="2"/>
  <c r="BM188" i="2"/>
  <c r="U188" i="2"/>
  <c r="CH188" i="2"/>
  <c r="BO188" i="2"/>
  <c r="V188" i="2"/>
  <c r="AR188" i="2"/>
  <c r="CR188" i="2"/>
  <c r="CJ188" i="2"/>
  <c r="AP188" i="2"/>
  <c r="W188" i="2"/>
  <c r="L188" i="2"/>
  <c r="X188" i="2"/>
  <c r="BB188" i="2"/>
  <c r="AX185" i="2"/>
  <c r="HH188" i="2" l="1"/>
  <c r="ED187" i="2"/>
  <c r="HI188" i="2"/>
  <c r="FS188" i="2"/>
  <c r="EC188" i="2"/>
  <c r="EV188" i="2"/>
  <c r="EA188" i="2"/>
  <c r="EX188" i="2"/>
  <c r="GN188" i="2"/>
  <c r="DI187" i="2"/>
  <c r="DH188" i="2"/>
  <c r="DF188" i="2"/>
  <c r="DG188" i="2"/>
  <c r="FR188" i="2"/>
  <c r="FQ188" i="2"/>
  <c r="GM188" i="2"/>
  <c r="GL188" i="2"/>
  <c r="EW188" i="2"/>
  <c r="EB188" i="2"/>
  <c r="BQ188" i="2"/>
  <c r="CN187" i="2"/>
  <c r="CM188" i="2"/>
  <c r="AV188" i="2"/>
  <c r="AW188" i="2"/>
  <c r="AU188" i="2"/>
  <c r="BR188" i="2"/>
  <c r="BP188" i="2"/>
  <c r="CK188" i="2"/>
  <c r="CL188" i="2"/>
  <c r="GO187" i="2"/>
  <c r="AC187" i="2"/>
  <c r="HJ187" i="2"/>
  <c r="FT187" i="2"/>
  <c r="EY187" i="2"/>
  <c r="AB188" i="2"/>
  <c r="Z188" i="2"/>
  <c r="A190" i="2"/>
  <c r="GQ189" i="2"/>
  <c r="GP189" i="2"/>
  <c r="FU189" i="2"/>
  <c r="FA189" i="2"/>
  <c r="EZ189" i="2"/>
  <c r="FV189" i="2"/>
  <c r="EF189" i="2"/>
  <c r="DK189" i="2"/>
  <c r="DJ189" i="2"/>
  <c r="BU189" i="2"/>
  <c r="EE189" i="2"/>
  <c r="CO189" i="2"/>
  <c r="CP189" i="2"/>
  <c r="BT189" i="2"/>
  <c r="AZ189" i="2"/>
  <c r="AY189" i="2"/>
  <c r="AE189" i="2"/>
  <c r="J189" i="2"/>
  <c r="AD189" i="2"/>
  <c r="K189" i="2"/>
  <c r="I189" i="2"/>
  <c r="HB189" i="2"/>
  <c r="GH189" i="2"/>
  <c r="FO189" i="2"/>
  <c r="HC189" i="2"/>
  <c r="GI189" i="2"/>
  <c r="FP189" i="2"/>
  <c r="HD189" i="2"/>
  <c r="GJ189" i="2"/>
  <c r="HE189" i="2"/>
  <c r="HF189" i="2"/>
  <c r="FC189" i="2"/>
  <c r="FW189" i="2"/>
  <c r="FL189" i="2"/>
  <c r="GR189" i="2"/>
  <c r="FX189" i="2"/>
  <c r="FM189" i="2"/>
  <c r="GS189" i="2"/>
  <c r="GG189" i="2"/>
  <c r="FN189" i="2"/>
  <c r="EU189" i="2"/>
  <c r="GK189" i="2"/>
  <c r="ER189" i="2"/>
  <c r="EH189" i="2"/>
  <c r="DW189" i="2"/>
  <c r="CQ189" i="2"/>
  <c r="EQ189" i="2"/>
  <c r="DX189" i="2"/>
  <c r="CR189" i="2"/>
  <c r="DL189" i="2"/>
  <c r="DM189" i="2"/>
  <c r="EG189" i="2"/>
  <c r="DV189" i="2"/>
  <c r="CF189" i="2"/>
  <c r="BM189" i="2"/>
  <c r="BB189" i="2"/>
  <c r="ES189" i="2"/>
  <c r="DY189" i="2"/>
  <c r="DA189" i="2"/>
  <c r="CG189" i="2"/>
  <c r="BN189" i="2"/>
  <c r="ET189" i="2"/>
  <c r="DZ189" i="2"/>
  <c r="DD189" i="2"/>
  <c r="CJ189" i="2"/>
  <c r="AP189" i="2"/>
  <c r="FB189" i="2"/>
  <c r="BV189" i="2"/>
  <c r="BL189" i="2"/>
  <c r="CH189" i="2"/>
  <c r="BA189" i="2"/>
  <c r="DB189" i="2"/>
  <c r="CI189" i="2"/>
  <c r="V189" i="2"/>
  <c r="DC189" i="2"/>
  <c r="AQ189" i="2"/>
  <c r="AF189" i="2"/>
  <c r="W189" i="2"/>
  <c r="DE189" i="2"/>
  <c r="AR189" i="2"/>
  <c r="AG189" i="2"/>
  <c r="X189" i="2"/>
  <c r="AS189" i="2"/>
  <c r="Y189" i="2"/>
  <c r="U189" i="2"/>
  <c r="BK189" i="2"/>
  <c r="AT189" i="2"/>
  <c r="L189" i="2"/>
  <c r="BW189" i="2"/>
  <c r="BO189" i="2"/>
  <c r="AA188" i="2"/>
  <c r="AA189" i="2" s="1"/>
  <c r="AX186" i="2"/>
  <c r="HH189" i="2" l="1"/>
  <c r="EY188" i="2"/>
  <c r="EV189" i="2"/>
  <c r="EB189" i="2"/>
  <c r="EC189" i="2"/>
  <c r="FS189" i="2"/>
  <c r="HI189" i="2"/>
  <c r="HJ189" i="2" s="1"/>
  <c r="EX189" i="2"/>
  <c r="EA189" i="2"/>
  <c r="GN189" i="2"/>
  <c r="HG189" i="2"/>
  <c r="DH189" i="2"/>
  <c r="DF189" i="2"/>
  <c r="DG189" i="2"/>
  <c r="FQ189" i="2"/>
  <c r="FR189" i="2"/>
  <c r="GM189" i="2"/>
  <c r="GL189" i="2"/>
  <c r="EW189" i="2"/>
  <c r="CM189" i="2"/>
  <c r="AV189" i="2"/>
  <c r="AU189" i="2"/>
  <c r="AW189" i="2"/>
  <c r="BR189" i="2"/>
  <c r="BP189" i="2"/>
  <c r="BQ189" i="2"/>
  <c r="CL189" i="2"/>
  <c r="CK189" i="2"/>
  <c r="DI188" i="2"/>
  <c r="HJ188" i="2"/>
  <c r="GO188" i="2"/>
  <c r="AB189" i="2"/>
  <c r="AC188" i="2"/>
  <c r="Z189" i="2"/>
  <c r="CN188" i="2"/>
  <c r="FT188" i="2"/>
  <c r="ED188" i="2"/>
  <c r="A191" i="2"/>
  <c r="GQ190" i="2"/>
  <c r="GP190" i="2"/>
  <c r="FV190" i="2"/>
  <c r="FA190" i="2"/>
  <c r="FU190" i="2"/>
  <c r="EZ190" i="2"/>
  <c r="EE190" i="2"/>
  <c r="CP190" i="2"/>
  <c r="EF190" i="2"/>
  <c r="DK190" i="2"/>
  <c r="DJ190" i="2"/>
  <c r="BU190" i="2"/>
  <c r="BT190" i="2"/>
  <c r="CO190" i="2"/>
  <c r="AZ190" i="2"/>
  <c r="AY190" i="2"/>
  <c r="AE190" i="2"/>
  <c r="AD190" i="2"/>
  <c r="J190" i="2"/>
  <c r="K190" i="2"/>
  <c r="I190" i="2"/>
  <c r="HC190" i="2"/>
  <c r="GI190" i="2"/>
  <c r="HD190" i="2"/>
  <c r="HG190" i="2" s="1"/>
  <c r="GJ190" i="2"/>
  <c r="HE190" i="2"/>
  <c r="HH190" i="2" s="1"/>
  <c r="GK190" i="2"/>
  <c r="FB190" i="2"/>
  <c r="HF190" i="2"/>
  <c r="FW190" i="2"/>
  <c r="FL190" i="2"/>
  <c r="GR190" i="2"/>
  <c r="FX190" i="2"/>
  <c r="FM190" i="2"/>
  <c r="GS190" i="2"/>
  <c r="GG190" i="2"/>
  <c r="HB190" i="2"/>
  <c r="GH190" i="2"/>
  <c r="FO190" i="2"/>
  <c r="ET190" i="2"/>
  <c r="FC190" i="2"/>
  <c r="EH190" i="2"/>
  <c r="FN190" i="2"/>
  <c r="FP190" i="2"/>
  <c r="ER190" i="2"/>
  <c r="DX190" i="2"/>
  <c r="CR190" i="2"/>
  <c r="ES190" i="2"/>
  <c r="DY190" i="2"/>
  <c r="DA190" i="2"/>
  <c r="DW190" i="2"/>
  <c r="DZ190" i="2"/>
  <c r="DC190" i="2"/>
  <c r="CG190" i="2"/>
  <c r="DD190" i="2"/>
  <c r="CH190" i="2"/>
  <c r="BA190" i="2"/>
  <c r="EG190" i="2"/>
  <c r="DL190" i="2"/>
  <c r="EQ190" i="2"/>
  <c r="DM190" i="2"/>
  <c r="BL190" i="2"/>
  <c r="AS190" i="2"/>
  <c r="EU190" i="2"/>
  <c r="DV190" i="2"/>
  <c r="DE190" i="2"/>
  <c r="CJ190" i="2"/>
  <c r="AP190" i="2"/>
  <c r="BK190" i="2"/>
  <c r="AR190" i="2"/>
  <c r="BM190" i="2"/>
  <c r="BB190" i="2"/>
  <c r="AT190" i="2"/>
  <c r="Y190" i="2"/>
  <c r="BV190" i="2"/>
  <c r="BN190" i="2"/>
  <c r="BW190" i="2"/>
  <c r="BO190" i="2"/>
  <c r="CQ190" i="2"/>
  <c r="CF190" i="2"/>
  <c r="AF190" i="2"/>
  <c r="V190" i="2"/>
  <c r="W190" i="2"/>
  <c r="X190" i="2"/>
  <c r="DB190" i="2"/>
  <c r="CI190" i="2"/>
  <c r="AG190" i="2"/>
  <c r="U190" i="2"/>
  <c r="AQ190" i="2"/>
  <c r="L190" i="2"/>
  <c r="AX187" i="2"/>
  <c r="ED189" i="2" l="1"/>
  <c r="EY189" i="2"/>
  <c r="EV190" i="2"/>
  <c r="EW190" i="2"/>
  <c r="EB190" i="2"/>
  <c r="HI190" i="2"/>
  <c r="EX190" i="2"/>
  <c r="EC190" i="2"/>
  <c r="FS190" i="2"/>
  <c r="GN190" i="2"/>
  <c r="DH190" i="2"/>
  <c r="DG190" i="2"/>
  <c r="DF190" i="2"/>
  <c r="FQ190" i="2"/>
  <c r="FR190" i="2"/>
  <c r="CN189" i="2"/>
  <c r="GL190" i="2"/>
  <c r="GM190" i="2"/>
  <c r="EA190" i="2"/>
  <c r="AC189" i="2"/>
  <c r="CM190" i="2"/>
  <c r="AV190" i="2"/>
  <c r="AW190" i="2"/>
  <c r="AU190" i="2"/>
  <c r="BR190" i="2"/>
  <c r="BP190" i="2"/>
  <c r="BQ190" i="2"/>
  <c r="CK190" i="2"/>
  <c r="CL190" i="2"/>
  <c r="GO189" i="2"/>
  <c r="DI189" i="2"/>
  <c r="FT189" i="2"/>
  <c r="AB190" i="2"/>
  <c r="Z190" i="2"/>
  <c r="AA190" i="2"/>
  <c r="A192" i="2"/>
  <c r="GQ191" i="2"/>
  <c r="GP191" i="2"/>
  <c r="FU191" i="2"/>
  <c r="FA191" i="2"/>
  <c r="FV191" i="2"/>
  <c r="EF191" i="2"/>
  <c r="DK191" i="2"/>
  <c r="EZ191" i="2"/>
  <c r="EE191" i="2"/>
  <c r="DJ191" i="2"/>
  <c r="CP191" i="2"/>
  <c r="CO191" i="2"/>
  <c r="BT191" i="2"/>
  <c r="BU191" i="2"/>
  <c r="AZ191" i="2"/>
  <c r="AY191" i="2"/>
  <c r="AE191" i="2"/>
  <c r="K191" i="2"/>
  <c r="AD191" i="2"/>
  <c r="J191" i="2"/>
  <c r="I191" i="2"/>
  <c r="HD191" i="2"/>
  <c r="GJ191" i="2"/>
  <c r="HE191" i="2"/>
  <c r="GK191" i="2"/>
  <c r="HF191" i="2"/>
  <c r="GR191" i="2"/>
  <c r="FX191" i="2"/>
  <c r="GS191" i="2"/>
  <c r="GG191" i="2"/>
  <c r="HB191" i="2"/>
  <c r="GH191" i="2"/>
  <c r="HC191" i="2"/>
  <c r="GI191" i="2"/>
  <c r="FP191" i="2"/>
  <c r="EG191" i="2"/>
  <c r="FC191" i="2"/>
  <c r="FW191" i="2"/>
  <c r="FL191" i="2"/>
  <c r="FM191" i="2"/>
  <c r="FO191" i="2"/>
  <c r="ER191" i="2"/>
  <c r="ET191" i="2"/>
  <c r="DY191" i="2"/>
  <c r="DA191" i="2"/>
  <c r="FB191" i="2"/>
  <c r="EU191" i="2"/>
  <c r="DZ191" i="2"/>
  <c r="DB191" i="2"/>
  <c r="FN191" i="2"/>
  <c r="EH191" i="2"/>
  <c r="EQ191" i="2"/>
  <c r="ES191" i="2"/>
  <c r="DL191" i="2"/>
  <c r="CH191" i="2"/>
  <c r="BK191" i="2"/>
  <c r="DM191" i="2"/>
  <c r="CI191" i="2"/>
  <c r="BL191" i="2"/>
  <c r="DV191" i="2"/>
  <c r="DW191" i="2"/>
  <c r="DX191" i="2"/>
  <c r="CR191" i="2"/>
  <c r="BV191" i="2"/>
  <c r="BO191" i="2"/>
  <c r="BB191" i="2"/>
  <c r="AT191" i="2"/>
  <c r="AF191" i="2"/>
  <c r="Y191" i="2"/>
  <c r="L191" i="2"/>
  <c r="CQ191" i="2"/>
  <c r="DC191" i="2"/>
  <c r="CF191" i="2"/>
  <c r="DD191" i="2"/>
  <c r="CG191" i="2"/>
  <c r="DE191" i="2"/>
  <c r="CJ191" i="2"/>
  <c r="BA191" i="2"/>
  <c r="AP191" i="2"/>
  <c r="U191" i="2"/>
  <c r="V191" i="2"/>
  <c r="AQ191" i="2"/>
  <c r="BM191" i="2"/>
  <c r="AR191" i="2"/>
  <c r="W191" i="2"/>
  <c r="BW191" i="2"/>
  <c r="AG191" i="2"/>
  <c r="BN191" i="2"/>
  <c r="AS191" i="2"/>
  <c r="X191" i="2"/>
  <c r="AX188" i="2"/>
  <c r="HI191" i="2" l="1"/>
  <c r="ED190" i="2"/>
  <c r="EW191" i="2"/>
  <c r="HH191" i="2"/>
  <c r="HG191" i="2"/>
  <c r="EC191" i="2"/>
  <c r="EX191" i="2"/>
  <c r="FS191" i="2"/>
  <c r="EA191" i="2"/>
  <c r="EV191" i="2"/>
  <c r="EB191" i="2"/>
  <c r="GN191" i="2"/>
  <c r="DH191" i="2"/>
  <c r="DG191" i="2"/>
  <c r="DF191" i="2"/>
  <c r="FQ191" i="2"/>
  <c r="FR191" i="2"/>
  <c r="GL191" i="2"/>
  <c r="GM191" i="2"/>
  <c r="CM191" i="2"/>
  <c r="BR191" i="2"/>
  <c r="BP191" i="2"/>
  <c r="AV191" i="2"/>
  <c r="AU191" i="2"/>
  <c r="AW191" i="2"/>
  <c r="BQ191" i="2"/>
  <c r="CL191" i="2"/>
  <c r="CK191" i="2"/>
  <c r="EY190" i="2"/>
  <c r="CN190" i="2"/>
  <c r="DI190" i="2"/>
  <c r="HJ190" i="2"/>
  <c r="GO190" i="2"/>
  <c r="AB191" i="2"/>
  <c r="AC190" i="2"/>
  <c r="Z191" i="2"/>
  <c r="FT190" i="2"/>
  <c r="AA191" i="2"/>
  <c r="A193" i="2"/>
  <c r="GQ192" i="2"/>
  <c r="GP192" i="2"/>
  <c r="FU192" i="2"/>
  <c r="FV192" i="2"/>
  <c r="FA192" i="2"/>
  <c r="EZ192" i="2"/>
  <c r="EE192" i="2"/>
  <c r="DK192" i="2"/>
  <c r="CP192" i="2"/>
  <c r="EF192" i="2"/>
  <c r="CO192" i="2"/>
  <c r="DJ192" i="2"/>
  <c r="AZ192" i="2"/>
  <c r="BU192" i="2"/>
  <c r="BT192" i="2"/>
  <c r="AY192" i="2"/>
  <c r="AE192" i="2"/>
  <c r="AD192" i="2"/>
  <c r="J192" i="2"/>
  <c r="K192" i="2"/>
  <c r="I192" i="2"/>
  <c r="HE192" i="2"/>
  <c r="GK192" i="2"/>
  <c r="HF192" i="2"/>
  <c r="FW192" i="2"/>
  <c r="GR192" i="2"/>
  <c r="GS192" i="2"/>
  <c r="GG192" i="2"/>
  <c r="HB192" i="2"/>
  <c r="GH192" i="2"/>
  <c r="HC192" i="2"/>
  <c r="GI192" i="2"/>
  <c r="HD192" i="2"/>
  <c r="HG192" i="2" s="1"/>
  <c r="GJ192" i="2"/>
  <c r="EH192" i="2"/>
  <c r="FM192" i="2"/>
  <c r="EG192" i="2"/>
  <c r="FN192" i="2"/>
  <c r="FX192" i="2"/>
  <c r="FO192" i="2"/>
  <c r="ET192" i="2"/>
  <c r="FB192" i="2"/>
  <c r="FC192" i="2"/>
  <c r="DZ192" i="2"/>
  <c r="DB192" i="2"/>
  <c r="FL192" i="2"/>
  <c r="DC192" i="2"/>
  <c r="DM192" i="2"/>
  <c r="FP192" i="2"/>
  <c r="DV192" i="2"/>
  <c r="DW192" i="2"/>
  <c r="CQ192" i="2"/>
  <c r="CI192" i="2"/>
  <c r="BN192" i="2"/>
  <c r="EQ192" i="2"/>
  <c r="DX192" i="2"/>
  <c r="CR192" i="2"/>
  <c r="CJ192" i="2"/>
  <c r="BO192" i="2"/>
  <c r="ER192" i="2"/>
  <c r="DY192" i="2"/>
  <c r="ES192" i="2"/>
  <c r="EU192" i="2"/>
  <c r="DE192" i="2"/>
  <c r="BW192" i="2"/>
  <c r="AQ192" i="2"/>
  <c r="DL192" i="2"/>
  <c r="CH192" i="2"/>
  <c r="BK192" i="2"/>
  <c r="AP192" i="2"/>
  <c r="BM192" i="2"/>
  <c r="AR192" i="2"/>
  <c r="AF192" i="2"/>
  <c r="AS192" i="2"/>
  <c r="AG192" i="2"/>
  <c r="W192" i="2"/>
  <c r="L192" i="2"/>
  <c r="AT192" i="2"/>
  <c r="X192" i="2"/>
  <c r="DA192" i="2"/>
  <c r="BV192" i="2"/>
  <c r="BA192" i="2"/>
  <c r="Y192" i="2"/>
  <c r="DD192" i="2"/>
  <c r="CF192" i="2"/>
  <c r="BB192" i="2"/>
  <c r="BL192" i="2"/>
  <c r="CG192" i="2"/>
  <c r="U192" i="2"/>
  <c r="V192" i="2"/>
  <c r="AX189" i="2"/>
  <c r="HI192" i="2" l="1"/>
  <c r="EY191" i="2"/>
  <c r="EW192" i="2"/>
  <c r="EV192" i="2"/>
  <c r="EC192" i="2"/>
  <c r="EB192" i="2"/>
  <c r="EA192" i="2"/>
  <c r="HH192" i="2"/>
  <c r="AW192" i="2"/>
  <c r="EX192" i="2"/>
  <c r="FS192" i="2"/>
  <c r="GO191" i="2"/>
  <c r="GN192" i="2"/>
  <c r="DG192" i="2"/>
  <c r="DI191" i="2"/>
  <c r="DH192" i="2"/>
  <c r="DF192" i="2"/>
  <c r="FQ192" i="2"/>
  <c r="FR192" i="2"/>
  <c r="GM192" i="2"/>
  <c r="GL192" i="2"/>
  <c r="BR192" i="2"/>
  <c r="CM192" i="2"/>
  <c r="AV192" i="2"/>
  <c r="AU192" i="2"/>
  <c r="BQ192" i="2"/>
  <c r="BP192" i="2"/>
  <c r="CL192" i="2"/>
  <c r="CK192" i="2"/>
  <c r="HJ191" i="2"/>
  <c r="FT191" i="2"/>
  <c r="AC191" i="2"/>
  <c r="AB192" i="2"/>
  <c r="Z192" i="2"/>
  <c r="CN191" i="2"/>
  <c r="ED191" i="2"/>
  <c r="A194" i="2"/>
  <c r="GQ193" i="2"/>
  <c r="GP193" i="2"/>
  <c r="FU193" i="2"/>
  <c r="FV193" i="2"/>
  <c r="FA193" i="2"/>
  <c r="EF193" i="2"/>
  <c r="EZ193" i="2"/>
  <c r="DK193" i="2"/>
  <c r="EE193" i="2"/>
  <c r="DJ193" i="2"/>
  <c r="CP193" i="2"/>
  <c r="CO193" i="2"/>
  <c r="BU193" i="2"/>
  <c r="AY193" i="2"/>
  <c r="AE193" i="2"/>
  <c r="BT193" i="2"/>
  <c r="AZ193" i="2"/>
  <c r="J193" i="2"/>
  <c r="AD193" i="2"/>
  <c r="I193" i="2"/>
  <c r="K193" i="2"/>
  <c r="HF193" i="2"/>
  <c r="FW193" i="2"/>
  <c r="GR193" i="2"/>
  <c r="FX193" i="2"/>
  <c r="GS193" i="2"/>
  <c r="HB193" i="2"/>
  <c r="GH193" i="2"/>
  <c r="HC193" i="2"/>
  <c r="GI193" i="2"/>
  <c r="HD193" i="2"/>
  <c r="GJ193" i="2"/>
  <c r="HE193" i="2"/>
  <c r="GK193" i="2"/>
  <c r="FB193" i="2"/>
  <c r="EQ193" i="2"/>
  <c r="FO193" i="2"/>
  <c r="ER193" i="2"/>
  <c r="FP193" i="2"/>
  <c r="FC193" i="2"/>
  <c r="FL193" i="2"/>
  <c r="FM193" i="2"/>
  <c r="EG193" i="2"/>
  <c r="DC193" i="2"/>
  <c r="FN193" i="2"/>
  <c r="EH193" i="2"/>
  <c r="DL193" i="2"/>
  <c r="DD193" i="2"/>
  <c r="ET193" i="2"/>
  <c r="DX193" i="2"/>
  <c r="EU193" i="2"/>
  <c r="DY193" i="2"/>
  <c r="GG193" i="2"/>
  <c r="DZ193" i="2"/>
  <c r="DB193" i="2"/>
  <c r="CJ193" i="2"/>
  <c r="BB193" i="2"/>
  <c r="DE193" i="2"/>
  <c r="DM193" i="2"/>
  <c r="DV193" i="2"/>
  <c r="CF193" i="2"/>
  <c r="BM193" i="2"/>
  <c r="AT193" i="2"/>
  <c r="ES193" i="2"/>
  <c r="DW193" i="2"/>
  <c r="CR193" i="2"/>
  <c r="AS193" i="2"/>
  <c r="X193" i="2"/>
  <c r="DA193" i="2"/>
  <c r="BW193" i="2"/>
  <c r="CG193" i="2"/>
  <c r="BK193" i="2"/>
  <c r="CH193" i="2"/>
  <c r="BL193" i="2"/>
  <c r="AF193" i="2"/>
  <c r="L193" i="2"/>
  <c r="CI193" i="2"/>
  <c r="BN193" i="2"/>
  <c r="AP193" i="2"/>
  <c r="AG193" i="2"/>
  <c r="BO193" i="2"/>
  <c r="AQ193" i="2"/>
  <c r="U193" i="2"/>
  <c r="Y193" i="2"/>
  <c r="CQ193" i="2"/>
  <c r="BA193" i="2"/>
  <c r="AR193" i="2"/>
  <c r="V193" i="2"/>
  <c r="W193" i="2"/>
  <c r="BV193" i="2"/>
  <c r="AA192" i="2"/>
  <c r="AX190" i="2"/>
  <c r="FQ193" i="2" l="1"/>
  <c r="HI193" i="2"/>
  <c r="ED192" i="2"/>
  <c r="EY192" i="2"/>
  <c r="DI192" i="2"/>
  <c r="EB193" i="2"/>
  <c r="EA193" i="2"/>
  <c r="EX193" i="2"/>
  <c r="FS193" i="2"/>
  <c r="EC193" i="2"/>
  <c r="HG193" i="2"/>
  <c r="GN193" i="2"/>
  <c r="HH193" i="2"/>
  <c r="DG193" i="2"/>
  <c r="DF193" i="2"/>
  <c r="DH193" i="2"/>
  <c r="FR193" i="2"/>
  <c r="CN192" i="2"/>
  <c r="GL193" i="2"/>
  <c r="GM193" i="2"/>
  <c r="EW193" i="2"/>
  <c r="EV193" i="2"/>
  <c r="CM193" i="2"/>
  <c r="BQ193" i="2"/>
  <c r="BR193" i="2"/>
  <c r="AV193" i="2"/>
  <c r="AU193" i="2"/>
  <c r="AW193" i="2"/>
  <c r="BP193" i="2"/>
  <c r="CL193" i="2"/>
  <c r="CK193" i="2"/>
  <c r="HJ192" i="2"/>
  <c r="GO192" i="2"/>
  <c r="AC192" i="2"/>
  <c r="Z193" i="2"/>
  <c r="AB193" i="2"/>
  <c r="FT192" i="2"/>
  <c r="AA193" i="2"/>
  <c r="A195" i="2"/>
  <c r="GQ194" i="2"/>
  <c r="GP194" i="2"/>
  <c r="FU194" i="2"/>
  <c r="FV194" i="2"/>
  <c r="EZ194" i="2"/>
  <c r="EE194" i="2"/>
  <c r="FA194" i="2"/>
  <c r="EF194" i="2"/>
  <c r="CP194" i="2"/>
  <c r="DJ194" i="2"/>
  <c r="CO194" i="2"/>
  <c r="AZ194" i="2"/>
  <c r="DK194" i="2"/>
  <c r="BU194" i="2"/>
  <c r="BT194" i="2"/>
  <c r="AY194" i="2"/>
  <c r="AD194" i="2"/>
  <c r="AE194" i="2"/>
  <c r="J194" i="2"/>
  <c r="I194" i="2"/>
  <c r="K194" i="2"/>
  <c r="FW194" i="2"/>
  <c r="GR194" i="2"/>
  <c r="FX194" i="2"/>
  <c r="GS194" i="2"/>
  <c r="GG194" i="2"/>
  <c r="HB194" i="2"/>
  <c r="HC194" i="2"/>
  <c r="GI194" i="2"/>
  <c r="HD194" i="2"/>
  <c r="HG194" i="2" s="1"/>
  <c r="GJ194" i="2"/>
  <c r="HE194" i="2"/>
  <c r="GK194" i="2"/>
  <c r="HF194" i="2"/>
  <c r="FC194" i="2"/>
  <c r="ER194" i="2"/>
  <c r="ET194" i="2"/>
  <c r="FB194" i="2"/>
  <c r="GH194" i="2"/>
  <c r="FM194" i="2"/>
  <c r="EG194" i="2"/>
  <c r="FN194" i="2"/>
  <c r="FQ194" i="2" s="1"/>
  <c r="FO194" i="2"/>
  <c r="EQ194" i="2"/>
  <c r="DL194" i="2"/>
  <c r="DD194" i="2"/>
  <c r="FP194" i="2"/>
  <c r="ES194" i="2"/>
  <c r="DM194" i="2"/>
  <c r="DE194" i="2"/>
  <c r="FL194" i="2"/>
  <c r="EH194" i="2"/>
  <c r="BL194" i="2"/>
  <c r="EU194" i="2"/>
  <c r="DV194" i="2"/>
  <c r="BV194" i="2"/>
  <c r="BM194" i="2"/>
  <c r="BA194" i="2"/>
  <c r="DW194" i="2"/>
  <c r="DX194" i="2"/>
  <c r="DY194" i="2"/>
  <c r="DA194" i="2"/>
  <c r="CG194" i="2"/>
  <c r="DZ194" i="2"/>
  <c r="CH194" i="2"/>
  <c r="BN194" i="2"/>
  <c r="BB194" i="2"/>
  <c r="CQ194" i="2"/>
  <c r="CJ194" i="2"/>
  <c r="AQ194" i="2"/>
  <c r="CR194" i="2"/>
  <c r="AR194" i="2"/>
  <c r="U194" i="2"/>
  <c r="DB194" i="2"/>
  <c r="AS194" i="2"/>
  <c r="V194" i="2"/>
  <c r="L194" i="2"/>
  <c r="DC194" i="2"/>
  <c r="AT194" i="2"/>
  <c r="W194" i="2"/>
  <c r="BW194" i="2"/>
  <c r="AF194" i="2"/>
  <c r="X194" i="2"/>
  <c r="CI194" i="2"/>
  <c r="AP194" i="2"/>
  <c r="CF194" i="2"/>
  <c r="BK194" i="2"/>
  <c r="AG194" i="2"/>
  <c r="Y194" i="2"/>
  <c r="BO194" i="2"/>
  <c r="AX191" i="2"/>
  <c r="EB194" i="2" l="1"/>
  <c r="EA194" i="2"/>
  <c r="ED193" i="2"/>
  <c r="CN193" i="2"/>
  <c r="HI194" i="2"/>
  <c r="AW194" i="2"/>
  <c r="DI193" i="2"/>
  <c r="FS194" i="2"/>
  <c r="DF194" i="2"/>
  <c r="EX194" i="2"/>
  <c r="EC194" i="2"/>
  <c r="GN194" i="2"/>
  <c r="HH194" i="2"/>
  <c r="DG194" i="2"/>
  <c r="DH194" i="2"/>
  <c r="FR194" i="2"/>
  <c r="GM194" i="2"/>
  <c r="GL194" i="2"/>
  <c r="EV194" i="2"/>
  <c r="EW194" i="2"/>
  <c r="CM194" i="2"/>
  <c r="AV194" i="2"/>
  <c r="AU194" i="2"/>
  <c r="BR194" i="2"/>
  <c r="BQ194" i="2"/>
  <c r="BP194" i="2"/>
  <c r="CL194" i="2"/>
  <c r="CK194" i="2"/>
  <c r="FT193" i="2"/>
  <c r="GO193" i="2"/>
  <c r="HJ193" i="2"/>
  <c r="AC193" i="2"/>
  <c r="Z194" i="2"/>
  <c r="AB194" i="2"/>
  <c r="EY193" i="2"/>
  <c r="A196" i="2"/>
  <c r="GQ195" i="2"/>
  <c r="GP195" i="2"/>
  <c r="FU195" i="2"/>
  <c r="FA195" i="2"/>
  <c r="FV195" i="2"/>
  <c r="EF195" i="2"/>
  <c r="EZ195" i="2"/>
  <c r="DK195" i="2"/>
  <c r="EE195" i="2"/>
  <c r="DJ195" i="2"/>
  <c r="CP195" i="2"/>
  <c r="CO195" i="2"/>
  <c r="AY195" i="2"/>
  <c r="BT195" i="2"/>
  <c r="BU195" i="2"/>
  <c r="AZ195" i="2"/>
  <c r="AD195" i="2"/>
  <c r="AE195" i="2"/>
  <c r="K195" i="2"/>
  <c r="J195" i="2"/>
  <c r="I195" i="2"/>
  <c r="GR195" i="2"/>
  <c r="FX195" i="2"/>
  <c r="GS195" i="2"/>
  <c r="GG195" i="2"/>
  <c r="HB195" i="2"/>
  <c r="GH195" i="2"/>
  <c r="HC195" i="2"/>
  <c r="HD195" i="2"/>
  <c r="GJ195" i="2"/>
  <c r="HE195" i="2"/>
  <c r="GK195" i="2"/>
  <c r="HF195" i="2"/>
  <c r="FW195" i="2"/>
  <c r="FL195" i="2"/>
  <c r="ES195" i="2"/>
  <c r="FB195" i="2"/>
  <c r="FC195" i="2"/>
  <c r="FM195" i="2"/>
  <c r="FO195" i="2"/>
  <c r="EQ195" i="2"/>
  <c r="GI195" i="2"/>
  <c r="FP195" i="2"/>
  <c r="ET195" i="2"/>
  <c r="DM195" i="2"/>
  <c r="DE195" i="2"/>
  <c r="EU195" i="2"/>
  <c r="DV195" i="2"/>
  <c r="DL195" i="2"/>
  <c r="DW195" i="2"/>
  <c r="DX195" i="2"/>
  <c r="CR195" i="2"/>
  <c r="BV195" i="2"/>
  <c r="BO195" i="2"/>
  <c r="FN195" i="2"/>
  <c r="FQ195" i="2" s="1"/>
  <c r="DY195" i="2"/>
  <c r="DA195" i="2"/>
  <c r="BW195" i="2"/>
  <c r="EG195" i="2"/>
  <c r="DZ195" i="2"/>
  <c r="EH195" i="2"/>
  <c r="ER195" i="2"/>
  <c r="DD195" i="2"/>
  <c r="CH195" i="2"/>
  <c r="BK195" i="2"/>
  <c r="BB195" i="2"/>
  <c r="AR195" i="2"/>
  <c r="DC195" i="2"/>
  <c r="AS195" i="2"/>
  <c r="AF195" i="2"/>
  <c r="BL195" i="2"/>
  <c r="CF195" i="2"/>
  <c r="BM195" i="2"/>
  <c r="X195" i="2"/>
  <c r="CG195" i="2"/>
  <c r="BN195" i="2"/>
  <c r="Y195" i="2"/>
  <c r="CI195" i="2"/>
  <c r="CQ195" i="2"/>
  <c r="CJ195" i="2"/>
  <c r="AP195" i="2"/>
  <c r="L195" i="2"/>
  <c r="U195" i="2"/>
  <c r="BA195" i="2"/>
  <c r="V195" i="2"/>
  <c r="DB195" i="2"/>
  <c r="AQ195" i="2"/>
  <c r="AT195" i="2"/>
  <c r="AG195" i="2"/>
  <c r="W195" i="2"/>
  <c r="AA194" i="2"/>
  <c r="AA195" i="2" s="1"/>
  <c r="AX192" i="2"/>
  <c r="HG195" i="2" l="1"/>
  <c r="ED194" i="2"/>
  <c r="EY194" i="2"/>
  <c r="EB195" i="2"/>
  <c r="EX195" i="2"/>
  <c r="DH195" i="2"/>
  <c r="EA195" i="2"/>
  <c r="HI195" i="2"/>
  <c r="AU195" i="2"/>
  <c r="FS195" i="2"/>
  <c r="EC195" i="2"/>
  <c r="GN195" i="2"/>
  <c r="HH195" i="2"/>
  <c r="DG195" i="2"/>
  <c r="DF195" i="2"/>
  <c r="FR195" i="2"/>
  <c r="CN194" i="2"/>
  <c r="GL195" i="2"/>
  <c r="GM195" i="2"/>
  <c r="EW195" i="2"/>
  <c r="EV195" i="2"/>
  <c r="CM195" i="2"/>
  <c r="BQ195" i="2"/>
  <c r="AV195" i="2"/>
  <c r="AW195" i="2"/>
  <c r="BR195" i="2"/>
  <c r="BP195" i="2"/>
  <c r="CK195" i="2"/>
  <c r="CL195" i="2"/>
  <c r="GO194" i="2"/>
  <c r="FT194" i="2"/>
  <c r="HJ194" i="2"/>
  <c r="Z195" i="2"/>
  <c r="AC194" i="2"/>
  <c r="AB195" i="2"/>
  <c r="DI194" i="2"/>
  <c r="A197" i="2"/>
  <c r="GQ196" i="2"/>
  <c r="GP196" i="2"/>
  <c r="FU196" i="2"/>
  <c r="FA196" i="2"/>
  <c r="EZ196" i="2"/>
  <c r="EF196" i="2"/>
  <c r="FV196" i="2"/>
  <c r="DK196" i="2"/>
  <c r="EE196" i="2"/>
  <c r="CP196" i="2"/>
  <c r="DJ196" i="2"/>
  <c r="CO196" i="2"/>
  <c r="AZ196" i="2"/>
  <c r="BU196" i="2"/>
  <c r="BT196" i="2"/>
  <c r="AY196" i="2"/>
  <c r="AD196" i="2"/>
  <c r="AE196" i="2"/>
  <c r="K196" i="2"/>
  <c r="I196" i="2"/>
  <c r="J196" i="2"/>
  <c r="GS196" i="2"/>
  <c r="GG196" i="2"/>
  <c r="HB196" i="2"/>
  <c r="GH196" i="2"/>
  <c r="HC196" i="2"/>
  <c r="GI196" i="2"/>
  <c r="HD196" i="2"/>
  <c r="HE196" i="2"/>
  <c r="GK196" i="2"/>
  <c r="HF196" i="2"/>
  <c r="FW196" i="2"/>
  <c r="GR196" i="2"/>
  <c r="FX196" i="2"/>
  <c r="FM196" i="2"/>
  <c r="ET196" i="2"/>
  <c r="FL196" i="2"/>
  <c r="EG196" i="2"/>
  <c r="FN196" i="2"/>
  <c r="FO196" i="2"/>
  <c r="ES196" i="2"/>
  <c r="GJ196" i="2"/>
  <c r="FB196" i="2"/>
  <c r="DV196" i="2"/>
  <c r="FC196" i="2"/>
  <c r="DW196" i="2"/>
  <c r="CQ196" i="2"/>
  <c r="EQ196" i="2"/>
  <c r="DY196" i="2"/>
  <c r="ER196" i="2"/>
  <c r="DZ196" i="2"/>
  <c r="EU196" i="2"/>
  <c r="DC196" i="2"/>
  <c r="BW196" i="2"/>
  <c r="DD196" i="2"/>
  <c r="CF196" i="2"/>
  <c r="BK196" i="2"/>
  <c r="FP196" i="2"/>
  <c r="DL196" i="2"/>
  <c r="DM196" i="2"/>
  <c r="CI196" i="2"/>
  <c r="BN196" i="2"/>
  <c r="EH196" i="2"/>
  <c r="DX196" i="2"/>
  <c r="CG196" i="2"/>
  <c r="CR196" i="2"/>
  <c r="DA196" i="2"/>
  <c r="CJ196" i="2"/>
  <c r="BA196" i="2"/>
  <c r="AP196" i="2"/>
  <c r="AF196" i="2"/>
  <c r="DB196" i="2"/>
  <c r="BB196" i="2"/>
  <c r="AQ196" i="2"/>
  <c r="AG196" i="2"/>
  <c r="DE196" i="2"/>
  <c r="AR196" i="2"/>
  <c r="U196" i="2"/>
  <c r="BL196" i="2"/>
  <c r="AS196" i="2"/>
  <c r="BM196" i="2"/>
  <c r="AT196" i="2"/>
  <c r="V196" i="2"/>
  <c r="BV196" i="2"/>
  <c r="BO196" i="2"/>
  <c r="W196" i="2"/>
  <c r="L196" i="2"/>
  <c r="X196" i="2"/>
  <c r="CH196" i="2"/>
  <c r="Y196" i="2"/>
  <c r="AX193" i="2"/>
  <c r="HG196" i="2" l="1"/>
  <c r="HH196" i="2"/>
  <c r="EY195" i="2"/>
  <c r="EW196" i="2"/>
  <c r="FS196" i="2"/>
  <c r="HI196" i="2"/>
  <c r="AW196" i="2"/>
  <c r="EX196" i="2"/>
  <c r="DH196" i="2"/>
  <c r="FQ196" i="2"/>
  <c r="EC196" i="2"/>
  <c r="GN196" i="2"/>
  <c r="DG196" i="2"/>
  <c r="DF196" i="2"/>
  <c r="FR196" i="2"/>
  <c r="GL196" i="2"/>
  <c r="GM196" i="2"/>
  <c r="EV196" i="2"/>
  <c r="EB196" i="2"/>
  <c r="EA196" i="2"/>
  <c r="CM196" i="2"/>
  <c r="AV196" i="2"/>
  <c r="AU196" i="2"/>
  <c r="BP196" i="2"/>
  <c r="BQ196" i="2"/>
  <c r="BR196" i="2"/>
  <c r="CK196" i="2"/>
  <c r="CL196" i="2"/>
  <c r="HJ195" i="2"/>
  <c r="ED195" i="2"/>
  <c r="DI195" i="2"/>
  <c r="CN195" i="2"/>
  <c r="Z196" i="2"/>
  <c r="AC195" i="2"/>
  <c r="FT195" i="2"/>
  <c r="GO195" i="2"/>
  <c r="AB196" i="2"/>
  <c r="A198" i="2"/>
  <c r="GQ197" i="2"/>
  <c r="FU197" i="2"/>
  <c r="GP197" i="2"/>
  <c r="FA197" i="2"/>
  <c r="EZ197" i="2"/>
  <c r="EF197" i="2"/>
  <c r="FV197" i="2"/>
  <c r="DK197" i="2"/>
  <c r="DJ197" i="2"/>
  <c r="BU197" i="2"/>
  <c r="EE197" i="2"/>
  <c r="CP197" i="2"/>
  <c r="CO197" i="2"/>
  <c r="BT197" i="2"/>
  <c r="AY197" i="2"/>
  <c r="AE197" i="2"/>
  <c r="AZ197" i="2"/>
  <c r="J197" i="2"/>
  <c r="AD197" i="2"/>
  <c r="K197" i="2"/>
  <c r="I197" i="2"/>
  <c r="HB197" i="2"/>
  <c r="GH197" i="2"/>
  <c r="HC197" i="2"/>
  <c r="GI197" i="2"/>
  <c r="HD197" i="2"/>
  <c r="HG197" i="2" s="1"/>
  <c r="GJ197" i="2"/>
  <c r="HE197" i="2"/>
  <c r="HF197" i="2"/>
  <c r="FW197" i="2"/>
  <c r="GR197" i="2"/>
  <c r="FX197" i="2"/>
  <c r="GS197" i="2"/>
  <c r="GG197" i="2"/>
  <c r="FN197" i="2"/>
  <c r="EU197" i="2"/>
  <c r="FO197" i="2"/>
  <c r="EQ197" i="2"/>
  <c r="FP197" i="2"/>
  <c r="FB197" i="2"/>
  <c r="FC197" i="2"/>
  <c r="FL197" i="2"/>
  <c r="EG197" i="2"/>
  <c r="DW197" i="2"/>
  <c r="CQ197" i="2"/>
  <c r="GK197" i="2"/>
  <c r="FM197" i="2"/>
  <c r="EH197" i="2"/>
  <c r="DX197" i="2"/>
  <c r="CR197" i="2"/>
  <c r="DL197" i="2"/>
  <c r="CF197" i="2"/>
  <c r="BM197" i="2"/>
  <c r="BB197" i="2"/>
  <c r="ER197" i="2"/>
  <c r="DM197" i="2"/>
  <c r="CG197" i="2"/>
  <c r="BN197" i="2"/>
  <c r="ES197" i="2"/>
  <c r="DV197" i="2"/>
  <c r="ET197" i="2"/>
  <c r="DY197" i="2"/>
  <c r="DZ197" i="2"/>
  <c r="DB197" i="2"/>
  <c r="CJ197" i="2"/>
  <c r="AP197" i="2"/>
  <c r="DE197" i="2"/>
  <c r="BK197" i="2"/>
  <c r="AR197" i="2"/>
  <c r="BO197" i="2"/>
  <c r="AT197" i="2"/>
  <c r="BV197" i="2"/>
  <c r="V197" i="2"/>
  <c r="BW197" i="2"/>
  <c r="BA197" i="2"/>
  <c r="AF197" i="2"/>
  <c r="W197" i="2"/>
  <c r="U197" i="2"/>
  <c r="DA197" i="2"/>
  <c r="CH197" i="2"/>
  <c r="AG197" i="2"/>
  <c r="X197" i="2"/>
  <c r="DC197" i="2"/>
  <c r="CI197" i="2"/>
  <c r="Y197" i="2"/>
  <c r="L197" i="2"/>
  <c r="BL197" i="2"/>
  <c r="AS197" i="2"/>
  <c r="DD197" i="2"/>
  <c r="AQ197" i="2"/>
  <c r="AA196" i="2"/>
  <c r="AA197" i="2" s="1"/>
  <c r="AX194" i="2"/>
  <c r="HH197" i="2" l="1"/>
  <c r="FS197" i="2"/>
  <c r="EA197" i="2"/>
  <c r="EW197" i="2"/>
  <c r="EY196" i="2"/>
  <c r="EC197" i="2"/>
  <c r="EX197" i="2"/>
  <c r="EB197" i="2"/>
  <c r="ED196" i="2"/>
  <c r="DF197" i="2"/>
  <c r="FQ197" i="2"/>
  <c r="EV197" i="2"/>
  <c r="HI197" i="2"/>
  <c r="GN197" i="2"/>
  <c r="DG197" i="2"/>
  <c r="DI196" i="2"/>
  <c r="DH197" i="2"/>
  <c r="FR197" i="2"/>
  <c r="GM197" i="2"/>
  <c r="GL197" i="2"/>
  <c r="Z197" i="2"/>
  <c r="CM197" i="2"/>
  <c r="AV197" i="2"/>
  <c r="AU197" i="2"/>
  <c r="AW197" i="2"/>
  <c r="BR197" i="2"/>
  <c r="BP197" i="2"/>
  <c r="BQ197" i="2"/>
  <c r="CK197" i="2"/>
  <c r="CL197" i="2"/>
  <c r="GO196" i="2"/>
  <c r="CN196" i="2"/>
  <c r="HJ196" i="2"/>
  <c r="FT196" i="2"/>
  <c r="AB197" i="2"/>
  <c r="AC196" i="2"/>
  <c r="A199" i="2"/>
  <c r="GQ198" i="2"/>
  <c r="FV198" i="2"/>
  <c r="GP198" i="2"/>
  <c r="FU198" i="2"/>
  <c r="FA198" i="2"/>
  <c r="EZ198" i="2"/>
  <c r="EE198" i="2"/>
  <c r="EF198" i="2"/>
  <c r="CP198" i="2"/>
  <c r="DK198" i="2"/>
  <c r="BU198" i="2"/>
  <c r="BT198" i="2"/>
  <c r="DJ198" i="2"/>
  <c r="CO198" i="2"/>
  <c r="AZ198" i="2"/>
  <c r="AY198" i="2"/>
  <c r="AE198" i="2"/>
  <c r="AD198" i="2"/>
  <c r="K198" i="2"/>
  <c r="J198" i="2"/>
  <c r="I198" i="2"/>
  <c r="HC198" i="2"/>
  <c r="GI198" i="2"/>
  <c r="HD198" i="2"/>
  <c r="GJ198" i="2"/>
  <c r="HE198" i="2"/>
  <c r="GK198" i="2"/>
  <c r="HF198" i="2"/>
  <c r="FW198" i="2"/>
  <c r="GR198" i="2"/>
  <c r="FX198" i="2"/>
  <c r="GS198" i="2"/>
  <c r="GG198" i="2"/>
  <c r="HB198" i="2"/>
  <c r="GH198" i="2"/>
  <c r="FO198" i="2"/>
  <c r="ES198" i="2"/>
  <c r="FB198" i="2"/>
  <c r="FL198" i="2"/>
  <c r="EG198" i="2"/>
  <c r="FM198" i="2"/>
  <c r="FN198" i="2"/>
  <c r="EQ198" i="2"/>
  <c r="DW198" i="2"/>
  <c r="CR198" i="2"/>
  <c r="FP198" i="2"/>
  <c r="ER198" i="2"/>
  <c r="DX198" i="2"/>
  <c r="DA198" i="2"/>
  <c r="EU198" i="2"/>
  <c r="DM198" i="2"/>
  <c r="DV198" i="2"/>
  <c r="CQ198" i="2"/>
  <c r="CG198" i="2"/>
  <c r="DY198" i="2"/>
  <c r="DB198" i="2"/>
  <c r="CH198" i="2"/>
  <c r="BA198" i="2"/>
  <c r="DZ198" i="2"/>
  <c r="FC198" i="2"/>
  <c r="EH198" i="2"/>
  <c r="DE198" i="2"/>
  <c r="BL198" i="2"/>
  <c r="AS198" i="2"/>
  <c r="ET198" i="2"/>
  <c r="DL198" i="2"/>
  <c r="BW198" i="2"/>
  <c r="W198" i="2"/>
  <c r="L198" i="2"/>
  <c r="X198" i="2"/>
  <c r="DC198" i="2"/>
  <c r="DD198" i="2"/>
  <c r="CI198" i="2"/>
  <c r="CJ198" i="2"/>
  <c r="BK198" i="2"/>
  <c r="AP198" i="2"/>
  <c r="Y198" i="2"/>
  <c r="BM198" i="2"/>
  <c r="AQ198" i="2"/>
  <c r="BN198" i="2"/>
  <c r="BB198" i="2"/>
  <c r="AR198" i="2"/>
  <c r="BO198" i="2"/>
  <c r="AT198" i="2"/>
  <c r="AF198" i="2"/>
  <c r="V198" i="2"/>
  <c r="CF198" i="2"/>
  <c r="BV198" i="2"/>
  <c r="AG198" i="2"/>
  <c r="U198" i="2"/>
  <c r="AX195" i="2"/>
  <c r="ED197" i="2" l="1"/>
  <c r="EW198" i="2"/>
  <c r="HI198" i="2"/>
  <c r="EV198" i="2"/>
  <c r="FS198" i="2"/>
  <c r="EX198" i="2"/>
  <c r="EC198" i="2"/>
  <c r="FQ198" i="2"/>
  <c r="HG198" i="2"/>
  <c r="GN198" i="2"/>
  <c r="AC197" i="2"/>
  <c r="Z198" i="2"/>
  <c r="HH198" i="2"/>
  <c r="DG198" i="2"/>
  <c r="DF198" i="2"/>
  <c r="DH198" i="2"/>
  <c r="FR198" i="2"/>
  <c r="GL198" i="2"/>
  <c r="GM198" i="2"/>
  <c r="EA198" i="2"/>
  <c r="EB198" i="2"/>
  <c r="AW198" i="2"/>
  <c r="CN197" i="2"/>
  <c r="CM198" i="2"/>
  <c r="BR198" i="2"/>
  <c r="AV198" i="2"/>
  <c r="AU198" i="2"/>
  <c r="BP198" i="2"/>
  <c r="BQ198" i="2"/>
  <c r="CL198" i="2"/>
  <c r="CK198" i="2"/>
  <c r="EY197" i="2"/>
  <c r="HJ197" i="2"/>
  <c r="DI197" i="2"/>
  <c r="GO197" i="2"/>
  <c r="FT197" i="2"/>
  <c r="AB198" i="2"/>
  <c r="AA198" i="2"/>
  <c r="A200" i="2"/>
  <c r="GQ199" i="2"/>
  <c r="GP199" i="2"/>
  <c r="FU199" i="2"/>
  <c r="FA199" i="2"/>
  <c r="FV199" i="2"/>
  <c r="EF199" i="2"/>
  <c r="DK199" i="2"/>
  <c r="EE199" i="2"/>
  <c r="DJ199" i="2"/>
  <c r="EZ199" i="2"/>
  <c r="CP199" i="2"/>
  <c r="CO199" i="2"/>
  <c r="AZ199" i="2"/>
  <c r="BT199" i="2"/>
  <c r="BU199" i="2"/>
  <c r="AY199" i="2"/>
  <c r="K199" i="2"/>
  <c r="AD199" i="2"/>
  <c r="AE199" i="2"/>
  <c r="J199" i="2"/>
  <c r="I199" i="2"/>
  <c r="HD199" i="2"/>
  <c r="GJ199" i="2"/>
  <c r="HE199" i="2"/>
  <c r="GK199" i="2"/>
  <c r="HF199" i="2"/>
  <c r="GR199" i="2"/>
  <c r="FX199" i="2"/>
  <c r="GS199" i="2"/>
  <c r="GG199" i="2"/>
  <c r="HB199" i="2"/>
  <c r="GH199" i="2"/>
  <c r="HC199" i="2"/>
  <c r="GI199" i="2"/>
  <c r="FP199" i="2"/>
  <c r="FW199" i="2"/>
  <c r="FB199" i="2"/>
  <c r="ET199" i="2"/>
  <c r="FC199" i="2"/>
  <c r="FL199" i="2"/>
  <c r="FN199" i="2"/>
  <c r="EH199" i="2"/>
  <c r="FO199" i="2"/>
  <c r="ER199" i="2"/>
  <c r="DW199" i="2"/>
  <c r="DA199" i="2"/>
  <c r="ES199" i="2"/>
  <c r="DX199" i="2"/>
  <c r="DB199" i="2"/>
  <c r="DV199" i="2"/>
  <c r="EG199" i="2"/>
  <c r="EQ199" i="2"/>
  <c r="DZ199" i="2"/>
  <c r="DD199" i="2"/>
  <c r="CH199" i="2"/>
  <c r="BK199" i="2"/>
  <c r="EU199" i="2"/>
  <c r="DE199" i="2"/>
  <c r="CI199" i="2"/>
  <c r="BL199" i="2"/>
  <c r="DL199" i="2"/>
  <c r="FM199" i="2"/>
  <c r="DM199" i="2"/>
  <c r="BV199" i="2"/>
  <c r="BO199" i="2"/>
  <c r="BB199" i="2"/>
  <c r="DY199" i="2"/>
  <c r="BN199" i="2"/>
  <c r="AQ199" i="2"/>
  <c r="AF199" i="2"/>
  <c r="AS199" i="2"/>
  <c r="CQ199" i="2"/>
  <c r="AT199" i="2"/>
  <c r="CR199" i="2"/>
  <c r="BW199" i="2"/>
  <c r="U199" i="2"/>
  <c r="V199" i="2"/>
  <c r="DC199" i="2"/>
  <c r="CF199" i="2"/>
  <c r="CG199" i="2"/>
  <c r="BA199" i="2"/>
  <c r="W199" i="2"/>
  <c r="AG199" i="2"/>
  <c r="L199" i="2"/>
  <c r="CJ199" i="2"/>
  <c r="BM199" i="2"/>
  <c r="AP199" i="2"/>
  <c r="X199" i="2"/>
  <c r="Y199" i="2"/>
  <c r="AR199" i="2"/>
  <c r="AX196" i="2"/>
  <c r="FS199" i="2" l="1"/>
  <c r="EY198" i="2"/>
  <c r="EV199" i="2"/>
  <c r="EB199" i="2"/>
  <c r="EA199" i="2"/>
  <c r="EW199" i="2"/>
  <c r="HH199" i="2"/>
  <c r="HG199" i="2"/>
  <c r="HJ199" i="2" s="1"/>
  <c r="HI199" i="2"/>
  <c r="EC199" i="2"/>
  <c r="DF199" i="2"/>
  <c r="EX199" i="2"/>
  <c r="AU199" i="2"/>
  <c r="GN199" i="2"/>
  <c r="DI198" i="2"/>
  <c r="DG199" i="2"/>
  <c r="DH199" i="2"/>
  <c r="FR199" i="2"/>
  <c r="FQ199" i="2"/>
  <c r="GM199" i="2"/>
  <c r="GL199" i="2"/>
  <c r="CM199" i="2"/>
  <c r="BR199" i="2"/>
  <c r="BP199" i="2"/>
  <c r="AV199" i="2"/>
  <c r="AW199" i="2"/>
  <c r="BQ199" i="2"/>
  <c r="CL199" i="2"/>
  <c r="CK199" i="2"/>
  <c r="ED198" i="2"/>
  <c r="Z199" i="2"/>
  <c r="HJ198" i="2"/>
  <c r="GO198" i="2"/>
  <c r="FT198" i="2"/>
  <c r="AC198" i="2"/>
  <c r="CN198" i="2"/>
  <c r="GQ200" i="2"/>
  <c r="GP200" i="2"/>
  <c r="FU200" i="2"/>
  <c r="FV200" i="2"/>
  <c r="EZ200" i="2"/>
  <c r="FA200" i="2"/>
  <c r="EF200" i="2"/>
  <c r="EE200" i="2"/>
  <c r="CP200" i="2"/>
  <c r="DK200" i="2"/>
  <c r="CO200" i="2"/>
  <c r="AZ200" i="2"/>
  <c r="BU200" i="2"/>
  <c r="BT200" i="2"/>
  <c r="DJ200" i="2"/>
  <c r="AY200" i="2"/>
  <c r="AE200" i="2"/>
  <c r="AD200" i="2"/>
  <c r="K200" i="2"/>
  <c r="J200" i="2"/>
  <c r="I200" i="2"/>
  <c r="HE200" i="2"/>
  <c r="GK200" i="2"/>
  <c r="HF200" i="2"/>
  <c r="FW200" i="2"/>
  <c r="GR200" i="2"/>
  <c r="GS200" i="2"/>
  <c r="GG200" i="2"/>
  <c r="HB200" i="2"/>
  <c r="GH200" i="2"/>
  <c r="HC200" i="2"/>
  <c r="GI200" i="2"/>
  <c r="HD200" i="2"/>
  <c r="GJ200" i="2"/>
  <c r="FL200" i="2"/>
  <c r="EU200" i="2"/>
  <c r="FX200" i="2"/>
  <c r="FM200" i="2"/>
  <c r="FN200" i="2"/>
  <c r="FP200" i="2"/>
  <c r="EQ200" i="2"/>
  <c r="FB200" i="2"/>
  <c r="ES200" i="2"/>
  <c r="DX200" i="2"/>
  <c r="DB200" i="2"/>
  <c r="FC200" i="2"/>
  <c r="ET200" i="2"/>
  <c r="DY200" i="2"/>
  <c r="DC200" i="2"/>
  <c r="CI200" i="2"/>
  <c r="BN200" i="2"/>
  <c r="DL200" i="2"/>
  <c r="CJ200" i="2"/>
  <c r="BO200" i="2"/>
  <c r="EG200" i="2"/>
  <c r="DM200" i="2"/>
  <c r="EH200" i="2"/>
  <c r="DV200" i="2"/>
  <c r="ER200" i="2"/>
  <c r="DW200" i="2"/>
  <c r="DA200" i="2"/>
  <c r="BW200" i="2"/>
  <c r="AQ200" i="2"/>
  <c r="FO200" i="2"/>
  <c r="DZ200" i="2"/>
  <c r="DD200" i="2"/>
  <c r="BV200" i="2"/>
  <c r="BB200" i="2"/>
  <c r="DE200" i="2"/>
  <c r="CG200" i="2"/>
  <c r="BL200" i="2"/>
  <c r="AF200" i="2"/>
  <c r="CH200" i="2"/>
  <c r="BM200" i="2"/>
  <c r="AG200" i="2"/>
  <c r="W200" i="2"/>
  <c r="L200" i="2"/>
  <c r="V200" i="2"/>
  <c r="AP200" i="2"/>
  <c r="X200" i="2"/>
  <c r="Y200" i="2"/>
  <c r="AR200" i="2"/>
  <c r="CQ200" i="2"/>
  <c r="AS200" i="2"/>
  <c r="A201" i="2"/>
  <c r="U200" i="2"/>
  <c r="CR200" i="2"/>
  <c r="BA200" i="2"/>
  <c r="AT200" i="2"/>
  <c r="CF200" i="2"/>
  <c r="BK200" i="2"/>
  <c r="CS4" i="2" a="1"/>
  <c r="CS4" i="2" s="1"/>
  <c r="CT4" i="2" s="1"/>
  <c r="GT4" i="2" a="1"/>
  <c r="GT4" i="2" s="1"/>
  <c r="GU4" i="2" s="1"/>
  <c r="BC4" i="2" a="1"/>
  <c r="BC4" i="2" s="1"/>
  <c r="BD4" i="2" s="1"/>
  <c r="AB199" i="2"/>
  <c r="BX4" i="2" a="1"/>
  <c r="BX4" i="2" s="1"/>
  <c r="BY4" i="2" s="1"/>
  <c r="AA199" i="2"/>
  <c r="AX197" i="2"/>
  <c r="EX200" i="2" l="1"/>
  <c r="EW200" i="2"/>
  <c r="HI200" i="2"/>
  <c r="FS200" i="2"/>
  <c r="EC200" i="2"/>
  <c r="HH200" i="2"/>
  <c r="GN200" i="2"/>
  <c r="HG200" i="2"/>
  <c r="DG200" i="2"/>
  <c r="DF200" i="2"/>
  <c r="DH200" i="2"/>
  <c r="FR200" i="2"/>
  <c r="FQ200" i="2"/>
  <c r="GL200" i="2"/>
  <c r="GM200" i="2"/>
  <c r="EV200" i="2"/>
  <c r="EA200" i="2"/>
  <c r="EB200" i="2"/>
  <c r="AB200" i="2"/>
  <c r="BP200" i="2"/>
  <c r="CM200" i="2"/>
  <c r="AV200" i="2"/>
  <c r="AW200" i="2"/>
  <c r="AU200" i="2"/>
  <c r="BQ200" i="2"/>
  <c r="BR200" i="2"/>
  <c r="CL200" i="2"/>
  <c r="CK200" i="2"/>
  <c r="CU4" i="2"/>
  <c r="CV4" i="2" s="1"/>
  <c r="CW4" i="2" s="1"/>
  <c r="CX4" i="2" s="1"/>
  <c r="BZ4" i="2"/>
  <c r="CA4" i="2" s="1"/>
  <c r="CB4" i="2" s="1"/>
  <c r="CC4" i="2" s="1"/>
  <c r="CN199" i="2"/>
  <c r="BE4" i="2"/>
  <c r="BF4" i="2" s="1"/>
  <c r="BG4" i="2" s="1"/>
  <c r="BH4" i="2" s="1"/>
  <c r="Z200" i="2"/>
  <c r="AA200" i="2"/>
  <c r="GO199" i="2"/>
  <c r="FT199" i="2"/>
  <c r="GV4" i="2"/>
  <c r="GW4" i="2" s="1"/>
  <c r="GX4" i="2" s="1"/>
  <c r="GY4" i="2" s="1"/>
  <c r="DI199" i="2"/>
  <c r="EY199" i="2"/>
  <c r="ED199" i="2"/>
  <c r="AC199" i="2"/>
  <c r="DN4" i="2" a="1"/>
  <c r="DN4" i="2" s="1"/>
  <c r="DO4" i="2" s="1"/>
  <c r="FD4" i="2" a="1"/>
  <c r="FD4" i="2" s="1"/>
  <c r="FE4" i="2" s="1"/>
  <c r="A202" i="2"/>
  <c r="GQ201" i="2"/>
  <c r="GP201" i="2"/>
  <c r="FU201" i="2"/>
  <c r="FV201" i="2"/>
  <c r="FA201" i="2"/>
  <c r="EF201" i="2"/>
  <c r="EZ201" i="2"/>
  <c r="EE201" i="2"/>
  <c r="DK201" i="2"/>
  <c r="DJ201" i="2"/>
  <c r="CO201" i="2"/>
  <c r="CP201" i="2"/>
  <c r="BU201" i="2"/>
  <c r="AY201" i="2"/>
  <c r="AE201" i="2"/>
  <c r="AZ201" i="2"/>
  <c r="BT201" i="2"/>
  <c r="AD201" i="2"/>
  <c r="J201" i="2"/>
  <c r="K201" i="2"/>
  <c r="I201" i="2"/>
  <c r="HF201" i="2"/>
  <c r="FW201" i="2"/>
  <c r="GR201" i="2"/>
  <c r="FX201" i="2"/>
  <c r="GS201" i="2"/>
  <c r="HB201" i="2"/>
  <c r="GH201" i="2"/>
  <c r="HC201" i="2"/>
  <c r="GI201" i="2"/>
  <c r="HD201" i="2"/>
  <c r="GJ201" i="2"/>
  <c r="HE201" i="2"/>
  <c r="GK201" i="2"/>
  <c r="FB201" i="2"/>
  <c r="FN201" i="2"/>
  <c r="FO201" i="2"/>
  <c r="GG201" i="2"/>
  <c r="FP201" i="2"/>
  <c r="ER201" i="2"/>
  <c r="FC201" i="2"/>
  <c r="FL201" i="2"/>
  <c r="ET201" i="2"/>
  <c r="DY201" i="2"/>
  <c r="DC201" i="2"/>
  <c r="FM201" i="2"/>
  <c r="EU201" i="2"/>
  <c r="DZ201" i="2"/>
  <c r="DD201" i="2"/>
  <c r="EH201" i="2"/>
  <c r="DL201" i="2"/>
  <c r="EQ201" i="2"/>
  <c r="ES201" i="2"/>
  <c r="DV201" i="2"/>
  <c r="CR201" i="2"/>
  <c r="CJ201" i="2"/>
  <c r="BB201" i="2"/>
  <c r="DW201" i="2"/>
  <c r="DA201" i="2"/>
  <c r="DX201" i="2"/>
  <c r="CF201" i="2"/>
  <c r="BM201" i="2"/>
  <c r="AT201" i="2"/>
  <c r="EG201" i="2"/>
  <c r="CI201" i="2"/>
  <c r="AP201" i="2"/>
  <c r="AQ201" i="2"/>
  <c r="DM201" i="2"/>
  <c r="CQ201" i="2"/>
  <c r="AR201" i="2"/>
  <c r="DB201" i="2"/>
  <c r="AS201" i="2"/>
  <c r="DE201" i="2"/>
  <c r="BV201" i="2"/>
  <c r="BK201" i="2"/>
  <c r="AF201" i="2"/>
  <c r="L201" i="2"/>
  <c r="BW201" i="2"/>
  <c r="BL201" i="2"/>
  <c r="AG201" i="2"/>
  <c r="CG201" i="2"/>
  <c r="BN201" i="2"/>
  <c r="U201" i="2"/>
  <c r="W201" i="2"/>
  <c r="CH201" i="2"/>
  <c r="BO201" i="2"/>
  <c r="V201" i="2"/>
  <c r="BA201" i="2"/>
  <c r="X201" i="2"/>
  <c r="Y201" i="2"/>
  <c r="M5" i="2" a="1"/>
  <c r="M5" i="2" s="1"/>
  <c r="M4" i="2" a="1"/>
  <c r="M4" i="2" s="1"/>
  <c r="N4" i="2" s="1"/>
  <c r="FY4" i="2" a="1"/>
  <c r="FY4" i="2" s="1"/>
  <c r="FZ4" i="2" s="1"/>
  <c r="BC5" i="2" a="1"/>
  <c r="BC5" i="2" s="1"/>
  <c r="BD5" i="2" s="1"/>
  <c r="AH4" i="2" a="1"/>
  <c r="AH4" i="2" s="1"/>
  <c r="AI4" i="2" s="1"/>
  <c r="AH5" i="2" a="1"/>
  <c r="AH5" i="2" s="1"/>
  <c r="EI4" i="2" a="1"/>
  <c r="EI4" i="2" s="1"/>
  <c r="EJ4" i="2" s="1"/>
  <c r="AX198" i="2"/>
  <c r="HJ200" i="2" l="1"/>
  <c r="HH201" i="2"/>
  <c r="HG201" i="2"/>
  <c r="EY200" i="2"/>
  <c r="DI200" i="2"/>
  <c r="ED200" i="2"/>
  <c r="EA201" i="2"/>
  <c r="FS201" i="2"/>
  <c r="EB201" i="2"/>
  <c r="HI201" i="2"/>
  <c r="EX201" i="2"/>
  <c r="AI5" i="2"/>
  <c r="EW201" i="2"/>
  <c r="EC201" i="2"/>
  <c r="GZ8" i="2"/>
  <c r="GZ52" i="2"/>
  <c r="GZ116" i="2"/>
  <c r="GZ180" i="2"/>
  <c r="GZ45" i="2"/>
  <c r="GZ109" i="2"/>
  <c r="GZ173" i="2"/>
  <c r="GZ38" i="2"/>
  <c r="GZ102" i="2"/>
  <c r="GZ166" i="2"/>
  <c r="GZ31" i="2"/>
  <c r="GZ95" i="2"/>
  <c r="GZ159" i="2"/>
  <c r="GZ32" i="2"/>
  <c r="GZ96" i="2"/>
  <c r="GZ160" i="2"/>
  <c r="GZ25" i="2"/>
  <c r="GZ89" i="2"/>
  <c r="GZ153" i="2"/>
  <c r="GZ18" i="2"/>
  <c r="GZ82" i="2"/>
  <c r="GZ146" i="2"/>
  <c r="GZ67" i="2"/>
  <c r="GZ83" i="2"/>
  <c r="GZ171" i="2"/>
  <c r="GZ163" i="2"/>
  <c r="GZ60" i="2"/>
  <c r="GZ124" i="2"/>
  <c r="GZ188" i="2"/>
  <c r="GZ53" i="2"/>
  <c r="GZ117" i="2"/>
  <c r="GZ181" i="2"/>
  <c r="GZ46" i="2"/>
  <c r="GZ110" i="2"/>
  <c r="GZ174" i="2"/>
  <c r="GZ39" i="2"/>
  <c r="GZ103" i="2"/>
  <c r="GZ167" i="2"/>
  <c r="GZ40" i="2"/>
  <c r="GZ104" i="2"/>
  <c r="GZ168" i="2"/>
  <c r="GZ33" i="2"/>
  <c r="GZ97" i="2"/>
  <c r="GZ161" i="2"/>
  <c r="GZ26" i="2"/>
  <c r="GZ90" i="2"/>
  <c r="GZ154" i="2"/>
  <c r="GZ131" i="2"/>
  <c r="GZ147" i="2"/>
  <c r="GZ35" i="2"/>
  <c r="GZ4" i="2"/>
  <c r="GZ68" i="2"/>
  <c r="GZ132" i="2"/>
  <c r="GZ196" i="2"/>
  <c r="GZ61" i="2"/>
  <c r="GZ125" i="2"/>
  <c r="GZ189" i="2"/>
  <c r="GZ54" i="2"/>
  <c r="GZ118" i="2"/>
  <c r="GZ182" i="2"/>
  <c r="GZ47" i="2"/>
  <c r="GZ111" i="2"/>
  <c r="GZ175" i="2"/>
  <c r="GZ48" i="2"/>
  <c r="GZ112" i="2"/>
  <c r="GZ176" i="2"/>
  <c r="GZ41" i="2"/>
  <c r="GZ105" i="2"/>
  <c r="GZ169" i="2"/>
  <c r="GZ34" i="2"/>
  <c r="GZ98" i="2"/>
  <c r="GZ162" i="2"/>
  <c r="GZ195" i="2"/>
  <c r="GZ27" i="2"/>
  <c r="GZ187" i="2"/>
  <c r="GZ12" i="2"/>
  <c r="GZ76" i="2"/>
  <c r="GZ140" i="2"/>
  <c r="GZ5" i="2"/>
  <c r="GZ69" i="2"/>
  <c r="GZ133" i="2"/>
  <c r="GZ197" i="2"/>
  <c r="GZ62" i="2"/>
  <c r="GZ126" i="2"/>
  <c r="GZ190" i="2"/>
  <c r="GZ55" i="2"/>
  <c r="GZ119" i="2"/>
  <c r="GZ183" i="2"/>
  <c r="GZ56" i="2"/>
  <c r="GZ120" i="2"/>
  <c r="GZ184" i="2"/>
  <c r="GZ49" i="2"/>
  <c r="GZ113" i="2"/>
  <c r="GZ177" i="2"/>
  <c r="GZ42" i="2"/>
  <c r="GZ106" i="2"/>
  <c r="GZ170" i="2"/>
  <c r="GZ11" i="2"/>
  <c r="GZ91" i="2"/>
  <c r="GZ43" i="2"/>
  <c r="GZ20" i="2"/>
  <c r="GZ84" i="2"/>
  <c r="GZ148" i="2"/>
  <c r="GZ13" i="2"/>
  <c r="GZ77" i="2"/>
  <c r="GZ141" i="2"/>
  <c r="GZ6" i="2"/>
  <c r="GZ70" i="2"/>
  <c r="GZ134" i="2"/>
  <c r="GZ198" i="2"/>
  <c r="GZ63" i="2"/>
  <c r="GZ127" i="2"/>
  <c r="GZ191" i="2"/>
  <c r="GZ64" i="2"/>
  <c r="GZ128" i="2"/>
  <c r="GZ192" i="2"/>
  <c r="GZ57" i="2"/>
  <c r="GZ121" i="2"/>
  <c r="GZ185" i="2"/>
  <c r="GZ50" i="2"/>
  <c r="GZ114" i="2"/>
  <c r="GZ178" i="2"/>
  <c r="GZ75" i="2"/>
  <c r="GZ155" i="2"/>
  <c r="GZ59" i="2"/>
  <c r="GZ28" i="2"/>
  <c r="GZ92" i="2"/>
  <c r="GZ156" i="2"/>
  <c r="GZ21" i="2"/>
  <c r="GZ85" i="2"/>
  <c r="GZ149" i="2"/>
  <c r="GZ14" i="2"/>
  <c r="GZ78" i="2"/>
  <c r="GZ142" i="2"/>
  <c r="GZ7" i="2"/>
  <c r="GZ71" i="2"/>
  <c r="GZ135" i="2"/>
  <c r="GZ199" i="2"/>
  <c r="GZ72" i="2"/>
  <c r="GZ136" i="2"/>
  <c r="GZ200" i="2"/>
  <c r="GZ65" i="2"/>
  <c r="GZ129" i="2"/>
  <c r="GZ193" i="2"/>
  <c r="GZ58" i="2"/>
  <c r="GZ122" i="2"/>
  <c r="GZ186" i="2"/>
  <c r="GZ139" i="2"/>
  <c r="GZ51" i="2"/>
  <c r="GZ99" i="2"/>
  <c r="GZ36" i="2"/>
  <c r="GZ100" i="2"/>
  <c r="GZ164" i="2"/>
  <c r="GZ29" i="2"/>
  <c r="GZ93" i="2"/>
  <c r="GZ157" i="2"/>
  <c r="GZ22" i="2"/>
  <c r="GZ86" i="2"/>
  <c r="GZ150" i="2"/>
  <c r="GZ15" i="2"/>
  <c r="GZ79" i="2"/>
  <c r="GZ143" i="2"/>
  <c r="GZ16" i="2"/>
  <c r="GZ80" i="2"/>
  <c r="GZ144" i="2"/>
  <c r="GZ9" i="2"/>
  <c r="GZ73" i="2"/>
  <c r="GZ137" i="2"/>
  <c r="GZ201" i="2"/>
  <c r="GZ66" i="2"/>
  <c r="GZ130" i="2"/>
  <c r="GZ194" i="2"/>
  <c r="GZ203" i="2"/>
  <c r="GZ115" i="2"/>
  <c r="GZ107" i="2"/>
  <c r="GZ44" i="2"/>
  <c r="GZ108" i="2"/>
  <c r="GZ172" i="2"/>
  <c r="GZ37" i="2"/>
  <c r="GZ101" i="2"/>
  <c r="GZ165" i="2"/>
  <c r="GZ30" i="2"/>
  <c r="GZ94" i="2"/>
  <c r="GZ158" i="2"/>
  <c r="GZ23" i="2"/>
  <c r="GZ87" i="2"/>
  <c r="GZ151" i="2"/>
  <c r="GZ24" i="2"/>
  <c r="GZ88" i="2"/>
  <c r="GZ152" i="2"/>
  <c r="GZ17" i="2"/>
  <c r="GZ81" i="2"/>
  <c r="GZ145" i="2"/>
  <c r="GZ10" i="2"/>
  <c r="GZ74" i="2"/>
  <c r="GZ138" i="2"/>
  <c r="GZ202" i="2"/>
  <c r="GZ19" i="2"/>
  <c r="GZ179" i="2"/>
  <c r="GZ123" i="2"/>
  <c r="GN201" i="2"/>
  <c r="DG201" i="2"/>
  <c r="DF201" i="2"/>
  <c r="DH201" i="2"/>
  <c r="FR201" i="2"/>
  <c r="FQ201" i="2"/>
  <c r="CM201" i="2"/>
  <c r="GL201" i="2"/>
  <c r="GM201" i="2"/>
  <c r="EV201" i="2"/>
  <c r="CN200" i="2"/>
  <c r="AC200" i="2"/>
  <c r="CL201" i="2"/>
  <c r="CK201" i="2"/>
  <c r="BP201" i="2"/>
  <c r="BQ201" i="2"/>
  <c r="AV201" i="2"/>
  <c r="AU201" i="2"/>
  <c r="AW201" i="2"/>
  <c r="BR201" i="2"/>
  <c r="AA201" i="2"/>
  <c r="FF4" i="2"/>
  <c r="FG4" i="2" s="1"/>
  <c r="FH4" i="2" s="1"/>
  <c r="FI4" i="2" s="1"/>
  <c r="FT200" i="2"/>
  <c r="EK4" i="2"/>
  <c r="EL4" i="2" s="1"/>
  <c r="EM4" i="2" s="1"/>
  <c r="EN4" i="2" s="1"/>
  <c r="DP4" i="2"/>
  <c r="DQ4" i="2" s="1"/>
  <c r="DR4" i="2" s="1"/>
  <c r="DS4" i="2" s="1"/>
  <c r="BE5" i="2"/>
  <c r="BF5" i="2" s="1"/>
  <c r="BG5" i="2" s="1"/>
  <c r="BH5" i="2" s="1"/>
  <c r="N5" i="2"/>
  <c r="O4" i="2"/>
  <c r="GO200" i="2"/>
  <c r="GA4" i="2"/>
  <c r="GB4" i="2" s="1"/>
  <c r="GC4" i="2" s="1"/>
  <c r="GD4" i="2" s="1"/>
  <c r="Z201" i="2"/>
  <c r="AB201" i="2"/>
  <c r="AJ4" i="2"/>
  <c r="AK4" i="2" s="1"/>
  <c r="AL4" i="2" s="1"/>
  <c r="AM4" i="2" s="1"/>
  <c r="BX5" i="2" a="1"/>
  <c r="BX5" i="2" s="1"/>
  <c r="BY5" i="2" s="1"/>
  <c r="DN5" i="2" a="1"/>
  <c r="DN5" i="2" s="1"/>
  <c r="DO5" i="2" s="1"/>
  <c r="EI5" i="2" a="1"/>
  <c r="EI5" i="2" s="1"/>
  <c r="EJ5" i="2" s="1"/>
  <c r="GT5" i="2" a="1"/>
  <c r="GT5" i="2" s="1"/>
  <c r="GU5" i="2" s="1"/>
  <c r="FY5" i="2" a="1"/>
  <c r="FY5" i="2" s="1"/>
  <c r="FZ5" i="2" s="1"/>
  <c r="GQ202" i="2"/>
  <c r="GP202" i="2"/>
  <c r="FV202" i="2"/>
  <c r="FU202" i="2"/>
  <c r="FA202" i="2"/>
  <c r="EF202" i="2"/>
  <c r="EE202" i="2"/>
  <c r="EZ202" i="2"/>
  <c r="CP202" i="2"/>
  <c r="CO202" i="2"/>
  <c r="AZ202" i="2"/>
  <c r="DK202" i="2"/>
  <c r="BU202" i="2"/>
  <c r="BT202" i="2"/>
  <c r="DJ202" i="2"/>
  <c r="AY202" i="2"/>
  <c r="AE202" i="2"/>
  <c r="AD202" i="2"/>
  <c r="J202" i="2"/>
  <c r="I202" i="2"/>
  <c r="K202" i="2"/>
  <c r="HF202" i="2"/>
  <c r="FW202" i="2"/>
  <c r="GR202" i="2"/>
  <c r="FX202" i="2"/>
  <c r="FY6" i="2" s="1" a="1"/>
  <c r="FY6" i="2" s="1"/>
  <c r="GS202" i="2"/>
  <c r="GG202" i="2"/>
  <c r="HB202" i="2"/>
  <c r="GI202" i="2"/>
  <c r="HC202" i="2"/>
  <c r="HI202" i="2" s="1"/>
  <c r="GJ202" i="2"/>
  <c r="HD202" i="2"/>
  <c r="HG202" i="2" s="1"/>
  <c r="GK202" i="2"/>
  <c r="HE202" i="2"/>
  <c r="HH202" i="2" s="1"/>
  <c r="FC202" i="2"/>
  <c r="FP202" i="2"/>
  <c r="EG202" i="2"/>
  <c r="FL202" i="2"/>
  <c r="ES202" i="2"/>
  <c r="FM202" i="2"/>
  <c r="FN202" i="2"/>
  <c r="EU202" i="2"/>
  <c r="DY202" i="2"/>
  <c r="DD202" i="2"/>
  <c r="FO202" i="2"/>
  <c r="DZ202" i="2"/>
  <c r="DE202" i="2"/>
  <c r="FB202" i="2"/>
  <c r="DV202" i="2"/>
  <c r="DX202" i="2"/>
  <c r="DC202" i="2"/>
  <c r="BL202" i="2"/>
  <c r="GH202" i="2"/>
  <c r="EH202" i="2"/>
  <c r="BV202" i="2"/>
  <c r="BM202" i="2"/>
  <c r="BA202" i="2"/>
  <c r="EQ202" i="2"/>
  <c r="ER202" i="2"/>
  <c r="DL202" i="2"/>
  <c r="ET202" i="2"/>
  <c r="DM202" i="2"/>
  <c r="CQ202" i="2"/>
  <c r="CG202" i="2"/>
  <c r="BK202" i="2"/>
  <c r="AT202" i="2"/>
  <c r="DW202" i="2"/>
  <c r="CF202" i="2"/>
  <c r="BO202" i="2"/>
  <c r="BB202" i="2"/>
  <c r="CH202" i="2"/>
  <c r="U202" i="2"/>
  <c r="CI202" i="2"/>
  <c r="AP202" i="2"/>
  <c r="V202" i="2"/>
  <c r="L202" i="2"/>
  <c r="CR202" i="2"/>
  <c r="CJ202" i="2"/>
  <c r="AQ202" i="2"/>
  <c r="W202" i="2"/>
  <c r="A203" i="2"/>
  <c r="DA202" i="2"/>
  <c r="AR202" i="2"/>
  <c r="AF202" i="2"/>
  <c r="X202" i="2"/>
  <c r="BW202" i="2"/>
  <c r="BN202" i="2"/>
  <c r="DB202" i="2"/>
  <c r="AS202" i="2"/>
  <c r="AG202" i="2"/>
  <c r="Y202" i="2"/>
  <c r="FD5" i="2" a="1"/>
  <c r="FD5" i="2" s="1"/>
  <c r="FE5" i="2" s="1"/>
  <c r="CS6" i="2" a="1"/>
  <c r="CS6" i="2" s="1"/>
  <c r="CS5" i="2" a="1"/>
  <c r="CS5" i="2" s="1"/>
  <c r="CT5" i="2" s="1"/>
  <c r="AX199" i="2"/>
  <c r="ED201" i="2" l="1"/>
  <c r="FS202" i="2"/>
  <c r="FR202" i="2"/>
  <c r="EW202" i="2"/>
  <c r="EY201" i="2"/>
  <c r="EX202" i="2"/>
  <c r="FZ6" i="2"/>
  <c r="EV202" i="2"/>
  <c r="EC202" i="2"/>
  <c r="EA202" i="2"/>
  <c r="GN202" i="2"/>
  <c r="DH202" i="2"/>
  <c r="DF202" i="2"/>
  <c r="DG202" i="2"/>
  <c r="FQ202" i="2"/>
  <c r="CN201" i="2"/>
  <c r="CM202" i="2"/>
  <c r="GL202" i="2"/>
  <c r="GM202" i="2"/>
  <c r="EB202" i="2"/>
  <c r="BQ202" i="2"/>
  <c r="CL202" i="2"/>
  <c r="BP202" i="2"/>
  <c r="AV202" i="2"/>
  <c r="AW202" i="2"/>
  <c r="AU202" i="2"/>
  <c r="BR202" i="2"/>
  <c r="CK202" i="2"/>
  <c r="DI201" i="2"/>
  <c r="HJ201" i="2"/>
  <c r="FF5" i="2"/>
  <c r="FG5" i="2" s="1"/>
  <c r="FH5" i="2" s="1"/>
  <c r="FI5" i="2" s="1"/>
  <c r="EK5" i="2"/>
  <c r="EL5" i="2" s="1"/>
  <c r="EM5" i="2" s="1"/>
  <c r="EN5" i="2" s="1"/>
  <c r="DP5" i="2"/>
  <c r="DQ5" i="2" s="1"/>
  <c r="DR5" i="2" s="1"/>
  <c r="DS5" i="2" s="1"/>
  <c r="CT6" i="2"/>
  <c r="CU5" i="2"/>
  <c r="CV5" i="2" s="1"/>
  <c r="CW5" i="2" s="1"/>
  <c r="CX5" i="2" s="1"/>
  <c r="BZ5" i="2"/>
  <c r="CA5" i="2" s="1"/>
  <c r="CB5" i="2" s="1"/>
  <c r="CC5" i="2" s="1"/>
  <c r="O5" i="2"/>
  <c r="P5" i="2" s="1"/>
  <c r="Q5" i="2" s="1"/>
  <c r="R5" i="2" s="1"/>
  <c r="GO201" i="2"/>
  <c r="FT201" i="2"/>
  <c r="GA5" i="2"/>
  <c r="GB5" i="2" s="1"/>
  <c r="GC5" i="2" s="1"/>
  <c r="GD5" i="2" s="1"/>
  <c r="GV5" i="2"/>
  <c r="GW5" i="2" s="1"/>
  <c r="GX5" i="2" s="1"/>
  <c r="GY5" i="2" s="1"/>
  <c r="AC201" i="2"/>
  <c r="Z202" i="2"/>
  <c r="AB202" i="2"/>
  <c r="AJ5" i="2"/>
  <c r="AK5" i="2" s="1"/>
  <c r="AL5" i="2" s="1"/>
  <c r="AM5" i="2" s="1"/>
  <c r="FD6" i="2" a="1"/>
  <c r="FD6" i="2" s="1"/>
  <c r="FE6" i="2" s="1"/>
  <c r="EI6" i="2" a="1"/>
  <c r="EI6" i="2" s="1"/>
  <c r="EJ6" i="2" s="1"/>
  <c r="M6" i="2" a="1"/>
  <c r="M6" i="2" s="1"/>
  <c r="N6" i="2" s="1"/>
  <c r="GT6" i="2" a="1"/>
  <c r="GT6" i="2" s="1"/>
  <c r="GU6" i="2" s="1"/>
  <c r="BC6" i="2" a="1"/>
  <c r="BC6" i="2" s="1"/>
  <c r="BD6" i="2" s="1"/>
  <c r="AA202" i="2"/>
  <c r="BX6" i="2" a="1"/>
  <c r="BX6" i="2" s="1"/>
  <c r="BY6" i="2" s="1"/>
  <c r="AH6" i="2" a="1"/>
  <c r="AH6" i="2" s="1"/>
  <c r="AI6" i="2" s="1"/>
  <c r="GQ203" i="2"/>
  <c r="GP203" i="2"/>
  <c r="FU203" i="2"/>
  <c r="FA203" i="2"/>
  <c r="FV203" i="2"/>
  <c r="EF203" i="2"/>
  <c r="EZ203" i="2"/>
  <c r="DK203" i="2"/>
  <c r="DJ203" i="2"/>
  <c r="EE203" i="2"/>
  <c r="CO203" i="2"/>
  <c r="CP203" i="2"/>
  <c r="AZ203" i="2"/>
  <c r="AY203" i="2"/>
  <c r="BU203" i="2"/>
  <c r="BT203" i="2"/>
  <c r="K203" i="2"/>
  <c r="AE203" i="2"/>
  <c r="AD203" i="2"/>
  <c r="J203" i="2"/>
  <c r="I203" i="2"/>
  <c r="FX203" i="2"/>
  <c r="FY74" i="2" s="1" a="1"/>
  <c r="FY74" i="2" s="1"/>
  <c r="GR203" i="2"/>
  <c r="GG203" i="2"/>
  <c r="GS203" i="2"/>
  <c r="GT203" i="2" s="1" a="1"/>
  <c r="GT203" i="2" s="1"/>
  <c r="GH203" i="2"/>
  <c r="HC203" i="2"/>
  <c r="GJ203" i="2"/>
  <c r="HD203" i="2"/>
  <c r="HG203" i="2" s="1"/>
  <c r="GK203" i="2"/>
  <c r="HE203" i="2"/>
  <c r="HH203" i="2" s="1"/>
  <c r="HF203" i="2"/>
  <c r="FW203" i="2"/>
  <c r="FL203" i="2"/>
  <c r="HB203" i="2"/>
  <c r="EH203" i="2"/>
  <c r="EI203" i="2" s="1" a="1"/>
  <c r="EI203" i="2" s="1"/>
  <c r="FB203" i="2"/>
  <c r="FC203" i="2"/>
  <c r="FD55" i="2" s="1" a="1"/>
  <c r="FD55" i="2" s="1"/>
  <c r="GI203" i="2"/>
  <c r="FN203" i="2"/>
  <c r="ET203" i="2"/>
  <c r="FO203" i="2"/>
  <c r="FP203" i="2"/>
  <c r="DX203" i="2"/>
  <c r="DD203" i="2"/>
  <c r="EG203" i="2"/>
  <c r="DY203" i="2"/>
  <c r="DE203" i="2"/>
  <c r="ER203" i="2"/>
  <c r="DW203" i="2"/>
  <c r="FM203" i="2"/>
  <c r="ES203" i="2"/>
  <c r="EU203" i="2"/>
  <c r="BV203" i="2"/>
  <c r="BO203" i="2"/>
  <c r="DL203" i="2"/>
  <c r="CQ203" i="2"/>
  <c r="BW203" i="2"/>
  <c r="BX113" i="2" s="1" a="1"/>
  <c r="BX113" i="2" s="1"/>
  <c r="DM203" i="2"/>
  <c r="DN141" i="2" s="1" a="1"/>
  <c r="DN141" i="2" s="1"/>
  <c r="DA203" i="2"/>
  <c r="CH203" i="2"/>
  <c r="BK203" i="2"/>
  <c r="BB203" i="2"/>
  <c r="BC203" i="2" s="1" a="1"/>
  <c r="BC203" i="2" s="1"/>
  <c r="AR203" i="2"/>
  <c r="EQ203" i="2"/>
  <c r="CR203" i="2"/>
  <c r="CS58" i="2" s="1" a="1"/>
  <c r="CS58" i="2" s="1"/>
  <c r="CI203" i="2"/>
  <c r="AF203" i="2"/>
  <c r="V203" i="2"/>
  <c r="DB203" i="2"/>
  <c r="AQ203" i="2"/>
  <c r="DV203" i="2"/>
  <c r="DC203" i="2"/>
  <c r="BL203" i="2"/>
  <c r="BA203" i="2"/>
  <c r="AS203" i="2"/>
  <c r="X203" i="2"/>
  <c r="DZ203" i="2"/>
  <c r="BM203" i="2"/>
  <c r="AT203" i="2"/>
  <c r="Y203" i="2"/>
  <c r="BN203" i="2"/>
  <c r="CF203" i="2"/>
  <c r="L203" i="2"/>
  <c r="M203" i="2" s="1" a="1"/>
  <c r="M203" i="2" s="1"/>
  <c r="AP203" i="2"/>
  <c r="W203" i="2"/>
  <c r="CG203" i="2"/>
  <c r="U203" i="2"/>
  <c r="CJ203" i="2"/>
  <c r="AG203" i="2"/>
  <c r="AH136" i="2" s="1" a="1"/>
  <c r="AH136" i="2" s="1"/>
  <c r="FY47" i="2" a="1"/>
  <c r="FY47" i="2" s="1"/>
  <c r="FY79" i="2" a="1"/>
  <c r="FY79" i="2" s="1"/>
  <c r="FY109" i="2" a="1"/>
  <c r="FY109" i="2" s="1"/>
  <c r="FY50" i="2" a="1"/>
  <c r="FY50" i="2" s="1"/>
  <c r="FY54" i="2" a="1"/>
  <c r="FY54" i="2" s="1"/>
  <c r="FY57" i="2" a="1"/>
  <c r="FY57" i="2" s="1"/>
  <c r="FY90" i="2" a="1"/>
  <c r="FY90" i="2" s="1"/>
  <c r="FY22" i="2" a="1"/>
  <c r="FY22" i="2" s="1"/>
  <c r="FY32" i="2" a="1"/>
  <c r="FY32" i="2" s="1"/>
  <c r="FY146" i="2" a="1"/>
  <c r="FY146" i="2" s="1"/>
  <c r="FY165" i="2" a="1"/>
  <c r="FY165" i="2" s="1"/>
  <c r="FY35" i="2" a="1"/>
  <c r="FY35" i="2" s="1"/>
  <c r="FY29" i="2" a="1"/>
  <c r="FY29" i="2" s="1"/>
  <c r="FY140" i="2" a="1"/>
  <c r="FY140" i="2" s="1"/>
  <c r="FY133" i="2" a="1"/>
  <c r="FY133" i="2" s="1"/>
  <c r="FY18" i="2" a="1"/>
  <c r="FY18" i="2" s="1"/>
  <c r="FY71" i="2" a="1"/>
  <c r="FY71" i="2" s="1"/>
  <c r="FY120" i="2" a="1"/>
  <c r="FY120" i="2" s="1"/>
  <c r="FY66" i="2" a="1"/>
  <c r="FY66" i="2" s="1"/>
  <c r="FY69" i="2" a="1"/>
  <c r="FY69" i="2" s="1"/>
  <c r="FY102" i="2" a="1"/>
  <c r="FY102" i="2" s="1"/>
  <c r="FY153" i="2" a="1"/>
  <c r="FY153" i="2" s="1"/>
  <c r="FY110" i="2" a="1"/>
  <c r="FY110" i="2" s="1"/>
  <c r="FY191" i="2" a="1"/>
  <c r="FY191" i="2" s="1"/>
  <c r="FY143" i="2" a="1"/>
  <c r="FY143" i="2" s="1"/>
  <c r="FY159" i="2" a="1"/>
  <c r="FY159" i="2" s="1"/>
  <c r="FY173" i="2" a="1"/>
  <c r="FY173" i="2" s="1"/>
  <c r="FY186" i="2" a="1"/>
  <c r="FY186" i="2" s="1"/>
  <c r="FY152" i="2" a="1"/>
  <c r="FY152" i="2" s="1"/>
  <c r="FY73" i="2" a="1"/>
  <c r="FY73" i="2" s="1"/>
  <c r="FY111" i="2" a="1"/>
  <c r="FY111" i="2" s="1"/>
  <c r="FY92" i="2" a="1"/>
  <c r="FY92" i="2" s="1"/>
  <c r="FY116" i="2" a="1"/>
  <c r="FY116" i="2" s="1"/>
  <c r="FY99" i="2" a="1"/>
  <c r="FY99" i="2" s="1"/>
  <c r="FY174" i="2" a="1"/>
  <c r="FY174" i="2" s="1"/>
  <c r="FY78" i="2" a="1"/>
  <c r="FY78" i="2" s="1"/>
  <c r="FY28" i="2" a="1"/>
  <c r="FY28" i="2" s="1"/>
  <c r="FY188" i="2" a="1"/>
  <c r="FY188" i="2" s="1"/>
  <c r="FY126" i="2" a="1"/>
  <c r="FY126" i="2" s="1"/>
  <c r="FY55" i="2" a="1"/>
  <c r="FY55" i="2" s="1"/>
  <c r="FY178" i="2" a="1"/>
  <c r="FY178" i="2" s="1"/>
  <c r="FY72" i="2" a="1"/>
  <c r="FY72" i="2" s="1"/>
  <c r="FY190" i="2" a="1"/>
  <c r="FY190" i="2" s="1"/>
  <c r="FY62" i="2" a="1"/>
  <c r="FY62" i="2" s="1"/>
  <c r="FY169" i="2" a="1"/>
  <c r="FY169" i="2" s="1"/>
  <c r="FY124" i="2" a="1"/>
  <c r="FY124" i="2" s="1"/>
  <c r="FY24" i="2" a="1"/>
  <c r="FY24" i="2" s="1"/>
  <c r="FY149" i="2" a="1"/>
  <c r="FY149" i="2" s="1"/>
  <c r="FY164" i="2" a="1"/>
  <c r="FY164" i="2" s="1"/>
  <c r="FY34" i="2" a="1"/>
  <c r="FY34" i="2" s="1"/>
  <c r="FY104" i="2" a="1"/>
  <c r="FY104" i="2" s="1"/>
  <c r="FY172" i="2" a="1"/>
  <c r="FY172" i="2" s="1"/>
  <c r="BC58" i="2" a="1"/>
  <c r="BC58" i="2" s="1"/>
  <c r="BC82" i="2" a="1"/>
  <c r="BC82" i="2" s="1"/>
  <c r="BC126" i="2" a="1"/>
  <c r="BC126" i="2" s="1"/>
  <c r="GT115" i="2" a="1"/>
  <c r="GT115" i="2" s="1"/>
  <c r="GT184" i="2" a="1"/>
  <c r="GT184" i="2" s="1"/>
  <c r="GT181" i="2" a="1"/>
  <c r="GT181" i="2" s="1"/>
  <c r="GT68" i="2" a="1"/>
  <c r="GT68" i="2" s="1"/>
  <c r="GT51" i="2" a="1"/>
  <c r="GT51" i="2" s="1"/>
  <c r="GT122" i="2" a="1"/>
  <c r="GT122" i="2" s="1"/>
  <c r="GT121" i="2" a="1"/>
  <c r="GT121" i="2" s="1"/>
  <c r="GT133" i="2" a="1"/>
  <c r="GT133" i="2" s="1"/>
  <c r="GT33" i="2" a="1"/>
  <c r="GT33" i="2" s="1"/>
  <c r="GT152" i="2" a="1"/>
  <c r="GT152" i="2" s="1"/>
  <c r="GT147" i="2" a="1"/>
  <c r="GT147" i="2" s="1"/>
  <c r="GT102" i="2" a="1"/>
  <c r="GT102" i="2" s="1"/>
  <c r="GT11" i="2" a="1"/>
  <c r="GT11" i="2" s="1"/>
  <c r="EI29" i="2" a="1"/>
  <c r="EI29" i="2" s="1"/>
  <c r="EI150" i="2" a="1"/>
  <c r="EI150" i="2" s="1"/>
  <c r="EI162" i="2" a="1"/>
  <c r="EI162" i="2" s="1"/>
  <c r="EI178" i="2" a="1"/>
  <c r="EI178" i="2" s="1"/>
  <c r="EI142" i="2" a="1"/>
  <c r="EI142" i="2" s="1"/>
  <c r="CS52" i="2" a="1"/>
  <c r="CS52" i="2" s="1"/>
  <c r="CS116" i="2" a="1"/>
  <c r="CS116" i="2" s="1"/>
  <c r="CS137" i="2" a="1"/>
  <c r="CS137" i="2" s="1"/>
  <c r="CS77" i="2" a="1"/>
  <c r="CS77" i="2" s="1"/>
  <c r="CS161" i="2" a="1"/>
  <c r="CS161" i="2" s="1"/>
  <c r="CS105" i="2" a="1"/>
  <c r="CS105" i="2" s="1"/>
  <c r="CS38" i="2" a="1"/>
  <c r="CS38" i="2" s="1"/>
  <c r="FY58" i="2" a="1"/>
  <c r="FY58" i="2" s="1"/>
  <c r="FY86" i="2" a="1"/>
  <c r="FY86" i="2" s="1"/>
  <c r="FY115" i="2" a="1"/>
  <c r="FY115" i="2" s="1"/>
  <c r="FY182" i="2" a="1"/>
  <c r="FY182" i="2" s="1"/>
  <c r="FY82" i="2" a="1"/>
  <c r="FY82" i="2" s="1"/>
  <c r="FY196" i="2" a="1"/>
  <c r="FY196" i="2" s="1"/>
  <c r="FY42" i="2" a="1"/>
  <c r="FY42" i="2" s="1"/>
  <c r="FY30" i="2" a="1"/>
  <c r="FY30" i="2" s="1"/>
  <c r="FY80" i="2" a="1"/>
  <c r="FY80" i="2" s="1"/>
  <c r="FY142" i="2" a="1"/>
  <c r="FY142" i="2" s="1"/>
  <c r="FY167" i="2" a="1"/>
  <c r="FY167" i="2" s="1"/>
  <c r="FY121" i="2" a="1"/>
  <c r="FY121" i="2" s="1"/>
  <c r="FD188" i="2" a="1"/>
  <c r="FD188" i="2" s="1"/>
  <c r="FD44" i="2" a="1"/>
  <c r="FD44" i="2" s="1"/>
  <c r="FD48" i="2" a="1"/>
  <c r="FD48" i="2" s="1"/>
  <c r="FD14" i="2" a="1"/>
  <c r="FD14" i="2" s="1"/>
  <c r="FD64" i="2" a="1"/>
  <c r="FD64" i="2" s="1"/>
  <c r="FD43" i="2" a="1"/>
  <c r="FD43" i="2" s="1"/>
  <c r="FD131" i="2" a="1"/>
  <c r="FD131" i="2" s="1"/>
  <c r="FD167" i="2" a="1"/>
  <c r="FD167" i="2" s="1"/>
  <c r="FD107" i="2" a="1"/>
  <c r="FD107" i="2" s="1"/>
  <c r="FD159" i="2" a="1"/>
  <c r="FD159" i="2" s="1"/>
  <c r="FD137" i="2" a="1"/>
  <c r="FD137" i="2" s="1"/>
  <c r="FD160" i="2" a="1"/>
  <c r="FD160" i="2" s="1"/>
  <c r="FD19" i="2" a="1"/>
  <c r="FD19" i="2" s="1"/>
  <c r="FD194" i="2" a="1"/>
  <c r="FD194" i="2" s="1"/>
  <c r="FD187" i="2" a="1"/>
  <c r="FD187" i="2" s="1"/>
  <c r="BC130" i="2" a="1"/>
  <c r="BC130" i="2" s="1"/>
  <c r="BC192" i="2" a="1"/>
  <c r="BC192" i="2" s="1"/>
  <c r="BC164" i="2" a="1"/>
  <c r="BC164" i="2" s="1"/>
  <c r="BC32" i="2" a="1"/>
  <c r="BC32" i="2" s="1"/>
  <c r="BC84" i="2" a="1"/>
  <c r="BC84" i="2" s="1"/>
  <c r="BC31" i="2" a="1"/>
  <c r="BC31" i="2" s="1"/>
  <c r="BC143" i="2" a="1"/>
  <c r="BC143" i="2" s="1"/>
  <c r="BC185" i="2" a="1"/>
  <c r="BC185" i="2" s="1"/>
  <c r="BC7" i="2" a="1"/>
  <c r="BC7" i="2" s="1"/>
  <c r="BC151" i="2" a="1"/>
  <c r="BC151" i="2" s="1"/>
  <c r="BC83" i="2" a="1"/>
  <c r="BC83" i="2" s="1"/>
  <c r="BC38" i="2" a="1"/>
  <c r="BC38" i="2" s="1"/>
  <c r="BC18" i="2" a="1"/>
  <c r="BC18" i="2" s="1"/>
  <c r="CS120" i="2" a="1"/>
  <c r="CS120" i="2" s="1"/>
  <c r="GT12" i="2" a="1"/>
  <c r="GT12" i="2" s="1"/>
  <c r="GT21" i="2" a="1"/>
  <c r="GT21" i="2" s="1"/>
  <c r="GT198" i="2" a="1"/>
  <c r="GT198" i="2" s="1"/>
  <c r="GT189" i="2" a="1"/>
  <c r="GT189" i="2" s="1"/>
  <c r="GT178" i="2" a="1"/>
  <c r="GT178" i="2" s="1"/>
  <c r="GT74" i="2" a="1"/>
  <c r="GT74" i="2" s="1"/>
  <c r="GT126" i="2" a="1"/>
  <c r="GT126" i="2" s="1"/>
  <c r="GT38" i="2" a="1"/>
  <c r="GT38" i="2" s="1"/>
  <c r="GT191" i="2" a="1"/>
  <c r="GT191" i="2" s="1"/>
  <c r="GT190" i="2" a="1"/>
  <c r="GT190" i="2" s="1"/>
  <c r="GT174" i="2" a="1"/>
  <c r="GT174" i="2" s="1"/>
  <c r="GT107" i="2" a="1"/>
  <c r="GT107" i="2" s="1"/>
  <c r="GT138" i="2" a="1"/>
  <c r="GT138" i="2" s="1"/>
  <c r="GT15" i="2" a="1"/>
  <c r="GT15" i="2" s="1"/>
  <c r="EI38" i="2" a="1"/>
  <c r="EI38" i="2" s="1"/>
  <c r="EI109" i="2" a="1"/>
  <c r="EI109" i="2" s="1"/>
  <c r="EI87" i="2" a="1"/>
  <c r="EI87" i="2" s="1"/>
  <c r="EI36" i="2" a="1"/>
  <c r="EI36" i="2" s="1"/>
  <c r="EI57" i="2" a="1"/>
  <c r="EI57" i="2" s="1"/>
  <c r="EI71" i="2" a="1"/>
  <c r="EI71" i="2" s="1"/>
  <c r="EI165" i="2" a="1"/>
  <c r="EI165" i="2" s="1"/>
  <c r="EI34" i="2" a="1"/>
  <c r="EI34" i="2" s="1"/>
  <c r="EI20" i="2" a="1"/>
  <c r="EI20" i="2" s="1"/>
  <c r="EI128" i="2" a="1"/>
  <c r="EI128" i="2" s="1"/>
  <c r="EI113" i="2" a="1"/>
  <c r="EI113" i="2" s="1"/>
  <c r="EI16" i="2" a="1"/>
  <c r="EI16" i="2" s="1"/>
  <c r="EI170" i="2" a="1"/>
  <c r="EI170" i="2" s="1"/>
  <c r="EI67" i="2" a="1"/>
  <c r="EI67" i="2" s="1"/>
  <c r="EI139" i="2" a="1"/>
  <c r="EI139" i="2" s="1"/>
  <c r="EI35" i="2" a="1"/>
  <c r="EI35" i="2" s="1"/>
  <c r="EI37" i="2" a="1"/>
  <c r="EI37" i="2" s="1"/>
  <c r="CS185" i="2" a="1"/>
  <c r="CS185" i="2" s="1"/>
  <c r="CS56" i="2" a="1"/>
  <c r="CS56" i="2" s="1"/>
  <c r="CS114" i="2" a="1"/>
  <c r="CS114" i="2" s="1"/>
  <c r="DN6" i="2" a="1"/>
  <c r="DN6" i="2" s="1"/>
  <c r="DO6" i="2" s="1"/>
  <c r="CS24" i="2" a="1"/>
  <c r="CS24" i="2" s="1"/>
  <c r="CS134" i="2" a="1"/>
  <c r="CS134" i="2" s="1"/>
  <c r="CS72" i="2" a="1"/>
  <c r="CS72" i="2" s="1"/>
  <c r="FD82" i="2" a="1"/>
  <c r="FD82" i="2" s="1"/>
  <c r="HJ202" i="2"/>
  <c r="AX200" i="2"/>
  <c r="FD60" i="2" l="1" a="1"/>
  <c r="FD60" i="2" s="1"/>
  <c r="FD59" i="2" a="1"/>
  <c r="FD59" i="2" s="1"/>
  <c r="BX107" i="2" a="1"/>
  <c r="BX107" i="2" s="1"/>
  <c r="FD189" i="2" a="1"/>
  <c r="FD189" i="2" s="1"/>
  <c r="FS203" i="2"/>
  <c r="FD144" i="2" a="1"/>
  <c r="FD144" i="2" s="1"/>
  <c r="FD21" i="2" a="1"/>
  <c r="FD21" i="2" s="1"/>
  <c r="DN50" i="2" a="1"/>
  <c r="DN50" i="2" s="1"/>
  <c r="DN186" i="2" a="1"/>
  <c r="DN186" i="2" s="1"/>
  <c r="DN45" i="2" a="1"/>
  <c r="DN45" i="2" s="1"/>
  <c r="DN49" i="2" a="1"/>
  <c r="DN49" i="2" s="1"/>
  <c r="DN113" i="2" a="1"/>
  <c r="DN113" i="2" s="1"/>
  <c r="DN114" i="2" a="1"/>
  <c r="DN114" i="2" s="1"/>
  <c r="DN137" i="2" a="1"/>
  <c r="DN137" i="2" s="1"/>
  <c r="DN168" i="2" a="1"/>
  <c r="DN168" i="2" s="1"/>
  <c r="DN133" i="2" a="1"/>
  <c r="DN133" i="2" s="1"/>
  <c r="DN190" i="2" a="1"/>
  <c r="DN190" i="2" s="1"/>
  <c r="DN65" i="2" a="1"/>
  <c r="DN65" i="2" s="1"/>
  <c r="DN66" i="2" a="1"/>
  <c r="DN66" i="2" s="1"/>
  <c r="DN162" i="2" a="1"/>
  <c r="DN162" i="2" s="1"/>
  <c r="DN188" i="2" a="1"/>
  <c r="DN188" i="2" s="1"/>
  <c r="DN132" i="2" a="1"/>
  <c r="DN132" i="2" s="1"/>
  <c r="DN70" i="2" a="1"/>
  <c r="DN70" i="2" s="1"/>
  <c r="DN164" i="2" a="1"/>
  <c r="DN164" i="2" s="1"/>
  <c r="DN63" i="2" a="1"/>
  <c r="DN63" i="2" s="1"/>
  <c r="DN103" i="2" a="1"/>
  <c r="DN103" i="2" s="1"/>
  <c r="DN86" i="2" a="1"/>
  <c r="DN86" i="2" s="1"/>
  <c r="DN25" i="2" a="1"/>
  <c r="DN25" i="2" s="1"/>
  <c r="DN30" i="2" a="1"/>
  <c r="DN30" i="2" s="1"/>
  <c r="DN55" i="2" a="1"/>
  <c r="DN55" i="2" s="1"/>
  <c r="DN135" i="2" a="1"/>
  <c r="DN135" i="2" s="1"/>
  <c r="DN177" i="2" a="1"/>
  <c r="DN177" i="2" s="1"/>
  <c r="DN184" i="2" a="1"/>
  <c r="DN184" i="2" s="1"/>
  <c r="DN124" i="2" a="1"/>
  <c r="DN124" i="2" s="1"/>
  <c r="DN38" i="2" a="1"/>
  <c r="DN38" i="2" s="1"/>
  <c r="DN123" i="2" a="1"/>
  <c r="DN123" i="2" s="1"/>
  <c r="DN115" i="2" a="1"/>
  <c r="DN115" i="2" s="1"/>
  <c r="DN152" i="2" a="1"/>
  <c r="DN152" i="2" s="1"/>
  <c r="DN155" i="2" a="1"/>
  <c r="DN155" i="2" s="1"/>
  <c r="DN187" i="2" a="1"/>
  <c r="DN187" i="2" s="1"/>
  <c r="DN110" i="2" a="1"/>
  <c r="DN110" i="2" s="1"/>
  <c r="DN31" i="2" a="1"/>
  <c r="DN31" i="2" s="1"/>
  <c r="DN153" i="2" a="1"/>
  <c r="DN153" i="2" s="1"/>
  <c r="DN29" i="2" a="1"/>
  <c r="DN29" i="2" s="1"/>
  <c r="DN46" i="2" a="1"/>
  <c r="DN46" i="2" s="1"/>
  <c r="DN176" i="2" a="1"/>
  <c r="DN176" i="2" s="1"/>
  <c r="DN167" i="2" a="1"/>
  <c r="DN167" i="2" s="1"/>
  <c r="DN150" i="2" a="1"/>
  <c r="DN150" i="2" s="1"/>
  <c r="DN170" i="2" a="1"/>
  <c r="DN170" i="2" s="1"/>
  <c r="DN41" i="2" a="1"/>
  <c r="DN41" i="2" s="1"/>
  <c r="DN16" i="2" a="1"/>
  <c r="DN16" i="2" s="1"/>
  <c r="DN80" i="2" a="1"/>
  <c r="DN80" i="2" s="1"/>
  <c r="DN192" i="2" a="1"/>
  <c r="DN192" i="2" s="1"/>
  <c r="DN129" i="2" a="1"/>
  <c r="DN129" i="2" s="1"/>
  <c r="DN43" i="2" a="1"/>
  <c r="DN43" i="2" s="1"/>
  <c r="DN56" i="2" a="1"/>
  <c r="DN56" i="2" s="1"/>
  <c r="FR203" i="2"/>
  <c r="AH92" i="2" a="1"/>
  <c r="AH92" i="2" s="1"/>
  <c r="AH151" i="2" a="1"/>
  <c r="AH151" i="2" s="1"/>
  <c r="AH163" i="2" a="1"/>
  <c r="AH163" i="2" s="1"/>
  <c r="AH199" i="2" a="1"/>
  <c r="AH199" i="2" s="1"/>
  <c r="AH62" i="2" a="1"/>
  <c r="AH62" i="2" s="1"/>
  <c r="AH166" i="2" a="1"/>
  <c r="AH166" i="2" s="1"/>
  <c r="AH90" i="2" a="1"/>
  <c r="AH90" i="2" s="1"/>
  <c r="AH19" i="2" a="1"/>
  <c r="AH19" i="2" s="1"/>
  <c r="BC68" i="2" a="1"/>
  <c r="BC68" i="2" s="1"/>
  <c r="BC34" i="2" a="1"/>
  <c r="BC34" i="2" s="1"/>
  <c r="BC55" i="2" a="1"/>
  <c r="BC55" i="2" s="1"/>
  <c r="BC117" i="2" a="1"/>
  <c r="BC117" i="2" s="1"/>
  <c r="BC181" i="2" a="1"/>
  <c r="BC181" i="2" s="1"/>
  <c r="EI106" i="2" a="1"/>
  <c r="EI106" i="2" s="1"/>
  <c r="EY202" i="2"/>
  <c r="EI195" i="2" a="1"/>
  <c r="EI195" i="2" s="1"/>
  <c r="EI153" i="2" a="1"/>
  <c r="EI153" i="2" s="1"/>
  <c r="EI166" i="2" a="1"/>
  <c r="EI166" i="2" s="1"/>
  <c r="EI198" i="2" a="1"/>
  <c r="EI198" i="2" s="1"/>
  <c r="EI145" i="2" a="1"/>
  <c r="EI145" i="2" s="1"/>
  <c r="BC114" i="2" a="1"/>
  <c r="BC114" i="2" s="1"/>
  <c r="BC47" i="2" a="1"/>
  <c r="BC47" i="2" s="1"/>
  <c r="BC65" i="2" a="1"/>
  <c r="BC65" i="2" s="1"/>
  <c r="CS129" i="2" a="1"/>
  <c r="CS129" i="2" s="1"/>
  <c r="CS66" i="2" a="1"/>
  <c r="CS66" i="2" s="1"/>
  <c r="BP203" i="2"/>
  <c r="EC203" i="2"/>
  <c r="EX203" i="2"/>
  <c r="HI203" i="2"/>
  <c r="AH144" i="2" a="1"/>
  <c r="AH144" i="2" s="1"/>
  <c r="AH198" i="2" a="1"/>
  <c r="AH198" i="2" s="1"/>
  <c r="AH37" i="2" a="1"/>
  <c r="AH37" i="2" s="1"/>
  <c r="AH146" i="2" a="1"/>
  <c r="AH146" i="2" s="1"/>
  <c r="AH197" i="2" a="1"/>
  <c r="AH197" i="2" s="1"/>
  <c r="AH143" i="2" a="1"/>
  <c r="AH143" i="2" s="1"/>
  <c r="AH56" i="2" a="1"/>
  <c r="AH56" i="2" s="1"/>
  <c r="AH201" i="2" a="1"/>
  <c r="AH201" i="2" s="1"/>
  <c r="AH155" i="2" a="1"/>
  <c r="AH155" i="2" s="1"/>
  <c r="AH186" i="2" a="1"/>
  <c r="AH186" i="2" s="1"/>
  <c r="AH79" i="2" a="1"/>
  <c r="AH79" i="2" s="1"/>
  <c r="AH140" i="2" a="1"/>
  <c r="AH140" i="2" s="1"/>
  <c r="AH157" i="2" a="1"/>
  <c r="AH157" i="2" s="1"/>
  <c r="AH83" i="2" a="1"/>
  <c r="AH83" i="2" s="1"/>
  <c r="AH162" i="2" a="1"/>
  <c r="AH162" i="2" s="1"/>
  <c r="AH89" i="2" a="1"/>
  <c r="AH89" i="2" s="1"/>
  <c r="AH14" i="2" a="1"/>
  <c r="AH14" i="2" s="1"/>
  <c r="AH38" i="2" a="1"/>
  <c r="AH38" i="2" s="1"/>
  <c r="AH17" i="2" a="1"/>
  <c r="AH17" i="2" s="1"/>
  <c r="AH185" i="2" a="1"/>
  <c r="AH185" i="2" s="1"/>
  <c r="CS133" i="2" a="1"/>
  <c r="CS133" i="2" s="1"/>
  <c r="CS27" i="2" a="1"/>
  <c r="CS27" i="2" s="1"/>
  <c r="EB203" i="2"/>
  <c r="CS195" i="2" a="1"/>
  <c r="CS195" i="2" s="1"/>
  <c r="EV203" i="2"/>
  <c r="EA203" i="2"/>
  <c r="FY108" i="2" a="1"/>
  <c r="FY108" i="2" s="1"/>
  <c r="FY68" i="2" a="1"/>
  <c r="FY68" i="2" s="1"/>
  <c r="FY200" i="2" a="1"/>
  <c r="FY200" i="2" s="1"/>
  <c r="FY137" i="2" a="1"/>
  <c r="FY137" i="2" s="1"/>
  <c r="FY36" i="2" a="1"/>
  <c r="FY36" i="2" s="1"/>
  <c r="FY63" i="2" a="1"/>
  <c r="FY63" i="2" s="1"/>
  <c r="FY67" i="2" a="1"/>
  <c r="FY67" i="2" s="1"/>
  <c r="FY129" i="2" a="1"/>
  <c r="FY129" i="2" s="1"/>
  <c r="FY175" i="2" a="1"/>
  <c r="FY175" i="2" s="1"/>
  <c r="FY9" i="2" a="1"/>
  <c r="FY9" i="2" s="1"/>
  <c r="FY112" i="2" a="1"/>
  <c r="FY112" i="2" s="1"/>
  <c r="FY7" i="2" a="1"/>
  <c r="FY7" i="2" s="1"/>
  <c r="FZ7" i="2" s="1"/>
  <c r="FY40" i="2" a="1"/>
  <c r="FY40" i="2" s="1"/>
  <c r="FY26" i="2" a="1"/>
  <c r="FY26" i="2" s="1"/>
  <c r="FY183" i="2" a="1"/>
  <c r="FY183" i="2" s="1"/>
  <c r="FY27" i="2" a="1"/>
  <c r="FY27" i="2" s="1"/>
  <c r="FY113" i="2" a="1"/>
  <c r="FY113" i="2" s="1"/>
  <c r="FY101" i="2" a="1"/>
  <c r="FY101" i="2" s="1"/>
  <c r="FY147" i="2" a="1"/>
  <c r="FY147" i="2" s="1"/>
  <c r="FY195" i="2" a="1"/>
  <c r="FY195" i="2" s="1"/>
  <c r="FY155" i="2" a="1"/>
  <c r="FY155" i="2" s="1"/>
  <c r="FY157" i="2" a="1"/>
  <c r="FY157" i="2" s="1"/>
  <c r="FY119" i="2" a="1"/>
  <c r="FY119" i="2" s="1"/>
  <c r="FY37" i="2" a="1"/>
  <c r="FY37" i="2" s="1"/>
  <c r="FY11" i="2" a="1"/>
  <c r="FY11" i="2" s="1"/>
  <c r="FY16" i="2" a="1"/>
  <c r="FY16" i="2" s="1"/>
  <c r="FY132" i="2" a="1"/>
  <c r="FY132" i="2" s="1"/>
  <c r="FY198" i="2" a="1"/>
  <c r="FY198" i="2" s="1"/>
  <c r="FY141" i="2" a="1"/>
  <c r="FY141" i="2" s="1"/>
  <c r="FY77" i="2" a="1"/>
  <c r="FY77" i="2" s="1"/>
  <c r="FY91" i="2" a="1"/>
  <c r="FY91" i="2" s="1"/>
  <c r="FY93" i="2" a="1"/>
  <c r="FY93" i="2" s="1"/>
  <c r="FY144" i="2" a="1"/>
  <c r="FY144" i="2" s="1"/>
  <c r="FY180" i="2" a="1"/>
  <c r="FY180" i="2" s="1"/>
  <c r="FY123" i="2" a="1"/>
  <c r="FY123" i="2" s="1"/>
  <c r="FY20" i="2" a="1"/>
  <c r="FY20" i="2" s="1"/>
  <c r="FY177" i="2" a="1"/>
  <c r="FY177" i="2" s="1"/>
  <c r="FY138" i="2" a="1"/>
  <c r="FY138" i="2" s="1"/>
  <c r="FY130" i="2" a="1"/>
  <c r="FY130" i="2" s="1"/>
  <c r="FY10" i="2" a="1"/>
  <c r="FY10" i="2" s="1"/>
  <c r="FY150" i="2" a="1"/>
  <c r="FY150" i="2" s="1"/>
  <c r="FY105" i="2" a="1"/>
  <c r="FY105" i="2" s="1"/>
  <c r="FY8" i="2" a="1"/>
  <c r="FY8" i="2" s="1"/>
  <c r="FY125" i="2" a="1"/>
  <c r="FY125" i="2" s="1"/>
  <c r="FY103" i="2" a="1"/>
  <c r="FY103" i="2" s="1"/>
  <c r="GN203" i="2"/>
  <c r="FY48" i="2" a="1"/>
  <c r="FY48" i="2" s="1"/>
  <c r="BC71" i="2" a="1"/>
  <c r="BC71" i="2" s="1"/>
  <c r="BC146" i="2" a="1"/>
  <c r="BC146" i="2" s="1"/>
  <c r="BQ203" i="2"/>
  <c r="BC15" i="2" a="1"/>
  <c r="BC15" i="2" s="1"/>
  <c r="BC196" i="2" a="1"/>
  <c r="BC196" i="2" s="1"/>
  <c r="DH203" i="2"/>
  <c r="DG203" i="2"/>
  <c r="DF203" i="2"/>
  <c r="FQ203" i="2"/>
  <c r="CM203" i="2"/>
  <c r="BX150" i="2" a="1"/>
  <c r="BX150" i="2" s="1"/>
  <c r="BX201" i="2" a="1"/>
  <c r="BX201" i="2" s="1"/>
  <c r="BX119" i="2" a="1"/>
  <c r="BX119" i="2" s="1"/>
  <c r="BX176" i="2" a="1"/>
  <c r="BX176" i="2" s="1"/>
  <c r="BX51" i="2" a="1"/>
  <c r="BX51" i="2" s="1"/>
  <c r="BX159" i="2" a="1"/>
  <c r="BX159" i="2" s="1"/>
  <c r="BX65" i="2" a="1"/>
  <c r="BX65" i="2" s="1"/>
  <c r="BX50" i="2" a="1"/>
  <c r="BX50" i="2" s="1"/>
  <c r="BX152" i="2" a="1"/>
  <c r="BX152" i="2" s="1"/>
  <c r="BX12" i="2" a="1"/>
  <c r="BX12" i="2" s="1"/>
  <c r="BX67" i="2" a="1"/>
  <c r="BX67" i="2" s="1"/>
  <c r="BX80" i="2" a="1"/>
  <c r="BX80" i="2" s="1"/>
  <c r="BX155" i="2" a="1"/>
  <c r="BX155" i="2" s="1"/>
  <c r="BX66" i="2" a="1"/>
  <c r="BX66" i="2" s="1"/>
  <c r="BX76" i="2" a="1"/>
  <c r="BX76" i="2" s="1"/>
  <c r="BX41" i="2" a="1"/>
  <c r="BX41" i="2" s="1"/>
  <c r="BX117" i="2" a="1"/>
  <c r="BX117" i="2" s="1"/>
  <c r="BX29" i="2" a="1"/>
  <c r="BX29" i="2" s="1"/>
  <c r="BX58" i="2" a="1"/>
  <c r="BX58" i="2" s="1"/>
  <c r="BX72" i="2" a="1"/>
  <c r="BX72" i="2" s="1"/>
  <c r="BX96" i="2" a="1"/>
  <c r="BX96" i="2" s="1"/>
  <c r="BX73" i="2" a="1"/>
  <c r="BX73" i="2" s="1"/>
  <c r="BX158" i="2" a="1"/>
  <c r="BX158" i="2" s="1"/>
  <c r="BX63" i="2" a="1"/>
  <c r="BX63" i="2" s="1"/>
  <c r="BX79" i="2" a="1"/>
  <c r="BX79" i="2" s="1"/>
  <c r="BX142" i="2" a="1"/>
  <c r="BX142" i="2" s="1"/>
  <c r="BX125" i="2" a="1"/>
  <c r="BX125" i="2" s="1"/>
  <c r="BX163" i="2" a="1"/>
  <c r="BX163" i="2" s="1"/>
  <c r="BX9" i="2" a="1"/>
  <c r="BX9" i="2" s="1"/>
  <c r="BX59" i="2" a="1"/>
  <c r="BX59" i="2" s="1"/>
  <c r="BX100" i="2" a="1"/>
  <c r="BX100" i="2" s="1"/>
  <c r="BX177" i="2" a="1"/>
  <c r="BX177" i="2" s="1"/>
  <c r="BX157" i="2" a="1"/>
  <c r="BX157" i="2" s="1"/>
  <c r="BX136" i="2" a="1"/>
  <c r="BX136" i="2" s="1"/>
  <c r="BX36" i="2" a="1"/>
  <c r="BX36" i="2" s="1"/>
  <c r="BX55" i="2" a="1"/>
  <c r="BX55" i="2" s="1"/>
  <c r="BX54" i="2" a="1"/>
  <c r="BX54" i="2" s="1"/>
  <c r="BX7" i="2" a="1"/>
  <c r="BX7" i="2" s="1"/>
  <c r="BX182" i="2" a="1"/>
  <c r="BX182" i="2" s="1"/>
  <c r="BX110" i="2" a="1"/>
  <c r="BX110" i="2" s="1"/>
  <c r="BX197" i="2" a="1"/>
  <c r="BX197" i="2" s="1"/>
  <c r="BX146" i="2" a="1"/>
  <c r="BX146" i="2" s="1"/>
  <c r="BX17" i="2" a="1"/>
  <c r="BX17" i="2" s="1"/>
  <c r="BX171" i="2" a="1"/>
  <c r="BX171" i="2" s="1"/>
  <c r="BX8" i="2" a="1"/>
  <c r="BX8" i="2" s="1"/>
  <c r="BX174" i="2" a="1"/>
  <c r="BX174" i="2" s="1"/>
  <c r="FY122" i="2" a="1"/>
  <c r="FY122" i="2" s="1"/>
  <c r="FY59" i="2" a="1"/>
  <c r="FY59" i="2" s="1"/>
  <c r="FY51" i="2" a="1"/>
  <c r="FY51" i="2" s="1"/>
  <c r="FY189" i="2" a="1"/>
  <c r="FY189" i="2" s="1"/>
  <c r="GL203" i="2"/>
  <c r="FY61" i="2" a="1"/>
  <c r="FY61" i="2" s="1"/>
  <c r="GM203" i="2"/>
  <c r="EW203" i="2"/>
  <c r="AC202" i="2"/>
  <c r="AV203" i="2"/>
  <c r="AU203" i="2"/>
  <c r="AW203" i="2"/>
  <c r="BR203" i="2"/>
  <c r="CK203" i="2"/>
  <c r="CL203" i="2"/>
  <c r="FZ8" i="2"/>
  <c r="FZ9" i="2" s="1"/>
  <c r="FZ10" i="2" s="1"/>
  <c r="FZ11" i="2" s="1"/>
  <c r="GO202" i="2"/>
  <c r="M46" i="2" a="1"/>
  <c r="M46" i="2" s="1"/>
  <c r="FY89" i="2" a="1"/>
  <c r="FY89" i="2" s="1"/>
  <c r="FY106" i="2" a="1"/>
  <c r="FY106" i="2" s="1"/>
  <c r="FY145" i="2" a="1"/>
  <c r="FY145" i="2" s="1"/>
  <c r="FY128" i="2" a="1"/>
  <c r="FY128" i="2" s="1"/>
  <c r="FF6" i="2"/>
  <c r="FG6" i="2" s="1"/>
  <c r="FH6" i="2" s="1"/>
  <c r="FI6" i="2" s="1"/>
  <c r="FD86" i="2" a="1"/>
  <c r="FD86" i="2" s="1"/>
  <c r="FD77" i="2" a="1"/>
  <c r="FD77" i="2" s="1"/>
  <c r="FD182" i="2" a="1"/>
  <c r="FD182" i="2" s="1"/>
  <c r="FD192" i="2" a="1"/>
  <c r="FD192" i="2" s="1"/>
  <c r="FD93" i="2" a="1"/>
  <c r="FD93" i="2" s="1"/>
  <c r="FD163" i="2" a="1"/>
  <c r="FD163" i="2" s="1"/>
  <c r="FD110" i="2" a="1"/>
  <c r="FD110" i="2" s="1"/>
  <c r="FD18" i="2" a="1"/>
  <c r="FD18" i="2" s="1"/>
  <c r="FD138" i="2" a="1"/>
  <c r="FD138" i="2" s="1"/>
  <c r="FD176" i="2" a="1"/>
  <c r="FD176" i="2" s="1"/>
  <c r="FD42" i="2" a="1"/>
  <c r="FD42" i="2" s="1"/>
  <c r="FD199" i="2" a="1"/>
  <c r="FD199" i="2" s="1"/>
  <c r="FD85" i="2" a="1"/>
  <c r="FD85" i="2" s="1"/>
  <c r="FD168" i="2" a="1"/>
  <c r="FD168" i="2" s="1"/>
  <c r="FD185" i="2" a="1"/>
  <c r="FD185" i="2" s="1"/>
  <c r="FD97" i="2" a="1"/>
  <c r="FD97" i="2" s="1"/>
  <c r="FD114" i="2" a="1"/>
  <c r="FD114" i="2" s="1"/>
  <c r="FD184" i="2" a="1"/>
  <c r="FD184" i="2" s="1"/>
  <c r="FD45" i="2" a="1"/>
  <c r="FD45" i="2" s="1"/>
  <c r="FD35" i="2" a="1"/>
  <c r="FD35" i="2" s="1"/>
  <c r="FD136" i="2" a="1"/>
  <c r="FD136" i="2" s="1"/>
  <c r="FD100" i="2" a="1"/>
  <c r="FD100" i="2" s="1"/>
  <c r="FD73" i="2" a="1"/>
  <c r="FD73" i="2" s="1"/>
  <c r="FD148" i="2" a="1"/>
  <c r="FD148" i="2" s="1"/>
  <c r="FD72" i="2" a="1"/>
  <c r="FD72" i="2" s="1"/>
  <c r="FD76" i="2" a="1"/>
  <c r="FD76" i="2" s="1"/>
  <c r="EK6" i="2"/>
  <c r="EL6" i="2" s="1"/>
  <c r="EM6" i="2" s="1"/>
  <c r="EN6" i="2" s="1"/>
  <c r="EI132" i="2" a="1"/>
  <c r="EI132" i="2" s="1"/>
  <c r="EI73" i="2" a="1"/>
  <c r="EI73" i="2" s="1"/>
  <c r="EI125" i="2" a="1"/>
  <c r="EI125" i="2" s="1"/>
  <c r="EI158" i="2" a="1"/>
  <c r="EI158" i="2" s="1"/>
  <c r="EI46" i="2" a="1"/>
  <c r="EI46" i="2" s="1"/>
  <c r="EI160" i="2" a="1"/>
  <c r="EI160" i="2" s="1"/>
  <c r="EI66" i="2" a="1"/>
  <c r="EI66" i="2" s="1"/>
  <c r="DP6" i="2"/>
  <c r="DQ6" i="2" s="1"/>
  <c r="DR6" i="2" s="1"/>
  <c r="DS6" i="2" s="1"/>
  <c r="DI202" i="2"/>
  <c r="CU6" i="2"/>
  <c r="CV6" i="2" s="1"/>
  <c r="CW6" i="2" s="1"/>
  <c r="CX6" i="2" s="1"/>
  <c r="BY7" i="2"/>
  <c r="BZ6" i="2"/>
  <c r="CA6" i="2" s="1"/>
  <c r="CB6" i="2" s="1"/>
  <c r="CC6" i="2" s="1"/>
  <c r="CN202" i="2"/>
  <c r="BD7" i="2"/>
  <c r="BE6" i="2"/>
  <c r="BF6" i="2" s="1"/>
  <c r="BG6" i="2" s="1"/>
  <c r="BH6" i="2" s="1"/>
  <c r="O6" i="2"/>
  <c r="P6" i="2" s="1"/>
  <c r="Q6" i="2" s="1"/>
  <c r="R6" i="2" s="1"/>
  <c r="FY107" i="2" a="1"/>
  <c r="FY107" i="2" s="1"/>
  <c r="FY187" i="2" a="1"/>
  <c r="FY187" i="2" s="1"/>
  <c r="FY65" i="2" a="1"/>
  <c r="FY65" i="2" s="1"/>
  <c r="FY168" i="2" a="1"/>
  <c r="FY168" i="2" s="1"/>
  <c r="FT202" i="2"/>
  <c r="FY162" i="2" a="1"/>
  <c r="FY162" i="2" s="1"/>
  <c r="FY158" i="2" a="1"/>
  <c r="FY158" i="2" s="1"/>
  <c r="GA6" i="2"/>
  <c r="GB6" i="2" s="1"/>
  <c r="GC6" i="2" s="1"/>
  <c r="GD6" i="2" s="1"/>
  <c r="GV6" i="2"/>
  <c r="GW6" i="2" s="1"/>
  <c r="GX6" i="2" s="1"/>
  <c r="GY6" i="2" s="1"/>
  <c r="AB203" i="2"/>
  <c r="M86" i="2" a="1"/>
  <c r="M86" i="2" s="1"/>
  <c r="M25" i="2" a="1"/>
  <c r="M25" i="2" s="1"/>
  <c r="M57" i="2" a="1"/>
  <c r="M57" i="2" s="1"/>
  <c r="M13" i="2" a="1"/>
  <c r="M13" i="2" s="1"/>
  <c r="M198" i="2" a="1"/>
  <c r="M198" i="2" s="1"/>
  <c r="M51" i="2" a="1"/>
  <c r="M51" i="2" s="1"/>
  <c r="M139" i="2" a="1"/>
  <c r="M139" i="2" s="1"/>
  <c r="M93" i="2" a="1"/>
  <c r="M93" i="2" s="1"/>
  <c r="M113" i="2" a="1"/>
  <c r="M113" i="2" s="1"/>
  <c r="M104" i="2" a="1"/>
  <c r="M104" i="2" s="1"/>
  <c r="M111" i="2" a="1"/>
  <c r="M111" i="2" s="1"/>
  <c r="M11" i="2" a="1"/>
  <c r="M11" i="2" s="1"/>
  <c r="M53" i="2" a="1"/>
  <c r="M53" i="2" s="1"/>
  <c r="M145" i="2" a="1"/>
  <c r="M145" i="2" s="1"/>
  <c r="M141" i="2" a="1"/>
  <c r="M141" i="2" s="1"/>
  <c r="M128" i="2" a="1"/>
  <c r="M128" i="2" s="1"/>
  <c r="M184" i="2" a="1"/>
  <c r="M184" i="2" s="1"/>
  <c r="M137" i="2" a="1"/>
  <c r="M137" i="2" s="1"/>
  <c r="M182" i="2" a="1"/>
  <c r="M182" i="2" s="1"/>
  <c r="M77" i="2" a="1"/>
  <c r="M77" i="2" s="1"/>
  <c r="M61" i="2" a="1"/>
  <c r="M61" i="2" s="1"/>
  <c r="M15" i="2" a="1"/>
  <c r="M15" i="2" s="1"/>
  <c r="M126" i="2" a="1"/>
  <c r="M126" i="2" s="1"/>
  <c r="M197" i="2" a="1"/>
  <c r="M197" i="2" s="1"/>
  <c r="M162" i="2" a="1"/>
  <c r="M162" i="2" s="1"/>
  <c r="M159" i="2" a="1"/>
  <c r="M159" i="2" s="1"/>
  <c r="M72" i="2" a="1"/>
  <c r="M72" i="2" s="1"/>
  <c r="M17" i="2" a="1"/>
  <c r="M17" i="2" s="1"/>
  <c r="M38" i="2" a="1"/>
  <c r="M38" i="2" s="1"/>
  <c r="M22" i="2" a="1"/>
  <c r="M22" i="2" s="1"/>
  <c r="M148" i="2" a="1"/>
  <c r="M148" i="2" s="1"/>
  <c r="Z203" i="2"/>
  <c r="ED202" i="2"/>
  <c r="AJ6" i="2"/>
  <c r="AK6" i="2" s="1"/>
  <c r="AL6" i="2" s="1"/>
  <c r="AM6" i="2" s="1"/>
  <c r="AH203" i="2" a="1"/>
  <c r="AH203" i="2" s="1"/>
  <c r="AH32" i="2" a="1"/>
  <c r="AH32" i="2" s="1"/>
  <c r="CS203" i="2" a="1"/>
  <c r="CS203" i="2" s="1"/>
  <c r="CS89" i="2" a="1"/>
  <c r="CS89" i="2" s="1"/>
  <c r="CS60" i="2" a="1"/>
  <c r="CS60" i="2" s="1"/>
  <c r="CS183" i="2" a="1"/>
  <c r="CS183" i="2" s="1"/>
  <c r="CS80" i="2" a="1"/>
  <c r="CS80" i="2" s="1"/>
  <c r="CS144" i="2" a="1"/>
  <c r="CS144" i="2" s="1"/>
  <c r="CS192" i="2" a="1"/>
  <c r="CS192" i="2" s="1"/>
  <c r="CS7" i="2" a="1"/>
  <c r="CS7" i="2" s="1"/>
  <c r="CT7" i="2" s="1"/>
  <c r="CS186" i="2" a="1"/>
  <c r="CS186" i="2" s="1"/>
  <c r="CS46" i="2" a="1"/>
  <c r="CS46" i="2" s="1"/>
  <c r="CS166" i="2" a="1"/>
  <c r="CS166" i="2" s="1"/>
  <c r="CS122" i="2" a="1"/>
  <c r="CS122" i="2" s="1"/>
  <c r="CS53" i="2" a="1"/>
  <c r="CS53" i="2" s="1"/>
  <c r="CS10" i="2" a="1"/>
  <c r="CS10" i="2" s="1"/>
  <c r="CS126" i="2" a="1"/>
  <c r="CS126" i="2" s="1"/>
  <c r="CS19" i="2" a="1"/>
  <c r="CS19" i="2" s="1"/>
  <c r="CS101" i="2" a="1"/>
  <c r="CS101" i="2" s="1"/>
  <c r="CS69" i="2" a="1"/>
  <c r="CS69" i="2" s="1"/>
  <c r="CS62" i="2" a="1"/>
  <c r="CS62" i="2" s="1"/>
  <c r="CS156" i="2" a="1"/>
  <c r="CS156" i="2" s="1"/>
  <c r="CS29" i="2" a="1"/>
  <c r="CS29" i="2" s="1"/>
  <c r="CS65" i="2" a="1"/>
  <c r="CS65" i="2" s="1"/>
  <c r="CS48" i="2" a="1"/>
  <c r="CS48" i="2" s="1"/>
  <c r="CS20" i="2" a="1"/>
  <c r="CS20" i="2" s="1"/>
  <c r="CS149" i="2" a="1"/>
  <c r="CS149" i="2" s="1"/>
  <c r="CS109" i="2" a="1"/>
  <c r="CS109" i="2" s="1"/>
  <c r="CS94" i="2" a="1"/>
  <c r="CS94" i="2" s="1"/>
  <c r="CS59" i="2" a="1"/>
  <c r="CS59" i="2" s="1"/>
  <c r="CS189" i="2" a="1"/>
  <c r="CS189" i="2" s="1"/>
  <c r="CS150" i="2" a="1"/>
  <c r="CS150" i="2" s="1"/>
  <c r="CS74" i="2" a="1"/>
  <c r="CS74" i="2" s="1"/>
  <c r="CS153" i="2" a="1"/>
  <c r="CS153" i="2" s="1"/>
  <c r="CS138" i="2" a="1"/>
  <c r="CS138" i="2" s="1"/>
  <c r="CS8" i="2" a="1"/>
  <c r="CS8" i="2" s="1"/>
  <c r="CS194" i="2" a="1"/>
  <c r="CS194" i="2" s="1"/>
  <c r="CS71" i="2" a="1"/>
  <c r="CS71" i="2" s="1"/>
  <c r="CS32" i="2" a="1"/>
  <c r="CS32" i="2" s="1"/>
  <c r="CS171" i="2" a="1"/>
  <c r="CS171" i="2" s="1"/>
  <c r="CS18" i="2" a="1"/>
  <c r="CS18" i="2" s="1"/>
  <c r="CS113" i="2" a="1"/>
  <c r="CS113" i="2" s="1"/>
  <c r="CS87" i="2" a="1"/>
  <c r="CS87" i="2" s="1"/>
  <c r="CS140" i="2" a="1"/>
  <c r="CS140" i="2" s="1"/>
  <c r="CS157" i="2" a="1"/>
  <c r="CS157" i="2" s="1"/>
  <c r="CS160" i="2" a="1"/>
  <c r="CS160" i="2" s="1"/>
  <c r="CS30" i="2" a="1"/>
  <c r="CS30" i="2" s="1"/>
  <c r="CS28" i="2" a="1"/>
  <c r="CS28" i="2" s="1"/>
  <c r="CS115" i="2" a="1"/>
  <c r="CS115" i="2" s="1"/>
  <c r="CS103" i="2" a="1"/>
  <c r="CS103" i="2" s="1"/>
  <c r="CS123" i="2" a="1"/>
  <c r="CS123" i="2" s="1"/>
  <c r="CS55" i="2" a="1"/>
  <c r="CS55" i="2" s="1"/>
  <c r="CS128" i="2" a="1"/>
  <c r="CS128" i="2" s="1"/>
  <c r="CS147" i="2" a="1"/>
  <c r="CS147" i="2" s="1"/>
  <c r="CS51" i="2" a="1"/>
  <c r="CS51" i="2" s="1"/>
  <c r="CS83" i="2" a="1"/>
  <c r="CS83" i="2" s="1"/>
  <c r="CS197" i="2" a="1"/>
  <c r="CS197" i="2" s="1"/>
  <c r="CS162" i="2" a="1"/>
  <c r="CS162" i="2" s="1"/>
  <c r="CS165" i="2" a="1"/>
  <c r="CS165" i="2" s="1"/>
  <c r="CS145" i="2" a="1"/>
  <c r="CS145" i="2" s="1"/>
  <c r="CS141" i="2" a="1"/>
  <c r="CS141" i="2" s="1"/>
  <c r="CS90" i="2" a="1"/>
  <c r="CS90" i="2" s="1"/>
  <c r="CS154" i="2" a="1"/>
  <c r="CS154" i="2" s="1"/>
  <c r="CS40" i="2" a="1"/>
  <c r="CS40" i="2" s="1"/>
  <c r="CS104" i="2" a="1"/>
  <c r="CS104" i="2" s="1"/>
  <c r="CS117" i="2" a="1"/>
  <c r="CS117" i="2" s="1"/>
  <c r="CS167" i="2" a="1"/>
  <c r="CS167" i="2" s="1"/>
  <c r="CS42" i="2" a="1"/>
  <c r="CS42" i="2" s="1"/>
  <c r="CS96" i="2" a="1"/>
  <c r="CS96" i="2" s="1"/>
  <c r="CS97" i="2" a="1"/>
  <c r="CS97" i="2" s="1"/>
  <c r="CS15" i="2" a="1"/>
  <c r="CS15" i="2" s="1"/>
  <c r="CS68" i="2" a="1"/>
  <c r="CS68" i="2" s="1"/>
  <c r="CS199" i="2" a="1"/>
  <c r="CS199" i="2" s="1"/>
  <c r="CS11" i="2" a="1"/>
  <c r="CS11" i="2" s="1"/>
  <c r="CS75" i="2" a="1"/>
  <c r="CS75" i="2" s="1"/>
  <c r="CS146" i="2" a="1"/>
  <c r="CS146" i="2" s="1"/>
  <c r="CS170" i="2" a="1"/>
  <c r="CS170" i="2" s="1"/>
  <c r="CS139" i="2" a="1"/>
  <c r="CS139" i="2" s="1"/>
  <c r="CS169" i="2" a="1"/>
  <c r="CS169" i="2" s="1"/>
  <c r="CS163" i="2" a="1"/>
  <c r="CS163" i="2" s="1"/>
  <c r="CS100" i="2" a="1"/>
  <c r="CS100" i="2" s="1"/>
  <c r="CS142" i="2" a="1"/>
  <c r="CS142" i="2" s="1"/>
  <c r="CS61" i="2" a="1"/>
  <c r="CS61" i="2" s="1"/>
  <c r="CS70" i="2" a="1"/>
  <c r="CS70" i="2" s="1"/>
  <c r="CS73" i="2" a="1"/>
  <c r="CS73" i="2" s="1"/>
  <c r="CS25" i="2" a="1"/>
  <c r="CS25" i="2" s="1"/>
  <c r="CS136" i="2" a="1"/>
  <c r="CS136" i="2" s="1"/>
  <c r="CS131" i="2" a="1"/>
  <c r="CS131" i="2" s="1"/>
  <c r="CS91" i="2" a="1"/>
  <c r="CS91" i="2" s="1"/>
  <c r="CS76" i="2" a="1"/>
  <c r="CS76" i="2" s="1"/>
  <c r="CS17" i="2" a="1"/>
  <c r="CS17" i="2" s="1"/>
  <c r="CS108" i="2" a="1"/>
  <c r="CS108" i="2" s="1"/>
  <c r="CS164" i="2" a="1"/>
  <c r="CS164" i="2" s="1"/>
  <c r="CS63" i="2" a="1"/>
  <c r="CS63" i="2" s="1"/>
  <c r="CS43" i="2" a="1"/>
  <c r="CS43" i="2" s="1"/>
  <c r="CS179" i="2" a="1"/>
  <c r="CS179" i="2" s="1"/>
  <c r="CS35" i="2" a="1"/>
  <c r="CS35" i="2" s="1"/>
  <c r="CS95" i="2" a="1"/>
  <c r="CS95" i="2" s="1"/>
  <c r="CS23" i="2" a="1"/>
  <c r="CS23" i="2" s="1"/>
  <c r="CS13" i="2" a="1"/>
  <c r="CS13" i="2" s="1"/>
  <c r="CS50" i="2" a="1"/>
  <c r="CS50" i="2" s="1"/>
  <c r="CS198" i="2" a="1"/>
  <c r="CS198" i="2" s="1"/>
  <c r="CS155" i="2" a="1"/>
  <c r="CS155" i="2" s="1"/>
  <c r="CS57" i="2" a="1"/>
  <c r="CS57" i="2" s="1"/>
  <c r="CS135" i="2" a="1"/>
  <c r="CS135" i="2" s="1"/>
  <c r="CS45" i="2" a="1"/>
  <c r="CS45" i="2" s="1"/>
  <c r="BX203" i="2" a="1"/>
  <c r="BX203" i="2" s="1"/>
  <c r="BX61" i="2" a="1"/>
  <c r="BX61" i="2" s="1"/>
  <c r="BX49" i="2" a="1"/>
  <c r="BX49" i="2" s="1"/>
  <c r="AH108" i="2" a="1"/>
  <c r="AH108" i="2" s="1"/>
  <c r="GT143" i="2" a="1"/>
  <c r="GT143" i="2" s="1"/>
  <c r="GT175" i="2" a="1"/>
  <c r="GT175" i="2" s="1"/>
  <c r="GT197" i="2" a="1"/>
  <c r="GT197" i="2" s="1"/>
  <c r="GT123" i="2" a="1"/>
  <c r="GT123" i="2" s="1"/>
  <c r="GT82" i="2" a="1"/>
  <c r="GT82" i="2" s="1"/>
  <c r="GT155" i="2" a="1"/>
  <c r="GT155" i="2" s="1"/>
  <c r="GT62" i="2" a="1"/>
  <c r="GT62" i="2" s="1"/>
  <c r="GT192" i="2" a="1"/>
  <c r="GT192" i="2" s="1"/>
  <c r="GT16" i="2" a="1"/>
  <c r="GT16" i="2" s="1"/>
  <c r="GT144" i="2" a="1"/>
  <c r="GT144" i="2" s="1"/>
  <c r="AH9" i="2" a="1"/>
  <c r="AH9" i="2" s="1"/>
  <c r="AH29" i="2" a="1"/>
  <c r="AH29" i="2" s="1"/>
  <c r="AH104" i="2" a="1"/>
  <c r="AH104" i="2" s="1"/>
  <c r="AH39" i="2" a="1"/>
  <c r="AH39" i="2" s="1"/>
  <c r="AH172" i="2" a="1"/>
  <c r="AH172" i="2" s="1"/>
  <c r="AH137" i="2" a="1"/>
  <c r="AH137" i="2" s="1"/>
  <c r="AH135" i="2" a="1"/>
  <c r="AH135" i="2" s="1"/>
  <c r="AH21" i="2" a="1"/>
  <c r="AH21" i="2" s="1"/>
  <c r="AH149" i="2" a="1"/>
  <c r="AH149" i="2" s="1"/>
  <c r="AH120" i="2" a="1"/>
  <c r="AH120" i="2" s="1"/>
  <c r="AH35" i="2" a="1"/>
  <c r="AH35" i="2" s="1"/>
  <c r="BX37" i="2" a="1"/>
  <c r="BX37" i="2" s="1"/>
  <c r="BX115" i="2" a="1"/>
  <c r="BX115" i="2" s="1"/>
  <c r="BX95" i="2" a="1"/>
  <c r="BX95" i="2" s="1"/>
  <c r="M135" i="2" a="1"/>
  <c r="M135" i="2" s="1"/>
  <c r="M32" i="2" a="1"/>
  <c r="M32" i="2" s="1"/>
  <c r="DN18" i="2" a="1"/>
  <c r="DN18" i="2" s="1"/>
  <c r="DN128" i="2" a="1"/>
  <c r="DN128" i="2" s="1"/>
  <c r="DN9" i="2" a="1"/>
  <c r="DN9" i="2" s="1"/>
  <c r="CS98" i="2" a="1"/>
  <c r="CS98" i="2" s="1"/>
  <c r="EI114" i="2" a="1"/>
  <c r="EI114" i="2" s="1"/>
  <c r="EI62" i="2" a="1"/>
  <c r="EI62" i="2" s="1"/>
  <c r="GT9" i="2" a="1"/>
  <c r="GT9" i="2" s="1"/>
  <c r="CS107" i="2" a="1"/>
  <c r="CS107" i="2" s="1"/>
  <c r="BC128" i="2" a="1"/>
  <c r="BC128" i="2" s="1"/>
  <c r="FD171" i="2" a="1"/>
  <c r="FD171" i="2" s="1"/>
  <c r="FD22" i="2" a="1"/>
  <c r="FD22" i="2" s="1"/>
  <c r="AH63" i="2" a="1"/>
  <c r="AH63" i="2" s="1"/>
  <c r="BX38" i="2" a="1"/>
  <c r="BX38" i="2" s="1"/>
  <c r="BX179" i="2" a="1"/>
  <c r="BX179" i="2" s="1"/>
  <c r="BX147" i="2" a="1"/>
  <c r="BX147" i="2" s="1"/>
  <c r="M152" i="2" a="1"/>
  <c r="M152" i="2" s="1"/>
  <c r="M73" i="2" a="1"/>
  <c r="M73" i="2" s="1"/>
  <c r="DN166" i="2" a="1"/>
  <c r="DN166" i="2" s="1"/>
  <c r="DN147" i="2" a="1"/>
  <c r="DN147" i="2" s="1"/>
  <c r="FD124" i="2" a="1"/>
  <c r="FD124" i="2" s="1"/>
  <c r="EI152" i="2" a="1"/>
  <c r="EI152" i="2" s="1"/>
  <c r="EI135" i="2" a="1"/>
  <c r="EI135" i="2" s="1"/>
  <c r="GT47" i="2" a="1"/>
  <c r="GT47" i="2" s="1"/>
  <c r="GT103" i="2" a="1"/>
  <c r="GT103" i="2" s="1"/>
  <c r="BC169" i="2" a="1"/>
  <c r="BC169" i="2" s="1"/>
  <c r="BC94" i="2" a="1"/>
  <c r="BC94" i="2" s="1"/>
  <c r="FD61" i="2" a="1"/>
  <c r="FD61" i="2" s="1"/>
  <c r="FD69" i="2" a="1"/>
  <c r="FD69" i="2" s="1"/>
  <c r="FD49" i="2" a="1"/>
  <c r="FD49" i="2" s="1"/>
  <c r="FY64" i="2" a="1"/>
  <c r="FY64" i="2" s="1"/>
  <c r="AH130" i="2" a="1"/>
  <c r="AH130" i="2" s="1"/>
  <c r="AH150" i="2" a="1"/>
  <c r="AH150" i="2" s="1"/>
  <c r="CS22" i="2" a="1"/>
  <c r="CS22" i="2" s="1"/>
  <c r="BX137" i="2" a="1"/>
  <c r="BX137" i="2" s="1"/>
  <c r="BX184" i="2" a="1"/>
  <c r="BX184" i="2" s="1"/>
  <c r="BX82" i="2" a="1"/>
  <c r="BX82" i="2" s="1"/>
  <c r="M88" i="2" a="1"/>
  <c r="M88" i="2" s="1"/>
  <c r="M187" i="2" a="1"/>
  <c r="M187" i="2" s="1"/>
  <c r="CS112" i="2" a="1"/>
  <c r="CS112" i="2" s="1"/>
  <c r="DN189" i="2" a="1"/>
  <c r="DN189" i="2" s="1"/>
  <c r="DN116" i="2" a="1"/>
  <c r="DN116" i="2" s="1"/>
  <c r="CS190" i="2" a="1"/>
  <c r="CS190" i="2" s="1"/>
  <c r="EI90" i="2" a="1"/>
  <c r="EI90" i="2" s="1"/>
  <c r="EI169" i="2" a="1"/>
  <c r="EI169" i="2" s="1"/>
  <c r="CS33" i="2" a="1"/>
  <c r="CS33" i="2" s="1"/>
  <c r="BC136" i="2" a="1"/>
  <c r="BC136" i="2" s="1"/>
  <c r="BC53" i="2" a="1"/>
  <c r="BC53" i="2" s="1"/>
  <c r="FD190" i="2" a="1"/>
  <c r="FD190" i="2" s="1"/>
  <c r="FD149" i="2" a="1"/>
  <c r="FD149" i="2" s="1"/>
  <c r="FY156" i="2" a="1"/>
  <c r="FY156" i="2" s="1"/>
  <c r="FY117" i="2" a="1"/>
  <c r="FY117" i="2" s="1"/>
  <c r="AH169" i="2" a="1"/>
  <c r="AH169" i="2" s="1"/>
  <c r="AH100" i="2" a="1"/>
  <c r="AH100" i="2" s="1"/>
  <c r="M123" i="2" a="1"/>
  <c r="M123" i="2" s="1"/>
  <c r="M96" i="2" a="1"/>
  <c r="M96" i="2" s="1"/>
  <c r="M164" i="2" a="1"/>
  <c r="M164" i="2" s="1"/>
  <c r="M154" i="2" a="1"/>
  <c r="M154" i="2" s="1"/>
  <c r="M80" i="2" a="1"/>
  <c r="M80" i="2" s="1"/>
  <c r="M160" i="2" a="1"/>
  <c r="M160" i="2" s="1"/>
  <c r="M131" i="2" a="1"/>
  <c r="M131" i="2" s="1"/>
  <c r="M165" i="2" a="1"/>
  <c r="M165" i="2" s="1"/>
  <c r="CS180" i="2" a="1"/>
  <c r="CS180" i="2" s="1"/>
  <c r="BX123" i="2" a="1"/>
  <c r="BX123" i="2" s="1"/>
  <c r="BX186" i="2" a="1"/>
  <c r="BX186" i="2" s="1"/>
  <c r="BX20" i="2" a="1"/>
  <c r="BX20" i="2" s="1"/>
  <c r="M92" i="2" a="1"/>
  <c r="M92" i="2" s="1"/>
  <c r="M29" i="2" a="1"/>
  <c r="M29" i="2" s="1"/>
  <c r="CS177" i="2" a="1"/>
  <c r="CS177" i="2" s="1"/>
  <c r="DN126" i="2" a="1"/>
  <c r="DN126" i="2" s="1"/>
  <c r="DN36" i="2" a="1"/>
  <c r="DN36" i="2" s="1"/>
  <c r="CS174" i="2" a="1"/>
  <c r="CS174" i="2" s="1"/>
  <c r="EI133" i="2" a="1"/>
  <c r="EI133" i="2" s="1"/>
  <c r="EI74" i="2" a="1"/>
  <c r="EI74" i="2" s="1"/>
  <c r="GT57" i="2" a="1"/>
  <c r="GT57" i="2" s="1"/>
  <c r="GT84" i="2" a="1"/>
  <c r="GT84" i="2" s="1"/>
  <c r="BC28" i="2" a="1"/>
  <c r="BC28" i="2" s="1"/>
  <c r="BC64" i="2" a="1"/>
  <c r="BC64" i="2" s="1"/>
  <c r="FD27" i="2" a="1"/>
  <c r="FD27" i="2" s="1"/>
  <c r="FD126" i="2" a="1"/>
  <c r="FD126" i="2" s="1"/>
  <c r="FD16" i="2" a="1"/>
  <c r="FD16" i="2" s="1"/>
  <c r="FY12" i="2" a="1"/>
  <c r="FY12" i="2" s="1"/>
  <c r="FZ12" i="2" s="1"/>
  <c r="AH26" i="2" a="1"/>
  <c r="AH26" i="2" s="1"/>
  <c r="AH122" i="2" a="1"/>
  <c r="AH122" i="2" s="1"/>
  <c r="CS127" i="2" a="1"/>
  <c r="CS127" i="2" s="1"/>
  <c r="DN47" i="2" a="1"/>
  <c r="DN47" i="2" s="1"/>
  <c r="BX129" i="2" a="1"/>
  <c r="BX129" i="2" s="1"/>
  <c r="BX94" i="2" a="1"/>
  <c r="BX94" i="2" s="1"/>
  <c r="BX48" i="2" a="1"/>
  <c r="BX48" i="2" s="1"/>
  <c r="M59" i="2" a="1"/>
  <c r="M59" i="2" s="1"/>
  <c r="M173" i="2" a="1"/>
  <c r="M173" i="2" s="1"/>
  <c r="DN33" i="2" a="1"/>
  <c r="DN33" i="2" s="1"/>
  <c r="DN19" i="2" a="1"/>
  <c r="DN19" i="2" s="1"/>
  <c r="BX167" i="2" a="1"/>
  <c r="BX167" i="2" s="1"/>
  <c r="EI124" i="2" a="1"/>
  <c r="EI124" i="2" s="1"/>
  <c r="EI196" i="2" a="1"/>
  <c r="EI196" i="2" s="1"/>
  <c r="GT83" i="2" a="1"/>
  <c r="GT83" i="2" s="1"/>
  <c r="GT130" i="2" a="1"/>
  <c r="GT130" i="2" s="1"/>
  <c r="BC177" i="2" a="1"/>
  <c r="BC177" i="2" s="1"/>
  <c r="BC98" i="2" a="1"/>
  <c r="BC98" i="2" s="1"/>
  <c r="FD129" i="2" a="1"/>
  <c r="FD129" i="2" s="1"/>
  <c r="FD62" i="2" a="1"/>
  <c r="FD62" i="2" s="1"/>
  <c r="FD175" i="2" a="1"/>
  <c r="FD175" i="2" s="1"/>
  <c r="FY166" i="2" a="1"/>
  <c r="FY166" i="2" s="1"/>
  <c r="DN11" i="2" a="1"/>
  <c r="DN11" i="2" s="1"/>
  <c r="AH180" i="2" a="1"/>
  <c r="AH180" i="2" s="1"/>
  <c r="EI14" i="2" a="1"/>
  <c r="EI14" i="2" s="1"/>
  <c r="EI92" i="2" a="1"/>
  <c r="EI92" i="2" s="1"/>
  <c r="EI76" i="2" a="1"/>
  <c r="EI76" i="2" s="1"/>
  <c r="EI99" i="2" a="1"/>
  <c r="EI99" i="2" s="1"/>
  <c r="EI123" i="2" a="1"/>
  <c r="EI123" i="2" s="1"/>
  <c r="EI138" i="2" a="1"/>
  <c r="EI138" i="2" s="1"/>
  <c r="EI184" i="2" a="1"/>
  <c r="EI184" i="2" s="1"/>
  <c r="EI72" i="2" a="1"/>
  <c r="EI72" i="2" s="1"/>
  <c r="BC63" i="2" a="1"/>
  <c r="BC63" i="2" s="1"/>
  <c r="BC193" i="2" a="1"/>
  <c r="BC193" i="2" s="1"/>
  <c r="BC42" i="2" a="1"/>
  <c r="BC42" i="2" s="1"/>
  <c r="BC76" i="2" a="1"/>
  <c r="BC76" i="2" s="1"/>
  <c r="BC87" i="2" a="1"/>
  <c r="BC87" i="2" s="1"/>
  <c r="BC36" i="2" a="1"/>
  <c r="BC36" i="2" s="1"/>
  <c r="BC108" i="2" a="1"/>
  <c r="BC108" i="2" s="1"/>
  <c r="BC92" i="2" a="1"/>
  <c r="BC92" i="2" s="1"/>
  <c r="BC102" i="2" a="1"/>
  <c r="BC102" i="2" s="1"/>
  <c r="BC66" i="2" a="1"/>
  <c r="BC66" i="2" s="1"/>
  <c r="BX27" i="2" a="1"/>
  <c r="BX27" i="2" s="1"/>
  <c r="BX191" i="2" a="1"/>
  <c r="BX191" i="2" s="1"/>
  <c r="BX127" i="2" a="1"/>
  <c r="BX127" i="2" s="1"/>
  <c r="CS181" i="2" a="1"/>
  <c r="CS181" i="2" s="1"/>
  <c r="M40" i="2" a="1"/>
  <c r="M40" i="2" s="1"/>
  <c r="M134" i="2" a="1"/>
  <c r="M134" i="2" s="1"/>
  <c r="DN37" i="2" a="1"/>
  <c r="DN37" i="2" s="1"/>
  <c r="DN130" i="2" a="1"/>
  <c r="DN130" i="2" s="1"/>
  <c r="CS86" i="2" a="1"/>
  <c r="CS86" i="2" s="1"/>
  <c r="EI44" i="2" a="1"/>
  <c r="EI44" i="2" s="1"/>
  <c r="EI50" i="2" a="1"/>
  <c r="EI50" i="2" s="1"/>
  <c r="GT79" i="2" a="1"/>
  <c r="GT79" i="2" s="1"/>
  <c r="GT48" i="2" a="1"/>
  <c r="GT48" i="2" s="1"/>
  <c r="BC152" i="2" a="1"/>
  <c r="BC152" i="2" s="1"/>
  <c r="BC44" i="2" a="1"/>
  <c r="BC44" i="2" s="1"/>
  <c r="FD145" i="2" a="1"/>
  <c r="FD145" i="2" s="1"/>
  <c r="FD83" i="2" a="1"/>
  <c r="FD83" i="2" s="1"/>
  <c r="FD79" i="2" a="1"/>
  <c r="FD79" i="2" s="1"/>
  <c r="FY44" i="2" a="1"/>
  <c r="FY44" i="2" s="1"/>
  <c r="CS44" i="2" a="1"/>
  <c r="CS44" i="2" s="1"/>
  <c r="AH46" i="2" a="1"/>
  <c r="AH46" i="2" s="1"/>
  <c r="BX85" i="2" a="1"/>
  <c r="BX85" i="2" s="1"/>
  <c r="GT142" i="2" a="1"/>
  <c r="GT142" i="2" s="1"/>
  <c r="GT186" i="2" a="1"/>
  <c r="GT186" i="2" s="1"/>
  <c r="GT150" i="2" a="1"/>
  <c r="GT150" i="2" s="1"/>
  <c r="GT32" i="2" a="1"/>
  <c r="GT32" i="2" s="1"/>
  <c r="GT24" i="2" a="1"/>
  <c r="GT24" i="2" s="1"/>
  <c r="GT134" i="2" a="1"/>
  <c r="GT134" i="2" s="1"/>
  <c r="GT41" i="2" a="1"/>
  <c r="GT41" i="2" s="1"/>
  <c r="GT52" i="2" a="1"/>
  <c r="GT52" i="2" s="1"/>
  <c r="GT156" i="2" a="1"/>
  <c r="GT156" i="2" s="1"/>
  <c r="GT36" i="2" a="1"/>
  <c r="GT36" i="2" s="1"/>
  <c r="AH23" i="2" a="1"/>
  <c r="AH23" i="2" s="1"/>
  <c r="AH51" i="2" a="1"/>
  <c r="AH51" i="2" s="1"/>
  <c r="AH73" i="2" a="1"/>
  <c r="AH73" i="2" s="1"/>
  <c r="AH189" i="2" a="1"/>
  <c r="AH189" i="2" s="1"/>
  <c r="AH174" i="2" a="1"/>
  <c r="AH174" i="2" s="1"/>
  <c r="AH97" i="2" a="1"/>
  <c r="AH97" i="2" s="1"/>
  <c r="AH81" i="2" a="1"/>
  <c r="AH81" i="2" s="1"/>
  <c r="AH55" i="2" a="1"/>
  <c r="AH55" i="2" s="1"/>
  <c r="AH11" i="2" a="1"/>
  <c r="AH11" i="2" s="1"/>
  <c r="AH87" i="2" a="1"/>
  <c r="AH87" i="2" s="1"/>
  <c r="AH178" i="2" a="1"/>
  <c r="AH178" i="2" s="1"/>
  <c r="AH44" i="2" a="1"/>
  <c r="AH44" i="2" s="1"/>
  <c r="BX90" i="2" a="1"/>
  <c r="BX90" i="2" s="1"/>
  <c r="BX175" i="2" a="1"/>
  <c r="BX175" i="2" s="1"/>
  <c r="BX130" i="2" a="1"/>
  <c r="BX130" i="2" s="1"/>
  <c r="M171" i="2" a="1"/>
  <c r="M171" i="2" s="1"/>
  <c r="M151" i="2" a="1"/>
  <c r="M151" i="2" s="1"/>
  <c r="DN57" i="2" a="1"/>
  <c r="DN57" i="2" s="1"/>
  <c r="DN146" i="2" a="1"/>
  <c r="DN146" i="2" s="1"/>
  <c r="DN39" i="2" a="1"/>
  <c r="DN39" i="2" s="1"/>
  <c r="DN148" i="2" a="1"/>
  <c r="DN148" i="2" s="1"/>
  <c r="EI91" i="2" a="1"/>
  <c r="EI91" i="2" s="1"/>
  <c r="EI119" i="2" a="1"/>
  <c r="EI119" i="2" s="1"/>
  <c r="GT98" i="2" a="1"/>
  <c r="GT98" i="2" s="1"/>
  <c r="DN171" i="2" a="1"/>
  <c r="DN171" i="2" s="1"/>
  <c r="BC54" i="2" a="1"/>
  <c r="BC54" i="2" s="1"/>
  <c r="FD17" i="2" a="1"/>
  <c r="FD17" i="2" s="1"/>
  <c r="FD98" i="2" a="1"/>
  <c r="FD98" i="2" s="1"/>
  <c r="BX57" i="2" a="1"/>
  <c r="BX57" i="2" s="1"/>
  <c r="BX180" i="2" a="1"/>
  <c r="BX180" i="2" s="1"/>
  <c r="CS21" i="2" a="1"/>
  <c r="CS21" i="2" s="1"/>
  <c r="M67" i="2" a="1"/>
  <c r="M67" i="2" s="1"/>
  <c r="M100" i="2" a="1"/>
  <c r="M100" i="2" s="1"/>
  <c r="DN83" i="2" a="1"/>
  <c r="DN83" i="2" s="1"/>
  <c r="DN122" i="2" a="1"/>
  <c r="DN122" i="2" s="1"/>
  <c r="CS148" i="2" a="1"/>
  <c r="CS148" i="2" s="1"/>
  <c r="EI134" i="2" a="1"/>
  <c r="EI134" i="2" s="1"/>
  <c r="EI19" i="2" a="1"/>
  <c r="EI19" i="2" s="1"/>
  <c r="GT10" i="2" a="1"/>
  <c r="GT10" i="2" s="1"/>
  <c r="GT148" i="2" a="1"/>
  <c r="GT148" i="2" s="1"/>
  <c r="BC10" i="2" a="1"/>
  <c r="BC10" i="2" s="1"/>
  <c r="BC124" i="2" a="1"/>
  <c r="BC124" i="2" s="1"/>
  <c r="FD106" i="2" a="1"/>
  <c r="FD106" i="2" s="1"/>
  <c r="FD29" i="2" a="1"/>
  <c r="FD29" i="2" s="1"/>
  <c r="FD169" i="2" a="1"/>
  <c r="FD169" i="2" s="1"/>
  <c r="FY41" i="2" a="1"/>
  <c r="FY41" i="2" s="1"/>
  <c r="AH95" i="2" a="1"/>
  <c r="AH95" i="2" s="1"/>
  <c r="AH34" i="2" a="1"/>
  <c r="AH34" i="2" s="1"/>
  <c r="CS12" i="2" a="1"/>
  <c r="CS12" i="2" s="1"/>
  <c r="BX46" i="2" a="1"/>
  <c r="BX46" i="2" s="1"/>
  <c r="BX53" i="2" a="1"/>
  <c r="BX53" i="2" s="1"/>
  <c r="BX28" i="2" a="1"/>
  <c r="BX28" i="2" s="1"/>
  <c r="M185" i="2" a="1"/>
  <c r="M185" i="2" s="1"/>
  <c r="M39" i="2" a="1"/>
  <c r="M39" i="2" s="1"/>
  <c r="DN179" i="2" a="1"/>
  <c r="DN179" i="2" s="1"/>
  <c r="DN74" i="2" a="1"/>
  <c r="DN74" i="2" s="1"/>
  <c r="DN73" i="2" a="1"/>
  <c r="DN73" i="2" s="1"/>
  <c r="DN105" i="2" a="1"/>
  <c r="DN105" i="2" s="1"/>
  <c r="EI161" i="2" a="1"/>
  <c r="EI161" i="2" s="1"/>
  <c r="EI105" i="2" a="1"/>
  <c r="EI105" i="2" s="1"/>
  <c r="GT69" i="2" a="1"/>
  <c r="GT69" i="2" s="1"/>
  <c r="CS200" i="2" a="1"/>
  <c r="CS200" i="2" s="1"/>
  <c r="BC190" i="2" a="1"/>
  <c r="BC190" i="2" s="1"/>
  <c r="FD81" i="2" a="1"/>
  <c r="FD81" i="2" s="1"/>
  <c r="FD94" i="2" a="1"/>
  <c r="FD94" i="2" s="1"/>
  <c r="FD141" i="2" a="1"/>
  <c r="FD141" i="2" s="1"/>
  <c r="FY148" i="2" a="1"/>
  <c r="FY148" i="2" s="1"/>
  <c r="FY139" i="2" a="1"/>
  <c r="FY139" i="2" s="1"/>
  <c r="AH125" i="2" a="1"/>
  <c r="AH125" i="2" s="1"/>
  <c r="AH50" i="2" a="1"/>
  <c r="AH50" i="2" s="1"/>
  <c r="M47" i="2" a="1"/>
  <c r="M47" i="2" s="1"/>
  <c r="M85" i="2" a="1"/>
  <c r="M85" i="2" s="1"/>
  <c r="M102" i="2" a="1"/>
  <c r="M102" i="2" s="1"/>
  <c r="M200" i="2" a="1"/>
  <c r="M200" i="2" s="1"/>
  <c r="M136" i="2" a="1"/>
  <c r="M136" i="2" s="1"/>
  <c r="M107" i="2" a="1"/>
  <c r="M107" i="2" s="1"/>
  <c r="M106" i="2" a="1"/>
  <c r="M106" i="2" s="1"/>
  <c r="M202" i="2" a="1"/>
  <c r="M202" i="2" s="1"/>
  <c r="CS84" i="2" a="1"/>
  <c r="CS84" i="2" s="1"/>
  <c r="BX170" i="2" a="1"/>
  <c r="BX170" i="2" s="1"/>
  <c r="BX15" i="2" a="1"/>
  <c r="BX15" i="2" s="1"/>
  <c r="BX13" i="2" a="1"/>
  <c r="BX13" i="2" s="1"/>
  <c r="M163" i="2" a="1"/>
  <c r="M163" i="2" s="1"/>
  <c r="M81" i="2" a="1"/>
  <c r="M81" i="2" s="1"/>
  <c r="CS193" i="2" a="1"/>
  <c r="CS193" i="2" s="1"/>
  <c r="DN172" i="2" a="1"/>
  <c r="DN172" i="2" s="1"/>
  <c r="DN42" i="2" a="1"/>
  <c r="DN42" i="2" s="1"/>
  <c r="CS26" i="2" a="1"/>
  <c r="CS26" i="2" s="1"/>
  <c r="EI83" i="2" a="1"/>
  <c r="EI83" i="2" s="1"/>
  <c r="EI120" i="2" a="1"/>
  <c r="EI120" i="2" s="1"/>
  <c r="GT92" i="2" a="1"/>
  <c r="GT92" i="2" s="1"/>
  <c r="BX86" i="2" a="1"/>
  <c r="BX86" i="2" s="1"/>
  <c r="BC33" i="2" a="1"/>
  <c r="BC33" i="2" s="1"/>
  <c r="BC67" i="2" a="1"/>
  <c r="BC67" i="2" s="1"/>
  <c r="FD193" i="2" a="1"/>
  <c r="FD193" i="2" s="1"/>
  <c r="FD65" i="2" a="1"/>
  <c r="FD65" i="2" s="1"/>
  <c r="FY76" i="2" a="1"/>
  <c r="FY76" i="2" s="1"/>
  <c r="FY53" i="2" a="1"/>
  <c r="FY53" i="2" s="1"/>
  <c r="AH30" i="2" a="1"/>
  <c r="AH30" i="2" s="1"/>
  <c r="AH33" i="2" a="1"/>
  <c r="AH33" i="2" s="1"/>
  <c r="CS110" i="2" a="1"/>
  <c r="CS110" i="2" s="1"/>
  <c r="DN202" i="2" a="1"/>
  <c r="DN202" i="2" s="1"/>
  <c r="BX11" i="2" a="1"/>
  <c r="BX11" i="2" s="1"/>
  <c r="BX134" i="2" a="1"/>
  <c r="BX134" i="2" s="1"/>
  <c r="FD125" i="2" a="1"/>
  <c r="FD125" i="2" s="1"/>
  <c r="M170" i="2" a="1"/>
  <c r="M170" i="2" s="1"/>
  <c r="M56" i="2" a="1"/>
  <c r="M56" i="2" s="1"/>
  <c r="DN77" i="2" a="1"/>
  <c r="DN77" i="2" s="1"/>
  <c r="DN17" i="2" a="1"/>
  <c r="DN17" i="2" s="1"/>
  <c r="CS172" i="2" a="1"/>
  <c r="CS172" i="2" s="1"/>
  <c r="EI163" i="2" a="1"/>
  <c r="EI163" i="2" s="1"/>
  <c r="EI68" i="2" a="1"/>
  <c r="EI68" i="2" s="1"/>
  <c r="GT66" i="2" a="1"/>
  <c r="GT66" i="2" s="1"/>
  <c r="GT14" i="2" a="1"/>
  <c r="GT14" i="2" s="1"/>
  <c r="BC74" i="2" a="1"/>
  <c r="BC74" i="2" s="1"/>
  <c r="BC157" i="2" a="1"/>
  <c r="BC157" i="2" s="1"/>
  <c r="FD68" i="2" a="1"/>
  <c r="FD68" i="2" s="1"/>
  <c r="FD172" i="2" a="1"/>
  <c r="FD172" i="2" s="1"/>
  <c r="FD67" i="2" a="1"/>
  <c r="FD67" i="2" s="1"/>
  <c r="FY85" i="2" a="1"/>
  <c r="FY85" i="2" s="1"/>
  <c r="AH168" i="2" a="1"/>
  <c r="AH168" i="2" s="1"/>
  <c r="AH64" i="2" a="1"/>
  <c r="AH64" i="2" s="1"/>
  <c r="EI130" i="2" a="1"/>
  <c r="EI130" i="2" s="1"/>
  <c r="EI136" i="2" a="1"/>
  <c r="EI136" i="2" s="1"/>
  <c r="EI77" i="2" a="1"/>
  <c r="EI77" i="2" s="1"/>
  <c r="EI69" i="2" a="1"/>
  <c r="EI69" i="2" s="1"/>
  <c r="EI121" i="2" a="1"/>
  <c r="EI121" i="2" s="1"/>
  <c r="EI64" i="2" a="1"/>
  <c r="EI64" i="2" s="1"/>
  <c r="EI108" i="2" a="1"/>
  <c r="EI108" i="2" s="1"/>
  <c r="EI11" i="2" a="1"/>
  <c r="EI11" i="2" s="1"/>
  <c r="BC86" i="2" a="1"/>
  <c r="BC86" i="2" s="1"/>
  <c r="BC112" i="2" a="1"/>
  <c r="BC112" i="2" s="1"/>
  <c r="BC156" i="2" a="1"/>
  <c r="BC156" i="2" s="1"/>
  <c r="BC43" i="2" a="1"/>
  <c r="BC43" i="2" s="1"/>
  <c r="BC122" i="2" a="1"/>
  <c r="BC122" i="2" s="1"/>
  <c r="BC30" i="2" a="1"/>
  <c r="BC30" i="2" s="1"/>
  <c r="BC132" i="2" a="1"/>
  <c r="BC132" i="2" s="1"/>
  <c r="BC57" i="2" a="1"/>
  <c r="BC57" i="2" s="1"/>
  <c r="BC39" i="2" a="1"/>
  <c r="BC39" i="2" s="1"/>
  <c r="BC110" i="2" a="1"/>
  <c r="BC110" i="2" s="1"/>
  <c r="BX202" i="2" a="1"/>
  <c r="BX202" i="2" s="1"/>
  <c r="BX109" i="2" a="1"/>
  <c r="BX109" i="2" s="1"/>
  <c r="BX99" i="2" a="1"/>
  <c r="BX99" i="2" s="1"/>
  <c r="DN96" i="2" a="1"/>
  <c r="DN96" i="2" s="1"/>
  <c r="M116" i="2" a="1"/>
  <c r="M116" i="2" s="1"/>
  <c r="M199" i="2" a="1"/>
  <c r="M199" i="2" s="1"/>
  <c r="DN131" i="2" a="1"/>
  <c r="DN131" i="2" s="1"/>
  <c r="DN87" i="2" a="1"/>
  <c r="DN87" i="2" s="1"/>
  <c r="CS39" i="2" a="1"/>
  <c r="CS39" i="2" s="1"/>
  <c r="EI26" i="2" a="1"/>
  <c r="EI26" i="2" s="1"/>
  <c r="EI191" i="2" a="1"/>
  <c r="EI191" i="2" s="1"/>
  <c r="GT119" i="2" a="1"/>
  <c r="GT119" i="2" s="1"/>
  <c r="GT111" i="2" a="1"/>
  <c r="GT111" i="2" s="1"/>
  <c r="BC145" i="2" a="1"/>
  <c r="BC145" i="2" s="1"/>
  <c r="BC69" i="2" a="1"/>
  <c r="BC69" i="2" s="1"/>
  <c r="FD51" i="2" a="1"/>
  <c r="FD51" i="2" s="1"/>
  <c r="FD15" i="2" a="1"/>
  <c r="FD15" i="2" s="1"/>
  <c r="FD47" i="2" a="1"/>
  <c r="FD47" i="2" s="1"/>
  <c r="FY193" i="2" a="1"/>
  <c r="FY193" i="2" s="1"/>
  <c r="DN7" i="2" a="1"/>
  <c r="DN7" i="2" s="1"/>
  <c r="DO7" i="2" s="1"/>
  <c r="AH52" i="2" a="1"/>
  <c r="AH52" i="2" s="1"/>
  <c r="BX195" i="2" a="1"/>
  <c r="BX195" i="2" s="1"/>
  <c r="FD155" i="2" a="1"/>
  <c r="FD155" i="2" s="1"/>
  <c r="FY170" i="2" a="1"/>
  <c r="FY170" i="2" s="1"/>
  <c r="CS132" i="2" a="1"/>
  <c r="CS132" i="2" s="1"/>
  <c r="GT40" i="2" a="1"/>
  <c r="GT40" i="2" s="1"/>
  <c r="GT105" i="2" a="1"/>
  <c r="GT105" i="2" s="1"/>
  <c r="GT65" i="2" a="1"/>
  <c r="GT65" i="2" s="1"/>
  <c r="GT139" i="2" a="1"/>
  <c r="GT139" i="2" s="1"/>
  <c r="GT19" i="2" a="1"/>
  <c r="GT19" i="2" s="1"/>
  <c r="GT173" i="2" a="1"/>
  <c r="GT173" i="2" s="1"/>
  <c r="GT71" i="2" a="1"/>
  <c r="GT71" i="2" s="1"/>
  <c r="GT59" i="2" a="1"/>
  <c r="GT59" i="2" s="1"/>
  <c r="GT165" i="2" a="1"/>
  <c r="GT165" i="2" s="1"/>
  <c r="GT101" i="2" a="1"/>
  <c r="GT101" i="2" s="1"/>
  <c r="GT141" i="2" a="1"/>
  <c r="GT141" i="2" s="1"/>
  <c r="AH113" i="2" a="1"/>
  <c r="AH113" i="2" s="1"/>
  <c r="AH190" i="2" a="1"/>
  <c r="AH190" i="2" s="1"/>
  <c r="AH159" i="2" a="1"/>
  <c r="AH159" i="2" s="1"/>
  <c r="AH102" i="2" a="1"/>
  <c r="AH102" i="2" s="1"/>
  <c r="AH156" i="2" a="1"/>
  <c r="AH156" i="2" s="1"/>
  <c r="AH111" i="2" a="1"/>
  <c r="AH111" i="2" s="1"/>
  <c r="AH54" i="2" a="1"/>
  <c r="AH54" i="2" s="1"/>
  <c r="AH57" i="2" a="1"/>
  <c r="AH57" i="2" s="1"/>
  <c r="AH164" i="2" a="1"/>
  <c r="AH164" i="2" s="1"/>
  <c r="AH187" i="2" a="1"/>
  <c r="AH187" i="2" s="1"/>
  <c r="AH173" i="2" a="1"/>
  <c r="AH173" i="2" s="1"/>
  <c r="AH142" i="2" a="1"/>
  <c r="AH142" i="2" s="1"/>
  <c r="BX112" i="2" a="1"/>
  <c r="BX112" i="2" s="1"/>
  <c r="BX68" i="2" a="1"/>
  <c r="BX68" i="2" s="1"/>
  <c r="BX101" i="2" a="1"/>
  <c r="BX101" i="2" s="1"/>
  <c r="M43" i="2" a="1"/>
  <c r="M43" i="2" s="1"/>
  <c r="M52" i="2" a="1"/>
  <c r="M52" i="2" s="1"/>
  <c r="DN69" i="2" a="1"/>
  <c r="DN69" i="2" s="1"/>
  <c r="DN8" i="2" a="1"/>
  <c r="DN8" i="2" s="1"/>
  <c r="DN26" i="2" a="1"/>
  <c r="DN26" i="2" s="1"/>
  <c r="EI93" i="2" a="1"/>
  <c r="EI93" i="2" s="1"/>
  <c r="EI101" i="2" a="1"/>
  <c r="EI101" i="2" s="1"/>
  <c r="GT50" i="2" a="1"/>
  <c r="GT50" i="2" s="1"/>
  <c r="GT128" i="2" a="1"/>
  <c r="GT128" i="2" s="1"/>
  <c r="BC78" i="2" a="1"/>
  <c r="BC78" i="2" s="1"/>
  <c r="BC12" i="2" a="1"/>
  <c r="BC12" i="2" s="1"/>
  <c r="FD127" i="2" a="1"/>
  <c r="FD127" i="2" s="1"/>
  <c r="FD157" i="2" a="1"/>
  <c r="FD157" i="2" s="1"/>
  <c r="CS121" i="2" a="1"/>
  <c r="CS121" i="2" s="1"/>
  <c r="BX151" i="2" a="1"/>
  <c r="BX151" i="2" s="1"/>
  <c r="BX62" i="2" a="1"/>
  <c r="BX62" i="2" s="1"/>
  <c r="CS99" i="2" a="1"/>
  <c r="CS99" i="2" s="1"/>
  <c r="M87" i="2" a="1"/>
  <c r="M87" i="2" s="1"/>
  <c r="M66" i="2" a="1"/>
  <c r="M66" i="2" s="1"/>
  <c r="DN54" i="2" a="1"/>
  <c r="DN54" i="2" s="1"/>
  <c r="DN102" i="2" a="1"/>
  <c r="DN102" i="2" s="1"/>
  <c r="CS41" i="2" a="1"/>
  <c r="CS41" i="2" s="1"/>
  <c r="EI186" i="2" a="1"/>
  <c r="EI186" i="2" s="1"/>
  <c r="EI110" i="2" a="1"/>
  <c r="EI110" i="2" s="1"/>
  <c r="GT131" i="2" a="1"/>
  <c r="GT131" i="2" s="1"/>
  <c r="GT45" i="2" a="1"/>
  <c r="GT45" i="2" s="1"/>
  <c r="BC29" i="2" a="1"/>
  <c r="BC29" i="2" s="1"/>
  <c r="FD130" i="2" a="1"/>
  <c r="FD130" i="2" s="1"/>
  <c r="FD196" i="2" a="1"/>
  <c r="FD196" i="2" s="1"/>
  <c r="FD70" i="2" a="1"/>
  <c r="FD70" i="2" s="1"/>
  <c r="FY52" i="2" a="1"/>
  <c r="FY52" i="2" s="1"/>
  <c r="AH40" i="2" a="1"/>
  <c r="AH40" i="2" s="1"/>
  <c r="AH148" i="2" a="1"/>
  <c r="AH148" i="2" s="1"/>
  <c r="GT23" i="2" a="1"/>
  <c r="GT23" i="2" s="1"/>
  <c r="BX39" i="2" a="1"/>
  <c r="BX39" i="2" s="1"/>
  <c r="BX104" i="2" a="1"/>
  <c r="BX104" i="2" s="1"/>
  <c r="BX31" i="2" a="1"/>
  <c r="BX31" i="2" s="1"/>
  <c r="M33" i="2" a="1"/>
  <c r="M33" i="2" s="1"/>
  <c r="M140" i="2" a="1"/>
  <c r="M140" i="2" s="1"/>
  <c r="DN52" i="2" a="1"/>
  <c r="DN52" i="2" s="1"/>
  <c r="DN159" i="2" a="1"/>
  <c r="DN159" i="2" s="1"/>
  <c r="DN93" i="2" a="1"/>
  <c r="DN93" i="2" s="1"/>
  <c r="EI177" i="2" a="1"/>
  <c r="EI177" i="2" s="1"/>
  <c r="EI59" i="2" a="1"/>
  <c r="EI59" i="2" s="1"/>
  <c r="GT44" i="2" a="1"/>
  <c r="GT44" i="2" s="1"/>
  <c r="GT58" i="2" a="1"/>
  <c r="GT58" i="2" s="1"/>
  <c r="BC25" i="2" a="1"/>
  <c r="BC25" i="2" s="1"/>
  <c r="FD56" i="2" a="1"/>
  <c r="FD56" i="2" s="1"/>
  <c r="FD33" i="2" a="1"/>
  <c r="FD33" i="2" s="1"/>
  <c r="FD101" i="2" a="1"/>
  <c r="FD101" i="2" s="1"/>
  <c r="FY199" i="2" a="1"/>
  <c r="FY199" i="2" s="1"/>
  <c r="BX30" i="2" a="1"/>
  <c r="BX30" i="2" s="1"/>
  <c r="AH85" i="2" a="1"/>
  <c r="AH85" i="2" s="1"/>
  <c r="M146" i="2" a="1"/>
  <c r="M146" i="2" s="1"/>
  <c r="M58" i="2" a="1"/>
  <c r="M58" i="2" s="1"/>
  <c r="M35" i="2" a="1"/>
  <c r="M35" i="2" s="1"/>
  <c r="M76" i="2" a="1"/>
  <c r="M76" i="2" s="1"/>
  <c r="M103" i="2" a="1"/>
  <c r="M103" i="2" s="1"/>
  <c r="M75" i="2" a="1"/>
  <c r="M75" i="2" s="1"/>
  <c r="M74" i="2" a="1"/>
  <c r="M74" i="2" s="1"/>
  <c r="M24" i="2" a="1"/>
  <c r="M24" i="2" s="1"/>
  <c r="FD46" i="2" a="1"/>
  <c r="FD46" i="2" s="1"/>
  <c r="BX81" i="2" a="1"/>
  <c r="BX81" i="2" s="1"/>
  <c r="BX153" i="2" a="1"/>
  <c r="BX153" i="2" s="1"/>
  <c r="BX198" i="2" a="1"/>
  <c r="BX198" i="2" s="1"/>
  <c r="BX164" i="2" a="1"/>
  <c r="BX164" i="2" s="1"/>
  <c r="M110" i="2" a="1"/>
  <c r="M110" i="2" s="1"/>
  <c r="M167" i="2" a="1"/>
  <c r="M167" i="2" s="1"/>
  <c r="DN185" i="2" a="1"/>
  <c r="DN185" i="2" s="1"/>
  <c r="DN107" i="2" a="1"/>
  <c r="DN107" i="2" s="1"/>
  <c r="DN27" i="2" a="1"/>
  <c r="DN27" i="2" s="1"/>
  <c r="EI201" i="2" a="1"/>
  <c r="EI201" i="2" s="1"/>
  <c r="EI53" i="2" a="1"/>
  <c r="EI53" i="2" s="1"/>
  <c r="EI58" i="2" a="1"/>
  <c r="EI58" i="2" s="1"/>
  <c r="GT109" i="2" a="1"/>
  <c r="GT109" i="2" s="1"/>
  <c r="CS175" i="2" a="1"/>
  <c r="CS175" i="2" s="1"/>
  <c r="BC165" i="2" a="1"/>
  <c r="BC165" i="2" s="1"/>
  <c r="FD201" i="2" a="1"/>
  <c r="FD201" i="2" s="1"/>
  <c r="FD78" i="2" a="1"/>
  <c r="FD78" i="2" s="1"/>
  <c r="FD195" i="2" a="1"/>
  <c r="FD195" i="2" s="1"/>
  <c r="FY171" i="2" a="1"/>
  <c r="FY171" i="2" s="1"/>
  <c r="FY179" i="2" a="1"/>
  <c r="FY179" i="2" s="1"/>
  <c r="AH27" i="2" a="1"/>
  <c r="AH27" i="2" s="1"/>
  <c r="AH132" i="2" a="1"/>
  <c r="AH132" i="2" s="1"/>
  <c r="CS159" i="2" a="1"/>
  <c r="CS159" i="2" s="1"/>
  <c r="BX77" i="2" a="1"/>
  <c r="BX77" i="2" s="1"/>
  <c r="BX118" i="2" a="1"/>
  <c r="BX118" i="2" s="1"/>
  <c r="CS130" i="2" a="1"/>
  <c r="CS130" i="2" s="1"/>
  <c r="M177" i="2" a="1"/>
  <c r="M177" i="2" s="1"/>
  <c r="M174" i="2" a="1"/>
  <c r="M174" i="2" s="1"/>
  <c r="DN180" i="2" a="1"/>
  <c r="DN180" i="2" s="1"/>
  <c r="DN88" i="2" a="1"/>
  <c r="DN88" i="2" s="1"/>
  <c r="DN68" i="2" a="1"/>
  <c r="DN68" i="2" s="1"/>
  <c r="EI80" i="2" a="1"/>
  <c r="EI80" i="2" s="1"/>
  <c r="EI88" i="2" a="1"/>
  <c r="EI88" i="2" s="1"/>
  <c r="GT166" i="2" a="1"/>
  <c r="GT166" i="2" s="1"/>
  <c r="GT72" i="2" a="1"/>
  <c r="GT72" i="2" s="1"/>
  <c r="BC118" i="2" a="1"/>
  <c r="BC118" i="2" s="1"/>
  <c r="BC85" i="2" a="1"/>
  <c r="BC85" i="2" s="1"/>
  <c r="FD135" i="2" a="1"/>
  <c r="FD135" i="2" s="1"/>
  <c r="FD119" i="2" a="1"/>
  <c r="FD119" i="2" s="1"/>
  <c r="FD115" i="2" a="1"/>
  <c r="FD115" i="2" s="1"/>
  <c r="FY134" i="2" a="1"/>
  <c r="FY134" i="2" s="1"/>
  <c r="AH188" i="2" a="1"/>
  <c r="AH188" i="2" s="1"/>
  <c r="AH167" i="2" a="1"/>
  <c r="AH167" i="2" s="1"/>
  <c r="EI52" i="2" a="1"/>
  <c r="EI52" i="2" s="1"/>
  <c r="EI151" i="2" a="1"/>
  <c r="EI151" i="2" s="1"/>
  <c r="EI190" i="2" a="1"/>
  <c r="EI190" i="2" s="1"/>
  <c r="EI75" i="2" a="1"/>
  <c r="EI75" i="2" s="1"/>
  <c r="EI137" i="2" a="1"/>
  <c r="EI137" i="2" s="1"/>
  <c r="EI49" i="2" a="1"/>
  <c r="EI49" i="2" s="1"/>
  <c r="EI27" i="2" a="1"/>
  <c r="EI27" i="2" s="1"/>
  <c r="EI112" i="2" a="1"/>
  <c r="EI112" i="2" s="1"/>
  <c r="BC137" i="2" a="1"/>
  <c r="BC137" i="2" s="1"/>
  <c r="BC97" i="2" a="1"/>
  <c r="BC97" i="2" s="1"/>
  <c r="BC70" i="2" a="1"/>
  <c r="BC70" i="2" s="1"/>
  <c r="BC81" i="2" a="1"/>
  <c r="BC81" i="2" s="1"/>
  <c r="BC96" i="2" a="1"/>
  <c r="BC96" i="2" s="1"/>
  <c r="BC37" i="2" a="1"/>
  <c r="BC37" i="2" s="1"/>
  <c r="BC171" i="2" a="1"/>
  <c r="BC171" i="2" s="1"/>
  <c r="BC48" i="2" a="1"/>
  <c r="BC48" i="2" s="1"/>
  <c r="BC106" i="2" a="1"/>
  <c r="BC106" i="2" s="1"/>
  <c r="BC21" i="2" a="1"/>
  <c r="BC21" i="2" s="1"/>
  <c r="AH41" i="2" a="1"/>
  <c r="AH41" i="2" s="1"/>
  <c r="BX194" i="2" a="1"/>
  <c r="BX194" i="2" s="1"/>
  <c r="BX132" i="2" a="1"/>
  <c r="BX132" i="2" s="1"/>
  <c r="M68" i="2" a="1"/>
  <c r="M68" i="2" s="1"/>
  <c r="M65" i="2" a="1"/>
  <c r="M65" i="2" s="1"/>
  <c r="M27" i="2" a="1"/>
  <c r="M27" i="2" s="1"/>
  <c r="DN59" i="2" a="1"/>
  <c r="DN59" i="2" s="1"/>
  <c r="DN143" i="2" a="1"/>
  <c r="DN143" i="2" s="1"/>
  <c r="DN90" i="2" a="1"/>
  <c r="DN90" i="2" s="1"/>
  <c r="EI103" i="2" a="1"/>
  <c r="EI103" i="2" s="1"/>
  <c r="EI98" i="2" a="1"/>
  <c r="EI98" i="2" s="1"/>
  <c r="GT76" i="2" a="1"/>
  <c r="GT76" i="2" s="1"/>
  <c r="GT160" i="2" a="1"/>
  <c r="GT160" i="2" s="1"/>
  <c r="BC134" i="2" a="1"/>
  <c r="BC134" i="2" s="1"/>
  <c r="BC191" i="2" a="1"/>
  <c r="BC191" i="2" s="1"/>
  <c r="FD143" i="2" a="1"/>
  <c r="FD143" i="2" s="1"/>
  <c r="FD104" i="2" a="1"/>
  <c r="FD104" i="2" s="1"/>
  <c r="FY151" i="2" a="1"/>
  <c r="FY151" i="2" s="1"/>
  <c r="AH101" i="2" a="1"/>
  <c r="AH101" i="2" s="1"/>
  <c r="AH15" i="2" a="1"/>
  <c r="AH15" i="2" s="1"/>
  <c r="CS9" i="2" a="1"/>
  <c r="CS9" i="2" s="1"/>
  <c r="CS47" i="2" a="1"/>
  <c r="CS47" i="2" s="1"/>
  <c r="GT31" i="2" a="1"/>
  <c r="GT31" i="2" s="1"/>
  <c r="GT100" i="2" a="1"/>
  <c r="GT100" i="2" s="1"/>
  <c r="GT157" i="2" a="1"/>
  <c r="GT157" i="2" s="1"/>
  <c r="GT49" i="2" a="1"/>
  <c r="GT49" i="2" s="1"/>
  <c r="GT60" i="2" a="1"/>
  <c r="GT60" i="2" s="1"/>
  <c r="GT75" i="2" a="1"/>
  <c r="GT75" i="2" s="1"/>
  <c r="GT162" i="2" a="1"/>
  <c r="GT162" i="2" s="1"/>
  <c r="GT110" i="2" a="1"/>
  <c r="GT110" i="2" s="1"/>
  <c r="GT177" i="2" a="1"/>
  <c r="GT177" i="2" s="1"/>
  <c r="GT117" i="2" a="1"/>
  <c r="GT117" i="2" s="1"/>
  <c r="GT86" i="2" a="1"/>
  <c r="GT86" i="2" s="1"/>
  <c r="AH193" i="2" a="1"/>
  <c r="AH193" i="2" s="1"/>
  <c r="AH154" i="2" a="1"/>
  <c r="AH154" i="2" s="1"/>
  <c r="AH131" i="2" a="1"/>
  <c r="AH131" i="2" s="1"/>
  <c r="AH67" i="2" a="1"/>
  <c r="AH67" i="2" s="1"/>
  <c r="AH176" i="2" a="1"/>
  <c r="AH176" i="2" s="1"/>
  <c r="AH20" i="2" a="1"/>
  <c r="AH20" i="2" s="1"/>
  <c r="AH7" i="2" a="1"/>
  <c r="AH7" i="2" s="1"/>
  <c r="AI7" i="2" s="1"/>
  <c r="AH16" i="2" a="1"/>
  <c r="AH16" i="2" s="1"/>
  <c r="AH133" i="2" a="1"/>
  <c r="AH133" i="2" s="1"/>
  <c r="AH43" i="2" a="1"/>
  <c r="AH43" i="2" s="1"/>
  <c r="AH179" i="2" a="1"/>
  <c r="AH179" i="2" s="1"/>
  <c r="AH202" i="2" a="1"/>
  <c r="AH202" i="2" s="1"/>
  <c r="BX25" i="2" a="1"/>
  <c r="BX25" i="2" s="1"/>
  <c r="BX193" i="2" a="1"/>
  <c r="BX193" i="2" s="1"/>
  <c r="BX200" i="2" a="1"/>
  <c r="BX200" i="2" s="1"/>
  <c r="M18" i="2" a="1"/>
  <c r="M18" i="2" s="1"/>
  <c r="M16" i="2" a="1"/>
  <c r="M16" i="2" s="1"/>
  <c r="DN67" i="2" a="1"/>
  <c r="DN67" i="2" s="1"/>
  <c r="DN178" i="2" a="1"/>
  <c r="DN178" i="2" s="1"/>
  <c r="DN97" i="2" a="1"/>
  <c r="DN97" i="2" s="1"/>
  <c r="EI197" i="2" a="1"/>
  <c r="EI197" i="2" s="1"/>
  <c r="EI155" i="2" a="1"/>
  <c r="EI155" i="2" s="1"/>
  <c r="GT145" i="2" a="1"/>
  <c r="GT145" i="2" s="1"/>
  <c r="GT67" i="2" a="1"/>
  <c r="GT67" i="2" s="1"/>
  <c r="BC175" i="2" a="1"/>
  <c r="BC175" i="2" s="1"/>
  <c r="BC155" i="2" a="1"/>
  <c r="BC155" i="2" s="1"/>
  <c r="FD28" i="2" a="1"/>
  <c r="FD28" i="2" s="1"/>
  <c r="FD111" i="2" a="1"/>
  <c r="FD111" i="2" s="1"/>
  <c r="BX45" i="2" a="1"/>
  <c r="BX45" i="2" s="1"/>
  <c r="BX42" i="2" a="1"/>
  <c r="BX42" i="2" s="1"/>
  <c r="DN200" i="2" a="1"/>
  <c r="DN200" i="2" s="1"/>
  <c r="M169" i="2" a="1"/>
  <c r="M169" i="2" s="1"/>
  <c r="M7" i="2" a="1"/>
  <c r="M7" i="2" s="1"/>
  <c r="N7" i="2" s="1"/>
  <c r="DN196" i="2" a="1"/>
  <c r="DN196" i="2" s="1"/>
  <c r="DN182" i="2" a="1"/>
  <c r="DN182" i="2" s="1"/>
  <c r="EI51" i="2" a="1"/>
  <c r="EI51" i="2" s="1"/>
  <c r="EI84" i="2" a="1"/>
  <c r="EI84" i="2" s="1"/>
  <c r="GT81" i="2" a="1"/>
  <c r="GT81" i="2" s="1"/>
  <c r="CS124" i="2" a="1"/>
  <c r="CS124" i="2" s="1"/>
  <c r="BC45" i="2" a="1"/>
  <c r="BC45" i="2" s="1"/>
  <c r="BC61" i="2" a="1"/>
  <c r="BC61" i="2" s="1"/>
  <c r="FD58" i="2" a="1"/>
  <c r="FD58" i="2" s="1"/>
  <c r="FD112" i="2" a="1"/>
  <c r="FD112" i="2" s="1"/>
  <c r="FY21" i="2" a="1"/>
  <c r="FY21" i="2" s="1"/>
  <c r="FY75" i="2" a="1"/>
  <c r="FY75" i="2" s="1"/>
  <c r="AH184" i="2" a="1"/>
  <c r="AH184" i="2" s="1"/>
  <c r="AH77" i="2" a="1"/>
  <c r="AH77" i="2" s="1"/>
  <c r="CS93" i="2" a="1"/>
  <c r="CS93" i="2" s="1"/>
  <c r="BX154" i="2" a="1"/>
  <c r="BX154" i="2" s="1"/>
  <c r="BX78" i="2" a="1"/>
  <c r="BX78" i="2" s="1"/>
  <c r="BX189" i="2" a="1"/>
  <c r="BX189" i="2" s="1"/>
  <c r="M189" i="2" a="1"/>
  <c r="M189" i="2" s="1"/>
  <c r="M157" i="2" a="1"/>
  <c r="M157" i="2" s="1"/>
  <c r="DN175" i="2" a="1"/>
  <c r="DN175" i="2" s="1"/>
  <c r="DN32" i="2" a="1"/>
  <c r="DN32" i="2" s="1"/>
  <c r="DN85" i="2" a="1"/>
  <c r="DN85" i="2" s="1"/>
  <c r="EI192" i="2" a="1"/>
  <c r="EI192" i="2" s="1"/>
  <c r="EI95" i="2" a="1"/>
  <c r="EI95" i="2" s="1"/>
  <c r="GT42" i="2" a="1"/>
  <c r="GT42" i="2" s="1"/>
  <c r="GT125" i="2" a="1"/>
  <c r="GT125" i="2" s="1"/>
  <c r="BC127" i="2" a="1"/>
  <c r="BC127" i="2" s="1"/>
  <c r="BC9" i="2" a="1"/>
  <c r="BC9" i="2" s="1"/>
  <c r="FD39" i="2" a="1"/>
  <c r="FD39" i="2" s="1"/>
  <c r="FD36" i="2" a="1"/>
  <c r="FD36" i="2" s="1"/>
  <c r="FD152" i="2" a="1"/>
  <c r="FD152" i="2" s="1"/>
  <c r="FY17" i="2" a="1"/>
  <c r="FY17" i="2" s="1"/>
  <c r="CS16" i="2" a="1"/>
  <c r="CS16" i="2" s="1"/>
  <c r="AH194" i="2" a="1"/>
  <c r="AH194" i="2" s="1"/>
  <c r="M23" i="2" a="1"/>
  <c r="M23" i="2" s="1"/>
  <c r="M89" i="2" a="1"/>
  <c r="M89" i="2" s="1"/>
  <c r="M19" i="2" a="1"/>
  <c r="M19" i="2" s="1"/>
  <c r="M176" i="2" a="1"/>
  <c r="M176" i="2" s="1"/>
  <c r="M49" i="2" a="1"/>
  <c r="M49" i="2" s="1"/>
  <c r="M195" i="2" a="1"/>
  <c r="M195" i="2" s="1"/>
  <c r="M30" i="2" a="1"/>
  <c r="M30" i="2" s="1"/>
  <c r="M99" i="2" a="1"/>
  <c r="M99" i="2" s="1"/>
  <c r="CS64" i="2" a="1"/>
  <c r="CS64" i="2" s="1"/>
  <c r="DN157" i="2" a="1"/>
  <c r="DN157" i="2" s="1"/>
  <c r="BX144" i="2" a="1"/>
  <c r="BX144" i="2" s="1"/>
  <c r="BX178" i="2" a="1"/>
  <c r="BX178" i="2" s="1"/>
  <c r="BX32" i="2" a="1"/>
  <c r="BX32" i="2" s="1"/>
  <c r="M138" i="2" a="1"/>
  <c r="M138" i="2" s="1"/>
  <c r="M121" i="2" a="1"/>
  <c r="M121" i="2" s="1"/>
  <c r="DN13" i="2" a="1"/>
  <c r="DN13" i="2" s="1"/>
  <c r="DN125" i="2" a="1"/>
  <c r="DN125" i="2" s="1"/>
  <c r="DN161" i="2" a="1"/>
  <c r="DN161" i="2" s="1"/>
  <c r="EI85" i="2" a="1"/>
  <c r="EI85" i="2" s="1"/>
  <c r="EI15" i="2" a="1"/>
  <c r="EI15" i="2" s="1"/>
  <c r="GT170" i="2" a="1"/>
  <c r="GT170" i="2" s="1"/>
  <c r="GT54" i="2" a="1"/>
  <c r="GT54" i="2" s="1"/>
  <c r="DN48" i="2" a="1"/>
  <c r="DN48" i="2" s="1"/>
  <c r="BC40" i="2" a="1"/>
  <c r="BC40" i="2" s="1"/>
  <c r="FD88" i="2" a="1"/>
  <c r="FD88" i="2" s="1"/>
  <c r="FD34" i="2" a="1"/>
  <c r="FD34" i="2" s="1"/>
  <c r="FD91" i="2" a="1"/>
  <c r="FD91" i="2" s="1"/>
  <c r="FY33" i="2" a="1"/>
  <c r="FY33" i="2" s="1"/>
  <c r="FY39" i="2" a="1"/>
  <c r="FY39" i="2" s="1"/>
  <c r="AH161" i="2" a="1"/>
  <c r="AH161" i="2" s="1"/>
  <c r="AH114" i="2" a="1"/>
  <c r="AH114" i="2" s="1"/>
  <c r="CS202" i="2" a="1"/>
  <c r="CS202" i="2" s="1"/>
  <c r="GT163" i="2" a="1"/>
  <c r="GT163" i="2" s="1"/>
  <c r="BX183" i="2" a="1"/>
  <c r="BX183" i="2" s="1"/>
  <c r="BX33" i="2" a="1"/>
  <c r="BX33" i="2" s="1"/>
  <c r="M149" i="2" a="1"/>
  <c r="M149" i="2" s="1"/>
  <c r="M186" i="2" a="1"/>
  <c r="M186" i="2" s="1"/>
  <c r="M98" i="2" a="1"/>
  <c r="M98" i="2" s="1"/>
  <c r="DN169" i="2" a="1"/>
  <c r="DN169" i="2" s="1"/>
  <c r="DN81" i="2" a="1"/>
  <c r="DN81" i="2" s="1"/>
  <c r="FD142" i="2" a="1"/>
  <c r="FD142" i="2" s="1"/>
  <c r="EI40" i="2" a="1"/>
  <c r="EI40" i="2" s="1"/>
  <c r="EI65" i="2" a="1"/>
  <c r="EI65" i="2" s="1"/>
  <c r="GT88" i="2" a="1"/>
  <c r="GT88" i="2" s="1"/>
  <c r="GT199" i="2" a="1"/>
  <c r="GT199" i="2" s="1"/>
  <c r="BC150" i="2" a="1"/>
  <c r="BC150" i="2" s="1"/>
  <c r="BC60" i="2" a="1"/>
  <c r="BC60" i="2" s="1"/>
  <c r="FD32" i="2" a="1"/>
  <c r="FD32" i="2" s="1"/>
  <c r="FD54" i="2" a="1"/>
  <c r="FD54" i="2" s="1"/>
  <c r="FD117" i="2" a="1"/>
  <c r="FD117" i="2" s="1"/>
  <c r="FY192" i="2" a="1"/>
  <c r="FY192" i="2" s="1"/>
  <c r="AH141" i="2" a="1"/>
  <c r="AH141" i="2" s="1"/>
  <c r="AH175" i="2" a="1"/>
  <c r="AH175" i="2" s="1"/>
  <c r="EI55" i="2" a="1"/>
  <c r="EI55" i="2" s="1"/>
  <c r="EI176" i="2" a="1"/>
  <c r="EI176" i="2" s="1"/>
  <c r="EI193" i="2" a="1"/>
  <c r="EI193" i="2" s="1"/>
  <c r="EI39" i="2" a="1"/>
  <c r="EI39" i="2" s="1"/>
  <c r="EI171" i="2" a="1"/>
  <c r="EI171" i="2" s="1"/>
  <c r="EI22" i="2" a="1"/>
  <c r="EI22" i="2" s="1"/>
  <c r="EI202" i="2" a="1"/>
  <c r="EI202" i="2" s="1"/>
  <c r="BC170" i="2" a="1"/>
  <c r="BC170" i="2" s="1"/>
  <c r="BC154" i="2" a="1"/>
  <c r="BC154" i="2" s="1"/>
  <c r="BC52" i="2" a="1"/>
  <c r="BC52" i="2" s="1"/>
  <c r="BC200" i="2" a="1"/>
  <c r="BC200" i="2" s="1"/>
  <c r="BC147" i="2" a="1"/>
  <c r="BC147" i="2" s="1"/>
  <c r="BC189" i="2" a="1"/>
  <c r="BC189" i="2" s="1"/>
  <c r="BC89" i="2" a="1"/>
  <c r="BC89" i="2" s="1"/>
  <c r="BC187" i="2" a="1"/>
  <c r="BC187" i="2" s="1"/>
  <c r="BC93" i="2" a="1"/>
  <c r="BC93" i="2" s="1"/>
  <c r="BC104" i="2" a="1"/>
  <c r="BC104" i="2" s="1"/>
  <c r="BX24" i="2" a="1"/>
  <c r="BX24" i="2" s="1"/>
  <c r="BX188" i="2" a="1"/>
  <c r="BX188" i="2" s="1"/>
  <c r="M183" i="2" a="1"/>
  <c r="M183" i="2" s="1"/>
  <c r="M14" i="2" a="1"/>
  <c r="M14" i="2" s="1"/>
  <c r="CS82" i="2" a="1"/>
  <c r="CS82" i="2" s="1"/>
  <c r="DN173" i="2" a="1"/>
  <c r="DN173" i="2" s="1"/>
  <c r="DN72" i="2" a="1"/>
  <c r="DN72" i="2" s="1"/>
  <c r="BX140" i="2" a="1"/>
  <c r="BX140" i="2" s="1"/>
  <c r="EI148" i="2" a="1"/>
  <c r="EI148" i="2" s="1"/>
  <c r="EI12" i="2" a="1"/>
  <c r="EI12" i="2" s="1"/>
  <c r="GT53" i="2" a="1"/>
  <c r="GT53" i="2" s="1"/>
  <c r="GT77" i="2" a="1"/>
  <c r="GT77" i="2" s="1"/>
  <c r="BC148" i="2" a="1"/>
  <c r="BC148" i="2" s="1"/>
  <c r="BC77" i="2" a="1"/>
  <c r="BC77" i="2" s="1"/>
  <c r="FD158" i="2" a="1"/>
  <c r="FD158" i="2" s="1"/>
  <c r="FY70" i="2" a="1"/>
  <c r="FY70" i="2" s="1"/>
  <c r="AH75" i="2" a="1"/>
  <c r="AH75" i="2" s="1"/>
  <c r="AH88" i="2" a="1"/>
  <c r="AH88" i="2" s="1"/>
  <c r="DN82" i="2" a="1"/>
  <c r="DN82" i="2" s="1"/>
  <c r="M69" i="2" a="1"/>
  <c r="M69" i="2" s="1"/>
  <c r="FD203" i="2" a="1"/>
  <c r="FD203" i="2" s="1"/>
  <c r="FD20" i="2" a="1"/>
  <c r="FD20" i="2" s="1"/>
  <c r="FD87" i="2" a="1"/>
  <c r="FD87" i="2" s="1"/>
  <c r="FD198" i="2" a="1"/>
  <c r="FD198" i="2" s="1"/>
  <c r="FD92" i="2" a="1"/>
  <c r="FD92" i="2" s="1"/>
  <c r="FD37" i="2" a="1"/>
  <c r="FD37" i="2" s="1"/>
  <c r="FD53" i="2" a="1"/>
  <c r="FD53" i="2" s="1"/>
  <c r="FD90" i="2" a="1"/>
  <c r="FD90" i="2" s="1"/>
  <c r="FD122" i="2" a="1"/>
  <c r="FD122" i="2" s="1"/>
  <c r="FD151" i="2" a="1"/>
  <c r="FD151" i="2" s="1"/>
  <c r="FD191" i="2" a="1"/>
  <c r="FD191" i="2" s="1"/>
  <c r="FD147" i="2" a="1"/>
  <c r="FD147" i="2" s="1"/>
  <c r="FD26" i="2" a="1"/>
  <c r="FD26" i="2" s="1"/>
  <c r="FY203" i="2" a="1"/>
  <c r="FY203" i="2" s="1"/>
  <c r="FY88" i="2" a="1"/>
  <c r="FY88" i="2" s="1"/>
  <c r="FY127" i="2" a="1"/>
  <c r="FY127" i="2" s="1"/>
  <c r="FY136" i="2" a="1"/>
  <c r="FY136" i="2" s="1"/>
  <c r="FY184" i="2" a="1"/>
  <c r="FY184" i="2" s="1"/>
  <c r="FY46" i="2" a="1"/>
  <c r="FY46" i="2" s="1"/>
  <c r="FY131" i="2" a="1"/>
  <c r="FY131" i="2" s="1"/>
  <c r="FY60" i="2" a="1"/>
  <c r="FY60" i="2" s="1"/>
  <c r="FY197" i="2" a="1"/>
  <c r="FY197" i="2" s="1"/>
  <c r="FY154" i="2" a="1"/>
  <c r="FY154" i="2" s="1"/>
  <c r="FY163" i="2" a="1"/>
  <c r="FY163" i="2" s="1"/>
  <c r="FY181" i="2" a="1"/>
  <c r="FY181" i="2" s="1"/>
  <c r="FY31" i="2" a="1"/>
  <c r="FY31" i="2" s="1"/>
  <c r="DN91" i="2" a="1"/>
  <c r="DN91" i="2" s="1"/>
  <c r="GT129" i="2" a="1"/>
  <c r="GT129" i="2" s="1"/>
  <c r="GT93" i="2" a="1"/>
  <c r="GT93" i="2" s="1"/>
  <c r="GT34" i="2" a="1"/>
  <c r="GT34" i="2" s="1"/>
  <c r="GT112" i="2" a="1"/>
  <c r="GT112" i="2" s="1"/>
  <c r="GT28" i="2" a="1"/>
  <c r="GT28" i="2" s="1"/>
  <c r="GT85" i="2" a="1"/>
  <c r="GT85" i="2" s="1"/>
  <c r="GT169" i="2" a="1"/>
  <c r="GT169" i="2" s="1"/>
  <c r="GT188" i="2" a="1"/>
  <c r="GT188" i="2" s="1"/>
  <c r="GT135" i="2" a="1"/>
  <c r="GT135" i="2" s="1"/>
  <c r="GT87" i="2" a="1"/>
  <c r="GT87" i="2" s="1"/>
  <c r="GT146" i="2" a="1"/>
  <c r="GT146" i="2" s="1"/>
  <c r="AH145" i="2" a="1"/>
  <c r="AH145" i="2" s="1"/>
  <c r="AH182" i="2" a="1"/>
  <c r="AH182" i="2" s="1"/>
  <c r="AH177" i="2" a="1"/>
  <c r="AH177" i="2" s="1"/>
  <c r="AH116" i="2" a="1"/>
  <c r="AH116" i="2" s="1"/>
  <c r="AH112" i="2" a="1"/>
  <c r="AH112" i="2" s="1"/>
  <c r="AH158" i="2" a="1"/>
  <c r="AH158" i="2" s="1"/>
  <c r="AH94" i="2" a="1"/>
  <c r="AH94" i="2" s="1"/>
  <c r="AH139" i="2" a="1"/>
  <c r="AH139" i="2" s="1"/>
  <c r="AH109" i="2" a="1"/>
  <c r="AH109" i="2" s="1"/>
  <c r="AH12" i="2" a="1"/>
  <c r="AH12" i="2" s="1"/>
  <c r="AH60" i="2" a="1"/>
  <c r="AH60" i="2" s="1"/>
  <c r="BC140" i="2" a="1"/>
  <c r="BC140" i="2" s="1"/>
  <c r="BX87" i="2" a="1"/>
  <c r="BX87" i="2" s="1"/>
  <c r="BX135" i="2" a="1"/>
  <c r="BX135" i="2" s="1"/>
  <c r="CS54" i="2" a="1"/>
  <c r="CS54" i="2" s="1"/>
  <c r="M168" i="2" a="1"/>
  <c r="M168" i="2" s="1"/>
  <c r="M117" i="2" a="1"/>
  <c r="M117" i="2" s="1"/>
  <c r="DN76" i="2" a="1"/>
  <c r="DN76" i="2" s="1"/>
  <c r="DN197" i="2" a="1"/>
  <c r="DN197" i="2" s="1"/>
  <c r="CS85" i="2" a="1"/>
  <c r="CS85" i="2" s="1"/>
  <c r="EI10" i="2" a="1"/>
  <c r="EI10" i="2" s="1"/>
  <c r="EI117" i="2" a="1"/>
  <c r="EI117" i="2" s="1"/>
  <c r="GT7" i="2" a="1"/>
  <c r="GT7" i="2" s="1"/>
  <c r="GU7" i="2" s="1"/>
  <c r="GT108" i="2" a="1"/>
  <c r="GT108" i="2" s="1"/>
  <c r="BC184" i="2" a="1"/>
  <c r="BC184" i="2" s="1"/>
  <c r="BC50" i="2" a="1"/>
  <c r="BC50" i="2" s="1"/>
  <c r="FD63" i="2" a="1"/>
  <c r="FD63" i="2" s="1"/>
  <c r="FD154" i="2" a="1"/>
  <c r="FD154" i="2" s="1"/>
  <c r="BX121" i="2" a="1"/>
  <c r="BX121" i="2" s="1"/>
  <c r="BX131" i="2" a="1"/>
  <c r="BX131" i="2" s="1"/>
  <c r="BX145" i="2" a="1"/>
  <c r="BX145" i="2" s="1"/>
  <c r="M150" i="2" a="1"/>
  <c r="M150" i="2" s="1"/>
  <c r="M119" i="2" a="1"/>
  <c r="M119" i="2" s="1"/>
  <c r="BX168" i="2" a="1"/>
  <c r="BX168" i="2" s="1"/>
  <c r="DN10" i="2" a="1"/>
  <c r="DN10" i="2" s="1"/>
  <c r="DN174" i="2" a="1"/>
  <c r="DN174" i="2" s="1"/>
  <c r="CS37" i="2" a="1"/>
  <c r="CS37" i="2" s="1"/>
  <c r="EI17" i="2" a="1"/>
  <c r="EI17" i="2" s="1"/>
  <c r="EI54" i="2" a="1"/>
  <c r="EI54" i="2" s="1"/>
  <c r="GT73" i="2" a="1"/>
  <c r="GT73" i="2" s="1"/>
  <c r="CS31" i="2" a="1"/>
  <c r="CS31" i="2" s="1"/>
  <c r="BC199" i="2" a="1"/>
  <c r="BC199" i="2" s="1"/>
  <c r="FD156" i="2" a="1"/>
  <c r="FD156" i="2" s="1"/>
  <c r="FD24" i="2" a="1"/>
  <c r="FD24" i="2" s="1"/>
  <c r="FD41" i="2" a="1"/>
  <c r="FD41" i="2" s="1"/>
  <c r="FY38" i="2" a="1"/>
  <c r="FY38" i="2" s="1"/>
  <c r="FY100" i="2" a="1"/>
  <c r="FY100" i="2" s="1"/>
  <c r="AH115" i="2" a="1"/>
  <c r="AH115" i="2" s="1"/>
  <c r="AH61" i="2" a="1"/>
  <c r="AH61" i="2" s="1"/>
  <c r="AH31" i="2" a="1"/>
  <c r="AH31" i="2" s="1"/>
  <c r="BX173" i="2" a="1"/>
  <c r="BX173" i="2" s="1"/>
  <c r="BX14" i="2" a="1"/>
  <c r="BX14" i="2" s="1"/>
  <c r="CS78" i="2" a="1"/>
  <c r="CS78" i="2" s="1"/>
  <c r="M132" i="2" a="1"/>
  <c r="M132" i="2" s="1"/>
  <c r="M114" i="2" a="1"/>
  <c r="M114" i="2" s="1"/>
  <c r="DN34" i="2" a="1"/>
  <c r="DN34" i="2" s="1"/>
  <c r="DN163" i="2" a="1"/>
  <c r="DN163" i="2" s="1"/>
  <c r="BX138" i="2" a="1"/>
  <c r="BX138" i="2" s="1"/>
  <c r="EI174" i="2" a="1"/>
  <c r="EI174" i="2" s="1"/>
  <c r="EI127" i="2" a="1"/>
  <c r="EI127" i="2" s="1"/>
  <c r="GT195" i="2" a="1"/>
  <c r="GT195" i="2" s="1"/>
  <c r="GT116" i="2" a="1"/>
  <c r="GT116" i="2" s="1"/>
  <c r="BC107" i="2" a="1"/>
  <c r="BC107" i="2" s="1"/>
  <c r="BC195" i="2" a="1"/>
  <c r="BC195" i="2" s="1"/>
  <c r="FD140" i="2" a="1"/>
  <c r="FD140" i="2" s="1"/>
  <c r="FD146" i="2" a="1"/>
  <c r="FD146" i="2" s="1"/>
  <c r="FD178" i="2" a="1"/>
  <c r="FD178" i="2" s="1"/>
  <c r="FY161" i="2" a="1"/>
  <c r="FY161" i="2" s="1"/>
  <c r="DN144" i="2" a="1"/>
  <c r="DN144" i="2" s="1"/>
  <c r="AH82" i="2" a="1"/>
  <c r="AH82" i="2" s="1"/>
  <c r="M64" i="2" a="1"/>
  <c r="M64" i="2" s="1"/>
  <c r="M130" i="2" a="1"/>
  <c r="M130" i="2" s="1"/>
  <c r="M142" i="2" a="1"/>
  <c r="M142" i="2" s="1"/>
  <c r="M42" i="2" a="1"/>
  <c r="M42" i="2" s="1"/>
  <c r="M155" i="2" a="1"/>
  <c r="M155" i="2" s="1"/>
  <c r="M10" i="2" a="1"/>
  <c r="M10" i="2" s="1"/>
  <c r="M109" i="2" a="1"/>
  <c r="M109" i="2" s="1"/>
  <c r="M129" i="2" a="1"/>
  <c r="M129" i="2" s="1"/>
  <c r="BX102" i="2" a="1"/>
  <c r="BX102" i="2" s="1"/>
  <c r="BX16" i="2" a="1"/>
  <c r="BX16" i="2" s="1"/>
  <c r="BX26" i="2" a="1"/>
  <c r="BX26" i="2" s="1"/>
  <c r="BX44" i="2" a="1"/>
  <c r="BX44" i="2" s="1"/>
  <c r="M95" i="2" a="1"/>
  <c r="M95" i="2" s="1"/>
  <c r="M54" i="2" a="1"/>
  <c r="M54" i="2" s="1"/>
  <c r="DN108" i="2" a="1"/>
  <c r="DN108" i="2" s="1"/>
  <c r="DN120" i="2" a="1"/>
  <c r="DN120" i="2" s="1"/>
  <c r="BX192" i="2" a="1"/>
  <c r="BX192" i="2" s="1"/>
  <c r="EI47" i="2" a="1"/>
  <c r="EI47" i="2" s="1"/>
  <c r="EI94" i="2" a="1"/>
  <c r="EI94" i="2" s="1"/>
  <c r="GT153" i="2" a="1"/>
  <c r="GT153" i="2" s="1"/>
  <c r="GT22" i="2" a="1"/>
  <c r="GT22" i="2" s="1"/>
  <c r="BC201" i="2" a="1"/>
  <c r="BC201" i="2" s="1"/>
  <c r="BC46" i="2" a="1"/>
  <c r="BC46" i="2" s="1"/>
  <c r="FD177" i="2" a="1"/>
  <c r="FD177" i="2" s="1"/>
  <c r="FD84" i="2" a="1"/>
  <c r="FD84" i="2" s="1"/>
  <c r="FD165" i="2" a="1"/>
  <c r="FD165" i="2" s="1"/>
  <c r="FY87" i="2" a="1"/>
  <c r="FY87" i="2" s="1"/>
  <c r="FY194" i="2" a="1"/>
  <c r="FY194" i="2" s="1"/>
  <c r="AH45" i="2" a="1"/>
  <c r="AH45" i="2" s="1"/>
  <c r="AH181" i="2" a="1"/>
  <c r="AH181" i="2" s="1"/>
  <c r="DN140" i="2" a="1"/>
  <c r="DN140" i="2" s="1"/>
  <c r="BX133" i="2" a="1"/>
  <c r="BX133" i="2" s="1"/>
  <c r="BX181" i="2" a="1"/>
  <c r="BX181" i="2" s="1"/>
  <c r="BX60" i="2" a="1"/>
  <c r="BX60" i="2" s="1"/>
  <c r="M70" i="2" a="1"/>
  <c r="M70" i="2" s="1"/>
  <c r="M144" i="2" a="1"/>
  <c r="M144" i="2" s="1"/>
  <c r="CS119" i="2" a="1"/>
  <c r="CS119" i="2" s="1"/>
  <c r="DN104" i="2" a="1"/>
  <c r="DN104" i="2" s="1"/>
  <c r="DN111" i="2" a="1"/>
  <c r="DN111" i="2" s="1"/>
  <c r="CS187" i="2" a="1"/>
  <c r="CS187" i="2" s="1"/>
  <c r="EI149" i="2" a="1"/>
  <c r="EI149" i="2" s="1"/>
  <c r="EI172" i="2" a="1"/>
  <c r="EI172" i="2" s="1"/>
  <c r="GT20" i="2" a="1"/>
  <c r="GT20" i="2" s="1"/>
  <c r="GT151" i="2" a="1"/>
  <c r="GT151" i="2" s="1"/>
  <c r="BC182" i="2" a="1"/>
  <c r="BC182" i="2" s="1"/>
  <c r="BC125" i="2" a="1"/>
  <c r="BC125" i="2" s="1"/>
  <c r="FD164" i="2" a="1"/>
  <c r="FD164" i="2" s="1"/>
  <c r="FD9" i="2" a="1"/>
  <c r="FD9" i="2" s="1"/>
  <c r="FD179" i="2" a="1"/>
  <c r="FD179" i="2" s="1"/>
  <c r="FY81" i="2" a="1"/>
  <c r="FY81" i="2" s="1"/>
  <c r="AH170" i="2" a="1"/>
  <c r="AH170" i="2" s="1"/>
  <c r="EI41" i="2" a="1"/>
  <c r="EI41" i="2" s="1"/>
  <c r="EI78" i="2" a="1"/>
  <c r="EI78" i="2" s="1"/>
  <c r="EI144" i="2" a="1"/>
  <c r="EI144" i="2" s="1"/>
  <c r="EI25" i="2" a="1"/>
  <c r="EI25" i="2" s="1"/>
  <c r="EI118" i="2" a="1"/>
  <c r="EI118" i="2" s="1"/>
  <c r="EI9" i="2" a="1"/>
  <c r="EI9" i="2" s="1"/>
  <c r="EI23" i="2" a="1"/>
  <c r="EI23" i="2" s="1"/>
  <c r="BC8" i="2" a="1"/>
  <c r="BC8" i="2" s="1"/>
  <c r="BC139" i="2" a="1"/>
  <c r="BC139" i="2" s="1"/>
  <c r="BC180" i="2" a="1"/>
  <c r="BC180" i="2" s="1"/>
  <c r="BC176" i="2" a="1"/>
  <c r="BC176" i="2" s="1"/>
  <c r="BC144" i="2" a="1"/>
  <c r="BC144" i="2" s="1"/>
  <c r="BC41" i="2" a="1"/>
  <c r="BC41" i="2" s="1"/>
  <c r="BC168" i="2" a="1"/>
  <c r="BC168" i="2" s="1"/>
  <c r="BC115" i="2" a="1"/>
  <c r="BC115" i="2" s="1"/>
  <c r="BC197" i="2" a="1"/>
  <c r="BC197" i="2" s="1"/>
  <c r="BC116" i="2" a="1"/>
  <c r="BC116" i="2" s="1"/>
  <c r="BC111" i="2" a="1"/>
  <c r="BC111" i="2" s="1"/>
  <c r="BX139" i="2" a="1"/>
  <c r="BX139" i="2" s="1"/>
  <c r="BX124" i="2" a="1"/>
  <c r="BX124" i="2" s="1"/>
  <c r="BX128" i="2" a="1"/>
  <c r="BX128" i="2" s="1"/>
  <c r="M143" i="2" a="1"/>
  <c r="M143" i="2" s="1"/>
  <c r="M34" i="2" a="1"/>
  <c r="M34" i="2" s="1"/>
  <c r="CS67" i="2" a="1"/>
  <c r="CS67" i="2" s="1"/>
  <c r="DN35" i="2" a="1"/>
  <c r="DN35" i="2" s="1"/>
  <c r="DN99" i="2" a="1"/>
  <c r="DN99" i="2" s="1"/>
  <c r="CS49" i="2" a="1"/>
  <c r="CS49" i="2" s="1"/>
  <c r="EI182" i="2" a="1"/>
  <c r="EI182" i="2" s="1"/>
  <c r="EI86" i="2" a="1"/>
  <c r="EI86" i="2" s="1"/>
  <c r="GT113" i="2" a="1"/>
  <c r="GT113" i="2" s="1"/>
  <c r="BX74" i="2" a="1"/>
  <c r="BX74" i="2" s="1"/>
  <c r="BC16" i="2" a="1"/>
  <c r="BC16" i="2" s="1"/>
  <c r="FD10" i="2" a="1"/>
  <c r="FD10" i="2" s="1"/>
  <c r="FD181" i="2" a="1"/>
  <c r="FD181" i="2" s="1"/>
  <c r="FD116" i="2" a="1"/>
  <c r="FD116" i="2" s="1"/>
  <c r="FY185" i="2" a="1"/>
  <c r="FY185" i="2" s="1"/>
  <c r="FY96" i="2" a="1"/>
  <c r="FY96" i="2" s="1"/>
  <c r="AH47" i="2" a="1"/>
  <c r="AH47" i="2" s="1"/>
  <c r="AH72" i="2" a="1"/>
  <c r="AH72" i="2" s="1"/>
  <c r="DN95" i="2" a="1"/>
  <c r="DN95" i="2" s="1"/>
  <c r="FY13" i="2" a="1"/>
  <c r="FY13" i="2" s="1"/>
  <c r="CS36" i="2" a="1"/>
  <c r="CS36" i="2" s="1"/>
  <c r="FY15" i="2" a="1"/>
  <c r="FY15" i="2" s="1"/>
  <c r="DN121" i="2" a="1"/>
  <c r="DN121" i="2" s="1"/>
  <c r="GT114" i="2" a="1"/>
  <c r="GT114" i="2" s="1"/>
  <c r="GT61" i="2" a="1"/>
  <c r="GT61" i="2" s="1"/>
  <c r="GT99" i="2" a="1"/>
  <c r="GT99" i="2" s="1"/>
  <c r="GT97" i="2" a="1"/>
  <c r="GT97" i="2" s="1"/>
  <c r="GT159" i="2" a="1"/>
  <c r="GT159" i="2" s="1"/>
  <c r="GT200" i="2" a="1"/>
  <c r="GT200" i="2" s="1"/>
  <c r="GT193" i="2" a="1"/>
  <c r="GT193" i="2" s="1"/>
  <c r="GT96" i="2" a="1"/>
  <c r="GT96" i="2" s="1"/>
  <c r="GT168" i="2" a="1"/>
  <c r="GT168" i="2" s="1"/>
  <c r="GT43" i="2" a="1"/>
  <c r="GT43" i="2" s="1"/>
  <c r="GT187" i="2" a="1"/>
  <c r="GT187" i="2" s="1"/>
  <c r="AH58" i="2" a="1"/>
  <c r="AH58" i="2" s="1"/>
  <c r="AH129" i="2" a="1"/>
  <c r="AH129" i="2" s="1"/>
  <c r="AH200" i="2" a="1"/>
  <c r="AH200" i="2" s="1"/>
  <c r="AH86" i="2" a="1"/>
  <c r="AH86" i="2" s="1"/>
  <c r="AH42" i="2" a="1"/>
  <c r="AH42" i="2" s="1"/>
  <c r="AH126" i="2" a="1"/>
  <c r="AH126" i="2" s="1"/>
  <c r="AH48" i="2" a="1"/>
  <c r="AH48" i="2" s="1"/>
  <c r="AH134" i="2" a="1"/>
  <c r="AH134" i="2" s="1"/>
  <c r="AH25" i="2" a="1"/>
  <c r="AH25" i="2" s="1"/>
  <c r="AH165" i="2" a="1"/>
  <c r="AH165" i="2" s="1"/>
  <c r="AH74" i="2" a="1"/>
  <c r="AH74" i="2" s="1"/>
  <c r="BX143" i="2" a="1"/>
  <c r="BX143" i="2" s="1"/>
  <c r="BX70" i="2" a="1"/>
  <c r="BX70" i="2" s="1"/>
  <c r="BX105" i="2" a="1"/>
  <c r="BX105" i="2" s="1"/>
  <c r="DN195" i="2" a="1"/>
  <c r="DN195" i="2" s="1"/>
  <c r="M193" i="2" a="1"/>
  <c r="M193" i="2" s="1"/>
  <c r="M158" i="2" a="1"/>
  <c r="M158" i="2" s="1"/>
  <c r="DN78" i="2" a="1"/>
  <c r="DN78" i="2" s="1"/>
  <c r="DN193" i="2" a="1"/>
  <c r="DN193" i="2" s="1"/>
  <c r="CS79" i="2" a="1"/>
  <c r="CS79" i="2" s="1"/>
  <c r="EI43" i="2" a="1"/>
  <c r="EI43" i="2" s="1"/>
  <c r="EI173" i="2" a="1"/>
  <c r="EI173" i="2" s="1"/>
  <c r="GT37" i="2" a="1"/>
  <c r="GT37" i="2" s="1"/>
  <c r="GT118" i="2" a="1"/>
  <c r="GT118" i="2" s="1"/>
  <c r="BC158" i="2" a="1"/>
  <c r="BC158" i="2" s="1"/>
  <c r="BC161" i="2" a="1"/>
  <c r="BC161" i="2" s="1"/>
  <c r="FD108" i="2" a="1"/>
  <c r="FD108" i="2" s="1"/>
  <c r="FD80" i="2" a="1"/>
  <c r="FD80" i="2" s="1"/>
  <c r="BX40" i="2" a="1"/>
  <c r="BX40" i="2" s="1"/>
  <c r="BX47" i="2" a="1"/>
  <c r="BX47" i="2" s="1"/>
  <c r="BX160" i="2" a="1"/>
  <c r="BX160" i="2" s="1"/>
  <c r="M36" i="2" a="1"/>
  <c r="M36" i="2" s="1"/>
  <c r="M37" i="2" a="1"/>
  <c r="M37" i="2" s="1"/>
  <c r="CS184" i="2" a="1"/>
  <c r="CS184" i="2" s="1"/>
  <c r="DN98" i="2" a="1"/>
  <c r="DN98" i="2" s="1"/>
  <c r="DN61" i="2" a="1"/>
  <c r="DN61" i="2" s="1"/>
  <c r="CS102" i="2" a="1"/>
  <c r="CS102" i="2" s="1"/>
  <c r="EI30" i="2" a="1"/>
  <c r="EI30" i="2" s="1"/>
  <c r="EI185" i="2" a="1"/>
  <c r="EI185" i="2" s="1"/>
  <c r="GT70" i="2" a="1"/>
  <c r="GT70" i="2" s="1"/>
  <c r="AA203" i="2"/>
  <c r="BC23" i="2" a="1"/>
  <c r="BC23" i="2" s="1"/>
  <c r="FD25" i="2" a="1"/>
  <c r="FD25" i="2" s="1"/>
  <c r="FD121" i="2" a="1"/>
  <c r="FD121" i="2" s="1"/>
  <c r="FD197" i="2" a="1"/>
  <c r="FD197" i="2" s="1"/>
  <c r="FY25" i="2" a="1"/>
  <c r="FY25" i="2" s="1"/>
  <c r="FD134" i="2" a="1"/>
  <c r="FD134" i="2" s="1"/>
  <c r="AH65" i="2" a="1"/>
  <c r="AH65" i="2" s="1"/>
  <c r="AH84" i="2" a="1"/>
  <c r="AH84" i="2" s="1"/>
  <c r="BX185" i="2" a="1"/>
  <c r="BX185" i="2" s="1"/>
  <c r="BX19" i="2" a="1"/>
  <c r="BX19" i="2" s="1"/>
  <c r="CS143" i="2" a="1"/>
  <c r="CS143" i="2" s="1"/>
  <c r="M108" i="2" a="1"/>
  <c r="M108" i="2" s="1"/>
  <c r="M125" i="2" a="1"/>
  <c r="M125" i="2" s="1"/>
  <c r="DN51" i="2" a="1"/>
  <c r="DN51" i="2" s="1"/>
  <c r="DN22" i="2" a="1"/>
  <c r="DN22" i="2" s="1"/>
  <c r="CS178" i="2" a="1"/>
  <c r="CS178" i="2" s="1"/>
  <c r="EI61" i="2" a="1"/>
  <c r="EI61" i="2" s="1"/>
  <c r="EI97" i="2" a="1"/>
  <c r="EI97" i="2" s="1"/>
  <c r="GT26" i="2" a="1"/>
  <c r="GT26" i="2" s="1"/>
  <c r="GT176" i="2" a="1"/>
  <c r="GT176" i="2" s="1"/>
  <c r="BC35" i="2" a="1"/>
  <c r="BC35" i="2" s="1"/>
  <c r="BC99" i="2" a="1"/>
  <c r="BC99" i="2" s="1"/>
  <c r="FD180" i="2" a="1"/>
  <c r="FD180" i="2" s="1"/>
  <c r="FD96" i="2" a="1"/>
  <c r="FD96" i="2" s="1"/>
  <c r="FD153" i="2" a="1"/>
  <c r="FD153" i="2" s="1"/>
  <c r="FY97" i="2" a="1"/>
  <c r="FY97" i="2" s="1"/>
  <c r="AH191" i="2" a="1"/>
  <c r="AH191" i="2" s="1"/>
  <c r="AH93" i="2" a="1"/>
  <c r="AH93" i="2" s="1"/>
  <c r="M20" i="2" a="1"/>
  <c r="M20" i="2" s="1"/>
  <c r="M71" i="2" a="1"/>
  <c r="M71" i="2" s="1"/>
  <c r="M188" i="2" a="1"/>
  <c r="M188" i="2" s="1"/>
  <c r="M120" i="2" a="1"/>
  <c r="M120" i="2" s="1"/>
  <c r="M9" i="2" a="1"/>
  <c r="M9" i="2" s="1"/>
  <c r="M79" i="2" a="1"/>
  <c r="M79" i="2" s="1"/>
  <c r="M105" i="2" a="1"/>
  <c r="M105" i="2" s="1"/>
  <c r="M172" i="2" a="1"/>
  <c r="M172" i="2" s="1"/>
  <c r="CS201" i="2" a="1"/>
  <c r="CS201" i="2" s="1"/>
  <c r="AH71" i="2" a="1"/>
  <c r="AH71" i="2" s="1"/>
  <c r="BX64" i="2" a="1"/>
  <c r="BX64" i="2" s="1"/>
  <c r="BX22" i="2" a="1"/>
  <c r="BX22" i="2" s="1"/>
  <c r="CS111" i="2" a="1"/>
  <c r="CS111" i="2" s="1"/>
  <c r="M60" i="2" a="1"/>
  <c r="M60" i="2" s="1"/>
  <c r="DN21" i="2" a="1"/>
  <c r="DN21" i="2" s="1"/>
  <c r="DN60" i="2" a="1"/>
  <c r="DN60" i="2" s="1"/>
  <c r="CS152" i="2" a="1"/>
  <c r="CS152" i="2" s="1"/>
  <c r="EI179" i="2" a="1"/>
  <c r="EI179" i="2" s="1"/>
  <c r="EI140" i="2" a="1"/>
  <c r="EI140" i="2" s="1"/>
  <c r="GT194" i="2" a="1"/>
  <c r="GT194" i="2" s="1"/>
  <c r="GT171" i="2" a="1"/>
  <c r="GT171" i="2" s="1"/>
  <c r="BC79" i="2" a="1"/>
  <c r="BC79" i="2" s="1"/>
  <c r="BC51" i="2" a="1"/>
  <c r="BC51" i="2" s="1"/>
  <c r="FD128" i="2" a="1"/>
  <c r="FD128" i="2" s="1"/>
  <c r="FD38" i="2" a="1"/>
  <c r="FD38" i="2" s="1"/>
  <c r="FD71" i="2" a="1"/>
  <c r="FD71" i="2" s="1"/>
  <c r="FY84" i="2" a="1"/>
  <c r="FY84" i="2" s="1"/>
  <c r="BX169" i="2" a="1"/>
  <c r="BX169" i="2" s="1"/>
  <c r="AH18" i="2" a="1"/>
  <c r="AH18" i="2" s="1"/>
  <c r="CS168" i="2" a="1"/>
  <c r="CS168" i="2" s="1"/>
  <c r="DN183" i="2" a="1"/>
  <c r="DN183" i="2" s="1"/>
  <c r="BX114" i="2" a="1"/>
  <c r="BX114" i="2" s="1"/>
  <c r="BX108" i="2" a="1"/>
  <c r="BX108" i="2" s="1"/>
  <c r="BX52" i="2" a="1"/>
  <c r="BX52" i="2" s="1"/>
  <c r="M94" i="2" a="1"/>
  <c r="M94" i="2" s="1"/>
  <c r="M8" i="2" a="1"/>
  <c r="M8" i="2" s="1"/>
  <c r="CS14" i="2" a="1"/>
  <c r="CS14" i="2" s="1"/>
  <c r="DN15" i="2" a="1"/>
  <c r="DN15" i="2" s="1"/>
  <c r="DN199" i="2" a="1"/>
  <c r="DN199" i="2" s="1"/>
  <c r="CS182" i="2" a="1"/>
  <c r="CS182" i="2" s="1"/>
  <c r="EI199" i="2" a="1"/>
  <c r="EI199" i="2" s="1"/>
  <c r="EI194" i="2" a="1"/>
  <c r="EI194" i="2" s="1"/>
  <c r="GT55" i="2" a="1"/>
  <c r="GT55" i="2" s="1"/>
  <c r="BX148" i="2" a="1"/>
  <c r="BX148" i="2" s="1"/>
  <c r="BC167" i="2" a="1"/>
  <c r="BC167" i="2" s="1"/>
  <c r="BC95" i="2" a="1"/>
  <c r="BC95" i="2" s="1"/>
  <c r="FD150" i="2" a="1"/>
  <c r="FD150" i="2" s="1"/>
  <c r="FD13" i="2" a="1"/>
  <c r="FD13" i="2" s="1"/>
  <c r="FY56" i="2" a="1"/>
  <c r="FY56" i="2" s="1"/>
  <c r="FY43" i="2" a="1"/>
  <c r="FY43" i="2" s="1"/>
  <c r="AH107" i="2" a="1"/>
  <c r="AH107" i="2" s="1"/>
  <c r="EI89" i="2" a="1"/>
  <c r="EI89" i="2" s="1"/>
  <c r="EI60" i="2" a="1"/>
  <c r="EI60" i="2" s="1"/>
  <c r="EI63" i="2" a="1"/>
  <c r="EI63" i="2" s="1"/>
  <c r="EI82" i="2" a="1"/>
  <c r="EI82" i="2" s="1"/>
  <c r="EI141" i="2" a="1"/>
  <c r="EI141" i="2" s="1"/>
  <c r="EI187" i="2" a="1"/>
  <c r="EI187" i="2" s="1"/>
  <c r="EI13" i="2" a="1"/>
  <c r="EI13" i="2" s="1"/>
  <c r="EI175" i="2" a="1"/>
  <c r="EI175" i="2" s="1"/>
  <c r="BC135" i="2" a="1"/>
  <c r="BC135" i="2" s="1"/>
  <c r="BC103" i="2" a="1"/>
  <c r="BC103" i="2" s="1"/>
  <c r="BC14" i="2" a="1"/>
  <c r="BC14" i="2" s="1"/>
  <c r="BC73" i="2" a="1"/>
  <c r="BC73" i="2" s="1"/>
  <c r="BC88" i="2" a="1"/>
  <c r="BC88" i="2" s="1"/>
  <c r="BC119" i="2" a="1"/>
  <c r="BC119" i="2" s="1"/>
  <c r="BC129" i="2" a="1"/>
  <c r="BC129" i="2" s="1"/>
  <c r="BC90" i="2" a="1"/>
  <c r="BC90" i="2" s="1"/>
  <c r="BC178" i="2" a="1"/>
  <c r="BC178" i="2" s="1"/>
  <c r="BC20" i="2" a="1"/>
  <c r="BC20" i="2" s="1"/>
  <c r="BC162" i="2" a="1"/>
  <c r="BC162" i="2" s="1"/>
  <c r="BX71" i="2" a="1"/>
  <c r="BX71" i="2" s="1"/>
  <c r="BX98" i="2" a="1"/>
  <c r="BX98" i="2" s="1"/>
  <c r="BX161" i="2" a="1"/>
  <c r="BX161" i="2" s="1"/>
  <c r="M28" i="2" a="1"/>
  <c r="M28" i="2" s="1"/>
  <c r="M41" i="2" a="1"/>
  <c r="M41" i="2" s="1"/>
  <c r="DN201" i="2" a="1"/>
  <c r="DN201" i="2" s="1"/>
  <c r="DN24" i="2" a="1"/>
  <c r="DN24" i="2" s="1"/>
  <c r="DN181" i="2" a="1"/>
  <c r="DN181" i="2" s="1"/>
  <c r="DN23" i="2" a="1"/>
  <c r="DN23" i="2" s="1"/>
  <c r="EI189" i="2" a="1"/>
  <c r="EI189" i="2" s="1"/>
  <c r="EI147" i="2" a="1"/>
  <c r="EI147" i="2" s="1"/>
  <c r="GT196" i="2" a="1"/>
  <c r="GT196" i="2" s="1"/>
  <c r="CS88" i="2" a="1"/>
  <c r="CS88" i="2" s="1"/>
  <c r="BC24" i="2" a="1"/>
  <c r="BC24" i="2" s="1"/>
  <c r="FD74" i="2" a="1"/>
  <c r="FD74" i="2" s="1"/>
  <c r="FD31" i="2" a="1"/>
  <c r="FD31" i="2" s="1"/>
  <c r="FD50" i="2" a="1"/>
  <c r="FD50" i="2" s="1"/>
  <c r="FY83" i="2" a="1"/>
  <c r="FY83" i="2" s="1"/>
  <c r="FY94" i="2" a="1"/>
  <c r="FY94" i="2" s="1"/>
  <c r="AH59" i="2" a="1"/>
  <c r="AH59" i="2" s="1"/>
  <c r="AH98" i="2" a="1"/>
  <c r="AH98" i="2" s="1"/>
  <c r="DN106" i="2" a="1"/>
  <c r="DN106" i="2" s="1"/>
  <c r="AH127" i="2" a="1"/>
  <c r="AH127" i="2" s="1"/>
  <c r="GT137" i="2" a="1"/>
  <c r="GT137" i="2" s="1"/>
  <c r="GT154" i="2" a="1"/>
  <c r="GT154" i="2" s="1"/>
  <c r="GT95" i="2" a="1"/>
  <c r="GT95" i="2" s="1"/>
  <c r="GT13" i="2" a="1"/>
  <c r="GT13" i="2" s="1"/>
  <c r="GT183" i="2" a="1"/>
  <c r="GT183" i="2" s="1"/>
  <c r="GT179" i="2" a="1"/>
  <c r="GT179" i="2" s="1"/>
  <c r="GT39" i="2" a="1"/>
  <c r="GT39" i="2" s="1"/>
  <c r="GT27" i="2" a="1"/>
  <c r="GT27" i="2" s="1"/>
  <c r="GT46" i="2" a="1"/>
  <c r="GT46" i="2" s="1"/>
  <c r="GT29" i="2" a="1"/>
  <c r="GT29" i="2" s="1"/>
  <c r="GT202" i="2" a="1"/>
  <c r="GT202" i="2" s="1"/>
  <c r="AH66" i="2" a="1"/>
  <c r="AH66" i="2" s="1"/>
  <c r="AH117" i="2" a="1"/>
  <c r="AH117" i="2" s="1"/>
  <c r="AH69" i="2" a="1"/>
  <c r="AH69" i="2" s="1"/>
  <c r="AH124" i="2" a="1"/>
  <c r="AH124" i="2" s="1"/>
  <c r="AH53" i="2" a="1"/>
  <c r="AH53" i="2" s="1"/>
  <c r="AH196" i="2" a="1"/>
  <c r="AH196" i="2" s="1"/>
  <c r="AH36" i="2" a="1"/>
  <c r="AH36" i="2" s="1"/>
  <c r="AH119" i="2" a="1"/>
  <c r="AH119" i="2" s="1"/>
  <c r="AH10" i="2" a="1"/>
  <c r="AH10" i="2" s="1"/>
  <c r="AH103" i="2" a="1"/>
  <c r="AH103" i="2" s="1"/>
  <c r="AH76" i="2" a="1"/>
  <c r="AH76" i="2" s="1"/>
  <c r="BX91" i="2" a="1"/>
  <c r="BX91" i="2" s="1"/>
  <c r="BX162" i="2" a="1"/>
  <c r="BX162" i="2" s="1"/>
  <c r="BX187" i="2" a="1"/>
  <c r="BX187" i="2" s="1"/>
  <c r="M179" i="2" a="1"/>
  <c r="M179" i="2" s="1"/>
  <c r="M181" i="2" a="1"/>
  <c r="M181" i="2" s="1"/>
  <c r="BX92" i="2" a="1"/>
  <c r="BX92" i="2" s="1"/>
  <c r="DN62" i="2" a="1"/>
  <c r="DN62" i="2" s="1"/>
  <c r="DN14" i="2" a="1"/>
  <c r="DN14" i="2" s="1"/>
  <c r="EI7" i="2" a="1"/>
  <c r="EI7" i="2" s="1"/>
  <c r="EJ7" i="2" s="1"/>
  <c r="EI146" i="2" a="1"/>
  <c r="EI146" i="2" s="1"/>
  <c r="GT140" i="2" a="1"/>
  <c r="GT140" i="2" s="1"/>
  <c r="GT120" i="2" a="1"/>
  <c r="GT120" i="2" s="1"/>
  <c r="BC80" i="2" a="1"/>
  <c r="BC80" i="2" s="1"/>
  <c r="BC109" i="2" a="1"/>
  <c r="BC109" i="2" s="1"/>
  <c r="FD170" i="2" a="1"/>
  <c r="FD170" i="2" s="1"/>
  <c r="AH24" i="2" a="1"/>
  <c r="AH24" i="2" s="1"/>
  <c r="BX103" i="2" a="1"/>
  <c r="BX103" i="2" s="1"/>
  <c r="BX69" i="2" a="1"/>
  <c r="BX69" i="2" s="1"/>
  <c r="BX156" i="2" a="1"/>
  <c r="BX156" i="2" s="1"/>
  <c r="M161" i="2" a="1"/>
  <c r="M161" i="2" s="1"/>
  <c r="M175" i="2" a="1"/>
  <c r="M175" i="2" s="1"/>
  <c r="DN20" i="2" a="1"/>
  <c r="DN20" i="2" s="1"/>
  <c r="DN142" i="2" a="1"/>
  <c r="DN142" i="2" s="1"/>
  <c r="DN151" i="2" a="1"/>
  <c r="DN151" i="2" s="1"/>
  <c r="DN94" i="2" a="1"/>
  <c r="DN94" i="2" s="1"/>
  <c r="EI157" i="2" a="1"/>
  <c r="EI157" i="2" s="1"/>
  <c r="GT90" i="2" a="1"/>
  <c r="GT90" i="2" s="1"/>
  <c r="GT30" i="2" a="1"/>
  <c r="GT30" i="2" s="1"/>
  <c r="BC179" i="2" a="1"/>
  <c r="BC179" i="2" s="1"/>
  <c r="BC131" i="2" a="1"/>
  <c r="BC131" i="2" s="1"/>
  <c r="FD66" i="2" a="1"/>
  <c r="FD66" i="2" s="1"/>
  <c r="FD23" i="2" a="1"/>
  <c r="FD23" i="2" s="1"/>
  <c r="FD166" i="2" a="1"/>
  <c r="FD166" i="2" s="1"/>
  <c r="FY95" i="2" a="1"/>
  <c r="FY95" i="2" s="1"/>
  <c r="CS81" i="2" a="1"/>
  <c r="CS81" i="2" s="1"/>
  <c r="AH13" i="2" a="1"/>
  <c r="AH13" i="2" s="1"/>
  <c r="FD183" i="2" a="1"/>
  <c r="FD183" i="2" s="1"/>
  <c r="BX34" i="2" a="1"/>
  <c r="BX34" i="2" s="1"/>
  <c r="BX116" i="2" a="1"/>
  <c r="BX116" i="2" s="1"/>
  <c r="BX165" i="2" a="1"/>
  <c r="BX165" i="2" s="1"/>
  <c r="M201" i="2" a="1"/>
  <c r="M201" i="2" s="1"/>
  <c r="M166" i="2" a="1"/>
  <c r="M166" i="2" s="1"/>
  <c r="M190" i="2" a="1"/>
  <c r="M190" i="2" s="1"/>
  <c r="DN75" i="2" a="1"/>
  <c r="DN75" i="2" s="1"/>
  <c r="DN158" i="2" a="1"/>
  <c r="DN158" i="2" s="1"/>
  <c r="DN145" i="2" a="1"/>
  <c r="DN145" i="2" s="1"/>
  <c r="EI45" i="2" a="1"/>
  <c r="EI45" i="2" s="1"/>
  <c r="EI154" i="2" a="1"/>
  <c r="EI154" i="2" s="1"/>
  <c r="GT104" i="2" a="1"/>
  <c r="GT104" i="2" s="1"/>
  <c r="GT180" i="2" a="1"/>
  <c r="GT180" i="2" s="1"/>
  <c r="BC113" i="2" a="1"/>
  <c r="BC113" i="2" s="1"/>
  <c r="BC11" i="2" a="1"/>
  <c r="BC11" i="2" s="1"/>
  <c r="FD161" i="2" a="1"/>
  <c r="FD161" i="2" s="1"/>
  <c r="FD95" i="2" a="1"/>
  <c r="FD95" i="2" s="1"/>
  <c r="FD109" i="2" a="1"/>
  <c r="FD109" i="2" s="1"/>
  <c r="FY160" i="2" a="1"/>
  <c r="FY160" i="2" s="1"/>
  <c r="AH195" i="2" a="1"/>
  <c r="AH195" i="2" s="1"/>
  <c r="AH138" i="2" a="1"/>
  <c r="AH138" i="2" s="1"/>
  <c r="M122" i="2" a="1"/>
  <c r="M122" i="2" s="1"/>
  <c r="M112" i="2" a="1"/>
  <c r="M112" i="2" s="1"/>
  <c r="M12" i="2" a="1"/>
  <c r="M12" i="2" s="1"/>
  <c r="M124" i="2" a="1"/>
  <c r="M124" i="2" s="1"/>
  <c r="M127" i="2" a="1"/>
  <c r="M127" i="2" s="1"/>
  <c r="M90" i="2" a="1"/>
  <c r="M90" i="2" s="1"/>
  <c r="M196" i="2" a="1"/>
  <c r="M196" i="2" s="1"/>
  <c r="M97" i="2" a="1"/>
  <c r="M97" i="2" s="1"/>
  <c r="CS196" i="2" a="1"/>
  <c r="CS196" i="2" s="1"/>
  <c r="BX166" i="2" a="1"/>
  <c r="BX166" i="2" s="1"/>
  <c r="BX56" i="2" a="1"/>
  <c r="BX56" i="2" s="1"/>
  <c r="CS125" i="2" a="1"/>
  <c r="CS125" i="2" s="1"/>
  <c r="M50" i="2" a="1"/>
  <c r="M50" i="2" s="1"/>
  <c r="M153" i="2" a="1"/>
  <c r="M153" i="2" s="1"/>
  <c r="DN79" i="2" a="1"/>
  <c r="DN79" i="2" s="1"/>
  <c r="DN40" i="2" a="1"/>
  <c r="DN40" i="2" s="1"/>
  <c r="DN134" i="2" a="1"/>
  <c r="DN134" i="2" s="1"/>
  <c r="EI143" i="2" a="1"/>
  <c r="EI143" i="2" s="1"/>
  <c r="EI100" i="2" a="1"/>
  <c r="EI100" i="2" s="1"/>
  <c r="GT161" i="2" a="1"/>
  <c r="GT161" i="2" s="1"/>
  <c r="GT106" i="2" a="1"/>
  <c r="GT106" i="2" s="1"/>
  <c r="BC17" i="2" a="1"/>
  <c r="BC17" i="2" s="1"/>
  <c r="BC59" i="2" a="1"/>
  <c r="BC59" i="2" s="1"/>
  <c r="FD11" i="2" a="1"/>
  <c r="FD11" i="2" s="1"/>
  <c r="FD12" i="2" a="1"/>
  <c r="FD12" i="2" s="1"/>
  <c r="FD105" i="2" a="1"/>
  <c r="FD105" i="2" s="1"/>
  <c r="FY98" i="2" a="1"/>
  <c r="FY98" i="2" s="1"/>
  <c r="CS34" i="2" a="1"/>
  <c r="CS34" i="2" s="1"/>
  <c r="AH106" i="2" a="1"/>
  <c r="AH106" i="2" s="1"/>
  <c r="CS188" i="2" a="1"/>
  <c r="CS188" i="2" s="1"/>
  <c r="DN112" i="2" a="1"/>
  <c r="DN112" i="2" s="1"/>
  <c r="BX126" i="2" a="1"/>
  <c r="BX126" i="2" s="1"/>
  <c r="BX23" i="2" a="1"/>
  <c r="BX23" i="2" s="1"/>
  <c r="BX120" i="2" a="1"/>
  <c r="BX120" i="2" s="1"/>
  <c r="M192" i="2" a="1"/>
  <c r="M192" i="2" s="1"/>
  <c r="M194" i="2" a="1"/>
  <c r="M194" i="2" s="1"/>
  <c r="M55" i="2" a="1"/>
  <c r="M55" i="2" s="1"/>
  <c r="DN101" i="2" a="1"/>
  <c r="DN101" i="2" s="1"/>
  <c r="DN109" i="2" a="1"/>
  <c r="DN109" i="2" s="1"/>
  <c r="EI129" i="2" a="1"/>
  <c r="EI129" i="2" s="1"/>
  <c r="EI156" i="2" a="1"/>
  <c r="EI156" i="2" s="1"/>
  <c r="EI131" i="2" a="1"/>
  <c r="EI131" i="2" s="1"/>
  <c r="GT80" i="2" a="1"/>
  <c r="GT80" i="2" s="1"/>
  <c r="CS106" i="2" a="1"/>
  <c r="CS106" i="2" s="1"/>
  <c r="BC19" i="2" a="1"/>
  <c r="BC19" i="2" s="1"/>
  <c r="FD173" i="2" a="1"/>
  <c r="FD173" i="2" s="1"/>
  <c r="FD113" i="2" a="1"/>
  <c r="FD113" i="2" s="1"/>
  <c r="FD57" i="2" a="1"/>
  <c r="FD57" i="2" s="1"/>
  <c r="FY45" i="2" a="1"/>
  <c r="FY45" i="2" s="1"/>
  <c r="FY176" i="2" a="1"/>
  <c r="FY176" i="2" s="1"/>
  <c r="AH147" i="2" a="1"/>
  <c r="AH147" i="2" s="1"/>
  <c r="EI159" i="2" a="1"/>
  <c r="EI159" i="2" s="1"/>
  <c r="EI96" i="2" a="1"/>
  <c r="EI96" i="2" s="1"/>
  <c r="EI111" i="2" a="1"/>
  <c r="EI111" i="2" s="1"/>
  <c r="EI164" i="2" a="1"/>
  <c r="EI164" i="2" s="1"/>
  <c r="EI28" i="2" a="1"/>
  <c r="EI28" i="2" s="1"/>
  <c r="EI107" i="2" a="1"/>
  <c r="EI107" i="2" s="1"/>
  <c r="EI183" i="2" a="1"/>
  <c r="EI183" i="2" s="1"/>
  <c r="EI126" i="2" a="1"/>
  <c r="EI126" i="2" s="1"/>
  <c r="BC120" i="2" a="1"/>
  <c r="BC120" i="2" s="1"/>
  <c r="BC56" i="2" a="1"/>
  <c r="BC56" i="2" s="1"/>
  <c r="BC75" i="2" a="1"/>
  <c r="BC75" i="2" s="1"/>
  <c r="BC27" i="2" a="1"/>
  <c r="BC27" i="2" s="1"/>
  <c r="BC49" i="2" a="1"/>
  <c r="BC49" i="2" s="1"/>
  <c r="BC159" i="2" a="1"/>
  <c r="BC159" i="2" s="1"/>
  <c r="BC91" i="2" a="1"/>
  <c r="BC91" i="2" s="1"/>
  <c r="BC100" i="2" a="1"/>
  <c r="BC100" i="2" s="1"/>
  <c r="BC188" i="2" a="1"/>
  <c r="BC188" i="2" s="1"/>
  <c r="BC160" i="2" a="1"/>
  <c r="BC160" i="2" s="1"/>
  <c r="BC172" i="2" a="1"/>
  <c r="BC172" i="2" s="1"/>
  <c r="BX97" i="2" a="1"/>
  <c r="BX97" i="2" s="1"/>
  <c r="BX83" i="2" a="1"/>
  <c r="BX83" i="2" s="1"/>
  <c r="BX199" i="2" a="1"/>
  <c r="BX199" i="2" s="1"/>
  <c r="M118" i="2" a="1"/>
  <c r="M118" i="2" s="1"/>
  <c r="M115" i="2" a="1"/>
  <c r="M115" i="2" s="1"/>
  <c r="DN12" i="2" a="1"/>
  <c r="DN12" i="2" s="1"/>
  <c r="DN84" i="2" a="1"/>
  <c r="DN84" i="2" s="1"/>
  <c r="DN154" i="2" a="1"/>
  <c r="DN154" i="2" s="1"/>
  <c r="EI21" i="2" a="1"/>
  <c r="EI21" i="2" s="1"/>
  <c r="EI81" i="2" a="1"/>
  <c r="EI81" i="2" s="1"/>
  <c r="GT167" i="2" a="1"/>
  <c r="GT167" i="2" s="1"/>
  <c r="GT182" i="2" a="1"/>
  <c r="GT182" i="2" s="1"/>
  <c r="BC62" i="2" a="1"/>
  <c r="BC62" i="2" s="1"/>
  <c r="FD103" i="2" a="1"/>
  <c r="FD103" i="2" s="1"/>
  <c r="FD118" i="2" a="1"/>
  <c r="FD118" i="2" s="1"/>
  <c r="FD8" i="2" a="1"/>
  <c r="FD8" i="2" s="1"/>
  <c r="FY118" i="2" a="1"/>
  <c r="FY118" i="2" s="1"/>
  <c r="FY114" i="2" a="1"/>
  <c r="FY114" i="2" s="1"/>
  <c r="AH110" i="2" a="1"/>
  <c r="AH110" i="2" s="1"/>
  <c r="AH123" i="2" a="1"/>
  <c r="AH123" i="2" s="1"/>
  <c r="GT201" i="2" a="1"/>
  <c r="GT201" i="2" s="1"/>
  <c r="EI188" i="2" a="1"/>
  <c r="EI188" i="2" s="1"/>
  <c r="FY202" i="2" a="1"/>
  <c r="FY202" i="2" s="1"/>
  <c r="DN203" i="2" a="1"/>
  <c r="DN203" i="2" s="1"/>
  <c r="DN100" i="2" a="1"/>
  <c r="DN100" i="2" s="1"/>
  <c r="DN44" i="2" a="1"/>
  <c r="DN44" i="2" s="1"/>
  <c r="DN156" i="2" a="1"/>
  <c r="DN156" i="2" s="1"/>
  <c r="DN117" i="2" a="1"/>
  <c r="DN117" i="2" s="1"/>
  <c r="AH160" i="2" a="1"/>
  <c r="AH160" i="2" s="1"/>
  <c r="GT91" i="2" a="1"/>
  <c r="GT91" i="2" s="1"/>
  <c r="GT8" i="2" a="1"/>
  <c r="GT8" i="2" s="1"/>
  <c r="GT89" i="2" a="1"/>
  <c r="GT89" i="2" s="1"/>
  <c r="GT17" i="2" a="1"/>
  <c r="GT17" i="2" s="1"/>
  <c r="GT124" i="2" a="1"/>
  <c r="GT124" i="2" s="1"/>
  <c r="GT132" i="2" a="1"/>
  <c r="GT132" i="2" s="1"/>
  <c r="GT172" i="2" a="1"/>
  <c r="GT172" i="2" s="1"/>
  <c r="GT18" i="2" a="1"/>
  <c r="GT18" i="2" s="1"/>
  <c r="GT136" i="2" a="1"/>
  <c r="GT136" i="2" s="1"/>
  <c r="GT127" i="2" a="1"/>
  <c r="GT127" i="2" s="1"/>
  <c r="AH28" i="2" a="1"/>
  <c r="AH28" i="2" s="1"/>
  <c r="AH128" i="2" a="1"/>
  <c r="AH128" i="2" s="1"/>
  <c r="AH171" i="2" a="1"/>
  <c r="AH171" i="2" s="1"/>
  <c r="AH80" i="2" a="1"/>
  <c r="AH80" i="2" s="1"/>
  <c r="AH91" i="2" a="1"/>
  <c r="AH91" i="2" s="1"/>
  <c r="AH121" i="2" a="1"/>
  <c r="AH121" i="2" s="1"/>
  <c r="AH49" i="2" a="1"/>
  <c r="AH49" i="2" s="1"/>
  <c r="AH153" i="2" a="1"/>
  <c r="AH153" i="2" s="1"/>
  <c r="AH78" i="2" a="1"/>
  <c r="AH78" i="2" s="1"/>
  <c r="AH183" i="2" a="1"/>
  <c r="AH183" i="2" s="1"/>
  <c r="AH68" i="2" a="1"/>
  <c r="AH68" i="2" s="1"/>
  <c r="AH8" i="2" a="1"/>
  <c r="AH8" i="2" s="1"/>
  <c r="BX149" i="2" a="1"/>
  <c r="BX149" i="2" s="1"/>
  <c r="BX89" i="2" a="1"/>
  <c r="BX89" i="2" s="1"/>
  <c r="BX10" i="2" a="1"/>
  <c r="BX10" i="2" s="1"/>
  <c r="M63" i="2" a="1"/>
  <c r="M63" i="2" s="1"/>
  <c r="M44" i="2" a="1"/>
  <c r="M44" i="2" s="1"/>
  <c r="CS191" i="2" a="1"/>
  <c r="CS191" i="2" s="1"/>
  <c r="DN89" i="2" a="1"/>
  <c r="DN89" i="2" s="1"/>
  <c r="DN92" i="2" a="1"/>
  <c r="DN92" i="2" s="1"/>
  <c r="EI24" i="2" a="1"/>
  <c r="EI24" i="2" s="1"/>
  <c r="EI115" i="2" a="1"/>
  <c r="EI115" i="2" s="1"/>
  <c r="GT63" i="2" a="1"/>
  <c r="GT63" i="2" s="1"/>
  <c r="CS176" i="2" a="1"/>
  <c r="CS176" i="2" s="1"/>
  <c r="BC198" i="2" a="1"/>
  <c r="BC198" i="2" s="1"/>
  <c r="BC194" i="2" a="1"/>
  <c r="BC194" i="2" s="1"/>
  <c r="FD7" i="2" a="1"/>
  <c r="FD7" i="2" s="1"/>
  <c r="FE7" i="2" s="1"/>
  <c r="AH96" i="2" a="1"/>
  <c r="AH96" i="2" s="1"/>
  <c r="BX172" i="2" a="1"/>
  <c r="BX172" i="2" s="1"/>
  <c r="BX84" i="2" a="1"/>
  <c r="BX84" i="2" s="1"/>
  <c r="BX93" i="2" a="1"/>
  <c r="BX93" i="2" s="1"/>
  <c r="M133" i="2" a="1"/>
  <c r="M133" i="2" s="1"/>
  <c r="M62" i="2" a="1"/>
  <c r="M62" i="2" s="1"/>
  <c r="DN53" i="2" a="1"/>
  <c r="DN53" i="2" s="1"/>
  <c r="DN127" i="2" a="1"/>
  <c r="DN127" i="2" s="1"/>
  <c r="DN149" i="2" a="1"/>
  <c r="DN149" i="2" s="1"/>
  <c r="EI48" i="2" a="1"/>
  <c r="EI48" i="2" s="1"/>
  <c r="EI42" i="2" a="1"/>
  <c r="EI42" i="2" s="1"/>
  <c r="GT25" i="2" a="1"/>
  <c r="GT25" i="2" s="1"/>
  <c r="GT185" i="2" a="1"/>
  <c r="GT185" i="2" s="1"/>
  <c r="BC153" i="2" a="1"/>
  <c r="BC153" i="2" s="1"/>
  <c r="BC133" i="2" a="1"/>
  <c r="BC133" i="2" s="1"/>
  <c r="FD40" i="2" a="1"/>
  <c r="FD40" i="2" s="1"/>
  <c r="FD123" i="2" a="1"/>
  <c r="FD123" i="2" s="1"/>
  <c r="FD75" i="2" a="1"/>
  <c r="FD75" i="2" s="1"/>
  <c r="FY14" i="2" a="1"/>
  <c r="FY14" i="2" s="1"/>
  <c r="DN165" i="2" a="1"/>
  <c r="DN165" i="2" s="1"/>
  <c r="AH192" i="2" a="1"/>
  <c r="AH192" i="2" s="1"/>
  <c r="FD202" i="2" a="1"/>
  <c r="FD202" i="2" s="1"/>
  <c r="BX122" i="2" a="1"/>
  <c r="BX122" i="2" s="1"/>
  <c r="BX88" i="2" a="1"/>
  <c r="BX88" i="2" s="1"/>
  <c r="BX196" i="2" a="1"/>
  <c r="BX196" i="2" s="1"/>
  <c r="M78" i="2" a="1"/>
  <c r="M78" i="2" s="1"/>
  <c r="M156" i="2" a="1"/>
  <c r="M156" i="2" s="1"/>
  <c r="BX75" i="2" a="1"/>
  <c r="BX75" i="2" s="1"/>
  <c r="DN71" i="2" a="1"/>
  <c r="DN71" i="2" s="1"/>
  <c r="DN139" i="2" a="1"/>
  <c r="DN139" i="2" s="1"/>
  <c r="CS118" i="2" a="1"/>
  <c r="CS118" i="2" s="1"/>
  <c r="EI31" i="2" a="1"/>
  <c r="EI31" i="2" s="1"/>
  <c r="EI79" i="2" a="1"/>
  <c r="EI79" i="2" s="1"/>
  <c r="GT149" i="2" a="1"/>
  <c r="GT149" i="2" s="1"/>
  <c r="GT64" i="2" a="1"/>
  <c r="GT64" i="2" s="1"/>
  <c r="BC101" i="2" a="1"/>
  <c r="BC101" i="2" s="1"/>
  <c r="BC174" i="2" a="1"/>
  <c r="BC174" i="2" s="1"/>
  <c r="FD99" i="2" a="1"/>
  <c r="FD99" i="2" s="1"/>
  <c r="FD186" i="2" a="1"/>
  <c r="FD186" i="2" s="1"/>
  <c r="FY201" i="2" a="1"/>
  <c r="FY201" i="2" s="1"/>
  <c r="FY49" i="2" a="1"/>
  <c r="FY49" i="2" s="1"/>
  <c r="AH99" i="2" a="1"/>
  <c r="AH99" i="2" s="1"/>
  <c r="AH22" i="2" a="1"/>
  <c r="AH22" i="2" s="1"/>
  <c r="M180" i="2" a="1"/>
  <c r="M180" i="2" s="1"/>
  <c r="M101" i="2" a="1"/>
  <c r="M101" i="2" s="1"/>
  <c r="M21" i="2" a="1"/>
  <c r="M21" i="2" s="1"/>
  <c r="M31" i="2" a="1"/>
  <c r="M31" i="2" s="1"/>
  <c r="M147" i="2" a="1"/>
  <c r="M147" i="2" s="1"/>
  <c r="M45" i="2" a="1"/>
  <c r="M45" i="2" s="1"/>
  <c r="M48" i="2" a="1"/>
  <c r="M48" i="2" s="1"/>
  <c r="M84" i="2" a="1"/>
  <c r="M84" i="2" s="1"/>
  <c r="CS173" i="2" a="1"/>
  <c r="CS173" i="2" s="1"/>
  <c r="EI33" i="2" a="1"/>
  <c r="EI33" i="2" s="1"/>
  <c r="BX190" i="2" a="1"/>
  <c r="BX190" i="2" s="1"/>
  <c r="BX35" i="2" a="1"/>
  <c r="BX35" i="2" s="1"/>
  <c r="M91" i="2" a="1"/>
  <c r="M91" i="2" s="1"/>
  <c r="M26" i="2" a="1"/>
  <c r="M26" i="2" s="1"/>
  <c r="CS151" i="2" a="1"/>
  <c r="CS151" i="2" s="1"/>
  <c r="DN160" i="2" a="1"/>
  <c r="DN160" i="2" s="1"/>
  <c r="DN119" i="2" a="1"/>
  <c r="DN119" i="2" s="1"/>
  <c r="FD174" i="2" a="1"/>
  <c r="FD174" i="2" s="1"/>
  <c r="EI8" i="2" a="1"/>
  <c r="EI8" i="2" s="1"/>
  <c r="EI102" i="2" a="1"/>
  <c r="EI102" i="2" s="1"/>
  <c r="GT158" i="2" a="1"/>
  <c r="GT158" i="2" s="1"/>
  <c r="GT78" i="2" a="1"/>
  <c r="GT78" i="2" s="1"/>
  <c r="BC166" i="2" a="1"/>
  <c r="BC166" i="2" s="1"/>
  <c r="BC141" i="2" a="1"/>
  <c r="BC141" i="2" s="1"/>
  <c r="FD52" i="2" a="1"/>
  <c r="FD52" i="2" s="1"/>
  <c r="FD133" i="2" a="1"/>
  <c r="FD133" i="2" s="1"/>
  <c r="FD102" i="2" a="1"/>
  <c r="FD102" i="2" s="1"/>
  <c r="FY19" i="2" a="1"/>
  <c r="FY19" i="2" s="1"/>
  <c r="DN118" i="2" a="1"/>
  <c r="DN118" i="2" s="1"/>
  <c r="AH152" i="2" a="1"/>
  <c r="AH152" i="2" s="1"/>
  <c r="CS158" i="2" a="1"/>
  <c r="CS158" i="2" s="1"/>
  <c r="DN194" i="2" a="1"/>
  <c r="DN194" i="2" s="1"/>
  <c r="BX111" i="2" a="1"/>
  <c r="BX111" i="2" s="1"/>
  <c r="BX141" i="2" a="1"/>
  <c r="BX141" i="2" s="1"/>
  <c r="BX106" i="2" a="1"/>
  <c r="BX106" i="2" s="1"/>
  <c r="M178" i="2" a="1"/>
  <c r="M178" i="2" s="1"/>
  <c r="M191" i="2" a="1"/>
  <c r="M191" i="2" s="1"/>
  <c r="DN138" i="2" a="1"/>
  <c r="DN138" i="2" s="1"/>
  <c r="DN64" i="2" a="1"/>
  <c r="DN64" i="2" s="1"/>
  <c r="DN28" i="2" a="1"/>
  <c r="DN28" i="2" s="1"/>
  <c r="EI180" i="2" a="1"/>
  <c r="EI180" i="2" s="1"/>
  <c r="EI70" i="2" a="1"/>
  <c r="EI70" i="2" s="1"/>
  <c r="GT56" i="2" a="1"/>
  <c r="GT56" i="2" s="1"/>
  <c r="GT164" i="2" a="1"/>
  <c r="GT164" i="2" s="1"/>
  <c r="DN58" i="2" a="1"/>
  <c r="DN58" i="2" s="1"/>
  <c r="BC142" i="2" a="1"/>
  <c r="BC142" i="2" s="1"/>
  <c r="FD162" i="2" a="1"/>
  <c r="FD162" i="2" s="1"/>
  <c r="FD132" i="2" a="1"/>
  <c r="FD132" i="2" s="1"/>
  <c r="FD89" i="2" a="1"/>
  <c r="FD89" i="2" s="1"/>
  <c r="FY135" i="2" a="1"/>
  <c r="FY135" i="2" s="1"/>
  <c r="BX43" i="2" a="1"/>
  <c r="BX43" i="2" s="1"/>
  <c r="AH118" i="2" a="1"/>
  <c r="AH118" i="2" s="1"/>
  <c r="EI181" i="2" a="1"/>
  <c r="EI181" i="2" s="1"/>
  <c r="EI200" i="2" a="1"/>
  <c r="EI200" i="2" s="1"/>
  <c r="EI122" i="2" a="1"/>
  <c r="EI122" i="2" s="1"/>
  <c r="EI167" i="2" a="1"/>
  <c r="EI167" i="2" s="1"/>
  <c r="EI18" i="2" a="1"/>
  <c r="EI18" i="2" s="1"/>
  <c r="EI56" i="2" a="1"/>
  <c r="EI56" i="2" s="1"/>
  <c r="EI32" i="2" a="1"/>
  <c r="EI32" i="2" s="1"/>
  <c r="EI104" i="2" a="1"/>
  <c r="EI104" i="2" s="1"/>
  <c r="BC186" i="2" a="1"/>
  <c r="BC186" i="2" s="1"/>
  <c r="BC72" i="2" a="1"/>
  <c r="BC72" i="2" s="1"/>
  <c r="BC123" i="2" a="1"/>
  <c r="BC123" i="2" s="1"/>
  <c r="BC163" i="2" a="1"/>
  <c r="BC163" i="2" s="1"/>
  <c r="BC149" i="2" a="1"/>
  <c r="BC149" i="2" s="1"/>
  <c r="BC13" i="2" a="1"/>
  <c r="BC13" i="2" s="1"/>
  <c r="BC183" i="2" a="1"/>
  <c r="BC183" i="2" s="1"/>
  <c r="BC121" i="2" a="1"/>
  <c r="BC121" i="2" s="1"/>
  <c r="BC173" i="2" a="1"/>
  <c r="BC173" i="2" s="1"/>
  <c r="BC138" i="2" a="1"/>
  <c r="BC138" i="2" s="1"/>
  <c r="BC202" i="2" a="1"/>
  <c r="BC202" i="2" s="1"/>
  <c r="BX18" i="2" a="1"/>
  <c r="BX18" i="2" s="1"/>
  <c r="BX21" i="2" a="1"/>
  <c r="BX21" i="2" s="1"/>
  <c r="FD200" i="2" a="1"/>
  <c r="FD200" i="2" s="1"/>
  <c r="M82" i="2" a="1"/>
  <c r="M82" i="2" s="1"/>
  <c r="M83" i="2" a="1"/>
  <c r="M83" i="2" s="1"/>
  <c r="DN191" i="2" a="1"/>
  <c r="DN191" i="2" s="1"/>
  <c r="DN198" i="2" a="1"/>
  <c r="DN198" i="2" s="1"/>
  <c r="DN136" i="2" a="1"/>
  <c r="DN136" i="2" s="1"/>
  <c r="EI168" i="2" a="1"/>
  <c r="EI168" i="2" s="1"/>
  <c r="EI116" i="2" a="1"/>
  <c r="EI116" i="2" s="1"/>
  <c r="GT94" i="2" a="1"/>
  <c r="GT94" i="2" s="1"/>
  <c r="GT35" i="2" a="1"/>
  <c r="GT35" i="2" s="1"/>
  <c r="BC22" i="2" a="1"/>
  <c r="BC22" i="2" s="1"/>
  <c r="BC105" i="2" a="1"/>
  <c r="BC105" i="2" s="1"/>
  <c r="FD30" i="2" a="1"/>
  <c r="FD30" i="2" s="1"/>
  <c r="FD139" i="2" a="1"/>
  <c r="FD139" i="2" s="1"/>
  <c r="FD120" i="2" a="1"/>
  <c r="FD120" i="2" s="1"/>
  <c r="FY23" i="2" a="1"/>
  <c r="FY23" i="2" s="1"/>
  <c r="CS92" i="2" a="1"/>
  <c r="CS92" i="2" s="1"/>
  <c r="AH105" i="2" a="1"/>
  <c r="AH105" i="2" s="1"/>
  <c r="AH70" i="2" a="1"/>
  <c r="AH70" i="2" s="1"/>
  <c r="BC26" i="2" a="1"/>
  <c r="BC26" i="2" s="1"/>
  <c r="AX201" i="2"/>
  <c r="FT203" i="2" l="1"/>
  <c r="CN203" i="2"/>
  <c r="EY203" i="2"/>
  <c r="ED203" i="2"/>
  <c r="DI203" i="2"/>
  <c r="FZ13" i="2"/>
  <c r="FZ14" i="2" s="1"/>
  <c r="FZ15" i="2" s="1"/>
  <c r="FZ16" i="2" s="1"/>
  <c r="FZ17" i="2" s="1"/>
  <c r="FZ18" i="2" s="1"/>
  <c r="FZ19" i="2" s="1"/>
  <c r="FZ20" i="2" s="1"/>
  <c r="FZ21" i="2" s="1"/>
  <c r="FZ22" i="2" s="1"/>
  <c r="FZ23" i="2" s="1"/>
  <c r="FZ24" i="2" s="1"/>
  <c r="FZ25" i="2" s="1"/>
  <c r="FZ26" i="2" s="1"/>
  <c r="FZ27" i="2" s="1"/>
  <c r="FZ28" i="2" s="1"/>
  <c r="FZ29" i="2" s="1"/>
  <c r="FZ30" i="2" s="1"/>
  <c r="FZ31" i="2" s="1"/>
  <c r="FZ32" i="2" s="1"/>
  <c r="FZ33" i="2" s="1"/>
  <c r="FZ34" i="2" s="1"/>
  <c r="FZ35" i="2" s="1"/>
  <c r="FZ36" i="2" s="1"/>
  <c r="FZ37" i="2" s="1"/>
  <c r="FZ38" i="2" s="1"/>
  <c r="FZ39" i="2" s="1"/>
  <c r="FZ40" i="2" s="1"/>
  <c r="FZ41" i="2" s="1"/>
  <c r="FZ42" i="2" s="1"/>
  <c r="FZ43" i="2" s="1"/>
  <c r="FZ44" i="2" s="1"/>
  <c r="FZ45" i="2" s="1"/>
  <c r="FZ46" i="2" s="1"/>
  <c r="FZ47" i="2" s="1"/>
  <c r="FZ48" i="2" s="1"/>
  <c r="FZ49" i="2" s="1"/>
  <c r="FZ50" i="2" s="1"/>
  <c r="FZ51" i="2" s="1"/>
  <c r="FZ52" i="2" s="1"/>
  <c r="FZ53" i="2" s="1"/>
  <c r="FZ54" i="2" s="1"/>
  <c r="FZ55" i="2" s="1"/>
  <c r="FZ56" i="2" s="1"/>
  <c r="FZ57" i="2" s="1"/>
  <c r="FZ58" i="2" s="1"/>
  <c r="FZ59" i="2" s="1"/>
  <c r="FZ60" i="2" s="1"/>
  <c r="FZ61" i="2" s="1"/>
  <c r="FZ62" i="2" s="1"/>
  <c r="FZ63" i="2" s="1"/>
  <c r="FZ64" i="2" s="1"/>
  <c r="FZ65" i="2" s="1"/>
  <c r="FZ66" i="2" s="1"/>
  <c r="FZ67" i="2" s="1"/>
  <c r="FZ68" i="2" s="1"/>
  <c r="FZ69" i="2" s="1"/>
  <c r="FZ70" i="2" s="1"/>
  <c r="FZ71" i="2" s="1"/>
  <c r="FZ72" i="2" s="1"/>
  <c r="FZ73" i="2" s="1"/>
  <c r="FZ74" i="2" s="1"/>
  <c r="FZ75" i="2" s="1"/>
  <c r="FZ76" i="2" s="1"/>
  <c r="FZ77" i="2" s="1"/>
  <c r="FZ78" i="2" s="1"/>
  <c r="FZ79" i="2" s="1"/>
  <c r="FZ80" i="2" s="1"/>
  <c r="FZ81" i="2" s="1"/>
  <c r="FZ82" i="2" s="1"/>
  <c r="FZ83" i="2" s="1"/>
  <c r="FZ84" i="2" s="1"/>
  <c r="FZ85" i="2" s="1"/>
  <c r="FZ86" i="2" s="1"/>
  <c r="FZ87" i="2" s="1"/>
  <c r="FZ88" i="2" s="1"/>
  <c r="FZ89" i="2" s="1"/>
  <c r="FZ90" i="2" s="1"/>
  <c r="FZ91" i="2" s="1"/>
  <c r="FZ92" i="2" s="1"/>
  <c r="FZ93" i="2" s="1"/>
  <c r="FZ94" i="2" s="1"/>
  <c r="FZ95" i="2" s="1"/>
  <c r="FZ96" i="2" s="1"/>
  <c r="FZ97" i="2" s="1"/>
  <c r="FZ98" i="2" s="1"/>
  <c r="FZ99" i="2" s="1"/>
  <c r="FZ100" i="2" s="1"/>
  <c r="FZ101" i="2" s="1"/>
  <c r="FZ102" i="2" s="1"/>
  <c r="FZ103" i="2" s="1"/>
  <c r="FZ104" i="2" s="1"/>
  <c r="FZ105" i="2" s="1"/>
  <c r="FZ106" i="2" s="1"/>
  <c r="FZ107" i="2" s="1"/>
  <c r="FZ108" i="2" s="1"/>
  <c r="FZ109" i="2" s="1"/>
  <c r="FZ110" i="2" s="1"/>
  <c r="FZ111" i="2" s="1"/>
  <c r="FZ112" i="2" s="1"/>
  <c r="FZ113" i="2" s="1"/>
  <c r="FZ114" i="2" s="1"/>
  <c r="FZ115" i="2" s="1"/>
  <c r="FZ116" i="2" s="1"/>
  <c r="FZ117" i="2" s="1"/>
  <c r="FZ118" i="2" s="1"/>
  <c r="FZ119" i="2" s="1"/>
  <c r="FZ120" i="2" s="1"/>
  <c r="FZ121" i="2" s="1"/>
  <c r="FZ122" i="2" s="1"/>
  <c r="FZ123" i="2" s="1"/>
  <c r="FZ124" i="2" s="1"/>
  <c r="FZ125" i="2" s="1"/>
  <c r="FZ126" i="2" s="1"/>
  <c r="FZ127" i="2" s="1"/>
  <c r="FZ128" i="2" s="1"/>
  <c r="FZ129" i="2" s="1"/>
  <c r="FZ130" i="2" s="1"/>
  <c r="FZ131" i="2" s="1"/>
  <c r="FZ132" i="2" s="1"/>
  <c r="FZ133" i="2" s="1"/>
  <c r="FZ134" i="2" s="1"/>
  <c r="FZ135" i="2" s="1"/>
  <c r="FZ136" i="2" s="1"/>
  <c r="FZ137" i="2" s="1"/>
  <c r="FZ138" i="2" s="1"/>
  <c r="FZ139" i="2" s="1"/>
  <c r="FZ140" i="2" s="1"/>
  <c r="FZ141" i="2" s="1"/>
  <c r="FZ142" i="2" s="1"/>
  <c r="FZ143" i="2" s="1"/>
  <c r="FZ144" i="2" s="1"/>
  <c r="FZ145" i="2" s="1"/>
  <c r="FZ146" i="2" s="1"/>
  <c r="FZ147" i="2" s="1"/>
  <c r="FZ148" i="2" s="1"/>
  <c r="FZ149" i="2" s="1"/>
  <c r="FZ150" i="2" s="1"/>
  <c r="FZ151" i="2" s="1"/>
  <c r="FZ152" i="2" s="1"/>
  <c r="FZ153" i="2" s="1"/>
  <c r="FZ154" i="2" s="1"/>
  <c r="FZ155" i="2" s="1"/>
  <c r="FZ156" i="2" s="1"/>
  <c r="FZ157" i="2" s="1"/>
  <c r="FZ158" i="2" s="1"/>
  <c r="FZ159" i="2" s="1"/>
  <c r="FZ160" i="2" s="1"/>
  <c r="FZ161" i="2" s="1"/>
  <c r="FZ162" i="2" s="1"/>
  <c r="FZ163" i="2" s="1"/>
  <c r="FZ164" i="2" s="1"/>
  <c r="FZ165" i="2" s="1"/>
  <c r="FZ166" i="2" s="1"/>
  <c r="FZ167" i="2" s="1"/>
  <c r="FZ168" i="2" s="1"/>
  <c r="FZ169" i="2" s="1"/>
  <c r="FZ170" i="2" s="1"/>
  <c r="FZ171" i="2" s="1"/>
  <c r="FZ172" i="2" s="1"/>
  <c r="FZ173" i="2" s="1"/>
  <c r="FZ174" i="2" s="1"/>
  <c r="FZ175" i="2" s="1"/>
  <c r="FZ176" i="2" s="1"/>
  <c r="FZ177" i="2" s="1"/>
  <c r="FZ178" i="2" s="1"/>
  <c r="FZ179" i="2" s="1"/>
  <c r="FZ180" i="2" s="1"/>
  <c r="FZ181" i="2" s="1"/>
  <c r="FZ182" i="2" s="1"/>
  <c r="FZ183" i="2" s="1"/>
  <c r="FZ184" i="2" s="1"/>
  <c r="FZ185" i="2" s="1"/>
  <c r="FZ186" i="2" s="1"/>
  <c r="FZ187" i="2" s="1"/>
  <c r="FZ188" i="2" s="1"/>
  <c r="FZ189" i="2" s="1"/>
  <c r="FZ190" i="2" s="1"/>
  <c r="FZ191" i="2" s="1"/>
  <c r="FZ192" i="2" s="1"/>
  <c r="FZ193" i="2" s="1"/>
  <c r="FZ194" i="2" s="1"/>
  <c r="FZ195" i="2" s="1"/>
  <c r="FZ196" i="2" s="1"/>
  <c r="FZ197" i="2" s="1"/>
  <c r="FZ198" i="2" s="1"/>
  <c r="FZ199" i="2" s="1"/>
  <c r="FZ200" i="2" s="1"/>
  <c r="FZ201" i="2" s="1"/>
  <c r="FZ202" i="2" s="1"/>
  <c r="FZ203" i="2" s="1"/>
  <c r="AI8" i="2"/>
  <c r="AI9" i="2" s="1"/>
  <c r="AI10" i="2" s="1"/>
  <c r="AI11" i="2" s="1"/>
  <c r="AI12" i="2" s="1"/>
  <c r="AI13" i="2" s="1"/>
  <c r="AI14" i="2" s="1"/>
  <c r="AI15" i="2" s="1"/>
  <c r="AI16" i="2" s="1"/>
  <c r="AI17" i="2" s="1"/>
  <c r="AI18" i="2" s="1"/>
  <c r="AI19" i="2" s="1"/>
  <c r="AI20" i="2" s="1"/>
  <c r="AI21" i="2" s="1"/>
  <c r="AI22" i="2" s="1"/>
  <c r="AI23" i="2" s="1"/>
  <c r="AI24" i="2" s="1"/>
  <c r="AI25" i="2" s="1"/>
  <c r="AI26" i="2" s="1"/>
  <c r="AI27" i="2" s="1"/>
  <c r="AI28" i="2" s="1"/>
  <c r="AI29" i="2" s="1"/>
  <c r="AI30" i="2" s="1"/>
  <c r="AI31" i="2" s="1"/>
  <c r="AI32" i="2" s="1"/>
  <c r="AI33" i="2" s="1"/>
  <c r="AI34" i="2" s="1"/>
  <c r="AI35" i="2" s="1"/>
  <c r="AI36" i="2" s="1"/>
  <c r="AI37" i="2" s="1"/>
  <c r="AI38" i="2" s="1"/>
  <c r="AI39" i="2" s="1"/>
  <c r="AI40" i="2" s="1"/>
  <c r="AI41" i="2" s="1"/>
  <c r="AI42" i="2" s="1"/>
  <c r="AI43" i="2" s="1"/>
  <c r="AI44" i="2" s="1"/>
  <c r="AI45" i="2" s="1"/>
  <c r="AI46" i="2" s="1"/>
  <c r="AI47" i="2" s="1"/>
  <c r="AI48" i="2" s="1"/>
  <c r="AI49" i="2" s="1"/>
  <c r="AI50" i="2" s="1"/>
  <c r="AI51" i="2" s="1"/>
  <c r="AI52" i="2" s="1"/>
  <c r="AI53" i="2" s="1"/>
  <c r="AI54" i="2" s="1"/>
  <c r="AI55" i="2" s="1"/>
  <c r="AI56" i="2" s="1"/>
  <c r="AI57" i="2" s="1"/>
  <c r="AI58" i="2" s="1"/>
  <c r="AI59" i="2" s="1"/>
  <c r="AI60" i="2" s="1"/>
  <c r="AI61" i="2" s="1"/>
  <c r="AI62" i="2" s="1"/>
  <c r="AI63" i="2" s="1"/>
  <c r="AI64" i="2" s="1"/>
  <c r="AI65" i="2" s="1"/>
  <c r="AI66" i="2" s="1"/>
  <c r="AI67" i="2" s="1"/>
  <c r="AI68" i="2" s="1"/>
  <c r="AI69" i="2" s="1"/>
  <c r="AI70" i="2" s="1"/>
  <c r="AI71" i="2" s="1"/>
  <c r="AI72" i="2" s="1"/>
  <c r="AI73" i="2" s="1"/>
  <c r="AI74" i="2" s="1"/>
  <c r="AI75" i="2" s="1"/>
  <c r="AI76" i="2" s="1"/>
  <c r="AI77" i="2" s="1"/>
  <c r="AI78" i="2" s="1"/>
  <c r="AI79" i="2" s="1"/>
  <c r="AI80" i="2" s="1"/>
  <c r="AI81" i="2" s="1"/>
  <c r="AI82" i="2" s="1"/>
  <c r="AI83" i="2" s="1"/>
  <c r="AI84" i="2" s="1"/>
  <c r="AI85" i="2" s="1"/>
  <c r="AI86" i="2" s="1"/>
  <c r="AI87" i="2" s="1"/>
  <c r="AI88" i="2" s="1"/>
  <c r="AI89" i="2" s="1"/>
  <c r="AI90" i="2" s="1"/>
  <c r="AI91" i="2" s="1"/>
  <c r="AI92" i="2" s="1"/>
  <c r="AI93" i="2" s="1"/>
  <c r="AI94" i="2" s="1"/>
  <c r="AI95" i="2" s="1"/>
  <c r="AI96" i="2" s="1"/>
  <c r="AI97" i="2" s="1"/>
  <c r="AI98" i="2" s="1"/>
  <c r="AI99" i="2" s="1"/>
  <c r="AI100" i="2" s="1"/>
  <c r="AI101" i="2" s="1"/>
  <c r="AI102" i="2" s="1"/>
  <c r="AI103" i="2" s="1"/>
  <c r="AI104" i="2" s="1"/>
  <c r="AI105" i="2" s="1"/>
  <c r="AI106" i="2" s="1"/>
  <c r="AI107" i="2" s="1"/>
  <c r="AI108" i="2" s="1"/>
  <c r="AI109" i="2" s="1"/>
  <c r="AI110" i="2" s="1"/>
  <c r="AI111" i="2" s="1"/>
  <c r="AI112" i="2" s="1"/>
  <c r="AI113" i="2" s="1"/>
  <c r="AI114" i="2" s="1"/>
  <c r="AI115" i="2" s="1"/>
  <c r="AI116" i="2" s="1"/>
  <c r="AI117" i="2" s="1"/>
  <c r="AI118" i="2" s="1"/>
  <c r="AI119" i="2" s="1"/>
  <c r="AI120" i="2" s="1"/>
  <c r="AI121" i="2" s="1"/>
  <c r="AI122" i="2" s="1"/>
  <c r="AI123" i="2" s="1"/>
  <c r="AI124" i="2" s="1"/>
  <c r="AI125" i="2" s="1"/>
  <c r="AI126" i="2" s="1"/>
  <c r="AI127" i="2" s="1"/>
  <c r="AI128" i="2" s="1"/>
  <c r="AI129" i="2" s="1"/>
  <c r="AI130" i="2" s="1"/>
  <c r="AI131" i="2" s="1"/>
  <c r="AI132" i="2" s="1"/>
  <c r="AI133" i="2" s="1"/>
  <c r="AI134" i="2" s="1"/>
  <c r="AI135" i="2" s="1"/>
  <c r="AI136" i="2" s="1"/>
  <c r="AI137" i="2" s="1"/>
  <c r="AI138" i="2" s="1"/>
  <c r="AI139" i="2" s="1"/>
  <c r="AI140" i="2" s="1"/>
  <c r="AI141" i="2" s="1"/>
  <c r="AI142" i="2" s="1"/>
  <c r="AI143" i="2" s="1"/>
  <c r="AI144" i="2" s="1"/>
  <c r="AI145" i="2" s="1"/>
  <c r="AI146" i="2" s="1"/>
  <c r="AI147" i="2" s="1"/>
  <c r="AI148" i="2" s="1"/>
  <c r="AI149" i="2" s="1"/>
  <c r="AI150" i="2" s="1"/>
  <c r="AI151" i="2" s="1"/>
  <c r="AI152" i="2" s="1"/>
  <c r="AI153" i="2" s="1"/>
  <c r="AI154" i="2" s="1"/>
  <c r="AI155" i="2" s="1"/>
  <c r="AI156" i="2" s="1"/>
  <c r="AI157" i="2" s="1"/>
  <c r="AI158" i="2" s="1"/>
  <c r="AI159" i="2" s="1"/>
  <c r="AI160" i="2" s="1"/>
  <c r="AI161" i="2" s="1"/>
  <c r="AI162" i="2" s="1"/>
  <c r="AI163" i="2" s="1"/>
  <c r="AI164" i="2" s="1"/>
  <c r="AI165" i="2" s="1"/>
  <c r="AI166" i="2" s="1"/>
  <c r="AI167" i="2" s="1"/>
  <c r="AI168" i="2" s="1"/>
  <c r="AI169" i="2" s="1"/>
  <c r="AI170" i="2" s="1"/>
  <c r="AI171" i="2" s="1"/>
  <c r="AI172" i="2" s="1"/>
  <c r="AI173" i="2" s="1"/>
  <c r="AI174" i="2" s="1"/>
  <c r="AI175" i="2" s="1"/>
  <c r="AI176" i="2" s="1"/>
  <c r="AI177" i="2" s="1"/>
  <c r="AI178" i="2" s="1"/>
  <c r="AI179" i="2" s="1"/>
  <c r="AI180" i="2" s="1"/>
  <c r="AI181" i="2" s="1"/>
  <c r="AI182" i="2" s="1"/>
  <c r="AI183" i="2" s="1"/>
  <c r="AI184" i="2" s="1"/>
  <c r="AI185" i="2" s="1"/>
  <c r="AI186" i="2" s="1"/>
  <c r="AI187" i="2" s="1"/>
  <c r="AI188" i="2" s="1"/>
  <c r="AI189" i="2" s="1"/>
  <c r="AI190" i="2" s="1"/>
  <c r="AI191" i="2" s="1"/>
  <c r="AI192" i="2" s="1"/>
  <c r="AI193" i="2" s="1"/>
  <c r="AI194" i="2" s="1"/>
  <c r="AI195" i="2" s="1"/>
  <c r="AI196" i="2" s="1"/>
  <c r="AI197" i="2" s="1"/>
  <c r="AI198" i="2" s="1"/>
  <c r="AI199" i="2" s="1"/>
  <c r="AI200" i="2" s="1"/>
  <c r="AI201" i="2" s="1"/>
  <c r="AI202" i="2" s="1"/>
  <c r="AI203" i="2" s="1"/>
  <c r="GU8" i="2"/>
  <c r="GU9" i="2" s="1"/>
  <c r="GU10" i="2" s="1"/>
  <c r="GU11" i="2" s="1"/>
  <c r="GU12" i="2" s="1"/>
  <c r="GU13" i="2" s="1"/>
  <c r="GU14" i="2" s="1"/>
  <c r="GU15" i="2" s="1"/>
  <c r="GU16" i="2" s="1"/>
  <c r="GU17" i="2" s="1"/>
  <c r="GU18" i="2" s="1"/>
  <c r="GU19" i="2" s="1"/>
  <c r="GU20" i="2" s="1"/>
  <c r="GU21" i="2" s="1"/>
  <c r="GU22" i="2" s="1"/>
  <c r="GU23" i="2" s="1"/>
  <c r="GU24" i="2" s="1"/>
  <c r="GU25" i="2" s="1"/>
  <c r="GU26" i="2" s="1"/>
  <c r="GU27" i="2" s="1"/>
  <c r="GU28" i="2" s="1"/>
  <c r="GU29" i="2" s="1"/>
  <c r="GU30" i="2" s="1"/>
  <c r="GU31" i="2" s="1"/>
  <c r="GU32" i="2" s="1"/>
  <c r="GU33" i="2" s="1"/>
  <c r="GU34" i="2" s="1"/>
  <c r="GU35" i="2" s="1"/>
  <c r="GU36" i="2" s="1"/>
  <c r="GU37" i="2" s="1"/>
  <c r="GU38" i="2" s="1"/>
  <c r="GU39" i="2" s="1"/>
  <c r="GU40" i="2" s="1"/>
  <c r="GU41" i="2" s="1"/>
  <c r="GU42" i="2" s="1"/>
  <c r="GU43" i="2" s="1"/>
  <c r="GU44" i="2" s="1"/>
  <c r="GU45" i="2" s="1"/>
  <c r="GU46" i="2" s="1"/>
  <c r="GU47" i="2" s="1"/>
  <c r="GU48" i="2" s="1"/>
  <c r="GU49" i="2" s="1"/>
  <c r="GU50" i="2" s="1"/>
  <c r="GU51" i="2" s="1"/>
  <c r="GU52" i="2" s="1"/>
  <c r="GU53" i="2" s="1"/>
  <c r="GU54" i="2" s="1"/>
  <c r="GU55" i="2" s="1"/>
  <c r="GU56" i="2" s="1"/>
  <c r="GU57" i="2" s="1"/>
  <c r="GU58" i="2" s="1"/>
  <c r="GU59" i="2" s="1"/>
  <c r="GU60" i="2" s="1"/>
  <c r="GU61" i="2" s="1"/>
  <c r="GU62" i="2" s="1"/>
  <c r="GU63" i="2" s="1"/>
  <c r="GU64" i="2" s="1"/>
  <c r="GU65" i="2" s="1"/>
  <c r="GU66" i="2" s="1"/>
  <c r="GU67" i="2" s="1"/>
  <c r="GU68" i="2" s="1"/>
  <c r="GU69" i="2" s="1"/>
  <c r="GU70" i="2" s="1"/>
  <c r="GU71" i="2" s="1"/>
  <c r="GU72" i="2" s="1"/>
  <c r="GU73" i="2" s="1"/>
  <c r="GU74" i="2" s="1"/>
  <c r="GU75" i="2" s="1"/>
  <c r="GU76" i="2" s="1"/>
  <c r="GU77" i="2" s="1"/>
  <c r="GU78" i="2" s="1"/>
  <c r="GU79" i="2" s="1"/>
  <c r="GU80" i="2" s="1"/>
  <c r="GU81" i="2" s="1"/>
  <c r="GU82" i="2" s="1"/>
  <c r="GU83" i="2" s="1"/>
  <c r="GU84" i="2" s="1"/>
  <c r="GU85" i="2" s="1"/>
  <c r="GU86" i="2" s="1"/>
  <c r="GU87" i="2" s="1"/>
  <c r="GU88" i="2" s="1"/>
  <c r="GU89" i="2" s="1"/>
  <c r="GU90" i="2" s="1"/>
  <c r="GU91" i="2" s="1"/>
  <c r="GU92" i="2" s="1"/>
  <c r="GU93" i="2" s="1"/>
  <c r="GU94" i="2" s="1"/>
  <c r="GU95" i="2" s="1"/>
  <c r="GU96" i="2" s="1"/>
  <c r="GU97" i="2" s="1"/>
  <c r="GU98" i="2" s="1"/>
  <c r="GU99" i="2" s="1"/>
  <c r="GU100" i="2" s="1"/>
  <c r="GU101" i="2" s="1"/>
  <c r="GU102" i="2" s="1"/>
  <c r="GU103" i="2" s="1"/>
  <c r="GU104" i="2" s="1"/>
  <c r="GU105" i="2" s="1"/>
  <c r="GU106" i="2" s="1"/>
  <c r="GU107" i="2" s="1"/>
  <c r="GU108" i="2" s="1"/>
  <c r="GU109" i="2" s="1"/>
  <c r="GU110" i="2" s="1"/>
  <c r="GU111" i="2" s="1"/>
  <c r="GU112" i="2" s="1"/>
  <c r="GU113" i="2" s="1"/>
  <c r="GU114" i="2" s="1"/>
  <c r="GU115" i="2" s="1"/>
  <c r="GU116" i="2" s="1"/>
  <c r="GU117" i="2" s="1"/>
  <c r="GU118" i="2" s="1"/>
  <c r="GU119" i="2" s="1"/>
  <c r="GU120" i="2" s="1"/>
  <c r="GU121" i="2" s="1"/>
  <c r="GU122" i="2" s="1"/>
  <c r="GU123" i="2" s="1"/>
  <c r="GU124" i="2" s="1"/>
  <c r="GU125" i="2" s="1"/>
  <c r="GU126" i="2" s="1"/>
  <c r="GU127" i="2" s="1"/>
  <c r="GU128" i="2" s="1"/>
  <c r="GU129" i="2" s="1"/>
  <c r="GU130" i="2" s="1"/>
  <c r="GU131" i="2" s="1"/>
  <c r="GU132" i="2" s="1"/>
  <c r="GU133" i="2" s="1"/>
  <c r="GU134" i="2" s="1"/>
  <c r="GU135" i="2" s="1"/>
  <c r="GU136" i="2" s="1"/>
  <c r="GU137" i="2" s="1"/>
  <c r="GU138" i="2" s="1"/>
  <c r="GU139" i="2" s="1"/>
  <c r="GU140" i="2" s="1"/>
  <c r="GU141" i="2" s="1"/>
  <c r="GU142" i="2" s="1"/>
  <c r="GU143" i="2" s="1"/>
  <c r="GU144" i="2" s="1"/>
  <c r="GU145" i="2" s="1"/>
  <c r="GU146" i="2" s="1"/>
  <c r="GU147" i="2" s="1"/>
  <c r="GU148" i="2" s="1"/>
  <c r="GU149" i="2" s="1"/>
  <c r="GU150" i="2" s="1"/>
  <c r="GU151" i="2" s="1"/>
  <c r="GU152" i="2" s="1"/>
  <c r="GU153" i="2" s="1"/>
  <c r="GU154" i="2" s="1"/>
  <c r="GU155" i="2" s="1"/>
  <c r="GU156" i="2" s="1"/>
  <c r="GU157" i="2" s="1"/>
  <c r="GU158" i="2" s="1"/>
  <c r="GU159" i="2" s="1"/>
  <c r="GU160" i="2" s="1"/>
  <c r="GU161" i="2" s="1"/>
  <c r="GU162" i="2" s="1"/>
  <c r="GU163" i="2" s="1"/>
  <c r="GU164" i="2" s="1"/>
  <c r="GU165" i="2" s="1"/>
  <c r="GU166" i="2" s="1"/>
  <c r="GU167" i="2" s="1"/>
  <c r="GU168" i="2" s="1"/>
  <c r="GU169" i="2" s="1"/>
  <c r="GU170" i="2" s="1"/>
  <c r="GU171" i="2" s="1"/>
  <c r="GU172" i="2" s="1"/>
  <c r="GU173" i="2" s="1"/>
  <c r="GU174" i="2" s="1"/>
  <c r="GU175" i="2" s="1"/>
  <c r="GU176" i="2" s="1"/>
  <c r="GU177" i="2" s="1"/>
  <c r="GU178" i="2" s="1"/>
  <c r="GU179" i="2" s="1"/>
  <c r="GU180" i="2" s="1"/>
  <c r="GU181" i="2" s="1"/>
  <c r="GU182" i="2" s="1"/>
  <c r="GU183" i="2" s="1"/>
  <c r="GU184" i="2" s="1"/>
  <c r="GU185" i="2" s="1"/>
  <c r="GU186" i="2" s="1"/>
  <c r="GU187" i="2" s="1"/>
  <c r="GU188" i="2" s="1"/>
  <c r="GU189" i="2" s="1"/>
  <c r="GU190" i="2" s="1"/>
  <c r="GU191" i="2" s="1"/>
  <c r="GU192" i="2" s="1"/>
  <c r="GU193" i="2" s="1"/>
  <c r="GU194" i="2" s="1"/>
  <c r="GU195" i="2" s="1"/>
  <c r="GU196" i="2" s="1"/>
  <c r="GU197" i="2" s="1"/>
  <c r="GU198" i="2" s="1"/>
  <c r="GU199" i="2" s="1"/>
  <c r="GU200" i="2" s="1"/>
  <c r="GU201" i="2" s="1"/>
  <c r="GU202" i="2" s="1"/>
  <c r="GU203" i="2" s="1"/>
  <c r="FE8" i="2"/>
  <c r="FF7" i="2"/>
  <c r="FG7" i="2" s="1"/>
  <c r="FH7" i="2" s="1"/>
  <c r="FI7" i="2" s="1"/>
  <c r="EJ8" i="2"/>
  <c r="EK7" i="2"/>
  <c r="EL7" i="2" s="1"/>
  <c r="EM7" i="2" s="1"/>
  <c r="EN7" i="2" s="1"/>
  <c r="DO8" i="2"/>
  <c r="DP7" i="2"/>
  <c r="DQ7" i="2" s="1"/>
  <c r="DR7" i="2" s="1"/>
  <c r="DS7" i="2" s="1"/>
  <c r="CT8" i="2"/>
  <c r="CU7" i="2"/>
  <c r="CV7" i="2" s="1"/>
  <c r="CW7" i="2" s="1"/>
  <c r="CX7" i="2" s="1"/>
  <c r="BY8" i="2"/>
  <c r="BZ7" i="2"/>
  <c r="CA7" i="2" s="1"/>
  <c r="CB7" i="2" s="1"/>
  <c r="CC7" i="2" s="1"/>
  <c r="BD8" i="2"/>
  <c r="BE7" i="2"/>
  <c r="BF7" i="2" s="1"/>
  <c r="BG7" i="2" s="1"/>
  <c r="BH7" i="2" s="1"/>
  <c r="N8" i="2"/>
  <c r="O7" i="2"/>
  <c r="P7" i="2" s="1"/>
  <c r="Q7" i="2" s="1"/>
  <c r="R7" i="2" s="1"/>
  <c r="HJ203" i="2"/>
  <c r="GO203" i="2"/>
  <c r="GA7" i="2"/>
  <c r="GB7" i="2" s="1"/>
  <c r="GC7" i="2" s="1"/>
  <c r="GD7" i="2" s="1"/>
  <c r="GV7" i="2"/>
  <c r="GW7" i="2" s="1"/>
  <c r="GX7" i="2" s="1"/>
  <c r="GY7" i="2" s="1"/>
  <c r="AC203" i="2"/>
  <c r="AJ7" i="2"/>
  <c r="AK7" i="2" s="1"/>
  <c r="AL7" i="2" s="1"/>
  <c r="AM7" i="2" s="1"/>
  <c r="AX203" i="2"/>
  <c r="AX202" i="2"/>
  <c r="FE9" i="2" l="1"/>
  <c r="FF8" i="2"/>
  <c r="FG8" i="2" s="1"/>
  <c r="FH8" i="2" s="1"/>
  <c r="FI8" i="2" s="1"/>
  <c r="EJ9" i="2"/>
  <c r="EK8" i="2"/>
  <c r="EL8" i="2" s="1"/>
  <c r="EM8" i="2" s="1"/>
  <c r="EN8" i="2" s="1"/>
  <c r="DO9" i="2"/>
  <c r="DP8" i="2"/>
  <c r="DQ8" i="2" s="1"/>
  <c r="DR8" i="2" s="1"/>
  <c r="DS8" i="2" s="1"/>
  <c r="CT9" i="2"/>
  <c r="CU8" i="2"/>
  <c r="CV8" i="2" s="1"/>
  <c r="CW8" i="2" s="1"/>
  <c r="CX8" i="2" s="1"/>
  <c r="BY9" i="2"/>
  <c r="BZ8" i="2"/>
  <c r="CA8" i="2" s="1"/>
  <c r="CB8" i="2" s="1"/>
  <c r="CC8" i="2" s="1"/>
  <c r="BD9" i="2"/>
  <c r="BE8" i="2"/>
  <c r="BF8" i="2" s="1"/>
  <c r="BG8" i="2" s="1"/>
  <c r="BH8" i="2" s="1"/>
  <c r="N9" i="2"/>
  <c r="O8" i="2"/>
  <c r="P8" i="2" s="1"/>
  <c r="Q8" i="2" s="1"/>
  <c r="R8" i="2" s="1"/>
  <c r="GA8" i="2"/>
  <c r="GB8" i="2" s="1"/>
  <c r="GC8" i="2" s="1"/>
  <c r="GD8" i="2" s="1"/>
  <c r="GV8" i="2"/>
  <c r="GW8" i="2" s="1"/>
  <c r="GX8" i="2" s="1"/>
  <c r="GY8" i="2" s="1"/>
  <c r="AJ8" i="2"/>
  <c r="AK8" i="2" s="1"/>
  <c r="AL8" i="2" s="1"/>
  <c r="AM8" i="2" s="1"/>
  <c r="FE10" i="2" l="1"/>
  <c r="FF9" i="2"/>
  <c r="FG9" i="2" s="1"/>
  <c r="FH9" i="2" s="1"/>
  <c r="FI9" i="2" s="1"/>
  <c r="EJ10" i="2"/>
  <c r="EK9" i="2"/>
  <c r="EL9" i="2" s="1"/>
  <c r="EM9" i="2" s="1"/>
  <c r="EN9" i="2" s="1"/>
  <c r="DO10" i="2"/>
  <c r="DP9" i="2"/>
  <c r="DQ9" i="2" s="1"/>
  <c r="DR9" i="2" s="1"/>
  <c r="DS9" i="2" s="1"/>
  <c r="CT10" i="2"/>
  <c r="CU9" i="2"/>
  <c r="CV9" i="2" s="1"/>
  <c r="CW9" i="2" s="1"/>
  <c r="CX9" i="2" s="1"/>
  <c r="BY10" i="2"/>
  <c r="BZ9" i="2"/>
  <c r="CA9" i="2" s="1"/>
  <c r="CB9" i="2" s="1"/>
  <c r="CC9" i="2" s="1"/>
  <c r="BD10" i="2"/>
  <c r="BE9" i="2"/>
  <c r="BF9" i="2" s="1"/>
  <c r="BG9" i="2" s="1"/>
  <c r="BH9" i="2" s="1"/>
  <c r="N10" i="2"/>
  <c r="O9" i="2"/>
  <c r="P9" i="2" s="1"/>
  <c r="Q9" i="2" s="1"/>
  <c r="R9" i="2" s="1"/>
  <c r="GA9" i="2"/>
  <c r="GB9" i="2" s="1"/>
  <c r="GC9" i="2" s="1"/>
  <c r="GD9" i="2" s="1"/>
  <c r="GV9" i="2"/>
  <c r="GW9" i="2" s="1"/>
  <c r="GX9" i="2" s="1"/>
  <c r="GY9" i="2" s="1"/>
  <c r="AJ9" i="2"/>
  <c r="AK9" i="2" s="1"/>
  <c r="AL9" i="2" s="1"/>
  <c r="AM9" i="2" s="1"/>
  <c r="FE11" i="2" l="1"/>
  <c r="FF10" i="2"/>
  <c r="FG10" i="2" s="1"/>
  <c r="FH10" i="2" s="1"/>
  <c r="FI10" i="2" s="1"/>
  <c r="EJ11" i="2"/>
  <c r="EK10" i="2"/>
  <c r="EL10" i="2" s="1"/>
  <c r="EM10" i="2" s="1"/>
  <c r="EN10" i="2" s="1"/>
  <c r="DO11" i="2"/>
  <c r="DP10" i="2"/>
  <c r="DQ10" i="2" s="1"/>
  <c r="DR10" i="2" s="1"/>
  <c r="DS10" i="2" s="1"/>
  <c r="CT11" i="2"/>
  <c r="CU10" i="2"/>
  <c r="CV10" i="2" s="1"/>
  <c r="CW10" i="2" s="1"/>
  <c r="CX10" i="2" s="1"/>
  <c r="BY11" i="2"/>
  <c r="BZ10" i="2"/>
  <c r="CA10" i="2" s="1"/>
  <c r="CB10" i="2" s="1"/>
  <c r="CC10" i="2" s="1"/>
  <c r="BD11" i="2"/>
  <c r="BE10" i="2"/>
  <c r="BF10" i="2" s="1"/>
  <c r="BG10" i="2" s="1"/>
  <c r="BH10" i="2" s="1"/>
  <c r="N11" i="2"/>
  <c r="O10" i="2"/>
  <c r="P10" i="2" s="1"/>
  <c r="Q10" i="2" s="1"/>
  <c r="R10" i="2" s="1"/>
  <c r="GA10" i="2"/>
  <c r="GB10" i="2" s="1"/>
  <c r="GC10" i="2" s="1"/>
  <c r="GD10" i="2" s="1"/>
  <c r="GV10" i="2"/>
  <c r="GW10" i="2" s="1"/>
  <c r="GX10" i="2" s="1"/>
  <c r="GY10" i="2" s="1"/>
  <c r="AJ10" i="2"/>
  <c r="AK10" i="2" s="1"/>
  <c r="AL10" i="2" s="1"/>
  <c r="AM10" i="2" s="1"/>
  <c r="FE12" i="2" l="1"/>
  <c r="FF11" i="2"/>
  <c r="FG11" i="2" s="1"/>
  <c r="FH11" i="2" s="1"/>
  <c r="FI11" i="2" s="1"/>
  <c r="EJ12" i="2"/>
  <c r="EK11" i="2"/>
  <c r="EL11" i="2" s="1"/>
  <c r="EM11" i="2" s="1"/>
  <c r="EN11" i="2" s="1"/>
  <c r="DO12" i="2"/>
  <c r="DP11" i="2"/>
  <c r="DQ11" i="2" s="1"/>
  <c r="DR11" i="2" s="1"/>
  <c r="DS11" i="2" s="1"/>
  <c r="CT12" i="2"/>
  <c r="CU11" i="2"/>
  <c r="CV11" i="2" s="1"/>
  <c r="CW11" i="2" s="1"/>
  <c r="CX11" i="2" s="1"/>
  <c r="BY12" i="2"/>
  <c r="BZ11" i="2"/>
  <c r="CA11" i="2" s="1"/>
  <c r="CB11" i="2" s="1"/>
  <c r="CC11" i="2" s="1"/>
  <c r="BD12" i="2"/>
  <c r="BE11" i="2"/>
  <c r="BF11" i="2" s="1"/>
  <c r="BG11" i="2" s="1"/>
  <c r="BH11" i="2" s="1"/>
  <c r="N12" i="2"/>
  <c r="O11" i="2"/>
  <c r="P11" i="2" s="1"/>
  <c r="Q11" i="2" s="1"/>
  <c r="R11" i="2" s="1"/>
  <c r="GA11" i="2"/>
  <c r="GB11" i="2" s="1"/>
  <c r="GC11" i="2" s="1"/>
  <c r="GD11" i="2" s="1"/>
  <c r="GV11" i="2"/>
  <c r="GW11" i="2" s="1"/>
  <c r="GX11" i="2" s="1"/>
  <c r="GY11" i="2" s="1"/>
  <c r="AJ11" i="2"/>
  <c r="AK11" i="2" s="1"/>
  <c r="AL11" i="2" s="1"/>
  <c r="AM11" i="2" s="1"/>
  <c r="FE13" i="2" l="1"/>
  <c r="FF12" i="2"/>
  <c r="FG12" i="2" s="1"/>
  <c r="FH12" i="2" s="1"/>
  <c r="FI12" i="2" s="1"/>
  <c r="EJ13" i="2"/>
  <c r="EK12" i="2"/>
  <c r="EL12" i="2" s="1"/>
  <c r="EM12" i="2" s="1"/>
  <c r="EN12" i="2" s="1"/>
  <c r="DO13" i="2"/>
  <c r="DP12" i="2"/>
  <c r="DQ12" i="2" s="1"/>
  <c r="DR12" i="2" s="1"/>
  <c r="DS12" i="2" s="1"/>
  <c r="CT13" i="2"/>
  <c r="CU12" i="2"/>
  <c r="CV12" i="2" s="1"/>
  <c r="CW12" i="2" s="1"/>
  <c r="CX12" i="2" s="1"/>
  <c r="BY13" i="2"/>
  <c r="BZ12" i="2"/>
  <c r="CA12" i="2" s="1"/>
  <c r="CB12" i="2" s="1"/>
  <c r="CC12" i="2" s="1"/>
  <c r="BD13" i="2"/>
  <c r="BE12" i="2"/>
  <c r="BF12" i="2" s="1"/>
  <c r="BG12" i="2" s="1"/>
  <c r="BH12" i="2" s="1"/>
  <c r="N13" i="2"/>
  <c r="O12" i="2"/>
  <c r="P12" i="2" s="1"/>
  <c r="Q12" i="2" s="1"/>
  <c r="R12" i="2" s="1"/>
  <c r="GA12" i="2"/>
  <c r="GB12" i="2" s="1"/>
  <c r="GC12" i="2" s="1"/>
  <c r="GD12" i="2" s="1"/>
  <c r="GV12" i="2"/>
  <c r="GW12" i="2" s="1"/>
  <c r="GX12" i="2" s="1"/>
  <c r="GY12" i="2" s="1"/>
  <c r="AJ12" i="2"/>
  <c r="AK12" i="2" s="1"/>
  <c r="AL12" i="2" s="1"/>
  <c r="AM12" i="2" s="1"/>
  <c r="FE14" i="2" l="1"/>
  <c r="FF13" i="2"/>
  <c r="FG13" i="2" s="1"/>
  <c r="FH13" i="2" s="1"/>
  <c r="FI13" i="2" s="1"/>
  <c r="EJ14" i="2"/>
  <c r="EK13" i="2"/>
  <c r="EL13" i="2" s="1"/>
  <c r="EM13" i="2" s="1"/>
  <c r="EN13" i="2" s="1"/>
  <c r="DO14" i="2"/>
  <c r="DP13" i="2"/>
  <c r="DQ13" i="2" s="1"/>
  <c r="DR13" i="2" s="1"/>
  <c r="DS13" i="2" s="1"/>
  <c r="CT14" i="2"/>
  <c r="CU13" i="2"/>
  <c r="CV13" i="2" s="1"/>
  <c r="CW13" i="2" s="1"/>
  <c r="CX13" i="2" s="1"/>
  <c r="BY14" i="2"/>
  <c r="BZ13" i="2"/>
  <c r="CA13" i="2" s="1"/>
  <c r="CB13" i="2" s="1"/>
  <c r="CC13" i="2" s="1"/>
  <c r="BD14" i="2"/>
  <c r="BE13" i="2"/>
  <c r="BF13" i="2" s="1"/>
  <c r="BG13" i="2" s="1"/>
  <c r="BH13" i="2" s="1"/>
  <c r="N14" i="2"/>
  <c r="O13" i="2"/>
  <c r="P13" i="2" s="1"/>
  <c r="Q13" i="2" s="1"/>
  <c r="R13" i="2" s="1"/>
  <c r="GA13" i="2"/>
  <c r="GB13" i="2" s="1"/>
  <c r="GC13" i="2" s="1"/>
  <c r="GD13" i="2" s="1"/>
  <c r="GV13" i="2"/>
  <c r="GW13" i="2" s="1"/>
  <c r="GX13" i="2" s="1"/>
  <c r="GY13" i="2" s="1"/>
  <c r="AJ13" i="2"/>
  <c r="AK13" i="2" s="1"/>
  <c r="AL13" i="2" s="1"/>
  <c r="AM13" i="2" s="1"/>
  <c r="FE15" i="2" l="1"/>
  <c r="FF14" i="2"/>
  <c r="FG14" i="2" s="1"/>
  <c r="FH14" i="2" s="1"/>
  <c r="FI14" i="2" s="1"/>
  <c r="EJ15" i="2"/>
  <c r="EK14" i="2"/>
  <c r="EL14" i="2" s="1"/>
  <c r="EM14" i="2" s="1"/>
  <c r="EN14" i="2" s="1"/>
  <c r="DO15" i="2"/>
  <c r="DP14" i="2"/>
  <c r="DQ14" i="2" s="1"/>
  <c r="DR14" i="2" s="1"/>
  <c r="DS14" i="2" s="1"/>
  <c r="CT15" i="2"/>
  <c r="CU14" i="2"/>
  <c r="CV14" i="2" s="1"/>
  <c r="CW14" i="2" s="1"/>
  <c r="CX14" i="2" s="1"/>
  <c r="BY15" i="2"/>
  <c r="BZ14" i="2"/>
  <c r="CA14" i="2" s="1"/>
  <c r="CB14" i="2" s="1"/>
  <c r="CC14" i="2" s="1"/>
  <c r="BD15" i="2"/>
  <c r="BE14" i="2"/>
  <c r="BF14" i="2" s="1"/>
  <c r="BG14" i="2" s="1"/>
  <c r="BH14" i="2" s="1"/>
  <c r="N15" i="2"/>
  <c r="O14" i="2"/>
  <c r="P14" i="2" s="1"/>
  <c r="Q14" i="2" s="1"/>
  <c r="R14" i="2" s="1"/>
  <c r="GA14" i="2"/>
  <c r="GB14" i="2" s="1"/>
  <c r="GC14" i="2" s="1"/>
  <c r="GD14" i="2" s="1"/>
  <c r="GV14" i="2"/>
  <c r="GW14" i="2" s="1"/>
  <c r="GX14" i="2" s="1"/>
  <c r="GY14" i="2" s="1"/>
  <c r="AJ14" i="2"/>
  <c r="AK14" i="2" s="1"/>
  <c r="AL14" i="2" s="1"/>
  <c r="AM14" i="2" s="1"/>
  <c r="FE16" i="2" l="1"/>
  <c r="FF15" i="2"/>
  <c r="FG15" i="2" s="1"/>
  <c r="FH15" i="2" s="1"/>
  <c r="FI15" i="2" s="1"/>
  <c r="EJ16" i="2"/>
  <c r="EK15" i="2"/>
  <c r="EL15" i="2" s="1"/>
  <c r="EM15" i="2" s="1"/>
  <c r="EN15" i="2" s="1"/>
  <c r="DO16" i="2"/>
  <c r="DP15" i="2"/>
  <c r="DQ15" i="2" s="1"/>
  <c r="DR15" i="2" s="1"/>
  <c r="DS15" i="2" s="1"/>
  <c r="CT16" i="2"/>
  <c r="CU15" i="2"/>
  <c r="CV15" i="2" s="1"/>
  <c r="CW15" i="2" s="1"/>
  <c r="CX15" i="2" s="1"/>
  <c r="BY16" i="2"/>
  <c r="BZ15" i="2"/>
  <c r="CA15" i="2" s="1"/>
  <c r="CB15" i="2" s="1"/>
  <c r="CC15" i="2" s="1"/>
  <c r="BD16" i="2"/>
  <c r="BE15" i="2"/>
  <c r="BF15" i="2" s="1"/>
  <c r="BG15" i="2" s="1"/>
  <c r="BH15" i="2" s="1"/>
  <c r="N16" i="2"/>
  <c r="O15" i="2"/>
  <c r="P15" i="2" s="1"/>
  <c r="Q15" i="2" s="1"/>
  <c r="R15" i="2" s="1"/>
  <c r="GA15" i="2"/>
  <c r="GB15" i="2" s="1"/>
  <c r="GC15" i="2" s="1"/>
  <c r="GD15" i="2" s="1"/>
  <c r="GV15" i="2"/>
  <c r="GW15" i="2" s="1"/>
  <c r="GX15" i="2" s="1"/>
  <c r="GY15" i="2" s="1"/>
  <c r="AJ15" i="2"/>
  <c r="AK15" i="2" s="1"/>
  <c r="AL15" i="2" s="1"/>
  <c r="AM15" i="2" s="1"/>
  <c r="FE17" i="2" l="1"/>
  <c r="FF16" i="2"/>
  <c r="FG16" i="2" s="1"/>
  <c r="FH16" i="2" s="1"/>
  <c r="FI16" i="2" s="1"/>
  <c r="EJ17" i="2"/>
  <c r="EK16" i="2"/>
  <c r="EL16" i="2" s="1"/>
  <c r="EM16" i="2" s="1"/>
  <c r="EN16" i="2" s="1"/>
  <c r="DO17" i="2"/>
  <c r="DP16" i="2"/>
  <c r="DQ16" i="2" s="1"/>
  <c r="DR16" i="2" s="1"/>
  <c r="DS16" i="2" s="1"/>
  <c r="CT17" i="2"/>
  <c r="CU16" i="2"/>
  <c r="CV16" i="2" s="1"/>
  <c r="CW16" i="2" s="1"/>
  <c r="CX16" i="2" s="1"/>
  <c r="BY17" i="2"/>
  <c r="BZ16" i="2"/>
  <c r="CA16" i="2" s="1"/>
  <c r="CB16" i="2" s="1"/>
  <c r="CC16" i="2" s="1"/>
  <c r="BD17" i="2"/>
  <c r="BE16" i="2"/>
  <c r="BF16" i="2" s="1"/>
  <c r="BG16" i="2" s="1"/>
  <c r="BH16" i="2" s="1"/>
  <c r="N17" i="2"/>
  <c r="O16" i="2"/>
  <c r="P16" i="2" s="1"/>
  <c r="Q16" i="2" s="1"/>
  <c r="R16" i="2" s="1"/>
  <c r="GA16" i="2"/>
  <c r="GB16" i="2" s="1"/>
  <c r="GC16" i="2" s="1"/>
  <c r="GD16" i="2" s="1"/>
  <c r="GV16" i="2"/>
  <c r="GW16" i="2" s="1"/>
  <c r="GX16" i="2" s="1"/>
  <c r="GY16" i="2" s="1"/>
  <c r="AJ16" i="2"/>
  <c r="AK16" i="2" s="1"/>
  <c r="AL16" i="2" s="1"/>
  <c r="AM16" i="2" s="1"/>
  <c r="FE18" i="2" l="1"/>
  <c r="FF17" i="2"/>
  <c r="FG17" i="2" s="1"/>
  <c r="FH17" i="2" s="1"/>
  <c r="FI17" i="2" s="1"/>
  <c r="EJ18" i="2"/>
  <c r="EK17" i="2"/>
  <c r="EL17" i="2" s="1"/>
  <c r="EM17" i="2" s="1"/>
  <c r="EN17" i="2" s="1"/>
  <c r="DO18" i="2"/>
  <c r="DP17" i="2"/>
  <c r="DQ17" i="2" s="1"/>
  <c r="DR17" i="2" s="1"/>
  <c r="DS17" i="2" s="1"/>
  <c r="CT18" i="2"/>
  <c r="CU17" i="2"/>
  <c r="CV17" i="2" s="1"/>
  <c r="CW17" i="2" s="1"/>
  <c r="CX17" i="2" s="1"/>
  <c r="BY18" i="2"/>
  <c r="BZ17" i="2"/>
  <c r="CA17" i="2" s="1"/>
  <c r="CB17" i="2" s="1"/>
  <c r="CC17" i="2" s="1"/>
  <c r="BD18" i="2"/>
  <c r="BE17" i="2"/>
  <c r="BF17" i="2" s="1"/>
  <c r="BG17" i="2" s="1"/>
  <c r="BH17" i="2" s="1"/>
  <c r="N18" i="2"/>
  <c r="O17" i="2"/>
  <c r="P17" i="2" s="1"/>
  <c r="Q17" i="2" s="1"/>
  <c r="R17" i="2" s="1"/>
  <c r="GA17" i="2"/>
  <c r="GB17" i="2" s="1"/>
  <c r="GC17" i="2" s="1"/>
  <c r="GD17" i="2" s="1"/>
  <c r="GV17" i="2"/>
  <c r="GW17" i="2" s="1"/>
  <c r="GX17" i="2" s="1"/>
  <c r="GY17" i="2" s="1"/>
  <c r="AJ17" i="2"/>
  <c r="AK17" i="2" s="1"/>
  <c r="AL17" i="2" s="1"/>
  <c r="AM17" i="2" s="1"/>
  <c r="FE19" i="2" l="1"/>
  <c r="FF18" i="2"/>
  <c r="FG18" i="2" s="1"/>
  <c r="FH18" i="2" s="1"/>
  <c r="FI18" i="2" s="1"/>
  <c r="EJ19" i="2"/>
  <c r="EK18" i="2"/>
  <c r="EL18" i="2" s="1"/>
  <c r="EM18" i="2" s="1"/>
  <c r="EN18" i="2" s="1"/>
  <c r="DO19" i="2"/>
  <c r="DP18" i="2"/>
  <c r="DQ18" i="2" s="1"/>
  <c r="DR18" i="2" s="1"/>
  <c r="DS18" i="2" s="1"/>
  <c r="CT19" i="2"/>
  <c r="CU18" i="2"/>
  <c r="CV18" i="2" s="1"/>
  <c r="CW18" i="2" s="1"/>
  <c r="CX18" i="2" s="1"/>
  <c r="BY19" i="2"/>
  <c r="BZ18" i="2"/>
  <c r="CA18" i="2" s="1"/>
  <c r="CB18" i="2" s="1"/>
  <c r="CC18" i="2" s="1"/>
  <c r="BD19" i="2"/>
  <c r="BE18" i="2"/>
  <c r="BF18" i="2" s="1"/>
  <c r="BG18" i="2" s="1"/>
  <c r="BH18" i="2" s="1"/>
  <c r="N19" i="2"/>
  <c r="O18" i="2"/>
  <c r="P18" i="2" s="1"/>
  <c r="Q18" i="2" s="1"/>
  <c r="R18" i="2" s="1"/>
  <c r="GA18" i="2"/>
  <c r="GB18" i="2" s="1"/>
  <c r="GC18" i="2" s="1"/>
  <c r="GD18" i="2" s="1"/>
  <c r="GV18" i="2"/>
  <c r="GW18" i="2" s="1"/>
  <c r="GX18" i="2" s="1"/>
  <c r="GY18" i="2" s="1"/>
  <c r="AJ18" i="2"/>
  <c r="AK18" i="2" s="1"/>
  <c r="AL18" i="2" s="1"/>
  <c r="AM18" i="2" s="1"/>
  <c r="FE20" i="2" l="1"/>
  <c r="FF19" i="2"/>
  <c r="FG19" i="2" s="1"/>
  <c r="FH19" i="2" s="1"/>
  <c r="FI19" i="2" s="1"/>
  <c r="EJ20" i="2"/>
  <c r="EK19" i="2"/>
  <c r="EL19" i="2" s="1"/>
  <c r="EM19" i="2" s="1"/>
  <c r="EN19" i="2" s="1"/>
  <c r="DO20" i="2"/>
  <c r="DP19" i="2"/>
  <c r="DQ19" i="2" s="1"/>
  <c r="DR19" i="2" s="1"/>
  <c r="DS19" i="2" s="1"/>
  <c r="CT20" i="2"/>
  <c r="CU19" i="2"/>
  <c r="CV19" i="2" s="1"/>
  <c r="CW19" i="2" s="1"/>
  <c r="CX19" i="2" s="1"/>
  <c r="BY20" i="2"/>
  <c r="BZ19" i="2"/>
  <c r="CA19" i="2" s="1"/>
  <c r="CB19" i="2" s="1"/>
  <c r="CC19" i="2" s="1"/>
  <c r="BD20" i="2"/>
  <c r="BD21" i="2" s="1"/>
  <c r="BD22" i="2" s="1"/>
  <c r="BD23" i="2" s="1"/>
  <c r="BD24" i="2" s="1"/>
  <c r="BD25" i="2" s="1"/>
  <c r="BD26" i="2" s="1"/>
  <c r="BD27" i="2" s="1"/>
  <c r="BD28" i="2" s="1"/>
  <c r="BD29" i="2" s="1"/>
  <c r="BD30" i="2" s="1"/>
  <c r="BD31" i="2" s="1"/>
  <c r="BD32" i="2" s="1"/>
  <c r="BD33" i="2" s="1"/>
  <c r="BD34" i="2" s="1"/>
  <c r="BD35" i="2" s="1"/>
  <c r="BD36" i="2" s="1"/>
  <c r="BD37" i="2" s="1"/>
  <c r="BD38" i="2" s="1"/>
  <c r="BD39" i="2" s="1"/>
  <c r="BD40" i="2" s="1"/>
  <c r="BD41" i="2" s="1"/>
  <c r="BD42" i="2" s="1"/>
  <c r="BD43" i="2" s="1"/>
  <c r="BD44" i="2" s="1"/>
  <c r="BD45" i="2" s="1"/>
  <c r="BD46" i="2" s="1"/>
  <c r="BD47" i="2" s="1"/>
  <c r="BD48" i="2" s="1"/>
  <c r="BD49" i="2" s="1"/>
  <c r="BD50" i="2" s="1"/>
  <c r="BD51" i="2" s="1"/>
  <c r="BD52" i="2" s="1"/>
  <c r="BD53" i="2" s="1"/>
  <c r="BD54" i="2" s="1"/>
  <c r="BD55" i="2" s="1"/>
  <c r="BD56" i="2" s="1"/>
  <c r="BD57" i="2" s="1"/>
  <c r="BD58" i="2" s="1"/>
  <c r="BD59" i="2" s="1"/>
  <c r="BD60" i="2" s="1"/>
  <c r="BD61" i="2" s="1"/>
  <c r="BD62" i="2" s="1"/>
  <c r="BD63" i="2" s="1"/>
  <c r="BD64" i="2" s="1"/>
  <c r="BD65" i="2" s="1"/>
  <c r="BD66" i="2" s="1"/>
  <c r="BD67" i="2" s="1"/>
  <c r="BD68" i="2" s="1"/>
  <c r="BD69" i="2" s="1"/>
  <c r="BD70" i="2" s="1"/>
  <c r="BD71" i="2" s="1"/>
  <c r="BD72" i="2" s="1"/>
  <c r="BD73" i="2" s="1"/>
  <c r="BD74" i="2" s="1"/>
  <c r="BD75" i="2" s="1"/>
  <c r="BD76" i="2" s="1"/>
  <c r="BD77" i="2" s="1"/>
  <c r="BD78" i="2" s="1"/>
  <c r="BD79" i="2" s="1"/>
  <c r="BD80" i="2" s="1"/>
  <c r="BD81" i="2" s="1"/>
  <c r="BD82" i="2" s="1"/>
  <c r="BD83" i="2" s="1"/>
  <c r="BD84" i="2" s="1"/>
  <c r="BD85" i="2" s="1"/>
  <c r="BD86" i="2" s="1"/>
  <c r="BD87" i="2" s="1"/>
  <c r="BD88" i="2" s="1"/>
  <c r="BD89" i="2" s="1"/>
  <c r="BD90" i="2" s="1"/>
  <c r="BD91" i="2" s="1"/>
  <c r="BD92" i="2" s="1"/>
  <c r="BD93" i="2" s="1"/>
  <c r="BD94" i="2" s="1"/>
  <c r="BD95" i="2" s="1"/>
  <c r="BD96" i="2" s="1"/>
  <c r="BD97" i="2" s="1"/>
  <c r="BD98" i="2" s="1"/>
  <c r="BD99" i="2" s="1"/>
  <c r="BD100" i="2" s="1"/>
  <c r="BD101" i="2" s="1"/>
  <c r="BD102" i="2" s="1"/>
  <c r="BD103" i="2" s="1"/>
  <c r="BD104" i="2" s="1"/>
  <c r="BD105" i="2" s="1"/>
  <c r="BD106" i="2" s="1"/>
  <c r="BD107" i="2" s="1"/>
  <c r="BD108" i="2" s="1"/>
  <c r="BD109" i="2" s="1"/>
  <c r="BD110" i="2" s="1"/>
  <c r="BD111" i="2" s="1"/>
  <c r="BD112" i="2" s="1"/>
  <c r="BD113" i="2" s="1"/>
  <c r="BD114" i="2" s="1"/>
  <c r="BD115" i="2" s="1"/>
  <c r="BD116" i="2" s="1"/>
  <c r="BD117" i="2" s="1"/>
  <c r="BD118" i="2" s="1"/>
  <c r="BD119" i="2" s="1"/>
  <c r="BD120" i="2" s="1"/>
  <c r="BD121" i="2" s="1"/>
  <c r="BD122" i="2" s="1"/>
  <c r="BD123" i="2" s="1"/>
  <c r="BD124" i="2" s="1"/>
  <c r="BD125" i="2" s="1"/>
  <c r="BD126" i="2" s="1"/>
  <c r="BD127" i="2" s="1"/>
  <c r="BD128" i="2" s="1"/>
  <c r="BD129" i="2" s="1"/>
  <c r="BD130" i="2" s="1"/>
  <c r="BD131" i="2" s="1"/>
  <c r="BD132" i="2" s="1"/>
  <c r="BD133" i="2" s="1"/>
  <c r="BD134" i="2" s="1"/>
  <c r="BD135" i="2" s="1"/>
  <c r="BD136" i="2" s="1"/>
  <c r="BD137" i="2" s="1"/>
  <c r="BD138" i="2" s="1"/>
  <c r="BD139" i="2" s="1"/>
  <c r="BD140" i="2" s="1"/>
  <c r="BD141" i="2" s="1"/>
  <c r="BD142" i="2" s="1"/>
  <c r="BD143" i="2" s="1"/>
  <c r="BD144" i="2" s="1"/>
  <c r="BD145" i="2" s="1"/>
  <c r="BD146" i="2" s="1"/>
  <c r="BD147" i="2" s="1"/>
  <c r="BD148" i="2" s="1"/>
  <c r="BD149" i="2" s="1"/>
  <c r="BD150" i="2" s="1"/>
  <c r="BD151" i="2" s="1"/>
  <c r="BD152" i="2" s="1"/>
  <c r="BD153" i="2" s="1"/>
  <c r="BD154" i="2" s="1"/>
  <c r="BE19" i="2"/>
  <c r="BF19" i="2" s="1"/>
  <c r="BG19" i="2" s="1"/>
  <c r="BH19" i="2" s="1"/>
  <c r="N20" i="2"/>
  <c r="O19" i="2"/>
  <c r="P19" i="2" s="1"/>
  <c r="Q19" i="2" s="1"/>
  <c r="R19" i="2" s="1"/>
  <c r="GA19" i="2"/>
  <c r="GB19" i="2" s="1"/>
  <c r="GC19" i="2" s="1"/>
  <c r="GD19" i="2" s="1"/>
  <c r="GV19" i="2"/>
  <c r="GW19" i="2" s="1"/>
  <c r="GX19" i="2" s="1"/>
  <c r="GY19" i="2" s="1"/>
  <c r="AJ19" i="2"/>
  <c r="AK19" i="2" s="1"/>
  <c r="AL19" i="2" s="1"/>
  <c r="AM19" i="2" s="1"/>
  <c r="FE21" i="2" l="1"/>
  <c r="FF20" i="2"/>
  <c r="FG20" i="2" s="1"/>
  <c r="FH20" i="2" s="1"/>
  <c r="FI20" i="2" s="1"/>
  <c r="EJ21" i="2"/>
  <c r="EK20" i="2"/>
  <c r="EL20" i="2" s="1"/>
  <c r="EM20" i="2" s="1"/>
  <c r="EN20" i="2" s="1"/>
  <c r="DO21" i="2"/>
  <c r="DP20" i="2"/>
  <c r="DQ20" i="2" s="1"/>
  <c r="DR20" i="2" s="1"/>
  <c r="DS20" i="2" s="1"/>
  <c r="CT21" i="2"/>
  <c r="CU20" i="2"/>
  <c r="CV20" i="2" s="1"/>
  <c r="CW20" i="2" s="1"/>
  <c r="CX20" i="2" s="1"/>
  <c r="BY21" i="2"/>
  <c r="BZ20" i="2"/>
  <c r="CA20" i="2" s="1"/>
  <c r="CB20" i="2" s="1"/>
  <c r="CC20" i="2" s="1"/>
  <c r="BD155" i="2"/>
  <c r="BE154" i="2"/>
  <c r="BF154" i="2" s="1"/>
  <c r="BG154" i="2" s="1"/>
  <c r="BH154" i="2" s="1"/>
  <c r="N21" i="2"/>
  <c r="O20" i="2"/>
  <c r="P20" i="2" s="1"/>
  <c r="Q20" i="2" s="1"/>
  <c r="R20" i="2" s="1"/>
  <c r="GA20" i="2"/>
  <c r="GB20" i="2" s="1"/>
  <c r="GC20" i="2" s="1"/>
  <c r="GD20" i="2" s="1"/>
  <c r="GV20" i="2"/>
  <c r="GW20" i="2" s="1"/>
  <c r="GX20" i="2" s="1"/>
  <c r="GY20" i="2" s="1"/>
  <c r="AJ20" i="2"/>
  <c r="AK20" i="2" s="1"/>
  <c r="AL20" i="2" s="1"/>
  <c r="AM20" i="2" s="1"/>
  <c r="FE22" i="2" l="1"/>
  <c r="FF21" i="2"/>
  <c r="FG21" i="2" s="1"/>
  <c r="FH21" i="2" s="1"/>
  <c r="FI21" i="2" s="1"/>
  <c r="EJ22" i="2"/>
  <c r="EK21" i="2"/>
  <c r="EL21" i="2" s="1"/>
  <c r="EM21" i="2" s="1"/>
  <c r="EN21" i="2" s="1"/>
  <c r="DO22" i="2"/>
  <c r="DP21" i="2"/>
  <c r="DQ21" i="2" s="1"/>
  <c r="DR21" i="2" s="1"/>
  <c r="DS21" i="2" s="1"/>
  <c r="CT22" i="2"/>
  <c r="CU21" i="2"/>
  <c r="CV21" i="2" s="1"/>
  <c r="CW21" i="2" s="1"/>
  <c r="CX21" i="2" s="1"/>
  <c r="BY22" i="2"/>
  <c r="BZ21" i="2"/>
  <c r="CA21" i="2" s="1"/>
  <c r="CB21" i="2" s="1"/>
  <c r="CC21" i="2" s="1"/>
  <c r="BD156" i="2"/>
  <c r="BE155" i="2"/>
  <c r="BF155" i="2" s="1"/>
  <c r="BG155" i="2" s="1"/>
  <c r="BH155" i="2" s="1"/>
  <c r="N22" i="2"/>
  <c r="O21" i="2"/>
  <c r="P21" i="2" s="1"/>
  <c r="Q21" i="2" s="1"/>
  <c r="R21" i="2" s="1"/>
  <c r="GA21" i="2"/>
  <c r="GB21" i="2" s="1"/>
  <c r="GC21" i="2" s="1"/>
  <c r="GD21" i="2" s="1"/>
  <c r="GV21" i="2"/>
  <c r="GW21" i="2" s="1"/>
  <c r="GX21" i="2" s="1"/>
  <c r="GY21" i="2" s="1"/>
  <c r="AJ21" i="2"/>
  <c r="AK21" i="2" s="1"/>
  <c r="AL21" i="2" s="1"/>
  <c r="AM21" i="2" s="1"/>
  <c r="FE23" i="2" l="1"/>
  <c r="FF22" i="2"/>
  <c r="FG22" i="2" s="1"/>
  <c r="FH22" i="2" s="1"/>
  <c r="FI22" i="2" s="1"/>
  <c r="EJ23" i="2"/>
  <c r="EK22" i="2"/>
  <c r="EL22" i="2" s="1"/>
  <c r="EM22" i="2" s="1"/>
  <c r="EN22" i="2" s="1"/>
  <c r="DO23" i="2"/>
  <c r="DP22" i="2"/>
  <c r="DQ22" i="2" s="1"/>
  <c r="DR22" i="2" s="1"/>
  <c r="DS22" i="2" s="1"/>
  <c r="CT23" i="2"/>
  <c r="CU22" i="2"/>
  <c r="CV22" i="2" s="1"/>
  <c r="CW22" i="2" s="1"/>
  <c r="CX22" i="2" s="1"/>
  <c r="BY23" i="2"/>
  <c r="BZ22" i="2"/>
  <c r="CA22" i="2" s="1"/>
  <c r="CB22" i="2" s="1"/>
  <c r="CC22" i="2" s="1"/>
  <c r="BD157" i="2"/>
  <c r="BE156" i="2"/>
  <c r="BF156" i="2" s="1"/>
  <c r="BG156" i="2" s="1"/>
  <c r="BH156" i="2" s="1"/>
  <c r="N23" i="2"/>
  <c r="O22" i="2"/>
  <c r="P22" i="2" s="1"/>
  <c r="Q22" i="2" s="1"/>
  <c r="R22" i="2" s="1"/>
  <c r="GA22" i="2"/>
  <c r="GB22" i="2" s="1"/>
  <c r="GC22" i="2" s="1"/>
  <c r="GD22" i="2" s="1"/>
  <c r="GV22" i="2"/>
  <c r="GW22" i="2" s="1"/>
  <c r="GX22" i="2" s="1"/>
  <c r="GY22" i="2" s="1"/>
  <c r="AJ22" i="2"/>
  <c r="AK22" i="2" s="1"/>
  <c r="AL22" i="2" s="1"/>
  <c r="AM22" i="2" s="1"/>
  <c r="FE24" i="2" l="1"/>
  <c r="FF23" i="2"/>
  <c r="FG23" i="2" s="1"/>
  <c r="FH23" i="2" s="1"/>
  <c r="FI23" i="2" s="1"/>
  <c r="EJ24" i="2"/>
  <c r="EK23" i="2"/>
  <c r="EL23" i="2" s="1"/>
  <c r="EM23" i="2" s="1"/>
  <c r="EN23" i="2" s="1"/>
  <c r="DO24" i="2"/>
  <c r="DP23" i="2"/>
  <c r="DQ23" i="2" s="1"/>
  <c r="DR23" i="2" s="1"/>
  <c r="DS23" i="2" s="1"/>
  <c r="CT24" i="2"/>
  <c r="CU23" i="2"/>
  <c r="CV23" i="2" s="1"/>
  <c r="CW23" i="2" s="1"/>
  <c r="CX23" i="2" s="1"/>
  <c r="BY24" i="2"/>
  <c r="BZ23" i="2"/>
  <c r="CA23" i="2" s="1"/>
  <c r="CB23" i="2" s="1"/>
  <c r="CC23" i="2" s="1"/>
  <c r="BD158" i="2"/>
  <c r="BE157" i="2"/>
  <c r="BF157" i="2" s="1"/>
  <c r="BG157" i="2" s="1"/>
  <c r="BH157" i="2" s="1"/>
  <c r="N24" i="2"/>
  <c r="O23" i="2"/>
  <c r="P23" i="2" s="1"/>
  <c r="Q23" i="2" s="1"/>
  <c r="R23" i="2" s="1"/>
  <c r="GA23" i="2"/>
  <c r="GB23" i="2" s="1"/>
  <c r="GC23" i="2" s="1"/>
  <c r="GD23" i="2" s="1"/>
  <c r="GV23" i="2"/>
  <c r="GW23" i="2" s="1"/>
  <c r="GX23" i="2" s="1"/>
  <c r="GY23" i="2" s="1"/>
  <c r="AJ23" i="2"/>
  <c r="AK23" i="2" s="1"/>
  <c r="AL23" i="2" s="1"/>
  <c r="AM23" i="2" s="1"/>
  <c r="FE25" i="2" l="1"/>
  <c r="FF24" i="2"/>
  <c r="FG24" i="2" s="1"/>
  <c r="FH24" i="2" s="1"/>
  <c r="FI24" i="2" s="1"/>
  <c r="EJ25" i="2"/>
  <c r="EK24" i="2"/>
  <c r="EL24" i="2" s="1"/>
  <c r="EM24" i="2" s="1"/>
  <c r="EN24" i="2" s="1"/>
  <c r="DO25" i="2"/>
  <c r="DP24" i="2"/>
  <c r="DQ24" i="2" s="1"/>
  <c r="DR24" i="2" s="1"/>
  <c r="DS24" i="2" s="1"/>
  <c r="CT25" i="2"/>
  <c r="CU24" i="2"/>
  <c r="CV24" i="2" s="1"/>
  <c r="CW24" i="2" s="1"/>
  <c r="CX24" i="2" s="1"/>
  <c r="BY25" i="2"/>
  <c r="BZ24" i="2"/>
  <c r="CA24" i="2" s="1"/>
  <c r="CB24" i="2" s="1"/>
  <c r="CC24" i="2" s="1"/>
  <c r="BD159" i="2"/>
  <c r="BE158" i="2"/>
  <c r="BF158" i="2" s="1"/>
  <c r="BG158" i="2" s="1"/>
  <c r="BH158" i="2" s="1"/>
  <c r="N25" i="2"/>
  <c r="O24" i="2"/>
  <c r="P24" i="2" s="1"/>
  <c r="Q24" i="2" s="1"/>
  <c r="R24" i="2" s="1"/>
  <c r="GA24" i="2"/>
  <c r="GB24" i="2" s="1"/>
  <c r="GC24" i="2" s="1"/>
  <c r="GD24" i="2" s="1"/>
  <c r="GV24" i="2"/>
  <c r="GW24" i="2" s="1"/>
  <c r="GX24" i="2" s="1"/>
  <c r="GY24" i="2" s="1"/>
  <c r="AJ24" i="2"/>
  <c r="AK24" i="2" s="1"/>
  <c r="AL24" i="2" s="1"/>
  <c r="AM24" i="2" s="1"/>
  <c r="FE26" i="2" l="1"/>
  <c r="FF25" i="2"/>
  <c r="FG25" i="2" s="1"/>
  <c r="FH25" i="2" s="1"/>
  <c r="FI25" i="2" s="1"/>
  <c r="EJ26" i="2"/>
  <c r="EK25" i="2"/>
  <c r="EL25" i="2" s="1"/>
  <c r="EM25" i="2" s="1"/>
  <c r="EN25" i="2" s="1"/>
  <c r="DO26" i="2"/>
  <c r="DP25" i="2"/>
  <c r="DQ25" i="2" s="1"/>
  <c r="DR25" i="2" s="1"/>
  <c r="DS25" i="2" s="1"/>
  <c r="CT26" i="2"/>
  <c r="CU25" i="2"/>
  <c r="CV25" i="2" s="1"/>
  <c r="CW25" i="2" s="1"/>
  <c r="CX25" i="2" s="1"/>
  <c r="BY26" i="2"/>
  <c r="BZ25" i="2"/>
  <c r="CA25" i="2" s="1"/>
  <c r="CB25" i="2" s="1"/>
  <c r="CC25" i="2" s="1"/>
  <c r="BD160" i="2"/>
  <c r="BE159" i="2"/>
  <c r="BF159" i="2" s="1"/>
  <c r="BG159" i="2" s="1"/>
  <c r="BH159" i="2" s="1"/>
  <c r="N26" i="2"/>
  <c r="O25" i="2"/>
  <c r="P25" i="2" s="1"/>
  <c r="Q25" i="2" s="1"/>
  <c r="R25" i="2" s="1"/>
  <c r="GA25" i="2"/>
  <c r="GB25" i="2" s="1"/>
  <c r="GC25" i="2" s="1"/>
  <c r="GD25" i="2" s="1"/>
  <c r="GV25" i="2"/>
  <c r="GW25" i="2" s="1"/>
  <c r="GX25" i="2" s="1"/>
  <c r="GY25" i="2" s="1"/>
  <c r="AJ25" i="2"/>
  <c r="AK25" i="2" s="1"/>
  <c r="AL25" i="2" s="1"/>
  <c r="AM25" i="2" s="1"/>
  <c r="FE27" i="2" l="1"/>
  <c r="FF26" i="2"/>
  <c r="FG26" i="2" s="1"/>
  <c r="FH26" i="2" s="1"/>
  <c r="FI26" i="2" s="1"/>
  <c r="EJ27" i="2"/>
  <c r="EK26" i="2"/>
  <c r="EL26" i="2" s="1"/>
  <c r="EM26" i="2" s="1"/>
  <c r="EN26" i="2" s="1"/>
  <c r="DO27" i="2"/>
  <c r="DP26" i="2"/>
  <c r="DQ26" i="2" s="1"/>
  <c r="DR26" i="2" s="1"/>
  <c r="DS26" i="2" s="1"/>
  <c r="CT27" i="2"/>
  <c r="CU26" i="2"/>
  <c r="CV26" i="2" s="1"/>
  <c r="CW26" i="2" s="1"/>
  <c r="CX26" i="2" s="1"/>
  <c r="BY27" i="2"/>
  <c r="BZ26" i="2"/>
  <c r="CA26" i="2" s="1"/>
  <c r="CB26" i="2" s="1"/>
  <c r="CC26" i="2" s="1"/>
  <c r="BD161" i="2"/>
  <c r="BE160" i="2"/>
  <c r="BF160" i="2" s="1"/>
  <c r="BG160" i="2" s="1"/>
  <c r="BH160" i="2" s="1"/>
  <c r="N27" i="2"/>
  <c r="O26" i="2"/>
  <c r="P26" i="2" s="1"/>
  <c r="Q26" i="2" s="1"/>
  <c r="R26" i="2" s="1"/>
  <c r="GA26" i="2"/>
  <c r="GB26" i="2" s="1"/>
  <c r="GC26" i="2" s="1"/>
  <c r="GD26" i="2" s="1"/>
  <c r="GV26" i="2"/>
  <c r="GW26" i="2" s="1"/>
  <c r="GX26" i="2" s="1"/>
  <c r="GY26" i="2" s="1"/>
  <c r="AJ26" i="2"/>
  <c r="AK26" i="2" s="1"/>
  <c r="AL26" i="2" s="1"/>
  <c r="AM26" i="2" s="1"/>
  <c r="FE28" i="2" l="1"/>
  <c r="FF27" i="2"/>
  <c r="FG27" i="2" s="1"/>
  <c r="FH27" i="2" s="1"/>
  <c r="FI27" i="2" s="1"/>
  <c r="EJ28" i="2"/>
  <c r="EK27" i="2"/>
  <c r="EL27" i="2" s="1"/>
  <c r="EM27" i="2" s="1"/>
  <c r="EN27" i="2" s="1"/>
  <c r="DO28" i="2"/>
  <c r="DP27" i="2"/>
  <c r="DQ27" i="2" s="1"/>
  <c r="DR27" i="2" s="1"/>
  <c r="DS27" i="2" s="1"/>
  <c r="CT28" i="2"/>
  <c r="CU27" i="2"/>
  <c r="CV27" i="2" s="1"/>
  <c r="CW27" i="2" s="1"/>
  <c r="CX27" i="2" s="1"/>
  <c r="BY28" i="2"/>
  <c r="BZ27" i="2"/>
  <c r="CA27" i="2" s="1"/>
  <c r="CB27" i="2" s="1"/>
  <c r="CC27" i="2" s="1"/>
  <c r="BD162" i="2"/>
  <c r="BE161" i="2"/>
  <c r="BF161" i="2" s="1"/>
  <c r="BG161" i="2" s="1"/>
  <c r="BH161" i="2" s="1"/>
  <c r="N28" i="2"/>
  <c r="O27" i="2"/>
  <c r="P27" i="2" s="1"/>
  <c r="Q27" i="2" s="1"/>
  <c r="R27" i="2" s="1"/>
  <c r="GA27" i="2"/>
  <c r="GB27" i="2" s="1"/>
  <c r="GC27" i="2" s="1"/>
  <c r="GD27" i="2" s="1"/>
  <c r="GV27" i="2"/>
  <c r="GW27" i="2" s="1"/>
  <c r="GX27" i="2" s="1"/>
  <c r="GY27" i="2" s="1"/>
  <c r="AJ27" i="2"/>
  <c r="AK27" i="2" s="1"/>
  <c r="AL27" i="2" s="1"/>
  <c r="AM27" i="2" s="1"/>
  <c r="FE29" i="2" l="1"/>
  <c r="FF28" i="2"/>
  <c r="FG28" i="2" s="1"/>
  <c r="FH28" i="2" s="1"/>
  <c r="FI28" i="2" s="1"/>
  <c r="EJ29" i="2"/>
  <c r="EK28" i="2"/>
  <c r="EL28" i="2" s="1"/>
  <c r="EM28" i="2" s="1"/>
  <c r="EN28" i="2" s="1"/>
  <c r="DO29" i="2"/>
  <c r="DP28" i="2"/>
  <c r="DQ28" i="2" s="1"/>
  <c r="DR28" i="2" s="1"/>
  <c r="DS28" i="2" s="1"/>
  <c r="CT29" i="2"/>
  <c r="CU28" i="2"/>
  <c r="CV28" i="2" s="1"/>
  <c r="CW28" i="2" s="1"/>
  <c r="CX28" i="2" s="1"/>
  <c r="BY29" i="2"/>
  <c r="BZ28" i="2"/>
  <c r="CA28" i="2" s="1"/>
  <c r="CB28" i="2" s="1"/>
  <c r="CC28" i="2" s="1"/>
  <c r="BD163" i="2"/>
  <c r="BE162" i="2"/>
  <c r="BF162" i="2" s="1"/>
  <c r="BG162" i="2" s="1"/>
  <c r="BH162" i="2" s="1"/>
  <c r="N29" i="2"/>
  <c r="O28" i="2"/>
  <c r="P28" i="2" s="1"/>
  <c r="Q28" i="2" s="1"/>
  <c r="R28" i="2" s="1"/>
  <c r="GA28" i="2"/>
  <c r="GB28" i="2" s="1"/>
  <c r="GC28" i="2" s="1"/>
  <c r="GD28" i="2" s="1"/>
  <c r="GV28" i="2"/>
  <c r="GW28" i="2" s="1"/>
  <c r="GX28" i="2" s="1"/>
  <c r="GY28" i="2" s="1"/>
  <c r="AJ28" i="2"/>
  <c r="AK28" i="2" s="1"/>
  <c r="AL28" i="2" s="1"/>
  <c r="AM28" i="2" s="1"/>
  <c r="FE30" i="2" l="1"/>
  <c r="FF29" i="2"/>
  <c r="FG29" i="2" s="1"/>
  <c r="FH29" i="2" s="1"/>
  <c r="FI29" i="2" s="1"/>
  <c r="EJ30" i="2"/>
  <c r="EK29" i="2"/>
  <c r="EL29" i="2" s="1"/>
  <c r="EM29" i="2" s="1"/>
  <c r="EN29" i="2" s="1"/>
  <c r="DO30" i="2"/>
  <c r="DP29" i="2"/>
  <c r="DQ29" i="2" s="1"/>
  <c r="DR29" i="2" s="1"/>
  <c r="DS29" i="2" s="1"/>
  <c r="CT30" i="2"/>
  <c r="CU29" i="2"/>
  <c r="CV29" i="2" s="1"/>
  <c r="CW29" i="2" s="1"/>
  <c r="CX29" i="2" s="1"/>
  <c r="BY30" i="2"/>
  <c r="BZ29" i="2"/>
  <c r="CA29" i="2" s="1"/>
  <c r="CB29" i="2" s="1"/>
  <c r="CC29" i="2" s="1"/>
  <c r="BD164" i="2"/>
  <c r="BE163" i="2"/>
  <c r="BF163" i="2" s="1"/>
  <c r="BG163" i="2" s="1"/>
  <c r="BH163" i="2" s="1"/>
  <c r="N30" i="2"/>
  <c r="O29" i="2"/>
  <c r="P29" i="2" s="1"/>
  <c r="Q29" i="2" s="1"/>
  <c r="R29" i="2" s="1"/>
  <c r="GA29" i="2"/>
  <c r="GB29" i="2" s="1"/>
  <c r="GC29" i="2" s="1"/>
  <c r="GD29" i="2" s="1"/>
  <c r="GV29" i="2"/>
  <c r="GW29" i="2" s="1"/>
  <c r="GX29" i="2" s="1"/>
  <c r="GY29" i="2" s="1"/>
  <c r="AJ29" i="2"/>
  <c r="AK29" i="2" s="1"/>
  <c r="AL29" i="2" s="1"/>
  <c r="AM29" i="2" s="1"/>
  <c r="FE31" i="2" l="1"/>
  <c r="FF30" i="2"/>
  <c r="FG30" i="2" s="1"/>
  <c r="FH30" i="2" s="1"/>
  <c r="FI30" i="2" s="1"/>
  <c r="EJ31" i="2"/>
  <c r="EK30" i="2"/>
  <c r="EL30" i="2" s="1"/>
  <c r="EM30" i="2" s="1"/>
  <c r="EN30" i="2" s="1"/>
  <c r="DO31" i="2"/>
  <c r="DP30" i="2"/>
  <c r="DQ30" i="2" s="1"/>
  <c r="DR30" i="2" s="1"/>
  <c r="DS30" i="2" s="1"/>
  <c r="CT31" i="2"/>
  <c r="CU30" i="2"/>
  <c r="CV30" i="2" s="1"/>
  <c r="CW30" i="2" s="1"/>
  <c r="CX30" i="2" s="1"/>
  <c r="BY31" i="2"/>
  <c r="BZ30" i="2"/>
  <c r="CA30" i="2" s="1"/>
  <c r="CB30" i="2" s="1"/>
  <c r="CC30" i="2" s="1"/>
  <c r="BD165" i="2"/>
  <c r="BE164" i="2"/>
  <c r="BF164" i="2" s="1"/>
  <c r="BG164" i="2" s="1"/>
  <c r="BH164" i="2" s="1"/>
  <c r="N31" i="2"/>
  <c r="O30" i="2"/>
  <c r="P30" i="2" s="1"/>
  <c r="Q30" i="2" s="1"/>
  <c r="R30" i="2" s="1"/>
  <c r="GA30" i="2"/>
  <c r="GB30" i="2" s="1"/>
  <c r="GC30" i="2" s="1"/>
  <c r="GD30" i="2" s="1"/>
  <c r="GV30" i="2"/>
  <c r="GW30" i="2" s="1"/>
  <c r="GX30" i="2" s="1"/>
  <c r="GY30" i="2" s="1"/>
  <c r="AJ30" i="2"/>
  <c r="AK30" i="2" s="1"/>
  <c r="AL30" i="2" s="1"/>
  <c r="AM30" i="2" s="1"/>
  <c r="FE32" i="2" l="1"/>
  <c r="FF31" i="2"/>
  <c r="FG31" i="2" s="1"/>
  <c r="FH31" i="2" s="1"/>
  <c r="FI31" i="2" s="1"/>
  <c r="EJ32" i="2"/>
  <c r="EK31" i="2"/>
  <c r="EL31" i="2" s="1"/>
  <c r="EM31" i="2" s="1"/>
  <c r="EN31" i="2" s="1"/>
  <c r="DO32" i="2"/>
  <c r="DP31" i="2"/>
  <c r="DQ31" i="2" s="1"/>
  <c r="DR31" i="2" s="1"/>
  <c r="DS31" i="2" s="1"/>
  <c r="CT32" i="2"/>
  <c r="CU31" i="2"/>
  <c r="CV31" i="2" s="1"/>
  <c r="CW31" i="2" s="1"/>
  <c r="CX31" i="2" s="1"/>
  <c r="BY32" i="2"/>
  <c r="BZ31" i="2"/>
  <c r="CA31" i="2" s="1"/>
  <c r="CB31" i="2" s="1"/>
  <c r="CC31" i="2" s="1"/>
  <c r="BD166" i="2"/>
  <c r="BE165" i="2"/>
  <c r="BF165" i="2" s="1"/>
  <c r="BG165" i="2" s="1"/>
  <c r="BH165" i="2" s="1"/>
  <c r="N32" i="2"/>
  <c r="O31" i="2"/>
  <c r="P31" i="2" s="1"/>
  <c r="Q31" i="2" s="1"/>
  <c r="R31" i="2" s="1"/>
  <c r="GA31" i="2"/>
  <c r="GB31" i="2" s="1"/>
  <c r="GC31" i="2" s="1"/>
  <c r="GD31" i="2" s="1"/>
  <c r="GV31" i="2"/>
  <c r="GW31" i="2" s="1"/>
  <c r="GX31" i="2" s="1"/>
  <c r="GY31" i="2" s="1"/>
  <c r="AJ31" i="2"/>
  <c r="AK31" i="2" s="1"/>
  <c r="AL31" i="2" s="1"/>
  <c r="AM31" i="2" s="1"/>
  <c r="FE33" i="2" l="1"/>
  <c r="FF32" i="2"/>
  <c r="FG32" i="2" s="1"/>
  <c r="FH32" i="2" s="1"/>
  <c r="FI32" i="2" s="1"/>
  <c r="EJ33" i="2"/>
  <c r="EK32" i="2"/>
  <c r="EL32" i="2" s="1"/>
  <c r="EM32" i="2" s="1"/>
  <c r="EN32" i="2" s="1"/>
  <c r="DO33" i="2"/>
  <c r="DP32" i="2"/>
  <c r="DQ32" i="2" s="1"/>
  <c r="DR32" i="2" s="1"/>
  <c r="DS32" i="2" s="1"/>
  <c r="CT33" i="2"/>
  <c r="CU32" i="2"/>
  <c r="CV32" i="2" s="1"/>
  <c r="CW32" i="2" s="1"/>
  <c r="CX32" i="2" s="1"/>
  <c r="BY33" i="2"/>
  <c r="BZ32" i="2"/>
  <c r="CA32" i="2" s="1"/>
  <c r="CB32" i="2" s="1"/>
  <c r="CC32" i="2" s="1"/>
  <c r="BD167" i="2"/>
  <c r="BE166" i="2"/>
  <c r="BF166" i="2" s="1"/>
  <c r="BG166" i="2" s="1"/>
  <c r="BH166" i="2" s="1"/>
  <c r="N33" i="2"/>
  <c r="O32" i="2"/>
  <c r="P32" i="2" s="1"/>
  <c r="Q32" i="2" s="1"/>
  <c r="R32" i="2" s="1"/>
  <c r="GA32" i="2"/>
  <c r="GB32" i="2" s="1"/>
  <c r="GC32" i="2" s="1"/>
  <c r="GD32" i="2" s="1"/>
  <c r="GV32" i="2"/>
  <c r="GW32" i="2" s="1"/>
  <c r="GX32" i="2" s="1"/>
  <c r="GY32" i="2" s="1"/>
  <c r="AJ32" i="2"/>
  <c r="AK32" i="2" s="1"/>
  <c r="AL32" i="2" s="1"/>
  <c r="AM32" i="2" s="1"/>
  <c r="FE34" i="2" l="1"/>
  <c r="FF33" i="2"/>
  <c r="FG33" i="2" s="1"/>
  <c r="FH33" i="2" s="1"/>
  <c r="FI33" i="2" s="1"/>
  <c r="FK3" i="2" s="1"/>
  <c r="D13" i="4" s="1"/>
  <c r="EJ34" i="2"/>
  <c r="EK33" i="2"/>
  <c r="EL33" i="2" s="1"/>
  <c r="EM33" i="2" s="1"/>
  <c r="EN33" i="2" s="1"/>
  <c r="EP3" i="2" s="1"/>
  <c r="D12" i="4" s="1"/>
  <c r="DO34" i="2"/>
  <c r="DP33" i="2"/>
  <c r="DQ33" i="2" s="1"/>
  <c r="DR33" i="2" s="1"/>
  <c r="DS33" i="2" s="1"/>
  <c r="DU3" i="2" s="1"/>
  <c r="D11" i="4" s="1"/>
  <c r="CT34" i="2"/>
  <c r="CU33" i="2"/>
  <c r="CV33" i="2" s="1"/>
  <c r="CW33" i="2" s="1"/>
  <c r="CX33" i="2" s="1"/>
  <c r="CZ3" i="2" s="1"/>
  <c r="D10" i="4" s="1"/>
  <c r="BY34" i="2"/>
  <c r="BZ33" i="2"/>
  <c r="CA33" i="2" s="1"/>
  <c r="CB33" i="2" s="1"/>
  <c r="CC33" i="2" s="1"/>
  <c r="CE3" i="2" s="1"/>
  <c r="D9" i="4" s="1"/>
  <c r="BD168" i="2"/>
  <c r="BE167" i="2"/>
  <c r="BF167" i="2" s="1"/>
  <c r="BG167" i="2" s="1"/>
  <c r="BH167" i="2" s="1"/>
  <c r="N34" i="2"/>
  <c r="O33" i="2"/>
  <c r="P33" i="2" s="1"/>
  <c r="Q33" i="2" s="1"/>
  <c r="R33" i="2" s="1"/>
  <c r="T3" i="2" s="1"/>
  <c r="GA33" i="2"/>
  <c r="GB33" i="2" s="1"/>
  <c r="GC33" i="2" s="1"/>
  <c r="GD33" i="2" s="1"/>
  <c r="GF3" i="2" s="1"/>
  <c r="D14" i="4" s="1"/>
  <c r="GV33" i="2"/>
  <c r="GW33" i="2" s="1"/>
  <c r="GX33" i="2" s="1"/>
  <c r="GY33" i="2" s="1"/>
  <c r="HA3" i="2" s="1"/>
  <c r="D15" i="4" s="1"/>
  <c r="AJ33" i="2"/>
  <c r="AK33" i="2" s="1"/>
  <c r="AL33" i="2" s="1"/>
  <c r="AM33" i="2" s="1"/>
  <c r="AO3" i="2" s="1"/>
  <c r="T85" i="2" l="1"/>
  <c r="T146" i="2"/>
  <c r="T107" i="2"/>
  <c r="T194" i="2"/>
  <c r="T67" i="2"/>
  <c r="T12" i="2"/>
  <c r="T99" i="2"/>
  <c r="T138" i="2"/>
  <c r="T147" i="2"/>
  <c r="T186" i="2"/>
  <c r="T11" i="2"/>
  <c r="T81" i="2"/>
  <c r="T22" i="2"/>
  <c r="T75" i="2"/>
  <c r="T143" i="2"/>
  <c r="T102" i="2"/>
  <c r="T134" i="2"/>
  <c r="T172" i="2"/>
  <c r="T60" i="2"/>
  <c r="T175" i="2"/>
  <c r="T32" i="2"/>
  <c r="T160" i="2"/>
  <c r="T129" i="2"/>
  <c r="T69" i="2"/>
  <c r="T125" i="2"/>
  <c r="T132" i="2"/>
  <c r="T7" i="2"/>
  <c r="T41" i="2"/>
  <c r="T95" i="2"/>
  <c r="T65" i="2"/>
  <c r="T188" i="2"/>
  <c r="T61" i="2"/>
  <c r="T21" i="2"/>
  <c r="T104" i="2"/>
  <c r="T122" i="2"/>
  <c r="T136" i="2"/>
  <c r="T192" i="2"/>
  <c r="T51" i="2"/>
  <c r="T130" i="2"/>
  <c r="T50" i="2"/>
  <c r="T114" i="2"/>
  <c r="T5" i="2"/>
  <c r="T43" i="2"/>
  <c r="T155" i="2"/>
  <c r="T94" i="2"/>
  <c r="T166" i="2"/>
  <c r="T15" i="2"/>
  <c r="T109" i="2"/>
  <c r="T70" i="2"/>
  <c r="T59" i="2"/>
  <c r="T90" i="2"/>
  <c r="T111" i="2"/>
  <c r="T87" i="2"/>
  <c r="T151" i="2"/>
  <c r="T101" i="2"/>
  <c r="T191" i="2"/>
  <c r="T82" i="2"/>
  <c r="T184" i="2"/>
  <c r="T58" i="2"/>
  <c r="T14" i="2"/>
  <c r="T55" i="2"/>
  <c r="T47" i="2"/>
  <c r="T91" i="2"/>
  <c r="T23" i="2"/>
  <c r="T196" i="2"/>
  <c r="T115" i="2"/>
  <c r="T76" i="2"/>
  <c r="T116" i="2"/>
  <c r="T190" i="2"/>
  <c r="T88" i="2"/>
  <c r="T8" i="2"/>
  <c r="T64" i="2"/>
  <c r="T176" i="2"/>
  <c r="T66" i="2"/>
  <c r="T86" i="2"/>
  <c r="T154" i="2"/>
  <c r="T74" i="2"/>
  <c r="T30" i="2"/>
  <c r="T128" i="2"/>
  <c r="T165" i="2"/>
  <c r="T173" i="2"/>
  <c r="T56" i="2"/>
  <c r="T35" i="2"/>
  <c r="T6" i="2"/>
  <c r="T26" i="2"/>
  <c r="T97" i="2"/>
  <c r="T4" i="2"/>
  <c r="T202" i="2"/>
  <c r="T197" i="2"/>
  <c r="T180" i="2"/>
  <c r="T141" i="2"/>
  <c r="T161" i="2"/>
  <c r="T171" i="2"/>
  <c r="T139" i="2"/>
  <c r="T72" i="2"/>
  <c r="T200" i="2"/>
  <c r="T52" i="2"/>
  <c r="T34" i="2"/>
  <c r="T98" i="2"/>
  <c r="T203" i="2"/>
  <c r="T126" i="2"/>
  <c r="T182" i="2"/>
  <c r="T96" i="2"/>
  <c r="T185" i="2"/>
  <c r="T42" i="2"/>
  <c r="T201" i="2"/>
  <c r="T10" i="2"/>
  <c r="T63" i="2"/>
  <c r="T127" i="2"/>
  <c r="T37" i="2"/>
  <c r="T71" i="2"/>
  <c r="T19" i="2"/>
  <c r="T156" i="2"/>
  <c r="T38" i="2"/>
  <c r="T153" i="2"/>
  <c r="T100" i="2"/>
  <c r="T16" i="2"/>
  <c r="T54" i="2"/>
  <c r="T18" i="2"/>
  <c r="T45" i="2"/>
  <c r="T108" i="2"/>
  <c r="T77" i="2"/>
  <c r="T33" i="2"/>
  <c r="T144" i="2"/>
  <c r="T170" i="2"/>
  <c r="T110" i="2"/>
  <c r="T174" i="2"/>
  <c r="T83" i="2"/>
  <c r="T105" i="2"/>
  <c r="T169" i="2"/>
  <c r="T142" i="2"/>
  <c r="T167" i="2"/>
  <c r="T48" i="2"/>
  <c r="T183" i="2"/>
  <c r="T121" i="2"/>
  <c r="T177" i="2"/>
  <c r="T137" i="2"/>
  <c r="T187" i="2"/>
  <c r="T24" i="2"/>
  <c r="T150" i="2"/>
  <c r="T148" i="2"/>
  <c r="T168" i="2"/>
  <c r="T17" i="2"/>
  <c r="T9" i="2"/>
  <c r="T29" i="2"/>
  <c r="T145" i="2"/>
  <c r="T158" i="2"/>
  <c r="T131" i="2"/>
  <c r="T25" i="2"/>
  <c r="T44" i="2"/>
  <c r="T199" i="2"/>
  <c r="T13" i="2"/>
  <c r="T124" i="2"/>
  <c r="T79" i="2"/>
  <c r="T120" i="2"/>
  <c r="T181" i="2"/>
  <c r="T46" i="2"/>
  <c r="T162" i="2"/>
  <c r="T62" i="2"/>
  <c r="T118" i="2"/>
  <c r="T78" i="2"/>
  <c r="T103" i="2"/>
  <c r="T159" i="2"/>
  <c r="T119" i="2"/>
  <c r="T57" i="2"/>
  <c r="T113" i="2"/>
  <c r="T73" i="2"/>
  <c r="T157" i="2"/>
  <c r="T93" i="2"/>
  <c r="T106" i="2"/>
  <c r="T163" i="2"/>
  <c r="T36" i="2"/>
  <c r="T164" i="2"/>
  <c r="T68" i="2"/>
  <c r="T179" i="2"/>
  <c r="T84" i="2"/>
  <c r="T20" i="2"/>
  <c r="T112" i="2"/>
  <c r="T28" i="2"/>
  <c r="T152" i="2"/>
  <c r="T135" i="2"/>
  <c r="T89" i="2"/>
  <c r="T40" i="2"/>
  <c r="T198" i="2"/>
  <c r="T53" i="2"/>
  <c r="T117" i="2"/>
  <c r="T80" i="2"/>
  <c r="T27" i="2"/>
  <c r="T195" i="2"/>
  <c r="T193" i="2"/>
  <c r="T133" i="2"/>
  <c r="T189" i="2"/>
  <c r="T149" i="2"/>
  <c r="T123" i="2"/>
  <c r="T31" i="2"/>
  <c r="T92" i="2"/>
  <c r="T178" i="2"/>
  <c r="T140" i="2"/>
  <c r="T39" i="2"/>
  <c r="T49" i="2"/>
  <c r="FE35" i="2"/>
  <c r="FF34" i="2"/>
  <c r="FG34" i="2" s="1"/>
  <c r="FH34" i="2" s="1"/>
  <c r="FI34" i="2" s="1"/>
  <c r="EJ35" i="2"/>
  <c r="EK34" i="2"/>
  <c r="EL34" i="2" s="1"/>
  <c r="EM34" i="2" s="1"/>
  <c r="EN34" i="2" s="1"/>
  <c r="DO35" i="2"/>
  <c r="DP34" i="2"/>
  <c r="DQ34" i="2" s="1"/>
  <c r="DR34" i="2" s="1"/>
  <c r="DS34" i="2" s="1"/>
  <c r="CT35" i="2"/>
  <c r="CU34" i="2"/>
  <c r="CV34" i="2" s="1"/>
  <c r="CW34" i="2" s="1"/>
  <c r="CX34" i="2" s="1"/>
  <c r="BY35" i="2"/>
  <c r="BZ34" i="2"/>
  <c r="CA34" i="2" s="1"/>
  <c r="CB34" i="2" s="1"/>
  <c r="CC34" i="2" s="1"/>
  <c r="BD169" i="2"/>
  <c r="BE168" i="2"/>
  <c r="BF168" i="2" s="1"/>
  <c r="BG168" i="2" s="1"/>
  <c r="BH168" i="2" s="1"/>
  <c r="N35" i="2"/>
  <c r="O34" i="2"/>
  <c r="P34" i="2" s="1"/>
  <c r="Q34" i="2" s="1"/>
  <c r="R34" i="2" s="1"/>
  <c r="GA34" i="2"/>
  <c r="GB34" i="2" s="1"/>
  <c r="GC34" i="2" s="1"/>
  <c r="GD34" i="2" s="1"/>
  <c r="GV34" i="2"/>
  <c r="GW34" i="2" s="1"/>
  <c r="GX34" i="2" s="1"/>
  <c r="GY34" i="2" s="1"/>
  <c r="AJ34" i="2"/>
  <c r="AK34" i="2" s="1"/>
  <c r="AL34" i="2" s="1"/>
  <c r="AM34" i="2" s="1"/>
  <c r="D7" i="4"/>
  <c r="FE36" i="2" l="1"/>
  <c r="FF35" i="2"/>
  <c r="FG35" i="2" s="1"/>
  <c r="FH35" i="2" s="1"/>
  <c r="FI35" i="2" s="1"/>
  <c r="EJ36" i="2"/>
  <c r="EK35" i="2"/>
  <c r="EL35" i="2" s="1"/>
  <c r="EM35" i="2" s="1"/>
  <c r="EN35" i="2" s="1"/>
  <c r="DO36" i="2"/>
  <c r="DP35" i="2"/>
  <c r="DQ35" i="2" s="1"/>
  <c r="DR35" i="2" s="1"/>
  <c r="DS35" i="2" s="1"/>
  <c r="CT36" i="2"/>
  <c r="CU35" i="2"/>
  <c r="CV35" i="2" s="1"/>
  <c r="CW35" i="2" s="1"/>
  <c r="CX35" i="2" s="1"/>
  <c r="BY36" i="2"/>
  <c r="BZ35" i="2"/>
  <c r="CA35" i="2" s="1"/>
  <c r="CB35" i="2" s="1"/>
  <c r="CC35" i="2" s="1"/>
  <c r="BD170" i="2"/>
  <c r="BE169" i="2"/>
  <c r="BF169" i="2" s="1"/>
  <c r="BG169" i="2" s="1"/>
  <c r="BH169" i="2" s="1"/>
  <c r="N36" i="2"/>
  <c r="O35" i="2"/>
  <c r="P35" i="2" s="1"/>
  <c r="Q35" i="2" s="1"/>
  <c r="R35" i="2" s="1"/>
  <c r="GA35" i="2"/>
  <c r="GB35" i="2" s="1"/>
  <c r="GC35" i="2" s="1"/>
  <c r="GD35" i="2" s="1"/>
  <c r="GV35" i="2"/>
  <c r="GW35" i="2" s="1"/>
  <c r="GX35" i="2" s="1"/>
  <c r="GY35" i="2" s="1"/>
  <c r="AJ35" i="2"/>
  <c r="AK35" i="2" s="1"/>
  <c r="AL35" i="2" s="1"/>
  <c r="AM35" i="2" s="1"/>
  <c r="FE37" i="2" l="1"/>
  <c r="FF36" i="2"/>
  <c r="FG36" i="2" s="1"/>
  <c r="FH36" i="2" s="1"/>
  <c r="FI36" i="2" s="1"/>
  <c r="EJ37" i="2"/>
  <c r="EK36" i="2"/>
  <c r="EL36" i="2" s="1"/>
  <c r="EM36" i="2" s="1"/>
  <c r="EN36" i="2" s="1"/>
  <c r="DO37" i="2"/>
  <c r="DP36" i="2"/>
  <c r="DQ36" i="2" s="1"/>
  <c r="DR36" i="2" s="1"/>
  <c r="DS36" i="2" s="1"/>
  <c r="CT37" i="2"/>
  <c r="CU36" i="2"/>
  <c r="CV36" i="2" s="1"/>
  <c r="CW36" i="2" s="1"/>
  <c r="CX36" i="2" s="1"/>
  <c r="BY37" i="2"/>
  <c r="BZ36" i="2"/>
  <c r="CA36" i="2" s="1"/>
  <c r="CB36" i="2" s="1"/>
  <c r="CC36" i="2" s="1"/>
  <c r="BD171" i="2"/>
  <c r="BE170" i="2"/>
  <c r="BF170" i="2" s="1"/>
  <c r="BG170" i="2" s="1"/>
  <c r="BH170" i="2" s="1"/>
  <c r="N37" i="2"/>
  <c r="O36" i="2"/>
  <c r="P36" i="2" s="1"/>
  <c r="Q36" i="2" s="1"/>
  <c r="R36" i="2" s="1"/>
  <c r="GA36" i="2"/>
  <c r="GB36" i="2" s="1"/>
  <c r="GC36" i="2" s="1"/>
  <c r="GD36" i="2" s="1"/>
  <c r="GV36" i="2"/>
  <c r="GW36" i="2" s="1"/>
  <c r="GX36" i="2" s="1"/>
  <c r="GY36" i="2" s="1"/>
  <c r="AJ36" i="2"/>
  <c r="AK36" i="2" s="1"/>
  <c r="AL36" i="2" s="1"/>
  <c r="AM36" i="2" s="1"/>
  <c r="FE38" i="2" l="1"/>
  <c r="FF37" i="2"/>
  <c r="FG37" i="2" s="1"/>
  <c r="FH37" i="2" s="1"/>
  <c r="FI37" i="2" s="1"/>
  <c r="EJ38" i="2"/>
  <c r="EK37" i="2"/>
  <c r="EL37" i="2" s="1"/>
  <c r="EM37" i="2" s="1"/>
  <c r="EN37" i="2" s="1"/>
  <c r="DO38" i="2"/>
  <c r="DP37" i="2"/>
  <c r="DQ37" i="2" s="1"/>
  <c r="DR37" i="2" s="1"/>
  <c r="DS37" i="2" s="1"/>
  <c r="CT38" i="2"/>
  <c r="CU37" i="2"/>
  <c r="CV37" i="2" s="1"/>
  <c r="CW37" i="2" s="1"/>
  <c r="CX37" i="2" s="1"/>
  <c r="BY38" i="2"/>
  <c r="BZ37" i="2"/>
  <c r="CA37" i="2" s="1"/>
  <c r="CB37" i="2" s="1"/>
  <c r="CC37" i="2" s="1"/>
  <c r="BD172" i="2"/>
  <c r="BE171" i="2"/>
  <c r="BF171" i="2" s="1"/>
  <c r="BG171" i="2" s="1"/>
  <c r="BH171" i="2" s="1"/>
  <c r="N38" i="2"/>
  <c r="O37" i="2"/>
  <c r="P37" i="2" s="1"/>
  <c r="Q37" i="2" s="1"/>
  <c r="R37" i="2" s="1"/>
  <c r="GA37" i="2"/>
  <c r="GB37" i="2" s="1"/>
  <c r="GC37" i="2" s="1"/>
  <c r="GD37" i="2" s="1"/>
  <c r="GV37" i="2"/>
  <c r="GW37" i="2" s="1"/>
  <c r="GX37" i="2" s="1"/>
  <c r="GY37" i="2" s="1"/>
  <c r="AJ37" i="2"/>
  <c r="AK37" i="2" s="1"/>
  <c r="AL37" i="2" s="1"/>
  <c r="AM37" i="2" s="1"/>
  <c r="FE39" i="2" l="1"/>
  <c r="FF38" i="2"/>
  <c r="FG38" i="2" s="1"/>
  <c r="FH38" i="2" s="1"/>
  <c r="FI38" i="2" s="1"/>
  <c r="EJ39" i="2"/>
  <c r="EK38" i="2"/>
  <c r="EL38" i="2" s="1"/>
  <c r="EM38" i="2" s="1"/>
  <c r="EN38" i="2" s="1"/>
  <c r="DO39" i="2"/>
  <c r="DP38" i="2"/>
  <c r="DQ38" i="2" s="1"/>
  <c r="DR38" i="2" s="1"/>
  <c r="DS38" i="2" s="1"/>
  <c r="CT39" i="2"/>
  <c r="CU38" i="2"/>
  <c r="CV38" i="2" s="1"/>
  <c r="CW38" i="2" s="1"/>
  <c r="CX38" i="2" s="1"/>
  <c r="BY39" i="2"/>
  <c r="BZ38" i="2"/>
  <c r="CA38" i="2" s="1"/>
  <c r="CB38" i="2" s="1"/>
  <c r="CC38" i="2" s="1"/>
  <c r="BD173" i="2"/>
  <c r="BE172" i="2"/>
  <c r="BF172" i="2" s="1"/>
  <c r="BG172" i="2" s="1"/>
  <c r="BH172" i="2" s="1"/>
  <c r="N39" i="2"/>
  <c r="O38" i="2"/>
  <c r="P38" i="2" s="1"/>
  <c r="Q38" i="2" s="1"/>
  <c r="R38" i="2" s="1"/>
  <c r="GA38" i="2"/>
  <c r="GB38" i="2" s="1"/>
  <c r="GC38" i="2" s="1"/>
  <c r="GD38" i="2" s="1"/>
  <c r="GV38" i="2"/>
  <c r="GW38" i="2" s="1"/>
  <c r="GX38" i="2" s="1"/>
  <c r="GY38" i="2" s="1"/>
  <c r="AJ38" i="2"/>
  <c r="AK38" i="2" s="1"/>
  <c r="AL38" i="2" s="1"/>
  <c r="AM38" i="2" s="1"/>
  <c r="FE40" i="2" l="1"/>
  <c r="FF39" i="2"/>
  <c r="FG39" i="2" s="1"/>
  <c r="FH39" i="2" s="1"/>
  <c r="FI39" i="2" s="1"/>
  <c r="EJ40" i="2"/>
  <c r="EK39" i="2"/>
  <c r="EL39" i="2" s="1"/>
  <c r="EM39" i="2" s="1"/>
  <c r="EN39" i="2" s="1"/>
  <c r="DO40" i="2"/>
  <c r="DP39" i="2"/>
  <c r="DQ39" i="2" s="1"/>
  <c r="DR39" i="2" s="1"/>
  <c r="DS39" i="2" s="1"/>
  <c r="CT40" i="2"/>
  <c r="CU39" i="2"/>
  <c r="CV39" i="2" s="1"/>
  <c r="CW39" i="2" s="1"/>
  <c r="CX39" i="2" s="1"/>
  <c r="BY40" i="2"/>
  <c r="BZ39" i="2"/>
  <c r="CA39" i="2" s="1"/>
  <c r="CB39" i="2" s="1"/>
  <c r="CC39" i="2" s="1"/>
  <c r="BD174" i="2"/>
  <c r="BE173" i="2"/>
  <c r="BF173" i="2" s="1"/>
  <c r="BG173" i="2" s="1"/>
  <c r="BH173" i="2" s="1"/>
  <c r="N40" i="2"/>
  <c r="O39" i="2"/>
  <c r="P39" i="2" s="1"/>
  <c r="Q39" i="2" s="1"/>
  <c r="R39" i="2" s="1"/>
  <c r="GA39" i="2"/>
  <c r="GB39" i="2" s="1"/>
  <c r="GC39" i="2" s="1"/>
  <c r="GD39" i="2" s="1"/>
  <c r="GV39" i="2"/>
  <c r="GW39" i="2" s="1"/>
  <c r="GX39" i="2" s="1"/>
  <c r="GY39" i="2" s="1"/>
  <c r="AJ39" i="2"/>
  <c r="AK39" i="2" s="1"/>
  <c r="AL39" i="2" s="1"/>
  <c r="AM39" i="2" s="1"/>
  <c r="FE41" i="2" l="1"/>
  <c r="FF40" i="2"/>
  <c r="FG40" i="2" s="1"/>
  <c r="FH40" i="2" s="1"/>
  <c r="FI40" i="2" s="1"/>
  <c r="EJ41" i="2"/>
  <c r="EK40" i="2"/>
  <c r="EL40" i="2" s="1"/>
  <c r="EM40" i="2" s="1"/>
  <c r="EN40" i="2" s="1"/>
  <c r="DO41" i="2"/>
  <c r="DP40" i="2"/>
  <c r="DQ40" i="2" s="1"/>
  <c r="DR40" i="2" s="1"/>
  <c r="DS40" i="2" s="1"/>
  <c r="CT41" i="2"/>
  <c r="CU40" i="2"/>
  <c r="CV40" i="2" s="1"/>
  <c r="CW40" i="2" s="1"/>
  <c r="CX40" i="2" s="1"/>
  <c r="BY41" i="2"/>
  <c r="BZ40" i="2"/>
  <c r="CA40" i="2" s="1"/>
  <c r="CB40" i="2" s="1"/>
  <c r="CC40" i="2" s="1"/>
  <c r="BD175" i="2"/>
  <c r="BE174" i="2"/>
  <c r="BF174" i="2" s="1"/>
  <c r="BG174" i="2" s="1"/>
  <c r="BH174" i="2" s="1"/>
  <c r="N41" i="2"/>
  <c r="O40" i="2"/>
  <c r="P40" i="2" s="1"/>
  <c r="Q40" i="2" s="1"/>
  <c r="R40" i="2" s="1"/>
  <c r="GA40" i="2"/>
  <c r="GB40" i="2" s="1"/>
  <c r="GC40" i="2" s="1"/>
  <c r="GD40" i="2" s="1"/>
  <c r="GV40" i="2"/>
  <c r="GW40" i="2" s="1"/>
  <c r="GX40" i="2" s="1"/>
  <c r="GY40" i="2" s="1"/>
  <c r="AJ40" i="2"/>
  <c r="AK40" i="2" s="1"/>
  <c r="AL40" i="2" s="1"/>
  <c r="AM40" i="2" s="1"/>
  <c r="FE42" i="2" l="1"/>
  <c r="FF41" i="2"/>
  <c r="FG41" i="2" s="1"/>
  <c r="FH41" i="2" s="1"/>
  <c r="FI41" i="2" s="1"/>
  <c r="EJ42" i="2"/>
  <c r="EK41" i="2"/>
  <c r="EL41" i="2" s="1"/>
  <c r="EM41" i="2" s="1"/>
  <c r="EN41" i="2" s="1"/>
  <c r="DO42" i="2"/>
  <c r="DP41" i="2"/>
  <c r="DQ41" i="2" s="1"/>
  <c r="DR41" i="2" s="1"/>
  <c r="DS41" i="2" s="1"/>
  <c r="CT42" i="2"/>
  <c r="CU41" i="2"/>
  <c r="CV41" i="2" s="1"/>
  <c r="CW41" i="2" s="1"/>
  <c r="CX41" i="2" s="1"/>
  <c r="BY42" i="2"/>
  <c r="BZ41" i="2"/>
  <c r="CA41" i="2" s="1"/>
  <c r="CB41" i="2" s="1"/>
  <c r="CC41" i="2" s="1"/>
  <c r="BD176" i="2"/>
  <c r="BE175" i="2"/>
  <c r="BF175" i="2" s="1"/>
  <c r="BG175" i="2" s="1"/>
  <c r="BH175" i="2" s="1"/>
  <c r="N42" i="2"/>
  <c r="O41" i="2"/>
  <c r="P41" i="2" s="1"/>
  <c r="Q41" i="2" s="1"/>
  <c r="R41" i="2" s="1"/>
  <c r="GA41" i="2"/>
  <c r="GB41" i="2" s="1"/>
  <c r="GC41" i="2" s="1"/>
  <c r="GD41" i="2" s="1"/>
  <c r="GV41" i="2"/>
  <c r="GW41" i="2" s="1"/>
  <c r="GX41" i="2" s="1"/>
  <c r="GY41" i="2" s="1"/>
  <c r="AJ41" i="2"/>
  <c r="AK41" i="2" s="1"/>
  <c r="AL41" i="2" s="1"/>
  <c r="AM41" i="2" s="1"/>
  <c r="FE43" i="2" l="1"/>
  <c r="FF42" i="2"/>
  <c r="FG42" i="2" s="1"/>
  <c r="FH42" i="2" s="1"/>
  <c r="FI42" i="2" s="1"/>
  <c r="EJ43" i="2"/>
  <c r="EK42" i="2"/>
  <c r="EL42" i="2" s="1"/>
  <c r="EM42" i="2" s="1"/>
  <c r="EN42" i="2" s="1"/>
  <c r="DO43" i="2"/>
  <c r="DP42" i="2"/>
  <c r="DQ42" i="2" s="1"/>
  <c r="DR42" i="2" s="1"/>
  <c r="DS42" i="2" s="1"/>
  <c r="CT43" i="2"/>
  <c r="CU42" i="2"/>
  <c r="CV42" i="2" s="1"/>
  <c r="CW42" i="2" s="1"/>
  <c r="CX42" i="2" s="1"/>
  <c r="BY43" i="2"/>
  <c r="BZ42" i="2"/>
  <c r="CA42" i="2" s="1"/>
  <c r="CB42" i="2" s="1"/>
  <c r="CC42" i="2" s="1"/>
  <c r="BD177" i="2"/>
  <c r="BE176" i="2"/>
  <c r="BF176" i="2" s="1"/>
  <c r="BG176" i="2" s="1"/>
  <c r="BH176" i="2" s="1"/>
  <c r="N43" i="2"/>
  <c r="O42" i="2"/>
  <c r="P42" i="2" s="1"/>
  <c r="Q42" i="2" s="1"/>
  <c r="R42" i="2" s="1"/>
  <c r="GA42" i="2"/>
  <c r="GB42" i="2" s="1"/>
  <c r="GC42" i="2" s="1"/>
  <c r="GD42" i="2" s="1"/>
  <c r="GV42" i="2"/>
  <c r="GW42" i="2" s="1"/>
  <c r="GX42" i="2" s="1"/>
  <c r="GY42" i="2" s="1"/>
  <c r="AJ42" i="2"/>
  <c r="AK42" i="2" s="1"/>
  <c r="AL42" i="2" s="1"/>
  <c r="AM42" i="2" s="1"/>
  <c r="FE44" i="2" l="1"/>
  <c r="FF43" i="2"/>
  <c r="FG43" i="2" s="1"/>
  <c r="FH43" i="2" s="1"/>
  <c r="FI43" i="2" s="1"/>
  <c r="EJ44" i="2"/>
  <c r="EK43" i="2"/>
  <c r="EL43" i="2" s="1"/>
  <c r="EM43" i="2" s="1"/>
  <c r="EN43" i="2" s="1"/>
  <c r="DO44" i="2"/>
  <c r="DP43" i="2"/>
  <c r="DQ43" i="2" s="1"/>
  <c r="DR43" i="2" s="1"/>
  <c r="DS43" i="2" s="1"/>
  <c r="CT44" i="2"/>
  <c r="CU43" i="2"/>
  <c r="CV43" i="2" s="1"/>
  <c r="CW43" i="2" s="1"/>
  <c r="CX43" i="2" s="1"/>
  <c r="BY44" i="2"/>
  <c r="BZ43" i="2"/>
  <c r="CA43" i="2" s="1"/>
  <c r="CB43" i="2" s="1"/>
  <c r="CC43" i="2" s="1"/>
  <c r="BD178" i="2"/>
  <c r="BE177" i="2"/>
  <c r="BF177" i="2" s="1"/>
  <c r="BG177" i="2" s="1"/>
  <c r="BH177" i="2" s="1"/>
  <c r="N44" i="2"/>
  <c r="O43" i="2"/>
  <c r="P43" i="2" s="1"/>
  <c r="Q43" i="2" s="1"/>
  <c r="R43" i="2" s="1"/>
  <c r="GA43" i="2"/>
  <c r="GB43" i="2" s="1"/>
  <c r="GC43" i="2" s="1"/>
  <c r="GD43" i="2" s="1"/>
  <c r="GV43" i="2"/>
  <c r="GW43" i="2" s="1"/>
  <c r="GX43" i="2" s="1"/>
  <c r="GY43" i="2" s="1"/>
  <c r="AJ43" i="2"/>
  <c r="AK43" i="2" s="1"/>
  <c r="AL43" i="2" s="1"/>
  <c r="AM43" i="2" s="1"/>
  <c r="FE45" i="2" l="1"/>
  <c r="FF44" i="2"/>
  <c r="FG44" i="2" s="1"/>
  <c r="FH44" i="2" s="1"/>
  <c r="FI44" i="2" s="1"/>
  <c r="EJ45" i="2"/>
  <c r="EK44" i="2"/>
  <c r="EL44" i="2" s="1"/>
  <c r="EM44" i="2" s="1"/>
  <c r="EN44" i="2" s="1"/>
  <c r="DO45" i="2"/>
  <c r="DP44" i="2"/>
  <c r="DQ44" i="2" s="1"/>
  <c r="DR44" i="2" s="1"/>
  <c r="DS44" i="2" s="1"/>
  <c r="CT45" i="2"/>
  <c r="CU44" i="2"/>
  <c r="CV44" i="2" s="1"/>
  <c r="CW44" i="2" s="1"/>
  <c r="CX44" i="2" s="1"/>
  <c r="BY45" i="2"/>
  <c r="BZ44" i="2"/>
  <c r="CA44" i="2" s="1"/>
  <c r="CB44" i="2" s="1"/>
  <c r="CC44" i="2" s="1"/>
  <c r="BD179" i="2"/>
  <c r="BE178" i="2"/>
  <c r="BF178" i="2" s="1"/>
  <c r="BG178" i="2" s="1"/>
  <c r="BH178" i="2" s="1"/>
  <c r="N45" i="2"/>
  <c r="O44" i="2"/>
  <c r="P44" i="2" s="1"/>
  <c r="Q44" i="2" s="1"/>
  <c r="R44" i="2" s="1"/>
  <c r="GA44" i="2"/>
  <c r="GB44" i="2" s="1"/>
  <c r="GC44" i="2" s="1"/>
  <c r="GD44" i="2" s="1"/>
  <c r="GV44" i="2"/>
  <c r="GW44" i="2" s="1"/>
  <c r="GX44" i="2" s="1"/>
  <c r="GY44" i="2" s="1"/>
  <c r="AJ44" i="2"/>
  <c r="AK44" i="2" s="1"/>
  <c r="AL44" i="2" s="1"/>
  <c r="AM44" i="2" s="1"/>
  <c r="FE46" i="2" l="1"/>
  <c r="FF45" i="2"/>
  <c r="FG45" i="2" s="1"/>
  <c r="FH45" i="2" s="1"/>
  <c r="FI45" i="2" s="1"/>
  <c r="EJ46" i="2"/>
  <c r="EK45" i="2"/>
  <c r="EL45" i="2" s="1"/>
  <c r="EM45" i="2" s="1"/>
  <c r="EN45" i="2" s="1"/>
  <c r="DO46" i="2"/>
  <c r="DP45" i="2"/>
  <c r="DQ45" i="2" s="1"/>
  <c r="DR45" i="2" s="1"/>
  <c r="DS45" i="2" s="1"/>
  <c r="CT46" i="2"/>
  <c r="CU45" i="2"/>
  <c r="CV45" i="2" s="1"/>
  <c r="CW45" i="2" s="1"/>
  <c r="CX45" i="2" s="1"/>
  <c r="BY46" i="2"/>
  <c r="BZ45" i="2"/>
  <c r="CA45" i="2" s="1"/>
  <c r="CB45" i="2" s="1"/>
  <c r="CC45" i="2" s="1"/>
  <c r="BD180" i="2"/>
  <c r="BE179" i="2"/>
  <c r="BF179" i="2" s="1"/>
  <c r="BG179" i="2" s="1"/>
  <c r="BH179" i="2" s="1"/>
  <c r="N46" i="2"/>
  <c r="O45" i="2"/>
  <c r="P45" i="2" s="1"/>
  <c r="Q45" i="2" s="1"/>
  <c r="R45" i="2" s="1"/>
  <c r="GA45" i="2"/>
  <c r="GB45" i="2" s="1"/>
  <c r="GC45" i="2" s="1"/>
  <c r="GD45" i="2" s="1"/>
  <c r="GV45" i="2"/>
  <c r="GW45" i="2" s="1"/>
  <c r="GX45" i="2" s="1"/>
  <c r="GY45" i="2" s="1"/>
  <c r="AJ45" i="2"/>
  <c r="AK45" i="2" s="1"/>
  <c r="AL45" i="2" s="1"/>
  <c r="AM45" i="2" s="1"/>
  <c r="FE47" i="2" l="1"/>
  <c r="FF46" i="2"/>
  <c r="FG46" i="2" s="1"/>
  <c r="FH46" i="2" s="1"/>
  <c r="FI46" i="2" s="1"/>
  <c r="EJ47" i="2"/>
  <c r="EK46" i="2"/>
  <c r="EL46" i="2" s="1"/>
  <c r="EM46" i="2" s="1"/>
  <c r="EN46" i="2" s="1"/>
  <c r="DO47" i="2"/>
  <c r="DP46" i="2"/>
  <c r="DQ46" i="2" s="1"/>
  <c r="DR46" i="2" s="1"/>
  <c r="DS46" i="2" s="1"/>
  <c r="CT47" i="2"/>
  <c r="CU46" i="2"/>
  <c r="CV46" i="2" s="1"/>
  <c r="CW46" i="2" s="1"/>
  <c r="CX46" i="2" s="1"/>
  <c r="BY47" i="2"/>
  <c r="BZ46" i="2"/>
  <c r="CA46" i="2" s="1"/>
  <c r="CB46" i="2" s="1"/>
  <c r="CC46" i="2" s="1"/>
  <c r="BD181" i="2"/>
  <c r="BE180" i="2"/>
  <c r="BF180" i="2" s="1"/>
  <c r="BG180" i="2" s="1"/>
  <c r="BH180" i="2" s="1"/>
  <c r="N47" i="2"/>
  <c r="O46" i="2"/>
  <c r="P46" i="2" s="1"/>
  <c r="Q46" i="2" s="1"/>
  <c r="R46" i="2" s="1"/>
  <c r="GA46" i="2"/>
  <c r="GB46" i="2" s="1"/>
  <c r="GC46" i="2" s="1"/>
  <c r="GD46" i="2" s="1"/>
  <c r="GV46" i="2"/>
  <c r="GW46" i="2" s="1"/>
  <c r="GX46" i="2" s="1"/>
  <c r="GY46" i="2" s="1"/>
  <c r="AJ46" i="2"/>
  <c r="AK46" i="2" s="1"/>
  <c r="AL46" i="2" s="1"/>
  <c r="AM46" i="2" s="1"/>
  <c r="FE48" i="2" l="1"/>
  <c r="FF47" i="2"/>
  <c r="FG47" i="2" s="1"/>
  <c r="FH47" i="2" s="1"/>
  <c r="FI47" i="2" s="1"/>
  <c r="EJ48" i="2"/>
  <c r="EK47" i="2"/>
  <c r="EL47" i="2" s="1"/>
  <c r="EM47" i="2" s="1"/>
  <c r="EN47" i="2" s="1"/>
  <c r="DO48" i="2"/>
  <c r="DP47" i="2"/>
  <c r="DQ47" i="2" s="1"/>
  <c r="DR47" i="2" s="1"/>
  <c r="DS47" i="2" s="1"/>
  <c r="CT48" i="2"/>
  <c r="CU47" i="2"/>
  <c r="CV47" i="2" s="1"/>
  <c r="CW47" i="2" s="1"/>
  <c r="CX47" i="2" s="1"/>
  <c r="BY48" i="2"/>
  <c r="BZ47" i="2"/>
  <c r="CA47" i="2" s="1"/>
  <c r="CB47" i="2" s="1"/>
  <c r="CC47" i="2" s="1"/>
  <c r="BD182" i="2"/>
  <c r="BE181" i="2"/>
  <c r="BF181" i="2" s="1"/>
  <c r="BG181" i="2" s="1"/>
  <c r="BH181" i="2" s="1"/>
  <c r="N48" i="2"/>
  <c r="O47" i="2"/>
  <c r="P47" i="2" s="1"/>
  <c r="Q47" i="2" s="1"/>
  <c r="R47" i="2" s="1"/>
  <c r="GA47" i="2"/>
  <c r="GB47" i="2" s="1"/>
  <c r="GC47" i="2" s="1"/>
  <c r="GD47" i="2" s="1"/>
  <c r="GV47" i="2"/>
  <c r="GW47" i="2" s="1"/>
  <c r="GX47" i="2" s="1"/>
  <c r="GY47" i="2" s="1"/>
  <c r="AJ47" i="2"/>
  <c r="AK47" i="2" s="1"/>
  <c r="AL47" i="2" s="1"/>
  <c r="AM47" i="2" s="1"/>
  <c r="FE49" i="2" l="1"/>
  <c r="FF48" i="2"/>
  <c r="FG48" i="2" s="1"/>
  <c r="FH48" i="2" s="1"/>
  <c r="FI48" i="2" s="1"/>
  <c r="EJ49" i="2"/>
  <c r="EK48" i="2"/>
  <c r="EL48" i="2" s="1"/>
  <c r="EM48" i="2" s="1"/>
  <c r="EN48" i="2" s="1"/>
  <c r="DO49" i="2"/>
  <c r="DP48" i="2"/>
  <c r="DQ48" i="2" s="1"/>
  <c r="DR48" i="2" s="1"/>
  <c r="DS48" i="2" s="1"/>
  <c r="CT49" i="2"/>
  <c r="CU48" i="2"/>
  <c r="CV48" i="2" s="1"/>
  <c r="CW48" i="2" s="1"/>
  <c r="CX48" i="2" s="1"/>
  <c r="BY49" i="2"/>
  <c r="BZ48" i="2"/>
  <c r="CA48" i="2" s="1"/>
  <c r="CB48" i="2" s="1"/>
  <c r="CC48" i="2" s="1"/>
  <c r="BD183" i="2"/>
  <c r="BE182" i="2"/>
  <c r="BF182" i="2" s="1"/>
  <c r="BG182" i="2" s="1"/>
  <c r="BH182" i="2" s="1"/>
  <c r="N49" i="2"/>
  <c r="O48" i="2"/>
  <c r="P48" i="2" s="1"/>
  <c r="Q48" i="2" s="1"/>
  <c r="R48" i="2" s="1"/>
  <c r="GA48" i="2"/>
  <c r="GB48" i="2" s="1"/>
  <c r="GC48" i="2" s="1"/>
  <c r="GD48" i="2" s="1"/>
  <c r="GV48" i="2"/>
  <c r="GW48" i="2" s="1"/>
  <c r="GX48" i="2" s="1"/>
  <c r="GY48" i="2" s="1"/>
  <c r="AJ48" i="2"/>
  <c r="AK48" i="2" s="1"/>
  <c r="AL48" i="2" s="1"/>
  <c r="AM48" i="2" s="1"/>
  <c r="FE50" i="2" l="1"/>
  <c r="FF49" i="2"/>
  <c r="FG49" i="2" s="1"/>
  <c r="FH49" i="2" s="1"/>
  <c r="FI49" i="2" s="1"/>
  <c r="EJ50" i="2"/>
  <c r="EK49" i="2"/>
  <c r="EL49" i="2" s="1"/>
  <c r="EM49" i="2" s="1"/>
  <c r="EN49" i="2" s="1"/>
  <c r="DO50" i="2"/>
  <c r="DP49" i="2"/>
  <c r="DQ49" i="2" s="1"/>
  <c r="DR49" i="2" s="1"/>
  <c r="DS49" i="2" s="1"/>
  <c r="CT50" i="2"/>
  <c r="CU49" i="2"/>
  <c r="CV49" i="2" s="1"/>
  <c r="CW49" i="2" s="1"/>
  <c r="CX49" i="2" s="1"/>
  <c r="BY50" i="2"/>
  <c r="BZ49" i="2"/>
  <c r="CA49" i="2" s="1"/>
  <c r="CB49" i="2" s="1"/>
  <c r="CC49" i="2" s="1"/>
  <c r="BD184" i="2"/>
  <c r="BE183" i="2"/>
  <c r="BF183" i="2" s="1"/>
  <c r="BG183" i="2" s="1"/>
  <c r="BH183" i="2" s="1"/>
  <c r="N50" i="2"/>
  <c r="O49" i="2"/>
  <c r="P49" i="2" s="1"/>
  <c r="Q49" i="2" s="1"/>
  <c r="R49" i="2" s="1"/>
  <c r="GA49" i="2"/>
  <c r="GB49" i="2" s="1"/>
  <c r="GC49" i="2" s="1"/>
  <c r="GD49" i="2" s="1"/>
  <c r="GV49" i="2"/>
  <c r="GW49" i="2" s="1"/>
  <c r="GX49" i="2" s="1"/>
  <c r="GY49" i="2" s="1"/>
  <c r="AJ49" i="2"/>
  <c r="AK49" i="2" s="1"/>
  <c r="AL49" i="2" s="1"/>
  <c r="AM49" i="2" s="1"/>
  <c r="FE51" i="2" l="1"/>
  <c r="FF50" i="2"/>
  <c r="FG50" i="2" s="1"/>
  <c r="FH50" i="2" s="1"/>
  <c r="FI50" i="2" s="1"/>
  <c r="EJ51" i="2"/>
  <c r="EK50" i="2"/>
  <c r="EL50" i="2" s="1"/>
  <c r="EM50" i="2" s="1"/>
  <c r="EN50" i="2" s="1"/>
  <c r="DO51" i="2"/>
  <c r="DP50" i="2"/>
  <c r="DQ50" i="2" s="1"/>
  <c r="DR50" i="2" s="1"/>
  <c r="DS50" i="2" s="1"/>
  <c r="CT51" i="2"/>
  <c r="CU50" i="2"/>
  <c r="CV50" i="2" s="1"/>
  <c r="CW50" i="2" s="1"/>
  <c r="CX50" i="2" s="1"/>
  <c r="BY51" i="2"/>
  <c r="BZ50" i="2"/>
  <c r="CA50" i="2" s="1"/>
  <c r="CB50" i="2" s="1"/>
  <c r="CC50" i="2" s="1"/>
  <c r="BD185" i="2"/>
  <c r="BE184" i="2"/>
  <c r="BF184" i="2" s="1"/>
  <c r="BG184" i="2" s="1"/>
  <c r="BH184" i="2" s="1"/>
  <c r="N51" i="2"/>
  <c r="O50" i="2"/>
  <c r="P50" i="2" s="1"/>
  <c r="Q50" i="2" s="1"/>
  <c r="R50" i="2" s="1"/>
  <c r="GA50" i="2"/>
  <c r="GB50" i="2" s="1"/>
  <c r="GC50" i="2" s="1"/>
  <c r="GD50" i="2" s="1"/>
  <c r="GV50" i="2"/>
  <c r="GW50" i="2" s="1"/>
  <c r="GX50" i="2" s="1"/>
  <c r="GY50" i="2" s="1"/>
  <c r="AJ50" i="2"/>
  <c r="AK50" i="2" s="1"/>
  <c r="AL50" i="2" s="1"/>
  <c r="AM50" i="2" s="1"/>
  <c r="FE52" i="2" l="1"/>
  <c r="FF51" i="2"/>
  <c r="FG51" i="2" s="1"/>
  <c r="FH51" i="2" s="1"/>
  <c r="FI51" i="2" s="1"/>
  <c r="EJ52" i="2"/>
  <c r="EK51" i="2"/>
  <c r="EL51" i="2" s="1"/>
  <c r="EM51" i="2" s="1"/>
  <c r="EN51" i="2" s="1"/>
  <c r="DO52" i="2"/>
  <c r="DP51" i="2"/>
  <c r="DQ51" i="2" s="1"/>
  <c r="DR51" i="2" s="1"/>
  <c r="DS51" i="2" s="1"/>
  <c r="CT52" i="2"/>
  <c r="CU51" i="2"/>
  <c r="CV51" i="2" s="1"/>
  <c r="CW51" i="2" s="1"/>
  <c r="CX51" i="2" s="1"/>
  <c r="BY52" i="2"/>
  <c r="BZ51" i="2"/>
  <c r="CA51" i="2" s="1"/>
  <c r="CB51" i="2" s="1"/>
  <c r="CC51" i="2" s="1"/>
  <c r="BD186" i="2"/>
  <c r="BE185" i="2"/>
  <c r="BF185" i="2" s="1"/>
  <c r="BG185" i="2" s="1"/>
  <c r="BH185" i="2" s="1"/>
  <c r="N52" i="2"/>
  <c r="O51" i="2"/>
  <c r="P51" i="2" s="1"/>
  <c r="Q51" i="2" s="1"/>
  <c r="R51" i="2" s="1"/>
  <c r="GA51" i="2"/>
  <c r="GB51" i="2" s="1"/>
  <c r="GC51" i="2" s="1"/>
  <c r="GD51" i="2" s="1"/>
  <c r="GV51" i="2"/>
  <c r="GW51" i="2" s="1"/>
  <c r="GX51" i="2" s="1"/>
  <c r="GY51" i="2" s="1"/>
  <c r="AJ51" i="2"/>
  <c r="AK51" i="2" s="1"/>
  <c r="AL51" i="2" s="1"/>
  <c r="AM51" i="2" s="1"/>
  <c r="FE53" i="2" l="1"/>
  <c r="FF52" i="2"/>
  <c r="FG52" i="2" s="1"/>
  <c r="FH52" i="2" s="1"/>
  <c r="FI52" i="2" s="1"/>
  <c r="EJ53" i="2"/>
  <c r="EK52" i="2"/>
  <c r="EL52" i="2" s="1"/>
  <c r="EM52" i="2" s="1"/>
  <c r="EN52" i="2" s="1"/>
  <c r="DO53" i="2"/>
  <c r="DP52" i="2"/>
  <c r="DQ52" i="2" s="1"/>
  <c r="DR52" i="2" s="1"/>
  <c r="DS52" i="2" s="1"/>
  <c r="CT53" i="2"/>
  <c r="CU52" i="2"/>
  <c r="CV52" i="2" s="1"/>
  <c r="CW52" i="2" s="1"/>
  <c r="CX52" i="2" s="1"/>
  <c r="BY53" i="2"/>
  <c r="BZ52" i="2"/>
  <c r="CA52" i="2" s="1"/>
  <c r="CB52" i="2" s="1"/>
  <c r="CC52" i="2" s="1"/>
  <c r="BD187" i="2"/>
  <c r="BE186" i="2"/>
  <c r="BF186" i="2" s="1"/>
  <c r="BG186" i="2" s="1"/>
  <c r="BH186" i="2" s="1"/>
  <c r="N53" i="2"/>
  <c r="O52" i="2"/>
  <c r="P52" i="2" s="1"/>
  <c r="Q52" i="2" s="1"/>
  <c r="R52" i="2" s="1"/>
  <c r="GA52" i="2"/>
  <c r="GB52" i="2" s="1"/>
  <c r="GC52" i="2" s="1"/>
  <c r="GD52" i="2" s="1"/>
  <c r="GV52" i="2"/>
  <c r="GW52" i="2" s="1"/>
  <c r="GX52" i="2" s="1"/>
  <c r="GY52" i="2" s="1"/>
  <c r="AJ52" i="2"/>
  <c r="AK52" i="2" s="1"/>
  <c r="AL52" i="2" s="1"/>
  <c r="AM52" i="2" s="1"/>
  <c r="FE54" i="2" l="1"/>
  <c r="FF53" i="2"/>
  <c r="FG53" i="2" s="1"/>
  <c r="FH53" i="2" s="1"/>
  <c r="FI53" i="2" s="1"/>
  <c r="EJ54" i="2"/>
  <c r="EK53" i="2"/>
  <c r="EL53" i="2" s="1"/>
  <c r="EM53" i="2" s="1"/>
  <c r="EN53" i="2" s="1"/>
  <c r="DO54" i="2"/>
  <c r="DP53" i="2"/>
  <c r="DQ53" i="2" s="1"/>
  <c r="DR53" i="2" s="1"/>
  <c r="DS53" i="2" s="1"/>
  <c r="CT54" i="2"/>
  <c r="CU53" i="2"/>
  <c r="CV53" i="2" s="1"/>
  <c r="CW53" i="2" s="1"/>
  <c r="CX53" i="2" s="1"/>
  <c r="BY54" i="2"/>
  <c r="BZ53" i="2"/>
  <c r="CA53" i="2" s="1"/>
  <c r="CB53" i="2" s="1"/>
  <c r="CC53" i="2" s="1"/>
  <c r="BD188" i="2"/>
  <c r="BE187" i="2"/>
  <c r="BF187" i="2" s="1"/>
  <c r="BG187" i="2" s="1"/>
  <c r="BH187" i="2" s="1"/>
  <c r="N54" i="2"/>
  <c r="O53" i="2"/>
  <c r="P53" i="2" s="1"/>
  <c r="Q53" i="2" s="1"/>
  <c r="R53" i="2" s="1"/>
  <c r="GA53" i="2"/>
  <c r="GB53" i="2" s="1"/>
  <c r="GC53" i="2" s="1"/>
  <c r="GD53" i="2" s="1"/>
  <c r="GV53" i="2"/>
  <c r="GW53" i="2" s="1"/>
  <c r="GX53" i="2" s="1"/>
  <c r="GY53" i="2" s="1"/>
  <c r="AJ53" i="2"/>
  <c r="AK53" i="2" s="1"/>
  <c r="AL53" i="2" s="1"/>
  <c r="AM53" i="2" s="1"/>
  <c r="FE55" i="2" l="1"/>
  <c r="FF54" i="2"/>
  <c r="FG54" i="2" s="1"/>
  <c r="FH54" i="2" s="1"/>
  <c r="FI54" i="2" s="1"/>
  <c r="EJ55" i="2"/>
  <c r="EK54" i="2"/>
  <c r="EL54" i="2" s="1"/>
  <c r="EM54" i="2" s="1"/>
  <c r="EN54" i="2" s="1"/>
  <c r="DO55" i="2"/>
  <c r="DP54" i="2"/>
  <c r="DQ54" i="2" s="1"/>
  <c r="DR54" i="2" s="1"/>
  <c r="DS54" i="2" s="1"/>
  <c r="CT55" i="2"/>
  <c r="CU54" i="2"/>
  <c r="CV54" i="2" s="1"/>
  <c r="CW54" i="2" s="1"/>
  <c r="CX54" i="2" s="1"/>
  <c r="BY55" i="2"/>
  <c r="BZ54" i="2"/>
  <c r="CA54" i="2" s="1"/>
  <c r="CB54" i="2" s="1"/>
  <c r="CC54" i="2" s="1"/>
  <c r="BD189" i="2"/>
  <c r="BE188" i="2"/>
  <c r="BF188" i="2" s="1"/>
  <c r="BG188" i="2" s="1"/>
  <c r="BH188" i="2" s="1"/>
  <c r="N55" i="2"/>
  <c r="O54" i="2"/>
  <c r="P54" i="2" s="1"/>
  <c r="Q54" i="2" s="1"/>
  <c r="R54" i="2" s="1"/>
  <c r="GA54" i="2"/>
  <c r="GB54" i="2" s="1"/>
  <c r="GC54" i="2" s="1"/>
  <c r="GD54" i="2" s="1"/>
  <c r="GV54" i="2"/>
  <c r="GW54" i="2" s="1"/>
  <c r="GX54" i="2" s="1"/>
  <c r="GY54" i="2" s="1"/>
  <c r="AJ54" i="2"/>
  <c r="AK54" i="2" s="1"/>
  <c r="AL54" i="2" s="1"/>
  <c r="AM54" i="2" s="1"/>
  <c r="FE56" i="2" l="1"/>
  <c r="FF55" i="2"/>
  <c r="FG55" i="2" s="1"/>
  <c r="FH55" i="2" s="1"/>
  <c r="FI55" i="2" s="1"/>
  <c r="EJ56" i="2"/>
  <c r="EK55" i="2"/>
  <c r="EL55" i="2" s="1"/>
  <c r="EM55" i="2" s="1"/>
  <c r="EN55" i="2" s="1"/>
  <c r="DO56" i="2"/>
  <c r="DP55" i="2"/>
  <c r="DQ55" i="2" s="1"/>
  <c r="DR55" i="2" s="1"/>
  <c r="DS55" i="2" s="1"/>
  <c r="CT56" i="2"/>
  <c r="CU55" i="2"/>
  <c r="CV55" i="2" s="1"/>
  <c r="CW55" i="2" s="1"/>
  <c r="CX55" i="2" s="1"/>
  <c r="BY56" i="2"/>
  <c r="BZ55" i="2"/>
  <c r="CA55" i="2" s="1"/>
  <c r="CB55" i="2" s="1"/>
  <c r="CC55" i="2" s="1"/>
  <c r="BD190" i="2"/>
  <c r="BE189" i="2"/>
  <c r="BF189" i="2" s="1"/>
  <c r="BG189" i="2" s="1"/>
  <c r="BH189" i="2" s="1"/>
  <c r="N56" i="2"/>
  <c r="O55" i="2"/>
  <c r="P55" i="2" s="1"/>
  <c r="Q55" i="2" s="1"/>
  <c r="R55" i="2" s="1"/>
  <c r="GA55" i="2"/>
  <c r="GB55" i="2" s="1"/>
  <c r="GC55" i="2" s="1"/>
  <c r="GD55" i="2" s="1"/>
  <c r="GV55" i="2"/>
  <c r="GW55" i="2" s="1"/>
  <c r="GX55" i="2" s="1"/>
  <c r="GY55" i="2" s="1"/>
  <c r="AJ55" i="2"/>
  <c r="AK55" i="2" s="1"/>
  <c r="AL55" i="2" s="1"/>
  <c r="AM55" i="2" s="1"/>
  <c r="FE57" i="2" l="1"/>
  <c r="FF56" i="2"/>
  <c r="FG56" i="2" s="1"/>
  <c r="FH56" i="2" s="1"/>
  <c r="FI56" i="2" s="1"/>
  <c r="EJ57" i="2"/>
  <c r="EK56" i="2"/>
  <c r="EL56" i="2" s="1"/>
  <c r="EM56" i="2" s="1"/>
  <c r="EN56" i="2" s="1"/>
  <c r="DO57" i="2"/>
  <c r="DP56" i="2"/>
  <c r="DQ56" i="2" s="1"/>
  <c r="DR56" i="2" s="1"/>
  <c r="DS56" i="2" s="1"/>
  <c r="CT57" i="2"/>
  <c r="CU56" i="2"/>
  <c r="CV56" i="2" s="1"/>
  <c r="CW56" i="2" s="1"/>
  <c r="CX56" i="2" s="1"/>
  <c r="BY57" i="2"/>
  <c r="BZ56" i="2"/>
  <c r="CA56" i="2" s="1"/>
  <c r="CB56" i="2" s="1"/>
  <c r="CC56" i="2" s="1"/>
  <c r="BD191" i="2"/>
  <c r="BE190" i="2"/>
  <c r="BF190" i="2" s="1"/>
  <c r="BG190" i="2" s="1"/>
  <c r="BH190" i="2" s="1"/>
  <c r="N57" i="2"/>
  <c r="O56" i="2"/>
  <c r="P56" i="2" s="1"/>
  <c r="Q56" i="2" s="1"/>
  <c r="R56" i="2" s="1"/>
  <c r="GA56" i="2"/>
  <c r="GB56" i="2" s="1"/>
  <c r="GC56" i="2" s="1"/>
  <c r="GD56" i="2" s="1"/>
  <c r="GV56" i="2"/>
  <c r="GW56" i="2" s="1"/>
  <c r="GX56" i="2" s="1"/>
  <c r="GY56" i="2" s="1"/>
  <c r="AJ56" i="2"/>
  <c r="AK56" i="2" s="1"/>
  <c r="AL56" i="2" s="1"/>
  <c r="AM56" i="2" s="1"/>
  <c r="GZ3" i="2"/>
  <c r="C15" i="4" s="1"/>
  <c r="E15" i="4" s="1"/>
  <c r="F15" i="4" s="1"/>
  <c r="G15" i="4" s="1"/>
  <c r="L15" i="4" s="1"/>
  <c r="FE58" i="2" l="1"/>
  <c r="FF57" i="2"/>
  <c r="FG57" i="2" s="1"/>
  <c r="FH57" i="2" s="1"/>
  <c r="FI57" i="2" s="1"/>
  <c r="EJ58" i="2"/>
  <c r="EK57" i="2"/>
  <c r="EL57" i="2" s="1"/>
  <c r="EM57" i="2" s="1"/>
  <c r="EN57" i="2" s="1"/>
  <c r="DO58" i="2"/>
  <c r="DP57" i="2"/>
  <c r="DQ57" i="2" s="1"/>
  <c r="DR57" i="2" s="1"/>
  <c r="DS57" i="2" s="1"/>
  <c r="CT58" i="2"/>
  <c r="CU57" i="2"/>
  <c r="CV57" i="2" s="1"/>
  <c r="CW57" i="2" s="1"/>
  <c r="CX57" i="2" s="1"/>
  <c r="BY58" i="2"/>
  <c r="BZ57" i="2"/>
  <c r="CA57" i="2" s="1"/>
  <c r="CB57" i="2" s="1"/>
  <c r="CC57" i="2" s="1"/>
  <c r="BD192" i="2"/>
  <c r="BE191" i="2"/>
  <c r="BF191" i="2" s="1"/>
  <c r="BG191" i="2" s="1"/>
  <c r="BH191" i="2" s="1"/>
  <c r="N58" i="2"/>
  <c r="O57" i="2"/>
  <c r="P57" i="2" s="1"/>
  <c r="Q57" i="2" s="1"/>
  <c r="R57" i="2" s="1"/>
  <c r="GA57" i="2"/>
  <c r="GB57" i="2" s="1"/>
  <c r="GC57" i="2" s="1"/>
  <c r="GD57" i="2" s="1"/>
  <c r="GV57" i="2"/>
  <c r="GW57" i="2" s="1"/>
  <c r="GX57" i="2" s="1"/>
  <c r="GY57" i="2" s="1"/>
  <c r="AJ57" i="2"/>
  <c r="AK57" i="2" s="1"/>
  <c r="AL57" i="2" s="1"/>
  <c r="AM57" i="2" s="1"/>
  <c r="FE59" i="2" l="1"/>
  <c r="FF58" i="2"/>
  <c r="FG58" i="2" s="1"/>
  <c r="FH58" i="2" s="1"/>
  <c r="FI58" i="2" s="1"/>
  <c r="EJ59" i="2"/>
  <c r="EK58" i="2"/>
  <c r="EL58" i="2" s="1"/>
  <c r="EM58" i="2" s="1"/>
  <c r="EN58" i="2" s="1"/>
  <c r="DO59" i="2"/>
  <c r="DP58" i="2"/>
  <c r="DQ58" i="2" s="1"/>
  <c r="DR58" i="2" s="1"/>
  <c r="DS58" i="2" s="1"/>
  <c r="CT59" i="2"/>
  <c r="CU58" i="2"/>
  <c r="CV58" i="2" s="1"/>
  <c r="CW58" i="2" s="1"/>
  <c r="CX58" i="2" s="1"/>
  <c r="BY59" i="2"/>
  <c r="BZ58" i="2"/>
  <c r="CA58" i="2" s="1"/>
  <c r="CB58" i="2" s="1"/>
  <c r="CC58" i="2" s="1"/>
  <c r="BD193" i="2"/>
  <c r="BE192" i="2"/>
  <c r="BF192" i="2" s="1"/>
  <c r="BG192" i="2" s="1"/>
  <c r="BH192" i="2" s="1"/>
  <c r="N59" i="2"/>
  <c r="O58" i="2"/>
  <c r="P58" i="2" s="1"/>
  <c r="Q58" i="2" s="1"/>
  <c r="R58" i="2" s="1"/>
  <c r="GA58" i="2"/>
  <c r="GB58" i="2" s="1"/>
  <c r="GC58" i="2" s="1"/>
  <c r="GD58" i="2" s="1"/>
  <c r="GV58" i="2"/>
  <c r="GW58" i="2" s="1"/>
  <c r="GX58" i="2" s="1"/>
  <c r="GY58" i="2" s="1"/>
  <c r="AJ58" i="2"/>
  <c r="AK58" i="2" s="1"/>
  <c r="AL58" i="2" s="1"/>
  <c r="AM58" i="2" s="1"/>
  <c r="FE60" i="2" l="1"/>
  <c r="FF59" i="2"/>
  <c r="FG59" i="2" s="1"/>
  <c r="FH59" i="2" s="1"/>
  <c r="FI59" i="2" s="1"/>
  <c r="EJ60" i="2"/>
  <c r="EK59" i="2"/>
  <c r="EL59" i="2" s="1"/>
  <c r="EM59" i="2" s="1"/>
  <c r="EN59" i="2" s="1"/>
  <c r="DO60" i="2"/>
  <c r="DP59" i="2"/>
  <c r="DQ59" i="2" s="1"/>
  <c r="DR59" i="2" s="1"/>
  <c r="DS59" i="2" s="1"/>
  <c r="CT60" i="2"/>
  <c r="CU59" i="2"/>
  <c r="CV59" i="2" s="1"/>
  <c r="CW59" i="2" s="1"/>
  <c r="CX59" i="2" s="1"/>
  <c r="BY60" i="2"/>
  <c r="BZ59" i="2"/>
  <c r="CA59" i="2" s="1"/>
  <c r="CB59" i="2" s="1"/>
  <c r="CC59" i="2" s="1"/>
  <c r="BD194" i="2"/>
  <c r="BE193" i="2"/>
  <c r="BF193" i="2" s="1"/>
  <c r="BG193" i="2" s="1"/>
  <c r="BH193" i="2" s="1"/>
  <c r="N60" i="2"/>
  <c r="O59" i="2"/>
  <c r="P59" i="2" s="1"/>
  <c r="Q59" i="2" s="1"/>
  <c r="R59" i="2" s="1"/>
  <c r="GA59" i="2"/>
  <c r="GB59" i="2" s="1"/>
  <c r="GC59" i="2" s="1"/>
  <c r="GD59" i="2" s="1"/>
  <c r="GV59" i="2"/>
  <c r="GW59" i="2" s="1"/>
  <c r="GX59" i="2" s="1"/>
  <c r="GY59" i="2" s="1"/>
  <c r="AJ59" i="2"/>
  <c r="AK59" i="2" s="1"/>
  <c r="AL59" i="2" s="1"/>
  <c r="AM59" i="2" s="1"/>
  <c r="FE61" i="2" l="1"/>
  <c r="FF60" i="2"/>
  <c r="FG60" i="2" s="1"/>
  <c r="FH60" i="2" s="1"/>
  <c r="FI60" i="2" s="1"/>
  <c r="EJ61" i="2"/>
  <c r="EK60" i="2"/>
  <c r="EL60" i="2" s="1"/>
  <c r="EM60" i="2" s="1"/>
  <c r="EN60" i="2" s="1"/>
  <c r="DO61" i="2"/>
  <c r="DP60" i="2"/>
  <c r="DQ60" i="2" s="1"/>
  <c r="DR60" i="2" s="1"/>
  <c r="DS60" i="2" s="1"/>
  <c r="CT61" i="2"/>
  <c r="CU60" i="2"/>
  <c r="CV60" i="2" s="1"/>
  <c r="CW60" i="2" s="1"/>
  <c r="CX60" i="2" s="1"/>
  <c r="BY61" i="2"/>
  <c r="BZ60" i="2"/>
  <c r="CA60" i="2" s="1"/>
  <c r="CB60" i="2" s="1"/>
  <c r="CC60" i="2" s="1"/>
  <c r="BD195" i="2"/>
  <c r="BE194" i="2"/>
  <c r="BF194" i="2" s="1"/>
  <c r="BG194" i="2" s="1"/>
  <c r="BH194" i="2" s="1"/>
  <c r="N61" i="2"/>
  <c r="O60" i="2"/>
  <c r="P60" i="2" s="1"/>
  <c r="Q60" i="2" s="1"/>
  <c r="R60" i="2" s="1"/>
  <c r="GA60" i="2"/>
  <c r="GB60" i="2" s="1"/>
  <c r="GC60" i="2" s="1"/>
  <c r="GD60" i="2" s="1"/>
  <c r="GV60" i="2"/>
  <c r="GW60" i="2" s="1"/>
  <c r="GX60" i="2" s="1"/>
  <c r="GY60" i="2" s="1"/>
  <c r="AJ60" i="2"/>
  <c r="AK60" i="2" s="1"/>
  <c r="AL60" i="2" s="1"/>
  <c r="AM60" i="2" s="1"/>
  <c r="FE62" i="2" l="1"/>
  <c r="FF61" i="2"/>
  <c r="FG61" i="2" s="1"/>
  <c r="FH61" i="2" s="1"/>
  <c r="FI61" i="2" s="1"/>
  <c r="EJ62" i="2"/>
  <c r="EK61" i="2"/>
  <c r="EL61" i="2" s="1"/>
  <c r="EM61" i="2" s="1"/>
  <c r="EN61" i="2" s="1"/>
  <c r="DO62" i="2"/>
  <c r="DP61" i="2"/>
  <c r="DQ61" i="2" s="1"/>
  <c r="DR61" i="2" s="1"/>
  <c r="DS61" i="2" s="1"/>
  <c r="CT62" i="2"/>
  <c r="CU61" i="2"/>
  <c r="CV61" i="2" s="1"/>
  <c r="CW61" i="2" s="1"/>
  <c r="CX61" i="2" s="1"/>
  <c r="BY62" i="2"/>
  <c r="BZ61" i="2"/>
  <c r="CA61" i="2" s="1"/>
  <c r="CB61" i="2" s="1"/>
  <c r="CC61" i="2" s="1"/>
  <c r="BD196" i="2"/>
  <c r="BE195" i="2"/>
  <c r="BF195" i="2" s="1"/>
  <c r="BG195" i="2" s="1"/>
  <c r="BH195" i="2" s="1"/>
  <c r="N62" i="2"/>
  <c r="O61" i="2"/>
  <c r="P61" i="2" s="1"/>
  <c r="Q61" i="2" s="1"/>
  <c r="R61" i="2" s="1"/>
  <c r="GA61" i="2"/>
  <c r="GB61" i="2" s="1"/>
  <c r="GC61" i="2" s="1"/>
  <c r="GD61" i="2" s="1"/>
  <c r="GV61" i="2"/>
  <c r="GW61" i="2" s="1"/>
  <c r="GX61" i="2" s="1"/>
  <c r="GY61" i="2" s="1"/>
  <c r="AJ61" i="2"/>
  <c r="AK61" i="2" s="1"/>
  <c r="AL61" i="2" s="1"/>
  <c r="AM61" i="2" s="1"/>
  <c r="FE63" i="2" l="1"/>
  <c r="FF62" i="2"/>
  <c r="FG62" i="2" s="1"/>
  <c r="FH62" i="2" s="1"/>
  <c r="FI62" i="2" s="1"/>
  <c r="EJ63" i="2"/>
  <c r="EK62" i="2"/>
  <c r="EL62" i="2" s="1"/>
  <c r="EM62" i="2" s="1"/>
  <c r="EN62" i="2" s="1"/>
  <c r="DO63" i="2"/>
  <c r="DP62" i="2"/>
  <c r="DQ62" i="2" s="1"/>
  <c r="DR62" i="2" s="1"/>
  <c r="DS62" i="2" s="1"/>
  <c r="CT63" i="2"/>
  <c r="CU62" i="2"/>
  <c r="CV62" i="2" s="1"/>
  <c r="CW62" i="2" s="1"/>
  <c r="CX62" i="2" s="1"/>
  <c r="BY63" i="2"/>
  <c r="BZ62" i="2"/>
  <c r="CA62" i="2" s="1"/>
  <c r="CB62" i="2" s="1"/>
  <c r="CC62" i="2" s="1"/>
  <c r="BD197" i="2"/>
  <c r="BE196" i="2"/>
  <c r="BF196" i="2" s="1"/>
  <c r="BG196" i="2" s="1"/>
  <c r="BH196" i="2" s="1"/>
  <c r="N63" i="2"/>
  <c r="O62" i="2"/>
  <c r="P62" i="2" s="1"/>
  <c r="Q62" i="2" s="1"/>
  <c r="R62" i="2" s="1"/>
  <c r="GA62" i="2"/>
  <c r="GB62" i="2" s="1"/>
  <c r="GC62" i="2" s="1"/>
  <c r="GD62" i="2" s="1"/>
  <c r="GV62" i="2"/>
  <c r="GW62" i="2" s="1"/>
  <c r="GX62" i="2" s="1"/>
  <c r="GY62" i="2" s="1"/>
  <c r="AJ62" i="2"/>
  <c r="AK62" i="2" s="1"/>
  <c r="AL62" i="2" s="1"/>
  <c r="AM62" i="2" s="1"/>
  <c r="FE64" i="2" l="1"/>
  <c r="FF63" i="2"/>
  <c r="FG63" i="2" s="1"/>
  <c r="FH63" i="2" s="1"/>
  <c r="FI63" i="2" s="1"/>
  <c r="EJ64" i="2"/>
  <c r="EK63" i="2"/>
  <c r="EL63" i="2" s="1"/>
  <c r="EM63" i="2" s="1"/>
  <c r="EN63" i="2" s="1"/>
  <c r="DO64" i="2"/>
  <c r="DP63" i="2"/>
  <c r="DQ63" i="2" s="1"/>
  <c r="DR63" i="2" s="1"/>
  <c r="DS63" i="2" s="1"/>
  <c r="CT64" i="2"/>
  <c r="CU63" i="2"/>
  <c r="CV63" i="2" s="1"/>
  <c r="CW63" i="2" s="1"/>
  <c r="CX63" i="2" s="1"/>
  <c r="BY64" i="2"/>
  <c r="BZ63" i="2"/>
  <c r="CA63" i="2" s="1"/>
  <c r="CB63" i="2" s="1"/>
  <c r="CC63" i="2" s="1"/>
  <c r="BD198" i="2"/>
  <c r="BE197" i="2"/>
  <c r="BF197" i="2" s="1"/>
  <c r="BG197" i="2" s="1"/>
  <c r="BH197" i="2" s="1"/>
  <c r="N64" i="2"/>
  <c r="O63" i="2"/>
  <c r="P63" i="2" s="1"/>
  <c r="Q63" i="2" s="1"/>
  <c r="R63" i="2" s="1"/>
  <c r="GA63" i="2"/>
  <c r="GB63" i="2" s="1"/>
  <c r="GC63" i="2" s="1"/>
  <c r="GD63" i="2" s="1"/>
  <c r="GV63" i="2"/>
  <c r="GW63" i="2" s="1"/>
  <c r="GX63" i="2" s="1"/>
  <c r="GY63" i="2" s="1"/>
  <c r="AJ63" i="2"/>
  <c r="AK63" i="2" s="1"/>
  <c r="AL63" i="2" s="1"/>
  <c r="AM63" i="2" s="1"/>
  <c r="GE11" i="2" l="1"/>
  <c r="GE45" i="2"/>
  <c r="GE97" i="2"/>
  <c r="GE131" i="2"/>
  <c r="GE24" i="2"/>
  <c r="GE21" i="2"/>
  <c r="GE184" i="2"/>
  <c r="GE114" i="2"/>
  <c r="GE46" i="2"/>
  <c r="GE163" i="2"/>
  <c r="GE100" i="2"/>
  <c r="GE162" i="2"/>
  <c r="GE74" i="2"/>
  <c r="GE103" i="2"/>
  <c r="GE75" i="2"/>
  <c r="GE87" i="2"/>
  <c r="GE125" i="2"/>
  <c r="GE115" i="2"/>
  <c r="GE196" i="2"/>
  <c r="GE80" i="2"/>
  <c r="GE40" i="2"/>
  <c r="GE27" i="2"/>
  <c r="GE51" i="2"/>
  <c r="GE47" i="2"/>
  <c r="GE78" i="2"/>
  <c r="GE102" i="2"/>
  <c r="GE107" i="2"/>
  <c r="GE155" i="2"/>
  <c r="GE120" i="2"/>
  <c r="GE142" i="2"/>
  <c r="GE76" i="2"/>
  <c r="GE68" i="2"/>
  <c r="GE54" i="2"/>
  <c r="GE93" i="2"/>
  <c r="GE148" i="2"/>
  <c r="GE84" i="2"/>
  <c r="GE9" i="2"/>
  <c r="GE96" i="2"/>
  <c r="GE157" i="2"/>
  <c r="GE12" i="2"/>
  <c r="GE83" i="2"/>
  <c r="GE89" i="2"/>
  <c r="GE123" i="2"/>
  <c r="GE104" i="2"/>
  <c r="GE67" i="2"/>
  <c r="GE141" i="2"/>
  <c r="GE198" i="2"/>
  <c r="GE19" i="2"/>
  <c r="GE31" i="2"/>
  <c r="GE22" i="2"/>
  <c r="GE140" i="2"/>
  <c r="GE129" i="2"/>
  <c r="GE62" i="2"/>
  <c r="GE26" i="2"/>
  <c r="GE190" i="2"/>
  <c r="GE166" i="2"/>
  <c r="GE154" i="2"/>
  <c r="GE191" i="2"/>
  <c r="GE43" i="2"/>
  <c r="GE94" i="2"/>
  <c r="GE181" i="2"/>
  <c r="GE56" i="2"/>
  <c r="GE156" i="2"/>
  <c r="GE151" i="2"/>
  <c r="GE109" i="2"/>
  <c r="GE55" i="2"/>
  <c r="GE41" i="2"/>
  <c r="GE58" i="2"/>
  <c r="GE187" i="2"/>
  <c r="GE180" i="2"/>
  <c r="GE49" i="2"/>
  <c r="GE105" i="2"/>
  <c r="GE82" i="2"/>
  <c r="GE91" i="2"/>
  <c r="GE52" i="2"/>
  <c r="GE126" i="2"/>
  <c r="GE15" i="2"/>
  <c r="GE86" i="2"/>
  <c r="GE121" i="2"/>
  <c r="GE59" i="2"/>
  <c r="GE144" i="2"/>
  <c r="GE178" i="2"/>
  <c r="GE193" i="2"/>
  <c r="GE60" i="2"/>
  <c r="GE6" i="2"/>
  <c r="GE168" i="2"/>
  <c r="GE164" i="2"/>
  <c r="GE186" i="2"/>
  <c r="GE16" i="2"/>
  <c r="GE199" i="2"/>
  <c r="GE203" i="2"/>
  <c r="GE147" i="2"/>
  <c r="GE172" i="2"/>
  <c r="GE110" i="2"/>
  <c r="GE132" i="2"/>
  <c r="GE35" i="2"/>
  <c r="GE25" i="2"/>
  <c r="GE160" i="2"/>
  <c r="GE197" i="2"/>
  <c r="GE28" i="2"/>
  <c r="GE146" i="2"/>
  <c r="GE73" i="2"/>
  <c r="GE99" i="2"/>
  <c r="GE200" i="2"/>
  <c r="GE18" i="2"/>
  <c r="GE116" i="2"/>
  <c r="GE171" i="2"/>
  <c r="GE95" i="2"/>
  <c r="GE136" i="2"/>
  <c r="GE42" i="2"/>
  <c r="GE138" i="2"/>
  <c r="GE112" i="2"/>
  <c r="GE7" i="2"/>
  <c r="GE39" i="2"/>
  <c r="GE169" i="2"/>
  <c r="GE174" i="2"/>
  <c r="GE185" i="2"/>
  <c r="GE37" i="2"/>
  <c r="GE65" i="2"/>
  <c r="GE176" i="2"/>
  <c r="GE165" i="2"/>
  <c r="GE134" i="2"/>
  <c r="GE101" i="2"/>
  <c r="GE159" i="2"/>
  <c r="GE153" i="2"/>
  <c r="GE70" i="2"/>
  <c r="GE5" i="2"/>
  <c r="GE139" i="2"/>
  <c r="GE182" i="2"/>
  <c r="GE57" i="2"/>
  <c r="GE36" i="2"/>
  <c r="GE71" i="2"/>
  <c r="GE135" i="2"/>
  <c r="GE122" i="2"/>
  <c r="GE150" i="2"/>
  <c r="GE145" i="2"/>
  <c r="GE188" i="2"/>
  <c r="GE108" i="2"/>
  <c r="GE124" i="2"/>
  <c r="GE8" i="2"/>
  <c r="GE119" i="2"/>
  <c r="GE189" i="2"/>
  <c r="GE20" i="2"/>
  <c r="GE192" i="2"/>
  <c r="GE85" i="2"/>
  <c r="GE77" i="2"/>
  <c r="GE194" i="2"/>
  <c r="GE130" i="2"/>
  <c r="GE72" i="2"/>
  <c r="GE118" i="2"/>
  <c r="GE61" i="2"/>
  <c r="GE195" i="2"/>
  <c r="GE158" i="2"/>
  <c r="GE177" i="2"/>
  <c r="GE143" i="2"/>
  <c r="GE13" i="2"/>
  <c r="GE53" i="2"/>
  <c r="GE175" i="2"/>
  <c r="GE79" i="2"/>
  <c r="GE173" i="2"/>
  <c r="GE117" i="2"/>
  <c r="GE127" i="2"/>
  <c r="GE63" i="2"/>
  <c r="GE30" i="2"/>
  <c r="GE14" i="2"/>
  <c r="GE32" i="2"/>
  <c r="GE44" i="2"/>
  <c r="GE29" i="2"/>
  <c r="GE69" i="2"/>
  <c r="GE113" i="2"/>
  <c r="GE201" i="2"/>
  <c r="GE88" i="2"/>
  <c r="GE81" i="2"/>
  <c r="GE64" i="2"/>
  <c r="GE128" i="2"/>
  <c r="GE4" i="2"/>
  <c r="GE50" i="2"/>
  <c r="GE137" i="2"/>
  <c r="GE161" i="2"/>
  <c r="GE34" i="2"/>
  <c r="GE92" i="2"/>
  <c r="GE98" i="2"/>
  <c r="GE48" i="2"/>
  <c r="GE167" i="2"/>
  <c r="GE183" i="2"/>
  <c r="GE10" i="2"/>
  <c r="GE179" i="2"/>
  <c r="GE149" i="2"/>
  <c r="GE90" i="2"/>
  <c r="GE38" i="2"/>
  <c r="GE133" i="2"/>
  <c r="GE170" i="2"/>
  <c r="GE66" i="2"/>
  <c r="GE33" i="2"/>
  <c r="GE106" i="2"/>
  <c r="GE23" i="2"/>
  <c r="GE17" i="2"/>
  <c r="GE152" i="2"/>
  <c r="GE202" i="2"/>
  <c r="GE111" i="2"/>
  <c r="GE3" i="2"/>
  <c r="C14" i="4" s="1"/>
  <c r="E14" i="4" s="1"/>
  <c r="F14" i="4" s="1"/>
  <c r="G14" i="4" s="1"/>
  <c r="L14" i="4" s="1"/>
  <c r="FE65" i="2"/>
  <c r="FF64" i="2"/>
  <c r="FG64" i="2" s="1"/>
  <c r="FH64" i="2" s="1"/>
  <c r="FI64" i="2" s="1"/>
  <c r="EJ65" i="2"/>
  <c r="EK64" i="2"/>
  <c r="EL64" i="2" s="1"/>
  <c r="EM64" i="2" s="1"/>
  <c r="EN64" i="2" s="1"/>
  <c r="DO65" i="2"/>
  <c r="DP64" i="2"/>
  <c r="DQ64" i="2" s="1"/>
  <c r="DR64" i="2" s="1"/>
  <c r="DS64" i="2" s="1"/>
  <c r="CT65" i="2"/>
  <c r="CU64" i="2"/>
  <c r="CV64" i="2" s="1"/>
  <c r="CW64" i="2" s="1"/>
  <c r="CX64" i="2" s="1"/>
  <c r="BY65" i="2"/>
  <c r="BZ64" i="2"/>
  <c r="CA64" i="2" s="1"/>
  <c r="CB64" i="2" s="1"/>
  <c r="CC64" i="2" s="1"/>
  <c r="BD199" i="2"/>
  <c r="BE198" i="2"/>
  <c r="BF198" i="2" s="1"/>
  <c r="BG198" i="2" s="1"/>
  <c r="BH198" i="2" s="1"/>
  <c r="N65" i="2"/>
  <c r="O64" i="2"/>
  <c r="P64" i="2" s="1"/>
  <c r="Q64" i="2" s="1"/>
  <c r="R64" i="2" s="1"/>
  <c r="GA64" i="2"/>
  <c r="GB64" i="2" s="1"/>
  <c r="GC64" i="2" s="1"/>
  <c r="GD64" i="2" s="1"/>
  <c r="GV64" i="2"/>
  <c r="GW64" i="2" s="1"/>
  <c r="GX64" i="2" s="1"/>
  <c r="GY64" i="2" s="1"/>
  <c r="AJ64" i="2"/>
  <c r="AK64" i="2" s="1"/>
  <c r="AL64" i="2" s="1"/>
  <c r="AM64" i="2" s="1"/>
  <c r="FE66" i="2" l="1"/>
  <c r="FF65" i="2"/>
  <c r="FG65" i="2" s="1"/>
  <c r="FH65" i="2" s="1"/>
  <c r="FI65" i="2" s="1"/>
  <c r="EJ66" i="2"/>
  <c r="EK65" i="2"/>
  <c r="EL65" i="2" s="1"/>
  <c r="EM65" i="2" s="1"/>
  <c r="EN65" i="2" s="1"/>
  <c r="DO66" i="2"/>
  <c r="DP65" i="2"/>
  <c r="DQ65" i="2" s="1"/>
  <c r="DR65" i="2" s="1"/>
  <c r="DS65" i="2" s="1"/>
  <c r="CT66" i="2"/>
  <c r="CU65" i="2"/>
  <c r="CV65" i="2" s="1"/>
  <c r="CW65" i="2" s="1"/>
  <c r="CX65" i="2" s="1"/>
  <c r="BY66" i="2"/>
  <c r="BZ65" i="2"/>
  <c r="CA65" i="2" s="1"/>
  <c r="CB65" i="2" s="1"/>
  <c r="CC65" i="2" s="1"/>
  <c r="BD200" i="2"/>
  <c r="BE199" i="2"/>
  <c r="BF199" i="2" s="1"/>
  <c r="BG199" i="2" s="1"/>
  <c r="BH199" i="2" s="1"/>
  <c r="N66" i="2"/>
  <c r="O65" i="2"/>
  <c r="P65" i="2" s="1"/>
  <c r="Q65" i="2" s="1"/>
  <c r="R65" i="2" s="1"/>
  <c r="GA65" i="2"/>
  <c r="GB65" i="2" s="1"/>
  <c r="GC65" i="2" s="1"/>
  <c r="GD65" i="2" s="1"/>
  <c r="GV65" i="2"/>
  <c r="GW65" i="2" s="1"/>
  <c r="GX65" i="2" s="1"/>
  <c r="GY65" i="2" s="1"/>
  <c r="AJ65" i="2"/>
  <c r="AK65" i="2" s="1"/>
  <c r="AL65" i="2" s="1"/>
  <c r="AM65" i="2" s="1"/>
  <c r="FE67" i="2" l="1"/>
  <c r="FF66" i="2"/>
  <c r="FG66" i="2" s="1"/>
  <c r="FH66" i="2" s="1"/>
  <c r="FI66" i="2" s="1"/>
  <c r="EJ67" i="2"/>
  <c r="EK66" i="2"/>
  <c r="EL66" i="2" s="1"/>
  <c r="EM66" i="2" s="1"/>
  <c r="EN66" i="2" s="1"/>
  <c r="DO67" i="2"/>
  <c r="DP66" i="2"/>
  <c r="DQ66" i="2" s="1"/>
  <c r="DR66" i="2" s="1"/>
  <c r="DS66" i="2" s="1"/>
  <c r="CT67" i="2"/>
  <c r="CU66" i="2"/>
  <c r="CV66" i="2" s="1"/>
  <c r="CW66" i="2" s="1"/>
  <c r="CX66" i="2" s="1"/>
  <c r="BY67" i="2"/>
  <c r="BZ66" i="2"/>
  <c r="CA66" i="2" s="1"/>
  <c r="CB66" i="2" s="1"/>
  <c r="CC66" i="2" s="1"/>
  <c r="BD201" i="2"/>
  <c r="BE200" i="2"/>
  <c r="BF200" i="2" s="1"/>
  <c r="BG200" i="2" s="1"/>
  <c r="BH200" i="2" s="1"/>
  <c r="N67" i="2"/>
  <c r="O66" i="2"/>
  <c r="P66" i="2" s="1"/>
  <c r="Q66" i="2" s="1"/>
  <c r="R66" i="2" s="1"/>
  <c r="GA66" i="2"/>
  <c r="GB66" i="2" s="1"/>
  <c r="GC66" i="2" s="1"/>
  <c r="GD66" i="2" s="1"/>
  <c r="GV66" i="2"/>
  <c r="GW66" i="2" s="1"/>
  <c r="GX66" i="2" s="1"/>
  <c r="GY66" i="2" s="1"/>
  <c r="AJ66" i="2"/>
  <c r="AK66" i="2" s="1"/>
  <c r="AL66" i="2" s="1"/>
  <c r="AM66" i="2" s="1"/>
  <c r="FE68" i="2" l="1"/>
  <c r="FF67" i="2"/>
  <c r="FG67" i="2" s="1"/>
  <c r="FH67" i="2" s="1"/>
  <c r="FI67" i="2" s="1"/>
  <c r="EJ68" i="2"/>
  <c r="EK67" i="2"/>
  <c r="EL67" i="2" s="1"/>
  <c r="EM67" i="2" s="1"/>
  <c r="EN67" i="2" s="1"/>
  <c r="DO68" i="2"/>
  <c r="DP67" i="2"/>
  <c r="DQ67" i="2" s="1"/>
  <c r="DR67" i="2" s="1"/>
  <c r="DS67" i="2" s="1"/>
  <c r="CT68" i="2"/>
  <c r="CU67" i="2"/>
  <c r="CV67" i="2" s="1"/>
  <c r="CW67" i="2" s="1"/>
  <c r="CX67" i="2" s="1"/>
  <c r="BY68" i="2"/>
  <c r="BZ67" i="2"/>
  <c r="CA67" i="2" s="1"/>
  <c r="CB67" i="2" s="1"/>
  <c r="CC67" i="2" s="1"/>
  <c r="BD202" i="2"/>
  <c r="BE201" i="2"/>
  <c r="BF201" i="2" s="1"/>
  <c r="BG201" i="2" s="1"/>
  <c r="BH201" i="2" s="1"/>
  <c r="N68" i="2"/>
  <c r="O67" i="2"/>
  <c r="P67" i="2" s="1"/>
  <c r="Q67" i="2" s="1"/>
  <c r="R67" i="2" s="1"/>
  <c r="GA67" i="2"/>
  <c r="GB67" i="2" s="1"/>
  <c r="GC67" i="2" s="1"/>
  <c r="GD67" i="2" s="1"/>
  <c r="GV67" i="2"/>
  <c r="GW67" i="2" s="1"/>
  <c r="GX67" i="2" s="1"/>
  <c r="GY67" i="2" s="1"/>
  <c r="AJ67" i="2"/>
  <c r="AK67" i="2" s="1"/>
  <c r="AL67" i="2" s="1"/>
  <c r="AM67" i="2" s="1"/>
  <c r="FE69" i="2" l="1"/>
  <c r="FF68" i="2"/>
  <c r="FG68" i="2" s="1"/>
  <c r="FH68" i="2" s="1"/>
  <c r="FI68" i="2" s="1"/>
  <c r="EJ69" i="2"/>
  <c r="EK68" i="2"/>
  <c r="EL68" i="2" s="1"/>
  <c r="EM68" i="2" s="1"/>
  <c r="EN68" i="2" s="1"/>
  <c r="DO69" i="2"/>
  <c r="DP68" i="2"/>
  <c r="DQ68" i="2" s="1"/>
  <c r="DR68" i="2" s="1"/>
  <c r="DS68" i="2" s="1"/>
  <c r="CT69" i="2"/>
  <c r="CU68" i="2"/>
  <c r="CV68" i="2" s="1"/>
  <c r="CW68" i="2" s="1"/>
  <c r="CX68" i="2" s="1"/>
  <c r="BY69" i="2"/>
  <c r="BZ68" i="2"/>
  <c r="CA68" i="2" s="1"/>
  <c r="CB68" i="2" s="1"/>
  <c r="CC68" i="2" s="1"/>
  <c r="BD203" i="2"/>
  <c r="BE203" i="2" s="1"/>
  <c r="BF203" i="2" s="1"/>
  <c r="BG203" i="2" s="1"/>
  <c r="BH203" i="2" s="1"/>
  <c r="BE202" i="2"/>
  <c r="BF202" i="2" s="1"/>
  <c r="BG202" i="2" s="1"/>
  <c r="BH202" i="2" s="1"/>
  <c r="N69" i="2"/>
  <c r="O68" i="2"/>
  <c r="P68" i="2" s="1"/>
  <c r="Q68" i="2" s="1"/>
  <c r="R68" i="2" s="1"/>
  <c r="GA68" i="2"/>
  <c r="GB68" i="2" s="1"/>
  <c r="GC68" i="2" s="1"/>
  <c r="GD68" i="2" s="1"/>
  <c r="GV68" i="2"/>
  <c r="GW68" i="2" s="1"/>
  <c r="GX68" i="2" s="1"/>
  <c r="GY68" i="2" s="1"/>
  <c r="AJ68" i="2"/>
  <c r="AK68" i="2" s="1"/>
  <c r="AL68" i="2" s="1"/>
  <c r="AM68" i="2" s="1"/>
  <c r="FE70" i="2" l="1"/>
  <c r="FF69" i="2"/>
  <c r="FG69" i="2" s="1"/>
  <c r="FH69" i="2" s="1"/>
  <c r="FI69" i="2" s="1"/>
  <c r="EJ70" i="2"/>
  <c r="EK69" i="2"/>
  <c r="EL69" i="2" s="1"/>
  <c r="EM69" i="2" s="1"/>
  <c r="EN69" i="2" s="1"/>
  <c r="DO70" i="2"/>
  <c r="DP69" i="2"/>
  <c r="DQ69" i="2" s="1"/>
  <c r="DR69" i="2" s="1"/>
  <c r="DS69" i="2" s="1"/>
  <c r="CT70" i="2"/>
  <c r="CU69" i="2"/>
  <c r="CV69" i="2" s="1"/>
  <c r="CW69" i="2" s="1"/>
  <c r="CX69" i="2" s="1"/>
  <c r="BY70" i="2"/>
  <c r="BZ69" i="2"/>
  <c r="CA69" i="2" s="1"/>
  <c r="CB69" i="2" s="1"/>
  <c r="CC69" i="2" s="1"/>
  <c r="N70" i="2"/>
  <c r="O69" i="2"/>
  <c r="P69" i="2" s="1"/>
  <c r="Q69" i="2" s="1"/>
  <c r="R69" i="2" s="1"/>
  <c r="GA69" i="2"/>
  <c r="GB69" i="2" s="1"/>
  <c r="GC69" i="2" s="1"/>
  <c r="GD69" i="2" s="1"/>
  <c r="GV69" i="2"/>
  <c r="GW69" i="2" s="1"/>
  <c r="GX69" i="2" s="1"/>
  <c r="GY69" i="2" s="1"/>
  <c r="AJ69" i="2"/>
  <c r="AK69" i="2" s="1"/>
  <c r="AL69" i="2" s="1"/>
  <c r="AM69" i="2" s="1"/>
  <c r="FE71" i="2" l="1"/>
  <c r="FF70" i="2"/>
  <c r="FG70" i="2" s="1"/>
  <c r="FH70" i="2" s="1"/>
  <c r="FI70" i="2" s="1"/>
  <c r="EJ71" i="2"/>
  <c r="EK70" i="2"/>
  <c r="EL70" i="2" s="1"/>
  <c r="EM70" i="2" s="1"/>
  <c r="EN70" i="2" s="1"/>
  <c r="DO71" i="2"/>
  <c r="DP70" i="2"/>
  <c r="DQ70" i="2" s="1"/>
  <c r="DR70" i="2" s="1"/>
  <c r="DS70" i="2" s="1"/>
  <c r="CT71" i="2"/>
  <c r="CU70" i="2"/>
  <c r="CV70" i="2" s="1"/>
  <c r="CW70" i="2" s="1"/>
  <c r="CX70" i="2" s="1"/>
  <c r="BY71" i="2"/>
  <c r="BZ70" i="2"/>
  <c r="CA70" i="2" s="1"/>
  <c r="CB70" i="2" s="1"/>
  <c r="CC70" i="2" s="1"/>
  <c r="N71" i="2"/>
  <c r="O70" i="2"/>
  <c r="P70" i="2" s="1"/>
  <c r="Q70" i="2" s="1"/>
  <c r="R70" i="2" s="1"/>
  <c r="GA70" i="2"/>
  <c r="GB70" i="2" s="1"/>
  <c r="GC70" i="2" s="1"/>
  <c r="GD70" i="2" s="1"/>
  <c r="GV70" i="2"/>
  <c r="GW70" i="2" s="1"/>
  <c r="GX70" i="2" s="1"/>
  <c r="GY70" i="2" s="1"/>
  <c r="AJ70" i="2"/>
  <c r="AK70" i="2" s="1"/>
  <c r="AL70" i="2" s="1"/>
  <c r="AM70" i="2" s="1"/>
  <c r="FE72" i="2" l="1"/>
  <c r="FF71" i="2"/>
  <c r="FG71" i="2" s="1"/>
  <c r="FH71" i="2" s="1"/>
  <c r="FI71" i="2" s="1"/>
  <c r="EJ72" i="2"/>
  <c r="EK71" i="2"/>
  <c r="EL71" i="2" s="1"/>
  <c r="EM71" i="2" s="1"/>
  <c r="EN71" i="2" s="1"/>
  <c r="DO72" i="2"/>
  <c r="DP71" i="2"/>
  <c r="DQ71" i="2" s="1"/>
  <c r="DR71" i="2" s="1"/>
  <c r="DS71" i="2" s="1"/>
  <c r="CT72" i="2"/>
  <c r="CU71" i="2"/>
  <c r="CV71" i="2" s="1"/>
  <c r="CW71" i="2" s="1"/>
  <c r="CX71" i="2" s="1"/>
  <c r="BY72" i="2"/>
  <c r="BZ71" i="2"/>
  <c r="CA71" i="2" s="1"/>
  <c r="CB71" i="2" s="1"/>
  <c r="CC71" i="2" s="1"/>
  <c r="N72" i="2"/>
  <c r="O71" i="2"/>
  <c r="P71" i="2" s="1"/>
  <c r="Q71" i="2" s="1"/>
  <c r="R71" i="2" s="1"/>
  <c r="GA71" i="2"/>
  <c r="GB71" i="2" s="1"/>
  <c r="GC71" i="2" s="1"/>
  <c r="GD71" i="2" s="1"/>
  <c r="GV71" i="2"/>
  <c r="GW71" i="2" s="1"/>
  <c r="GX71" i="2" s="1"/>
  <c r="GY71" i="2" s="1"/>
  <c r="AJ71" i="2"/>
  <c r="AK71" i="2" s="1"/>
  <c r="AL71" i="2" s="1"/>
  <c r="AM71" i="2" s="1"/>
  <c r="FE73" i="2" l="1"/>
  <c r="FF72" i="2"/>
  <c r="FG72" i="2" s="1"/>
  <c r="FH72" i="2" s="1"/>
  <c r="FI72" i="2" s="1"/>
  <c r="EJ73" i="2"/>
  <c r="EK72" i="2"/>
  <c r="EL72" i="2" s="1"/>
  <c r="EM72" i="2" s="1"/>
  <c r="EN72" i="2" s="1"/>
  <c r="DO73" i="2"/>
  <c r="DP72" i="2"/>
  <c r="DQ72" i="2" s="1"/>
  <c r="DR72" i="2" s="1"/>
  <c r="DS72" i="2" s="1"/>
  <c r="CT73" i="2"/>
  <c r="CU72" i="2"/>
  <c r="CV72" i="2" s="1"/>
  <c r="CW72" i="2" s="1"/>
  <c r="CX72" i="2" s="1"/>
  <c r="BY73" i="2"/>
  <c r="BZ72" i="2"/>
  <c r="CA72" i="2" s="1"/>
  <c r="CB72" i="2" s="1"/>
  <c r="CC72" i="2" s="1"/>
  <c r="N73" i="2"/>
  <c r="O72" i="2"/>
  <c r="P72" i="2" s="1"/>
  <c r="Q72" i="2" s="1"/>
  <c r="R72" i="2" s="1"/>
  <c r="GA72" i="2"/>
  <c r="GB72" i="2" s="1"/>
  <c r="GC72" i="2" s="1"/>
  <c r="GD72" i="2" s="1"/>
  <c r="GV72" i="2"/>
  <c r="GW72" i="2" s="1"/>
  <c r="GX72" i="2" s="1"/>
  <c r="GY72" i="2" s="1"/>
  <c r="AJ72" i="2"/>
  <c r="AK72" i="2" s="1"/>
  <c r="AL72" i="2" s="1"/>
  <c r="AM72" i="2" s="1"/>
  <c r="FE74" i="2" l="1"/>
  <c r="FF73" i="2"/>
  <c r="FG73" i="2" s="1"/>
  <c r="FH73" i="2" s="1"/>
  <c r="FI73" i="2" s="1"/>
  <c r="EJ74" i="2"/>
  <c r="EK73" i="2"/>
  <c r="EL73" i="2" s="1"/>
  <c r="EM73" i="2" s="1"/>
  <c r="EN73" i="2" s="1"/>
  <c r="DO74" i="2"/>
  <c r="DP73" i="2"/>
  <c r="DQ73" i="2" s="1"/>
  <c r="DR73" i="2" s="1"/>
  <c r="DS73" i="2" s="1"/>
  <c r="CT74" i="2"/>
  <c r="CU73" i="2"/>
  <c r="CV73" i="2" s="1"/>
  <c r="CW73" i="2" s="1"/>
  <c r="CX73" i="2" s="1"/>
  <c r="BY74" i="2"/>
  <c r="BZ73" i="2"/>
  <c r="CA73" i="2" s="1"/>
  <c r="CB73" i="2" s="1"/>
  <c r="CC73" i="2" s="1"/>
  <c r="N74" i="2"/>
  <c r="O73" i="2"/>
  <c r="P73" i="2" s="1"/>
  <c r="Q73" i="2" s="1"/>
  <c r="R73" i="2" s="1"/>
  <c r="GA73" i="2"/>
  <c r="GB73" i="2" s="1"/>
  <c r="GC73" i="2" s="1"/>
  <c r="GD73" i="2" s="1"/>
  <c r="GV73" i="2"/>
  <c r="GW73" i="2" s="1"/>
  <c r="GX73" i="2" s="1"/>
  <c r="GY73" i="2" s="1"/>
  <c r="AJ73" i="2"/>
  <c r="AK73" i="2" s="1"/>
  <c r="AL73" i="2" s="1"/>
  <c r="AM73" i="2" s="1"/>
  <c r="FE75" i="2" l="1"/>
  <c r="FF74" i="2"/>
  <c r="FG74" i="2" s="1"/>
  <c r="FH74" i="2" s="1"/>
  <c r="FI74" i="2" s="1"/>
  <c r="EJ75" i="2"/>
  <c r="EK74" i="2"/>
  <c r="EL74" i="2" s="1"/>
  <c r="EM74" i="2" s="1"/>
  <c r="EN74" i="2" s="1"/>
  <c r="DO75" i="2"/>
  <c r="DP74" i="2"/>
  <c r="DQ74" i="2" s="1"/>
  <c r="DR74" i="2" s="1"/>
  <c r="DS74" i="2" s="1"/>
  <c r="CT75" i="2"/>
  <c r="CU74" i="2"/>
  <c r="CV74" i="2" s="1"/>
  <c r="CW74" i="2" s="1"/>
  <c r="CX74" i="2" s="1"/>
  <c r="BY75" i="2"/>
  <c r="BZ74" i="2"/>
  <c r="CA74" i="2" s="1"/>
  <c r="CB74" i="2" s="1"/>
  <c r="CC74" i="2" s="1"/>
  <c r="N75" i="2"/>
  <c r="O74" i="2"/>
  <c r="P74" i="2" s="1"/>
  <c r="Q74" i="2" s="1"/>
  <c r="R74" i="2" s="1"/>
  <c r="GA74" i="2"/>
  <c r="GB74" i="2" s="1"/>
  <c r="GC74" i="2" s="1"/>
  <c r="GD74" i="2" s="1"/>
  <c r="GV74" i="2"/>
  <c r="GW74" i="2" s="1"/>
  <c r="GX74" i="2" s="1"/>
  <c r="GY74" i="2" s="1"/>
  <c r="AJ74" i="2"/>
  <c r="AK74" i="2" s="1"/>
  <c r="AL74" i="2" s="1"/>
  <c r="AM74" i="2" s="1"/>
  <c r="FE76" i="2" l="1"/>
  <c r="FF75" i="2"/>
  <c r="FG75" i="2" s="1"/>
  <c r="FH75" i="2" s="1"/>
  <c r="FI75" i="2" s="1"/>
  <c r="EJ76" i="2"/>
  <c r="EK75" i="2"/>
  <c r="EL75" i="2" s="1"/>
  <c r="EM75" i="2" s="1"/>
  <c r="EN75" i="2" s="1"/>
  <c r="DO76" i="2"/>
  <c r="DP75" i="2"/>
  <c r="DQ75" i="2" s="1"/>
  <c r="DR75" i="2" s="1"/>
  <c r="DS75" i="2" s="1"/>
  <c r="CT76" i="2"/>
  <c r="CU75" i="2"/>
  <c r="CV75" i="2" s="1"/>
  <c r="CW75" i="2" s="1"/>
  <c r="CX75" i="2" s="1"/>
  <c r="BY76" i="2"/>
  <c r="BZ75" i="2"/>
  <c r="CA75" i="2" s="1"/>
  <c r="CB75" i="2" s="1"/>
  <c r="CC75" i="2" s="1"/>
  <c r="N76" i="2"/>
  <c r="O75" i="2"/>
  <c r="P75" i="2" s="1"/>
  <c r="Q75" i="2" s="1"/>
  <c r="R75" i="2" s="1"/>
  <c r="GA75" i="2"/>
  <c r="GB75" i="2" s="1"/>
  <c r="GC75" i="2" s="1"/>
  <c r="GD75" i="2" s="1"/>
  <c r="GV75" i="2"/>
  <c r="GW75" i="2" s="1"/>
  <c r="GX75" i="2" s="1"/>
  <c r="GY75" i="2" s="1"/>
  <c r="AJ75" i="2"/>
  <c r="AK75" i="2" s="1"/>
  <c r="AL75" i="2" s="1"/>
  <c r="AM75" i="2" s="1"/>
  <c r="FE77" i="2" l="1"/>
  <c r="FF76" i="2"/>
  <c r="FG76" i="2" s="1"/>
  <c r="FH76" i="2" s="1"/>
  <c r="FI76" i="2" s="1"/>
  <c r="EJ77" i="2"/>
  <c r="EK76" i="2"/>
  <c r="EL76" i="2" s="1"/>
  <c r="EM76" i="2" s="1"/>
  <c r="EN76" i="2" s="1"/>
  <c r="DO77" i="2"/>
  <c r="DP76" i="2"/>
  <c r="DQ76" i="2" s="1"/>
  <c r="DR76" i="2" s="1"/>
  <c r="DS76" i="2" s="1"/>
  <c r="CT77" i="2"/>
  <c r="CU76" i="2"/>
  <c r="CV76" i="2" s="1"/>
  <c r="CW76" i="2" s="1"/>
  <c r="CX76" i="2" s="1"/>
  <c r="BY77" i="2"/>
  <c r="BZ76" i="2"/>
  <c r="CA76" i="2" s="1"/>
  <c r="CB76" i="2" s="1"/>
  <c r="CC76" i="2" s="1"/>
  <c r="N77" i="2"/>
  <c r="O76" i="2"/>
  <c r="P76" i="2" s="1"/>
  <c r="Q76" i="2" s="1"/>
  <c r="R76" i="2" s="1"/>
  <c r="GA76" i="2"/>
  <c r="GB76" i="2" s="1"/>
  <c r="GC76" i="2" s="1"/>
  <c r="GD76" i="2" s="1"/>
  <c r="GV76" i="2"/>
  <c r="GW76" i="2" s="1"/>
  <c r="GX76" i="2" s="1"/>
  <c r="GY76" i="2" s="1"/>
  <c r="AJ76" i="2"/>
  <c r="AK76" i="2" s="1"/>
  <c r="AL76" i="2" s="1"/>
  <c r="AM76" i="2" s="1"/>
  <c r="FE78" i="2" l="1"/>
  <c r="FF77" i="2"/>
  <c r="FG77" i="2" s="1"/>
  <c r="FH77" i="2" s="1"/>
  <c r="FI77" i="2" s="1"/>
  <c r="EJ78" i="2"/>
  <c r="EK77" i="2"/>
  <c r="EL77" i="2" s="1"/>
  <c r="EM77" i="2" s="1"/>
  <c r="EN77" i="2" s="1"/>
  <c r="DO78" i="2"/>
  <c r="DP77" i="2"/>
  <c r="DQ77" i="2" s="1"/>
  <c r="DR77" i="2" s="1"/>
  <c r="DS77" i="2" s="1"/>
  <c r="CT78" i="2"/>
  <c r="CU77" i="2"/>
  <c r="CV77" i="2" s="1"/>
  <c r="CW77" i="2" s="1"/>
  <c r="CX77" i="2" s="1"/>
  <c r="BY78" i="2"/>
  <c r="BZ77" i="2"/>
  <c r="CA77" i="2" s="1"/>
  <c r="CB77" i="2" s="1"/>
  <c r="CC77" i="2" s="1"/>
  <c r="N78" i="2"/>
  <c r="O77" i="2"/>
  <c r="P77" i="2" s="1"/>
  <c r="Q77" i="2" s="1"/>
  <c r="R77" i="2" s="1"/>
  <c r="GA77" i="2"/>
  <c r="GB77" i="2" s="1"/>
  <c r="GC77" i="2" s="1"/>
  <c r="GD77" i="2" s="1"/>
  <c r="GV77" i="2"/>
  <c r="GW77" i="2" s="1"/>
  <c r="GX77" i="2" s="1"/>
  <c r="GY77" i="2" s="1"/>
  <c r="AJ77" i="2"/>
  <c r="AK77" i="2" s="1"/>
  <c r="AL77" i="2" s="1"/>
  <c r="AM77" i="2" s="1"/>
  <c r="FE79" i="2" l="1"/>
  <c r="FF78" i="2"/>
  <c r="FG78" i="2" s="1"/>
  <c r="FH78" i="2" s="1"/>
  <c r="FI78" i="2" s="1"/>
  <c r="EJ79" i="2"/>
  <c r="EK78" i="2"/>
  <c r="EL78" i="2" s="1"/>
  <c r="EM78" i="2" s="1"/>
  <c r="EN78" i="2" s="1"/>
  <c r="DO79" i="2"/>
  <c r="DP78" i="2"/>
  <c r="DQ78" i="2" s="1"/>
  <c r="DR78" i="2" s="1"/>
  <c r="DS78" i="2" s="1"/>
  <c r="CT79" i="2"/>
  <c r="CU78" i="2"/>
  <c r="CV78" i="2" s="1"/>
  <c r="CW78" i="2" s="1"/>
  <c r="CX78" i="2" s="1"/>
  <c r="BY79" i="2"/>
  <c r="BZ78" i="2"/>
  <c r="CA78" i="2" s="1"/>
  <c r="CB78" i="2" s="1"/>
  <c r="CC78" i="2" s="1"/>
  <c r="N79" i="2"/>
  <c r="O78" i="2"/>
  <c r="P78" i="2" s="1"/>
  <c r="Q78" i="2" s="1"/>
  <c r="R78" i="2" s="1"/>
  <c r="GA78" i="2"/>
  <c r="GB78" i="2" s="1"/>
  <c r="GC78" i="2" s="1"/>
  <c r="GD78" i="2" s="1"/>
  <c r="GV78" i="2"/>
  <c r="GW78" i="2" s="1"/>
  <c r="GX78" i="2" s="1"/>
  <c r="GY78" i="2" s="1"/>
  <c r="AJ78" i="2"/>
  <c r="AK78" i="2" s="1"/>
  <c r="AL78" i="2" s="1"/>
  <c r="AM78" i="2" s="1"/>
  <c r="FE80" i="2" l="1"/>
  <c r="FF79" i="2"/>
  <c r="FG79" i="2" s="1"/>
  <c r="FH79" i="2" s="1"/>
  <c r="FI79" i="2" s="1"/>
  <c r="EJ80" i="2"/>
  <c r="EK79" i="2"/>
  <c r="EL79" i="2" s="1"/>
  <c r="EM79" i="2" s="1"/>
  <c r="EN79" i="2" s="1"/>
  <c r="DO80" i="2"/>
  <c r="DP79" i="2"/>
  <c r="DQ79" i="2" s="1"/>
  <c r="DR79" i="2" s="1"/>
  <c r="DS79" i="2" s="1"/>
  <c r="CT80" i="2"/>
  <c r="CU79" i="2"/>
  <c r="CV79" i="2" s="1"/>
  <c r="CW79" i="2" s="1"/>
  <c r="CX79" i="2" s="1"/>
  <c r="BY80" i="2"/>
  <c r="BZ79" i="2"/>
  <c r="CA79" i="2" s="1"/>
  <c r="CB79" i="2" s="1"/>
  <c r="CC79" i="2" s="1"/>
  <c r="N80" i="2"/>
  <c r="O79" i="2"/>
  <c r="P79" i="2" s="1"/>
  <c r="Q79" i="2" s="1"/>
  <c r="R79" i="2" s="1"/>
  <c r="GA79" i="2"/>
  <c r="GB79" i="2" s="1"/>
  <c r="GC79" i="2" s="1"/>
  <c r="GD79" i="2" s="1"/>
  <c r="GV79" i="2"/>
  <c r="GW79" i="2" s="1"/>
  <c r="GX79" i="2" s="1"/>
  <c r="GY79" i="2" s="1"/>
  <c r="AJ79" i="2"/>
  <c r="AK79" i="2" s="1"/>
  <c r="AL79" i="2" s="1"/>
  <c r="AM79" i="2" s="1"/>
  <c r="FE81" i="2" l="1"/>
  <c r="FF80" i="2"/>
  <c r="FG80" i="2" s="1"/>
  <c r="FH80" i="2" s="1"/>
  <c r="FI80" i="2" s="1"/>
  <c r="EJ81" i="2"/>
  <c r="EK80" i="2"/>
  <c r="EL80" i="2" s="1"/>
  <c r="EM80" i="2" s="1"/>
  <c r="EN80" i="2" s="1"/>
  <c r="DO81" i="2"/>
  <c r="DP80" i="2"/>
  <c r="DQ80" i="2" s="1"/>
  <c r="DR80" i="2" s="1"/>
  <c r="DS80" i="2" s="1"/>
  <c r="CT81" i="2"/>
  <c r="CU80" i="2"/>
  <c r="CV80" i="2" s="1"/>
  <c r="CW80" i="2" s="1"/>
  <c r="CX80" i="2" s="1"/>
  <c r="BY81" i="2"/>
  <c r="BZ80" i="2"/>
  <c r="CA80" i="2" s="1"/>
  <c r="CB80" i="2" s="1"/>
  <c r="CC80" i="2" s="1"/>
  <c r="N81" i="2"/>
  <c r="O80" i="2"/>
  <c r="P80" i="2" s="1"/>
  <c r="Q80" i="2" s="1"/>
  <c r="R80" i="2" s="1"/>
  <c r="GA80" i="2"/>
  <c r="GB80" i="2" s="1"/>
  <c r="GC80" i="2" s="1"/>
  <c r="GD80" i="2" s="1"/>
  <c r="GV80" i="2"/>
  <c r="GW80" i="2" s="1"/>
  <c r="GX80" i="2" s="1"/>
  <c r="GY80" i="2" s="1"/>
  <c r="AJ80" i="2"/>
  <c r="AK80" i="2" s="1"/>
  <c r="AL80" i="2" s="1"/>
  <c r="AM80" i="2" s="1"/>
  <c r="FE82" i="2" l="1"/>
  <c r="FF81" i="2"/>
  <c r="FG81" i="2" s="1"/>
  <c r="FH81" i="2" s="1"/>
  <c r="FI81" i="2" s="1"/>
  <c r="EJ82" i="2"/>
  <c r="EK81" i="2"/>
  <c r="EL81" i="2" s="1"/>
  <c r="EM81" i="2" s="1"/>
  <c r="EN81" i="2" s="1"/>
  <c r="DO82" i="2"/>
  <c r="DP81" i="2"/>
  <c r="DQ81" i="2" s="1"/>
  <c r="DR81" i="2" s="1"/>
  <c r="DS81" i="2" s="1"/>
  <c r="CT82" i="2"/>
  <c r="CU81" i="2"/>
  <c r="CV81" i="2" s="1"/>
  <c r="CW81" i="2" s="1"/>
  <c r="CX81" i="2" s="1"/>
  <c r="BY82" i="2"/>
  <c r="BZ81" i="2"/>
  <c r="CA81" i="2" s="1"/>
  <c r="CB81" i="2" s="1"/>
  <c r="CC81" i="2" s="1"/>
  <c r="N82" i="2"/>
  <c r="O81" i="2"/>
  <c r="P81" i="2" s="1"/>
  <c r="Q81" i="2" s="1"/>
  <c r="R81" i="2" s="1"/>
  <c r="GA81" i="2"/>
  <c r="GB81" i="2" s="1"/>
  <c r="GC81" i="2" s="1"/>
  <c r="GD81" i="2" s="1"/>
  <c r="GV81" i="2"/>
  <c r="GW81" i="2" s="1"/>
  <c r="GX81" i="2" s="1"/>
  <c r="GY81" i="2" s="1"/>
  <c r="AJ81" i="2"/>
  <c r="AK81" i="2" s="1"/>
  <c r="AL81" i="2" s="1"/>
  <c r="AM81" i="2" s="1"/>
  <c r="FE83" i="2" l="1"/>
  <c r="FF82" i="2"/>
  <c r="FG82" i="2" s="1"/>
  <c r="FH82" i="2" s="1"/>
  <c r="FI82" i="2" s="1"/>
  <c r="EJ83" i="2"/>
  <c r="EK82" i="2"/>
  <c r="EL82" i="2" s="1"/>
  <c r="EM82" i="2" s="1"/>
  <c r="EN82" i="2" s="1"/>
  <c r="DO83" i="2"/>
  <c r="DP82" i="2"/>
  <c r="DQ82" i="2" s="1"/>
  <c r="DR82" i="2" s="1"/>
  <c r="DS82" i="2" s="1"/>
  <c r="CT83" i="2"/>
  <c r="CU82" i="2"/>
  <c r="CV82" i="2" s="1"/>
  <c r="CW82" i="2" s="1"/>
  <c r="CX82" i="2" s="1"/>
  <c r="BY83" i="2"/>
  <c r="BZ82" i="2"/>
  <c r="CA82" i="2" s="1"/>
  <c r="CB82" i="2" s="1"/>
  <c r="CC82" i="2" s="1"/>
  <c r="N83" i="2"/>
  <c r="O82" i="2"/>
  <c r="P82" i="2" s="1"/>
  <c r="Q82" i="2" s="1"/>
  <c r="R82" i="2" s="1"/>
  <c r="GA82" i="2"/>
  <c r="GB82" i="2" s="1"/>
  <c r="GC82" i="2" s="1"/>
  <c r="GD82" i="2" s="1"/>
  <c r="GV82" i="2"/>
  <c r="GW82" i="2" s="1"/>
  <c r="GX82" i="2" s="1"/>
  <c r="GY82" i="2" s="1"/>
  <c r="AJ82" i="2"/>
  <c r="AK82" i="2" s="1"/>
  <c r="AL82" i="2" s="1"/>
  <c r="AM82" i="2" s="1"/>
  <c r="FE84" i="2" l="1"/>
  <c r="FF83" i="2"/>
  <c r="FG83" i="2" s="1"/>
  <c r="FH83" i="2" s="1"/>
  <c r="FI83" i="2" s="1"/>
  <c r="EJ84" i="2"/>
  <c r="EK83" i="2"/>
  <c r="EL83" i="2" s="1"/>
  <c r="EM83" i="2" s="1"/>
  <c r="EN83" i="2" s="1"/>
  <c r="DO84" i="2"/>
  <c r="DP83" i="2"/>
  <c r="DQ83" i="2" s="1"/>
  <c r="DR83" i="2" s="1"/>
  <c r="DS83" i="2" s="1"/>
  <c r="CT84" i="2"/>
  <c r="CU83" i="2"/>
  <c r="CV83" i="2" s="1"/>
  <c r="CW83" i="2" s="1"/>
  <c r="CX83" i="2" s="1"/>
  <c r="BY84" i="2"/>
  <c r="BZ83" i="2"/>
  <c r="CA83" i="2" s="1"/>
  <c r="CB83" i="2" s="1"/>
  <c r="CC83" i="2" s="1"/>
  <c r="N84" i="2"/>
  <c r="O83" i="2"/>
  <c r="P83" i="2" s="1"/>
  <c r="Q83" i="2" s="1"/>
  <c r="R83" i="2" s="1"/>
  <c r="GA83" i="2"/>
  <c r="GB83" i="2" s="1"/>
  <c r="GC83" i="2" s="1"/>
  <c r="GD83" i="2" s="1"/>
  <c r="GV83" i="2"/>
  <c r="GW83" i="2" s="1"/>
  <c r="GX83" i="2" s="1"/>
  <c r="GY83" i="2" s="1"/>
  <c r="AJ83" i="2"/>
  <c r="AK83" i="2" s="1"/>
  <c r="AL83" i="2" s="1"/>
  <c r="AM83" i="2" s="1"/>
  <c r="FE85" i="2" l="1"/>
  <c r="FF84" i="2"/>
  <c r="FG84" i="2" s="1"/>
  <c r="FH84" i="2" s="1"/>
  <c r="FI84" i="2" s="1"/>
  <c r="EJ85" i="2"/>
  <c r="EK84" i="2"/>
  <c r="EL84" i="2" s="1"/>
  <c r="EM84" i="2" s="1"/>
  <c r="EN84" i="2" s="1"/>
  <c r="DO85" i="2"/>
  <c r="DP84" i="2"/>
  <c r="DQ84" i="2" s="1"/>
  <c r="DR84" i="2" s="1"/>
  <c r="DS84" i="2" s="1"/>
  <c r="CT85" i="2"/>
  <c r="CU84" i="2"/>
  <c r="CV84" i="2" s="1"/>
  <c r="CW84" i="2" s="1"/>
  <c r="CX84" i="2" s="1"/>
  <c r="BY85" i="2"/>
  <c r="BZ84" i="2"/>
  <c r="CA84" i="2" s="1"/>
  <c r="CB84" i="2" s="1"/>
  <c r="CC84" i="2" s="1"/>
  <c r="N85" i="2"/>
  <c r="O84" i="2"/>
  <c r="P84" i="2" s="1"/>
  <c r="Q84" i="2" s="1"/>
  <c r="R84" i="2" s="1"/>
  <c r="GA84" i="2"/>
  <c r="GB84" i="2" s="1"/>
  <c r="GC84" i="2" s="1"/>
  <c r="GD84" i="2" s="1"/>
  <c r="GV84" i="2"/>
  <c r="GW84" i="2" s="1"/>
  <c r="GX84" i="2" s="1"/>
  <c r="GY84" i="2" s="1"/>
  <c r="AJ84" i="2"/>
  <c r="AK84" i="2" s="1"/>
  <c r="AL84" i="2" s="1"/>
  <c r="AM84" i="2" s="1"/>
  <c r="FE86" i="2" l="1"/>
  <c r="FF85" i="2"/>
  <c r="FG85" i="2" s="1"/>
  <c r="FH85" i="2" s="1"/>
  <c r="FI85" i="2" s="1"/>
  <c r="EJ86" i="2"/>
  <c r="EK85" i="2"/>
  <c r="EL85" i="2" s="1"/>
  <c r="EM85" i="2" s="1"/>
  <c r="EN85" i="2" s="1"/>
  <c r="DO86" i="2"/>
  <c r="DP85" i="2"/>
  <c r="DQ85" i="2" s="1"/>
  <c r="DR85" i="2" s="1"/>
  <c r="DS85" i="2" s="1"/>
  <c r="CT86" i="2"/>
  <c r="CU85" i="2"/>
  <c r="CV85" i="2" s="1"/>
  <c r="CW85" i="2" s="1"/>
  <c r="CX85" i="2" s="1"/>
  <c r="BY86" i="2"/>
  <c r="BZ85" i="2"/>
  <c r="CA85" i="2" s="1"/>
  <c r="CB85" i="2" s="1"/>
  <c r="CC85" i="2" s="1"/>
  <c r="N86" i="2"/>
  <c r="O85" i="2"/>
  <c r="P85" i="2" s="1"/>
  <c r="Q85" i="2" s="1"/>
  <c r="R85" i="2" s="1"/>
  <c r="GA85" i="2"/>
  <c r="GB85" i="2" s="1"/>
  <c r="GC85" i="2" s="1"/>
  <c r="GD85" i="2" s="1"/>
  <c r="GV85" i="2"/>
  <c r="GW85" i="2" s="1"/>
  <c r="GX85" i="2" s="1"/>
  <c r="GY85" i="2" s="1"/>
  <c r="AJ85" i="2"/>
  <c r="AK85" i="2" s="1"/>
  <c r="AL85" i="2" s="1"/>
  <c r="AM85" i="2" s="1"/>
  <c r="FE87" i="2" l="1"/>
  <c r="FF86" i="2"/>
  <c r="FG86" i="2" s="1"/>
  <c r="FH86" i="2" s="1"/>
  <c r="FI86" i="2" s="1"/>
  <c r="EJ87" i="2"/>
  <c r="EK86" i="2"/>
  <c r="EL86" i="2" s="1"/>
  <c r="EM86" i="2" s="1"/>
  <c r="EN86" i="2" s="1"/>
  <c r="DO87" i="2"/>
  <c r="DP86" i="2"/>
  <c r="DQ86" i="2" s="1"/>
  <c r="DR86" i="2" s="1"/>
  <c r="DS86" i="2" s="1"/>
  <c r="CT87" i="2"/>
  <c r="CU86" i="2"/>
  <c r="CV86" i="2" s="1"/>
  <c r="CW86" i="2" s="1"/>
  <c r="CX86" i="2" s="1"/>
  <c r="BY87" i="2"/>
  <c r="BZ86" i="2"/>
  <c r="CA86" i="2" s="1"/>
  <c r="CB86" i="2" s="1"/>
  <c r="CC86" i="2" s="1"/>
  <c r="N87" i="2"/>
  <c r="O86" i="2"/>
  <c r="P86" i="2" s="1"/>
  <c r="Q86" i="2" s="1"/>
  <c r="R86" i="2" s="1"/>
  <c r="GA86" i="2"/>
  <c r="GB86" i="2" s="1"/>
  <c r="GC86" i="2" s="1"/>
  <c r="GD86" i="2" s="1"/>
  <c r="GV86" i="2"/>
  <c r="GW86" i="2" s="1"/>
  <c r="GX86" i="2" s="1"/>
  <c r="GY86" i="2" s="1"/>
  <c r="AJ86" i="2"/>
  <c r="AK86" i="2" s="1"/>
  <c r="AL86" i="2" s="1"/>
  <c r="AM86" i="2" s="1"/>
  <c r="FE88" i="2" l="1"/>
  <c r="FF87" i="2"/>
  <c r="FG87" i="2" s="1"/>
  <c r="FH87" i="2" s="1"/>
  <c r="FI87" i="2" s="1"/>
  <c r="EJ88" i="2"/>
  <c r="EK87" i="2"/>
  <c r="EL87" i="2" s="1"/>
  <c r="EM87" i="2" s="1"/>
  <c r="EN87" i="2" s="1"/>
  <c r="DO88" i="2"/>
  <c r="DP87" i="2"/>
  <c r="DQ87" i="2" s="1"/>
  <c r="DR87" i="2" s="1"/>
  <c r="DS87" i="2" s="1"/>
  <c r="CT88" i="2"/>
  <c r="CU87" i="2"/>
  <c r="CV87" i="2" s="1"/>
  <c r="CW87" i="2" s="1"/>
  <c r="CX87" i="2" s="1"/>
  <c r="BY88" i="2"/>
  <c r="BZ87" i="2"/>
  <c r="CA87" i="2" s="1"/>
  <c r="CB87" i="2" s="1"/>
  <c r="CC87" i="2" s="1"/>
  <c r="N88" i="2"/>
  <c r="O87" i="2"/>
  <c r="P87" i="2" s="1"/>
  <c r="Q87" i="2" s="1"/>
  <c r="R87" i="2" s="1"/>
  <c r="GA87" i="2"/>
  <c r="GB87" i="2" s="1"/>
  <c r="GC87" i="2" s="1"/>
  <c r="GD87" i="2" s="1"/>
  <c r="GV87" i="2"/>
  <c r="GW87" i="2" s="1"/>
  <c r="GX87" i="2" s="1"/>
  <c r="GY87" i="2" s="1"/>
  <c r="AJ87" i="2"/>
  <c r="AK87" i="2" s="1"/>
  <c r="AL87" i="2" s="1"/>
  <c r="AM87" i="2" s="1"/>
  <c r="FE89" i="2" l="1"/>
  <c r="FF88" i="2"/>
  <c r="FG88" i="2" s="1"/>
  <c r="FH88" i="2" s="1"/>
  <c r="FI88" i="2" s="1"/>
  <c r="EJ89" i="2"/>
  <c r="EK88" i="2"/>
  <c r="EL88" i="2" s="1"/>
  <c r="EM88" i="2" s="1"/>
  <c r="EN88" i="2" s="1"/>
  <c r="DO89" i="2"/>
  <c r="DP88" i="2"/>
  <c r="DQ88" i="2" s="1"/>
  <c r="DR88" i="2" s="1"/>
  <c r="DS88" i="2" s="1"/>
  <c r="CT89" i="2"/>
  <c r="CU88" i="2"/>
  <c r="CV88" i="2" s="1"/>
  <c r="CW88" i="2" s="1"/>
  <c r="CX88" i="2" s="1"/>
  <c r="BY89" i="2"/>
  <c r="BZ88" i="2"/>
  <c r="CA88" i="2" s="1"/>
  <c r="CB88" i="2" s="1"/>
  <c r="CC88" i="2" s="1"/>
  <c r="N89" i="2"/>
  <c r="O88" i="2"/>
  <c r="P88" i="2" s="1"/>
  <c r="Q88" i="2" s="1"/>
  <c r="R88" i="2" s="1"/>
  <c r="GA88" i="2"/>
  <c r="GB88" i="2" s="1"/>
  <c r="GC88" i="2" s="1"/>
  <c r="GD88" i="2" s="1"/>
  <c r="GV88" i="2"/>
  <c r="GW88" i="2" s="1"/>
  <c r="GX88" i="2" s="1"/>
  <c r="GY88" i="2" s="1"/>
  <c r="AJ88" i="2"/>
  <c r="AK88" i="2" s="1"/>
  <c r="AL88" i="2" s="1"/>
  <c r="AM88" i="2" s="1"/>
  <c r="FE90" i="2" l="1"/>
  <c r="FF89" i="2"/>
  <c r="FG89" i="2" s="1"/>
  <c r="FH89" i="2" s="1"/>
  <c r="FI89" i="2" s="1"/>
  <c r="EJ90" i="2"/>
  <c r="EK89" i="2"/>
  <c r="EL89" i="2" s="1"/>
  <c r="EM89" i="2" s="1"/>
  <c r="EN89" i="2" s="1"/>
  <c r="DO90" i="2"/>
  <c r="DP89" i="2"/>
  <c r="DQ89" i="2" s="1"/>
  <c r="DR89" i="2" s="1"/>
  <c r="DS89" i="2" s="1"/>
  <c r="CT90" i="2"/>
  <c r="CU89" i="2"/>
  <c r="CV89" i="2" s="1"/>
  <c r="CW89" i="2" s="1"/>
  <c r="CX89" i="2" s="1"/>
  <c r="BY90" i="2"/>
  <c r="BZ89" i="2"/>
  <c r="CA89" i="2" s="1"/>
  <c r="CB89" i="2" s="1"/>
  <c r="CC89" i="2" s="1"/>
  <c r="N90" i="2"/>
  <c r="O89" i="2"/>
  <c r="P89" i="2" s="1"/>
  <c r="Q89" i="2" s="1"/>
  <c r="R89" i="2" s="1"/>
  <c r="GA89" i="2"/>
  <c r="GB89" i="2" s="1"/>
  <c r="GC89" i="2" s="1"/>
  <c r="GD89" i="2" s="1"/>
  <c r="GV89" i="2"/>
  <c r="GW89" i="2" s="1"/>
  <c r="GX89" i="2" s="1"/>
  <c r="GY89" i="2" s="1"/>
  <c r="AJ89" i="2"/>
  <c r="AK89" i="2" s="1"/>
  <c r="AL89" i="2" s="1"/>
  <c r="AM89" i="2" s="1"/>
  <c r="FE91" i="2" l="1"/>
  <c r="FF90" i="2"/>
  <c r="FG90" i="2" s="1"/>
  <c r="FH90" i="2" s="1"/>
  <c r="FI90" i="2" s="1"/>
  <c r="EJ91" i="2"/>
  <c r="EK90" i="2"/>
  <c r="EL90" i="2" s="1"/>
  <c r="EM90" i="2" s="1"/>
  <c r="EN90" i="2" s="1"/>
  <c r="DO91" i="2"/>
  <c r="DP90" i="2"/>
  <c r="DQ90" i="2" s="1"/>
  <c r="DR90" i="2" s="1"/>
  <c r="DS90" i="2" s="1"/>
  <c r="CT91" i="2"/>
  <c r="CU90" i="2"/>
  <c r="CV90" i="2" s="1"/>
  <c r="CW90" i="2" s="1"/>
  <c r="CX90" i="2" s="1"/>
  <c r="BY91" i="2"/>
  <c r="BZ90" i="2"/>
  <c r="CA90" i="2" s="1"/>
  <c r="CB90" i="2" s="1"/>
  <c r="CC90" i="2" s="1"/>
  <c r="N91" i="2"/>
  <c r="O90" i="2"/>
  <c r="P90" i="2" s="1"/>
  <c r="Q90" i="2" s="1"/>
  <c r="R90" i="2" s="1"/>
  <c r="GA90" i="2"/>
  <c r="GB90" i="2" s="1"/>
  <c r="GC90" i="2" s="1"/>
  <c r="GD90" i="2" s="1"/>
  <c r="GV90" i="2"/>
  <c r="GW90" i="2" s="1"/>
  <c r="GX90" i="2" s="1"/>
  <c r="GY90" i="2" s="1"/>
  <c r="AJ90" i="2"/>
  <c r="AK90" i="2" s="1"/>
  <c r="AL90" i="2" s="1"/>
  <c r="AM90" i="2" s="1"/>
  <c r="FE92" i="2" l="1"/>
  <c r="FF91" i="2"/>
  <c r="FG91" i="2" s="1"/>
  <c r="FH91" i="2" s="1"/>
  <c r="FI91" i="2" s="1"/>
  <c r="EJ92" i="2"/>
  <c r="EK91" i="2"/>
  <c r="EL91" i="2" s="1"/>
  <c r="EM91" i="2" s="1"/>
  <c r="EN91" i="2" s="1"/>
  <c r="DO92" i="2"/>
  <c r="DP91" i="2"/>
  <c r="DQ91" i="2" s="1"/>
  <c r="DR91" i="2" s="1"/>
  <c r="DS91" i="2" s="1"/>
  <c r="CT92" i="2"/>
  <c r="CU91" i="2"/>
  <c r="CV91" i="2" s="1"/>
  <c r="CW91" i="2" s="1"/>
  <c r="CX91" i="2" s="1"/>
  <c r="BY92" i="2"/>
  <c r="BZ91" i="2"/>
  <c r="CA91" i="2" s="1"/>
  <c r="CB91" i="2" s="1"/>
  <c r="CC91" i="2" s="1"/>
  <c r="N92" i="2"/>
  <c r="O91" i="2"/>
  <c r="P91" i="2" s="1"/>
  <c r="Q91" i="2" s="1"/>
  <c r="R91" i="2" s="1"/>
  <c r="GA91" i="2"/>
  <c r="GB91" i="2" s="1"/>
  <c r="GC91" i="2" s="1"/>
  <c r="GD91" i="2" s="1"/>
  <c r="GV91" i="2"/>
  <c r="GW91" i="2" s="1"/>
  <c r="GX91" i="2" s="1"/>
  <c r="GY91" i="2" s="1"/>
  <c r="AJ91" i="2"/>
  <c r="AK91" i="2" s="1"/>
  <c r="AL91" i="2" s="1"/>
  <c r="AM91" i="2" s="1"/>
  <c r="FE93" i="2" l="1"/>
  <c r="FF92" i="2"/>
  <c r="FG92" i="2" s="1"/>
  <c r="FH92" i="2" s="1"/>
  <c r="FI92" i="2" s="1"/>
  <c r="EJ93" i="2"/>
  <c r="EK92" i="2"/>
  <c r="EL92" i="2" s="1"/>
  <c r="EM92" i="2" s="1"/>
  <c r="EN92" i="2" s="1"/>
  <c r="DO93" i="2"/>
  <c r="DP92" i="2"/>
  <c r="DQ92" i="2" s="1"/>
  <c r="DR92" i="2" s="1"/>
  <c r="DS92" i="2" s="1"/>
  <c r="CT93" i="2"/>
  <c r="CU92" i="2"/>
  <c r="CV92" i="2" s="1"/>
  <c r="CW92" i="2" s="1"/>
  <c r="CX92" i="2" s="1"/>
  <c r="BY93" i="2"/>
  <c r="BZ92" i="2"/>
  <c r="CA92" i="2" s="1"/>
  <c r="CB92" i="2" s="1"/>
  <c r="CC92" i="2" s="1"/>
  <c r="N93" i="2"/>
  <c r="O92" i="2"/>
  <c r="P92" i="2" s="1"/>
  <c r="Q92" i="2" s="1"/>
  <c r="R92" i="2" s="1"/>
  <c r="GA92" i="2"/>
  <c r="GB92" i="2" s="1"/>
  <c r="GC92" i="2" s="1"/>
  <c r="GD92" i="2" s="1"/>
  <c r="GV92" i="2"/>
  <c r="GW92" i="2" s="1"/>
  <c r="GX92" i="2" s="1"/>
  <c r="GY92" i="2" s="1"/>
  <c r="AJ92" i="2"/>
  <c r="AK92" i="2" s="1"/>
  <c r="AL92" i="2" s="1"/>
  <c r="AM92" i="2" s="1"/>
  <c r="FE94" i="2" l="1"/>
  <c r="FF93" i="2"/>
  <c r="FG93" i="2" s="1"/>
  <c r="FH93" i="2" s="1"/>
  <c r="FI93" i="2" s="1"/>
  <c r="EJ94" i="2"/>
  <c r="EK93" i="2"/>
  <c r="EL93" i="2" s="1"/>
  <c r="EM93" i="2" s="1"/>
  <c r="EN93" i="2" s="1"/>
  <c r="DO94" i="2"/>
  <c r="DP93" i="2"/>
  <c r="DQ93" i="2" s="1"/>
  <c r="DR93" i="2" s="1"/>
  <c r="DS93" i="2" s="1"/>
  <c r="CT94" i="2"/>
  <c r="CU93" i="2"/>
  <c r="CV93" i="2" s="1"/>
  <c r="CW93" i="2" s="1"/>
  <c r="CX93" i="2" s="1"/>
  <c r="BY94" i="2"/>
  <c r="BZ93" i="2"/>
  <c r="CA93" i="2" s="1"/>
  <c r="CB93" i="2" s="1"/>
  <c r="CC93" i="2" s="1"/>
  <c r="N94" i="2"/>
  <c r="O93" i="2"/>
  <c r="P93" i="2" s="1"/>
  <c r="Q93" i="2" s="1"/>
  <c r="R93" i="2" s="1"/>
  <c r="GA93" i="2"/>
  <c r="GB93" i="2" s="1"/>
  <c r="GC93" i="2" s="1"/>
  <c r="GD93" i="2" s="1"/>
  <c r="GV93" i="2"/>
  <c r="GW93" i="2" s="1"/>
  <c r="GX93" i="2" s="1"/>
  <c r="GY93" i="2" s="1"/>
  <c r="AJ93" i="2"/>
  <c r="AK93" i="2" s="1"/>
  <c r="AL93" i="2" s="1"/>
  <c r="AM93" i="2" s="1"/>
  <c r="FE95" i="2" l="1"/>
  <c r="FF94" i="2"/>
  <c r="FG94" i="2" s="1"/>
  <c r="FH94" i="2" s="1"/>
  <c r="FI94" i="2" s="1"/>
  <c r="EJ95" i="2"/>
  <c r="EK94" i="2"/>
  <c r="EL94" i="2" s="1"/>
  <c r="EM94" i="2" s="1"/>
  <c r="EN94" i="2" s="1"/>
  <c r="DO95" i="2"/>
  <c r="DP94" i="2"/>
  <c r="DQ94" i="2" s="1"/>
  <c r="DR94" i="2" s="1"/>
  <c r="DS94" i="2" s="1"/>
  <c r="CT95" i="2"/>
  <c r="CU94" i="2"/>
  <c r="CV94" i="2" s="1"/>
  <c r="CW94" i="2" s="1"/>
  <c r="CX94" i="2" s="1"/>
  <c r="BY95" i="2"/>
  <c r="BZ94" i="2"/>
  <c r="CA94" i="2" s="1"/>
  <c r="CB94" i="2" s="1"/>
  <c r="CC94" i="2" s="1"/>
  <c r="N95" i="2"/>
  <c r="O94" i="2"/>
  <c r="P94" i="2" s="1"/>
  <c r="Q94" i="2" s="1"/>
  <c r="R94" i="2" s="1"/>
  <c r="GA94" i="2"/>
  <c r="GB94" i="2" s="1"/>
  <c r="GC94" i="2" s="1"/>
  <c r="GD94" i="2" s="1"/>
  <c r="GV94" i="2"/>
  <c r="GW94" i="2" s="1"/>
  <c r="GX94" i="2" s="1"/>
  <c r="GY94" i="2" s="1"/>
  <c r="AJ94" i="2"/>
  <c r="AK94" i="2" s="1"/>
  <c r="AL94" i="2" s="1"/>
  <c r="AM94" i="2" s="1"/>
  <c r="FE96" i="2" l="1"/>
  <c r="FF95" i="2"/>
  <c r="FG95" i="2" s="1"/>
  <c r="FH95" i="2" s="1"/>
  <c r="FI95" i="2" s="1"/>
  <c r="EJ96" i="2"/>
  <c r="EK95" i="2"/>
  <c r="EL95" i="2" s="1"/>
  <c r="EM95" i="2" s="1"/>
  <c r="EN95" i="2" s="1"/>
  <c r="DO96" i="2"/>
  <c r="DP95" i="2"/>
  <c r="DQ95" i="2" s="1"/>
  <c r="DR95" i="2" s="1"/>
  <c r="DS95" i="2" s="1"/>
  <c r="CT96" i="2"/>
  <c r="CU95" i="2"/>
  <c r="CV95" i="2" s="1"/>
  <c r="CW95" i="2" s="1"/>
  <c r="CX95" i="2" s="1"/>
  <c r="BY96" i="2"/>
  <c r="BZ95" i="2"/>
  <c r="CA95" i="2" s="1"/>
  <c r="CB95" i="2" s="1"/>
  <c r="CC95" i="2" s="1"/>
  <c r="N96" i="2"/>
  <c r="O95" i="2"/>
  <c r="P95" i="2" s="1"/>
  <c r="Q95" i="2" s="1"/>
  <c r="R95" i="2" s="1"/>
  <c r="GA95" i="2"/>
  <c r="GB95" i="2" s="1"/>
  <c r="GC95" i="2" s="1"/>
  <c r="GD95" i="2" s="1"/>
  <c r="GV95" i="2"/>
  <c r="GW95" i="2" s="1"/>
  <c r="GX95" i="2" s="1"/>
  <c r="GY95" i="2" s="1"/>
  <c r="AJ95" i="2"/>
  <c r="AK95" i="2" s="1"/>
  <c r="AL95" i="2" s="1"/>
  <c r="AM95" i="2" s="1"/>
  <c r="FE97" i="2" l="1"/>
  <c r="FF96" i="2"/>
  <c r="FG96" i="2" s="1"/>
  <c r="FH96" i="2" s="1"/>
  <c r="FI96" i="2" s="1"/>
  <c r="EJ97" i="2"/>
  <c r="EK96" i="2"/>
  <c r="EL96" i="2" s="1"/>
  <c r="EM96" i="2" s="1"/>
  <c r="EN96" i="2" s="1"/>
  <c r="DO97" i="2"/>
  <c r="DP96" i="2"/>
  <c r="DQ96" i="2" s="1"/>
  <c r="DR96" i="2" s="1"/>
  <c r="DS96" i="2" s="1"/>
  <c r="CT97" i="2"/>
  <c r="CU96" i="2"/>
  <c r="CV96" i="2" s="1"/>
  <c r="CW96" i="2" s="1"/>
  <c r="CX96" i="2" s="1"/>
  <c r="BY97" i="2"/>
  <c r="BZ96" i="2"/>
  <c r="CA96" i="2" s="1"/>
  <c r="CB96" i="2" s="1"/>
  <c r="CC96" i="2" s="1"/>
  <c r="N97" i="2"/>
  <c r="O96" i="2"/>
  <c r="P96" i="2" s="1"/>
  <c r="Q96" i="2" s="1"/>
  <c r="R96" i="2" s="1"/>
  <c r="GA96" i="2"/>
  <c r="GB96" i="2" s="1"/>
  <c r="GC96" i="2" s="1"/>
  <c r="GD96" i="2" s="1"/>
  <c r="GV96" i="2"/>
  <c r="GW96" i="2" s="1"/>
  <c r="GX96" i="2" s="1"/>
  <c r="GY96" i="2" s="1"/>
  <c r="AJ96" i="2"/>
  <c r="AK96" i="2" s="1"/>
  <c r="AL96" i="2" s="1"/>
  <c r="AM96" i="2" s="1"/>
  <c r="FE98" i="2" l="1"/>
  <c r="FF97" i="2"/>
  <c r="FG97" i="2" s="1"/>
  <c r="FH97" i="2" s="1"/>
  <c r="FI97" i="2" s="1"/>
  <c r="EJ98" i="2"/>
  <c r="EK97" i="2"/>
  <c r="EL97" i="2" s="1"/>
  <c r="EM97" i="2" s="1"/>
  <c r="EN97" i="2" s="1"/>
  <c r="DO98" i="2"/>
  <c r="DP97" i="2"/>
  <c r="DQ97" i="2" s="1"/>
  <c r="DR97" i="2" s="1"/>
  <c r="DS97" i="2" s="1"/>
  <c r="CT98" i="2"/>
  <c r="CU97" i="2"/>
  <c r="CV97" i="2" s="1"/>
  <c r="CW97" i="2" s="1"/>
  <c r="CX97" i="2" s="1"/>
  <c r="BY98" i="2"/>
  <c r="BZ97" i="2"/>
  <c r="CA97" i="2" s="1"/>
  <c r="CB97" i="2" s="1"/>
  <c r="CC97" i="2" s="1"/>
  <c r="N98" i="2"/>
  <c r="O97" i="2"/>
  <c r="P97" i="2" s="1"/>
  <c r="Q97" i="2" s="1"/>
  <c r="R97" i="2" s="1"/>
  <c r="GA97" i="2"/>
  <c r="GB97" i="2" s="1"/>
  <c r="GC97" i="2" s="1"/>
  <c r="GD97" i="2" s="1"/>
  <c r="GV97" i="2"/>
  <c r="GW97" i="2" s="1"/>
  <c r="GX97" i="2" s="1"/>
  <c r="GY97" i="2" s="1"/>
  <c r="AJ97" i="2"/>
  <c r="AK97" i="2" s="1"/>
  <c r="AL97" i="2" s="1"/>
  <c r="AM97" i="2" s="1"/>
  <c r="FE99" i="2" l="1"/>
  <c r="FF98" i="2"/>
  <c r="FG98" i="2" s="1"/>
  <c r="FH98" i="2" s="1"/>
  <c r="FI98" i="2" s="1"/>
  <c r="EJ99" i="2"/>
  <c r="EK98" i="2"/>
  <c r="EL98" i="2" s="1"/>
  <c r="EM98" i="2" s="1"/>
  <c r="EN98" i="2" s="1"/>
  <c r="DO99" i="2"/>
  <c r="DP98" i="2"/>
  <c r="DQ98" i="2" s="1"/>
  <c r="DR98" i="2" s="1"/>
  <c r="DS98" i="2" s="1"/>
  <c r="CT99" i="2"/>
  <c r="CU98" i="2"/>
  <c r="CV98" i="2" s="1"/>
  <c r="CW98" i="2" s="1"/>
  <c r="CX98" i="2" s="1"/>
  <c r="BY99" i="2"/>
  <c r="BZ98" i="2"/>
  <c r="CA98" i="2" s="1"/>
  <c r="CB98" i="2" s="1"/>
  <c r="CC98" i="2" s="1"/>
  <c r="N99" i="2"/>
  <c r="O98" i="2"/>
  <c r="P98" i="2" s="1"/>
  <c r="Q98" i="2" s="1"/>
  <c r="R98" i="2" s="1"/>
  <c r="GA98" i="2"/>
  <c r="GB98" i="2" s="1"/>
  <c r="GC98" i="2" s="1"/>
  <c r="GD98" i="2" s="1"/>
  <c r="GV98" i="2"/>
  <c r="GW98" i="2" s="1"/>
  <c r="GX98" i="2" s="1"/>
  <c r="GY98" i="2" s="1"/>
  <c r="AJ98" i="2"/>
  <c r="AK98" i="2" s="1"/>
  <c r="AL98" i="2" s="1"/>
  <c r="AM98" i="2" s="1"/>
  <c r="FE100" i="2" l="1"/>
  <c r="FF99" i="2"/>
  <c r="FG99" i="2" s="1"/>
  <c r="FH99" i="2" s="1"/>
  <c r="FI99" i="2" s="1"/>
  <c r="EJ100" i="2"/>
  <c r="EK99" i="2"/>
  <c r="EL99" i="2" s="1"/>
  <c r="EM99" i="2" s="1"/>
  <c r="EN99" i="2" s="1"/>
  <c r="DO100" i="2"/>
  <c r="DP99" i="2"/>
  <c r="DQ99" i="2" s="1"/>
  <c r="DR99" i="2" s="1"/>
  <c r="DS99" i="2" s="1"/>
  <c r="CT100" i="2"/>
  <c r="CU99" i="2"/>
  <c r="CV99" i="2" s="1"/>
  <c r="CW99" i="2" s="1"/>
  <c r="CX99" i="2" s="1"/>
  <c r="BY100" i="2"/>
  <c r="BZ99" i="2"/>
  <c r="CA99" i="2" s="1"/>
  <c r="CB99" i="2" s="1"/>
  <c r="CC99" i="2" s="1"/>
  <c r="N100" i="2"/>
  <c r="O99" i="2"/>
  <c r="P99" i="2" s="1"/>
  <c r="Q99" i="2" s="1"/>
  <c r="R99" i="2" s="1"/>
  <c r="GA99" i="2"/>
  <c r="GB99" i="2" s="1"/>
  <c r="GC99" i="2" s="1"/>
  <c r="GD99" i="2" s="1"/>
  <c r="GV99" i="2"/>
  <c r="GW99" i="2" s="1"/>
  <c r="GX99" i="2" s="1"/>
  <c r="GY99" i="2" s="1"/>
  <c r="AJ99" i="2"/>
  <c r="AK99" i="2" s="1"/>
  <c r="AL99" i="2" s="1"/>
  <c r="AM99" i="2" s="1"/>
  <c r="FE101" i="2" l="1"/>
  <c r="FF100" i="2"/>
  <c r="FG100" i="2" s="1"/>
  <c r="FH100" i="2" s="1"/>
  <c r="FI100" i="2" s="1"/>
  <c r="EJ101" i="2"/>
  <c r="EK100" i="2"/>
  <c r="EL100" i="2" s="1"/>
  <c r="EM100" i="2" s="1"/>
  <c r="EN100" i="2" s="1"/>
  <c r="DO101" i="2"/>
  <c r="DP100" i="2"/>
  <c r="DQ100" i="2" s="1"/>
  <c r="DR100" i="2" s="1"/>
  <c r="DS100" i="2" s="1"/>
  <c r="CT101" i="2"/>
  <c r="CU100" i="2"/>
  <c r="CV100" i="2" s="1"/>
  <c r="CW100" i="2" s="1"/>
  <c r="CX100" i="2" s="1"/>
  <c r="BY101" i="2"/>
  <c r="BZ100" i="2"/>
  <c r="CA100" i="2" s="1"/>
  <c r="CB100" i="2" s="1"/>
  <c r="CC100" i="2" s="1"/>
  <c r="N101" i="2"/>
  <c r="O100" i="2"/>
  <c r="P100" i="2" s="1"/>
  <c r="Q100" i="2" s="1"/>
  <c r="R100" i="2" s="1"/>
  <c r="GA100" i="2"/>
  <c r="GB100" i="2" s="1"/>
  <c r="GC100" i="2" s="1"/>
  <c r="GD100" i="2" s="1"/>
  <c r="GV100" i="2"/>
  <c r="GW100" i="2" s="1"/>
  <c r="GX100" i="2" s="1"/>
  <c r="GY100" i="2" s="1"/>
  <c r="AJ100" i="2"/>
  <c r="AK100" i="2" s="1"/>
  <c r="AL100" i="2" s="1"/>
  <c r="AM100" i="2" s="1"/>
  <c r="FE102" i="2" l="1"/>
  <c r="FF101" i="2"/>
  <c r="FG101" i="2" s="1"/>
  <c r="FH101" i="2" s="1"/>
  <c r="FI101" i="2" s="1"/>
  <c r="EJ102" i="2"/>
  <c r="EK101" i="2"/>
  <c r="EL101" i="2" s="1"/>
  <c r="EM101" i="2" s="1"/>
  <c r="EN101" i="2" s="1"/>
  <c r="DO102" i="2"/>
  <c r="DP101" i="2"/>
  <c r="DQ101" i="2" s="1"/>
  <c r="DR101" i="2" s="1"/>
  <c r="DS101" i="2" s="1"/>
  <c r="CT102" i="2"/>
  <c r="CU101" i="2"/>
  <c r="CV101" i="2" s="1"/>
  <c r="CW101" i="2" s="1"/>
  <c r="CX101" i="2" s="1"/>
  <c r="BY102" i="2"/>
  <c r="BZ101" i="2"/>
  <c r="CA101" i="2" s="1"/>
  <c r="CB101" i="2" s="1"/>
  <c r="CC101" i="2" s="1"/>
  <c r="N102" i="2"/>
  <c r="O101" i="2"/>
  <c r="P101" i="2" s="1"/>
  <c r="Q101" i="2" s="1"/>
  <c r="R101" i="2" s="1"/>
  <c r="GA101" i="2"/>
  <c r="GB101" i="2" s="1"/>
  <c r="GC101" i="2" s="1"/>
  <c r="GD101" i="2" s="1"/>
  <c r="GV101" i="2"/>
  <c r="GW101" i="2" s="1"/>
  <c r="GX101" i="2" s="1"/>
  <c r="GY101" i="2" s="1"/>
  <c r="AJ101" i="2"/>
  <c r="AK101" i="2" s="1"/>
  <c r="AL101" i="2" s="1"/>
  <c r="AM101" i="2" s="1"/>
  <c r="FE103" i="2" l="1"/>
  <c r="FF102" i="2"/>
  <c r="FG102" i="2" s="1"/>
  <c r="FH102" i="2" s="1"/>
  <c r="FI102" i="2" s="1"/>
  <c r="EJ103" i="2"/>
  <c r="EK102" i="2"/>
  <c r="EL102" i="2" s="1"/>
  <c r="EM102" i="2" s="1"/>
  <c r="EN102" i="2" s="1"/>
  <c r="DO103" i="2"/>
  <c r="DP102" i="2"/>
  <c r="DQ102" i="2" s="1"/>
  <c r="DR102" i="2" s="1"/>
  <c r="DS102" i="2" s="1"/>
  <c r="CT103" i="2"/>
  <c r="CU102" i="2"/>
  <c r="CV102" i="2" s="1"/>
  <c r="CW102" i="2" s="1"/>
  <c r="CX102" i="2" s="1"/>
  <c r="BY103" i="2"/>
  <c r="BZ102" i="2"/>
  <c r="CA102" i="2" s="1"/>
  <c r="CB102" i="2" s="1"/>
  <c r="CC102" i="2" s="1"/>
  <c r="N103" i="2"/>
  <c r="O102" i="2"/>
  <c r="P102" i="2" s="1"/>
  <c r="Q102" i="2" s="1"/>
  <c r="R102" i="2" s="1"/>
  <c r="GA102" i="2"/>
  <c r="GB102" i="2" s="1"/>
  <c r="GC102" i="2" s="1"/>
  <c r="GD102" i="2" s="1"/>
  <c r="GV102" i="2"/>
  <c r="GW102" i="2" s="1"/>
  <c r="GX102" i="2" s="1"/>
  <c r="GY102" i="2" s="1"/>
  <c r="AJ102" i="2"/>
  <c r="AK102" i="2" s="1"/>
  <c r="AL102" i="2" s="1"/>
  <c r="AM102" i="2" s="1"/>
  <c r="FE104" i="2" l="1"/>
  <c r="FF103" i="2"/>
  <c r="FG103" i="2" s="1"/>
  <c r="FH103" i="2" s="1"/>
  <c r="FI103" i="2" s="1"/>
  <c r="EJ104" i="2"/>
  <c r="EK103" i="2"/>
  <c r="EL103" i="2" s="1"/>
  <c r="EM103" i="2" s="1"/>
  <c r="EN103" i="2" s="1"/>
  <c r="DO104" i="2"/>
  <c r="DP103" i="2"/>
  <c r="DQ103" i="2" s="1"/>
  <c r="DR103" i="2" s="1"/>
  <c r="DS103" i="2" s="1"/>
  <c r="CT104" i="2"/>
  <c r="CU103" i="2"/>
  <c r="CV103" i="2" s="1"/>
  <c r="CW103" i="2" s="1"/>
  <c r="CX103" i="2" s="1"/>
  <c r="BY104" i="2"/>
  <c r="BZ103" i="2"/>
  <c r="CA103" i="2" s="1"/>
  <c r="CB103" i="2" s="1"/>
  <c r="CC103" i="2" s="1"/>
  <c r="N104" i="2"/>
  <c r="O103" i="2"/>
  <c r="P103" i="2" s="1"/>
  <c r="Q103" i="2" s="1"/>
  <c r="R103" i="2" s="1"/>
  <c r="GA103" i="2"/>
  <c r="GB103" i="2" s="1"/>
  <c r="GC103" i="2" s="1"/>
  <c r="GD103" i="2" s="1"/>
  <c r="GV103" i="2"/>
  <c r="GW103" i="2" s="1"/>
  <c r="GX103" i="2" s="1"/>
  <c r="GY103" i="2" s="1"/>
  <c r="AJ103" i="2"/>
  <c r="AK103" i="2" s="1"/>
  <c r="AL103" i="2" s="1"/>
  <c r="AM103" i="2" s="1"/>
  <c r="CD87" i="2" l="1"/>
  <c r="CD60" i="2"/>
  <c r="CD84" i="2"/>
  <c r="CD135" i="2"/>
  <c r="CD105" i="2"/>
  <c r="CD181" i="2"/>
  <c r="CD101" i="2"/>
  <c r="CD179" i="2"/>
  <c r="CD79" i="2"/>
  <c r="CD171" i="2"/>
  <c r="CD72" i="2"/>
  <c r="CD91" i="2"/>
  <c r="CD131" i="2"/>
  <c r="CD26" i="2"/>
  <c r="CD136" i="2"/>
  <c r="CD128" i="2"/>
  <c r="CD104" i="2"/>
  <c r="CD187" i="2"/>
  <c r="CD173" i="2"/>
  <c r="CD74" i="2"/>
  <c r="CD67" i="2"/>
  <c r="CD182" i="2"/>
  <c r="CD124" i="2"/>
  <c r="CD190" i="2"/>
  <c r="CD121" i="2"/>
  <c r="CD102" i="2"/>
  <c r="CD180" i="2"/>
  <c r="CD172" i="2"/>
  <c r="CD49" i="2"/>
  <c r="CD20" i="2"/>
  <c r="CD116" i="2"/>
  <c r="CD202" i="2"/>
  <c r="CD99" i="2"/>
  <c r="CD149" i="2"/>
  <c r="CD129" i="2"/>
  <c r="CD90" i="2"/>
  <c r="CD127" i="2"/>
  <c r="CD165" i="2"/>
  <c r="CD158" i="2"/>
  <c r="CD7" i="2"/>
  <c r="CD162" i="2"/>
  <c r="CD27" i="2"/>
  <c r="CD83" i="2"/>
  <c r="CD28" i="2"/>
  <c r="CD126" i="2"/>
  <c r="CD193" i="2"/>
  <c r="CD36" i="2"/>
  <c r="CD47" i="2"/>
  <c r="CD200" i="2"/>
  <c r="CD183" i="2"/>
  <c r="CD138" i="2"/>
  <c r="CD86" i="2"/>
  <c r="CD199" i="2"/>
  <c r="CD71" i="2"/>
  <c r="CD9" i="2"/>
  <c r="CD140" i="2"/>
  <c r="CD96" i="2"/>
  <c r="CD78" i="2"/>
  <c r="CD76" i="2"/>
  <c r="CD114" i="2"/>
  <c r="CD18" i="2"/>
  <c r="CD133" i="2"/>
  <c r="CD70" i="2"/>
  <c r="CD58" i="2"/>
  <c r="CD98" i="2"/>
  <c r="CD22" i="2"/>
  <c r="CD189" i="2"/>
  <c r="CD24" i="2"/>
  <c r="CD146" i="2"/>
  <c r="CD198" i="2"/>
  <c r="CD16" i="2"/>
  <c r="CD5" i="2"/>
  <c r="CD45" i="2"/>
  <c r="CD163" i="2"/>
  <c r="CD92" i="2"/>
  <c r="CD113" i="2"/>
  <c r="CD95" i="2"/>
  <c r="CD4" i="2"/>
  <c r="CD82" i="2"/>
  <c r="CD57" i="2"/>
  <c r="CD73" i="2"/>
  <c r="CD194" i="2"/>
  <c r="CD32" i="2"/>
  <c r="CD178" i="2"/>
  <c r="CD69" i="2"/>
  <c r="CD15" i="2"/>
  <c r="CD176" i="2"/>
  <c r="CD11" i="2"/>
  <c r="CD151" i="2"/>
  <c r="CD166" i="2"/>
  <c r="CD8" i="2"/>
  <c r="CD59" i="2"/>
  <c r="CD139" i="2"/>
  <c r="CD14" i="2"/>
  <c r="CD94" i="2"/>
  <c r="CD56" i="2"/>
  <c r="CD201" i="2"/>
  <c r="CD43" i="2"/>
  <c r="CD31" i="2"/>
  <c r="CD132" i="2"/>
  <c r="CD21" i="2"/>
  <c r="CD130" i="2"/>
  <c r="CD152" i="2"/>
  <c r="CD85" i="2"/>
  <c r="CD169" i="2"/>
  <c r="CD25" i="2"/>
  <c r="CD40" i="2"/>
  <c r="CD184" i="2"/>
  <c r="CD188" i="2"/>
  <c r="CD23" i="2"/>
  <c r="CD111" i="2"/>
  <c r="CD174" i="2"/>
  <c r="CD46" i="2"/>
  <c r="CD12" i="2"/>
  <c r="CD51" i="2"/>
  <c r="CD123" i="2"/>
  <c r="CD19" i="2"/>
  <c r="CD54" i="2"/>
  <c r="CD33" i="2"/>
  <c r="CD157" i="2"/>
  <c r="CD75" i="2"/>
  <c r="CD192" i="2"/>
  <c r="CD112" i="2"/>
  <c r="CD203" i="2"/>
  <c r="CD168" i="2"/>
  <c r="CD34" i="2"/>
  <c r="CD17" i="2"/>
  <c r="CD6" i="2"/>
  <c r="CD153" i="2"/>
  <c r="CD52" i="2"/>
  <c r="CD175" i="2"/>
  <c r="CD167" i="2"/>
  <c r="CD134" i="2"/>
  <c r="CD13" i="2"/>
  <c r="CD80" i="2"/>
  <c r="CD161" i="2"/>
  <c r="CD63" i="2"/>
  <c r="CD42" i="2"/>
  <c r="CD119" i="2"/>
  <c r="CD88" i="2"/>
  <c r="CD66" i="2"/>
  <c r="CD77" i="2"/>
  <c r="CD156" i="2"/>
  <c r="CD50" i="2"/>
  <c r="CD177" i="2"/>
  <c r="CD109" i="2"/>
  <c r="CD148" i="2"/>
  <c r="CD89" i="2"/>
  <c r="CD145" i="2"/>
  <c r="CD64" i="2"/>
  <c r="CD170" i="2"/>
  <c r="CD55" i="2"/>
  <c r="CD155" i="2"/>
  <c r="CD106" i="2"/>
  <c r="CD100" i="2"/>
  <c r="CD108" i="2"/>
  <c r="CD147" i="2"/>
  <c r="CD68" i="2"/>
  <c r="CD154" i="2"/>
  <c r="CD38" i="2"/>
  <c r="CD186" i="2"/>
  <c r="CD118" i="2"/>
  <c r="CD141" i="2"/>
  <c r="CD122" i="2"/>
  <c r="CD125" i="2"/>
  <c r="CD37" i="2"/>
  <c r="CD159" i="2"/>
  <c r="CD143" i="2"/>
  <c r="CD35" i="2"/>
  <c r="CD65" i="2"/>
  <c r="CD195" i="2"/>
  <c r="CD29" i="2"/>
  <c r="CD44" i="2"/>
  <c r="CD150" i="2"/>
  <c r="CD137" i="2"/>
  <c r="CD120" i="2"/>
  <c r="CD197" i="2"/>
  <c r="CD81" i="2"/>
  <c r="CD97" i="2"/>
  <c r="CD107" i="2"/>
  <c r="CD185" i="2"/>
  <c r="CD117" i="2"/>
  <c r="CD39" i="2"/>
  <c r="CD93" i="2"/>
  <c r="CD103" i="2"/>
  <c r="CD10" i="2"/>
  <c r="CD142" i="2"/>
  <c r="CD62" i="2"/>
  <c r="CD53" i="2"/>
  <c r="CD61" i="2"/>
  <c r="CD48" i="2"/>
  <c r="CD41" i="2"/>
  <c r="CD144" i="2"/>
  <c r="CD160" i="2"/>
  <c r="CD110" i="2"/>
  <c r="CD191" i="2"/>
  <c r="CD30" i="2"/>
  <c r="CD164" i="2"/>
  <c r="CD196" i="2"/>
  <c r="CD115" i="2"/>
  <c r="CD3" i="2"/>
  <c r="C9" i="4" s="1"/>
  <c r="E9" i="4" s="1"/>
  <c r="F9" i="4" s="1"/>
  <c r="G9" i="4" s="1"/>
  <c r="L9" i="4" s="1"/>
  <c r="CZ195" i="2"/>
  <c r="CZ151" i="2"/>
  <c r="CZ201" i="2"/>
  <c r="CZ139" i="2"/>
  <c r="CZ93" i="2"/>
  <c r="CZ86" i="2"/>
  <c r="CZ36" i="2"/>
  <c r="CZ158" i="2"/>
  <c r="CZ85" i="2"/>
  <c r="CZ71" i="2"/>
  <c r="CZ42" i="2"/>
  <c r="CZ39" i="2"/>
  <c r="CZ203" i="2"/>
  <c r="CZ159" i="2"/>
  <c r="CZ51" i="2"/>
  <c r="CZ79" i="2"/>
  <c r="CZ27" i="2"/>
  <c r="CZ87" i="2"/>
  <c r="CZ140" i="2"/>
  <c r="CZ178" i="2"/>
  <c r="CZ173" i="2"/>
  <c r="CZ81" i="2"/>
  <c r="CZ60" i="2"/>
  <c r="CZ112" i="2"/>
  <c r="CZ147" i="2"/>
  <c r="CZ102" i="2"/>
  <c r="CZ105" i="2"/>
  <c r="CZ4" i="2"/>
  <c r="CZ63" i="2"/>
  <c r="CZ95" i="2"/>
  <c r="CZ148" i="2"/>
  <c r="CZ194" i="2"/>
  <c r="CZ56" i="2"/>
  <c r="CZ74" i="2"/>
  <c r="CZ197" i="2"/>
  <c r="CZ192" i="2"/>
  <c r="CZ5" i="2"/>
  <c r="CZ82" i="2"/>
  <c r="CZ193" i="2"/>
  <c r="CZ90" i="2"/>
  <c r="CZ78" i="2"/>
  <c r="CZ20" i="2"/>
  <c r="CZ142" i="2"/>
  <c r="CZ49" i="2"/>
  <c r="CZ64" i="2"/>
  <c r="CZ83" i="2"/>
  <c r="CZ31" i="2"/>
  <c r="CZ157" i="2"/>
  <c r="CZ156" i="2"/>
  <c r="CZ10" i="2"/>
  <c r="CZ61" i="2"/>
  <c r="CZ6" i="2"/>
  <c r="CZ184" i="2"/>
  <c r="CZ28" i="2"/>
  <c r="CZ150" i="2"/>
  <c r="CZ67" i="2"/>
  <c r="CZ8" i="2"/>
  <c r="CZ15" i="2"/>
  <c r="CZ100" i="2"/>
  <c r="CZ131" i="2"/>
  <c r="CZ84" i="2"/>
  <c r="CZ68" i="2"/>
  <c r="CZ70" i="2"/>
  <c r="CZ17" i="2"/>
  <c r="CZ200" i="2"/>
  <c r="CZ72" i="2"/>
  <c r="CZ92" i="2"/>
  <c r="CZ170" i="2"/>
  <c r="CZ167" i="2"/>
  <c r="CZ89" i="2"/>
  <c r="CZ38" i="2"/>
  <c r="CZ186" i="2"/>
  <c r="CZ22" i="2"/>
  <c r="CZ174" i="2"/>
  <c r="CZ120" i="2"/>
  <c r="CZ96" i="2"/>
  <c r="CZ118" i="2"/>
  <c r="CZ109" i="2"/>
  <c r="CZ40" i="2"/>
  <c r="CZ55" i="2"/>
  <c r="CZ165" i="2"/>
  <c r="CZ144" i="2"/>
  <c r="CZ196" i="2"/>
  <c r="CZ45" i="2"/>
  <c r="CZ19" i="2"/>
  <c r="CZ106" i="2"/>
  <c r="CZ155" i="2"/>
  <c r="CZ111" i="2"/>
  <c r="CZ121" i="2"/>
  <c r="CZ98" i="2"/>
  <c r="CZ47" i="2"/>
  <c r="CZ35" i="2"/>
  <c r="CZ33" i="2"/>
  <c r="CZ182" i="2"/>
  <c r="CZ136" i="2"/>
  <c r="CZ104" i="2"/>
  <c r="CZ126" i="2"/>
  <c r="CZ7" i="2"/>
  <c r="CZ48" i="2"/>
  <c r="CZ65" i="2"/>
  <c r="CZ181" i="2"/>
  <c r="CZ189" i="2"/>
  <c r="CZ160" i="2"/>
  <c r="CZ23" i="2"/>
  <c r="CZ175" i="2"/>
  <c r="CZ138" i="2"/>
  <c r="CZ163" i="2"/>
  <c r="CZ119" i="2"/>
  <c r="CZ137" i="2"/>
  <c r="CZ107" i="2"/>
  <c r="CZ57" i="2"/>
  <c r="CZ9" i="2"/>
  <c r="CZ43" i="2"/>
  <c r="CZ190" i="2"/>
  <c r="CZ152" i="2"/>
  <c r="CZ12" i="2"/>
  <c r="CZ134" i="2"/>
  <c r="CZ29" i="2"/>
  <c r="CZ59" i="2"/>
  <c r="CZ99" i="2"/>
  <c r="CZ97" i="2"/>
  <c r="CZ41" i="2"/>
  <c r="CZ34" i="2"/>
  <c r="CZ183" i="2"/>
  <c r="CZ202" i="2"/>
  <c r="CZ171" i="2"/>
  <c r="CZ127" i="2"/>
  <c r="CZ153" i="2"/>
  <c r="CZ115" i="2"/>
  <c r="CZ66" i="2"/>
  <c r="CZ30" i="2"/>
  <c r="CZ52" i="2"/>
  <c r="CZ198" i="2"/>
  <c r="CZ168" i="2"/>
  <c r="CZ76" i="2"/>
  <c r="CZ164" i="2"/>
  <c r="CZ69" i="2"/>
  <c r="CZ129" i="2"/>
  <c r="CZ108" i="2"/>
  <c r="CZ114" i="2"/>
  <c r="CZ113" i="2"/>
  <c r="CZ44" i="2"/>
  <c r="CZ191" i="2"/>
  <c r="CZ54" i="2"/>
  <c r="CZ179" i="2"/>
  <c r="CZ135" i="2"/>
  <c r="CZ169" i="2"/>
  <c r="CZ123" i="2"/>
  <c r="CZ75" i="2"/>
  <c r="CZ50" i="2"/>
  <c r="CZ16" i="2"/>
  <c r="CZ26" i="2"/>
  <c r="CZ117" i="2"/>
  <c r="CZ141" i="2"/>
  <c r="CZ172" i="2"/>
  <c r="CZ122" i="2"/>
  <c r="CZ176" i="2"/>
  <c r="CZ116" i="2"/>
  <c r="CZ130" i="2"/>
  <c r="CZ161" i="2"/>
  <c r="CZ53" i="2"/>
  <c r="CZ199" i="2"/>
  <c r="CZ91" i="2"/>
  <c r="CZ187" i="2"/>
  <c r="CZ143" i="2"/>
  <c r="CZ185" i="2"/>
  <c r="CZ94" i="2"/>
  <c r="CZ80" i="2"/>
  <c r="CZ101" i="2"/>
  <c r="CZ14" i="2"/>
  <c r="CZ24" i="2"/>
  <c r="CZ37" i="2"/>
  <c r="CZ133" i="2"/>
  <c r="CZ177" i="2"/>
  <c r="CZ180" i="2"/>
  <c r="CZ154" i="2"/>
  <c r="CZ18" i="2"/>
  <c r="CZ124" i="2"/>
  <c r="CZ146" i="2"/>
  <c r="CZ58" i="2"/>
  <c r="CZ62" i="2"/>
  <c r="CZ21" i="2"/>
  <c r="CZ125" i="2"/>
  <c r="CZ13" i="2"/>
  <c r="CZ11" i="2"/>
  <c r="CZ166" i="2"/>
  <c r="CZ103" i="2"/>
  <c r="CZ88" i="2"/>
  <c r="CZ110" i="2"/>
  <c r="CZ73" i="2"/>
  <c r="CZ32" i="2"/>
  <c r="CZ46" i="2"/>
  <c r="CZ149" i="2"/>
  <c r="CZ77" i="2"/>
  <c r="CZ188" i="2"/>
  <c r="CZ25" i="2"/>
  <c r="CZ145" i="2"/>
  <c r="CZ132" i="2"/>
  <c r="CZ162" i="2"/>
  <c r="CZ128" i="2"/>
  <c r="AO57" i="2"/>
  <c r="AO121" i="2"/>
  <c r="AO185" i="2"/>
  <c r="AO18" i="2"/>
  <c r="AO82" i="2"/>
  <c r="AO146" i="2"/>
  <c r="AO11" i="2"/>
  <c r="AO51" i="2"/>
  <c r="AO115" i="2"/>
  <c r="AO179" i="2"/>
  <c r="AO100" i="2"/>
  <c r="AO20" i="2"/>
  <c r="AO124" i="2"/>
  <c r="AO45" i="2"/>
  <c r="AO133" i="2"/>
  <c r="AO7" i="2"/>
  <c r="AO189" i="2"/>
  <c r="AO38" i="2"/>
  <c r="AO102" i="2"/>
  <c r="AO166" i="2"/>
  <c r="AO31" i="2"/>
  <c r="AO95" i="2"/>
  <c r="AO159" i="2"/>
  <c r="AO24" i="2"/>
  <c r="AO128" i="2"/>
  <c r="AO65" i="2"/>
  <c r="AO129" i="2"/>
  <c r="AO193" i="2"/>
  <c r="AO26" i="2"/>
  <c r="AO90" i="2"/>
  <c r="AO154" i="2"/>
  <c r="AO56" i="2"/>
  <c r="AO59" i="2"/>
  <c r="AO123" i="2"/>
  <c r="AO187" i="2"/>
  <c r="AO116" i="2"/>
  <c r="AO28" i="2"/>
  <c r="AO140" i="2"/>
  <c r="AO53" i="2"/>
  <c r="AO141" i="2"/>
  <c r="AO200" i="2"/>
  <c r="AO6" i="2"/>
  <c r="AO46" i="2"/>
  <c r="AO110" i="2"/>
  <c r="AO174" i="2"/>
  <c r="AO39" i="2"/>
  <c r="AO103" i="2"/>
  <c r="AO167" i="2"/>
  <c r="AO32" i="2"/>
  <c r="AO160" i="2"/>
  <c r="AO73" i="2"/>
  <c r="AO137" i="2"/>
  <c r="AO201" i="2"/>
  <c r="AO34" i="2"/>
  <c r="AO98" i="2"/>
  <c r="AO162" i="2"/>
  <c r="AO136" i="2"/>
  <c r="AO67" i="2"/>
  <c r="AO131" i="2"/>
  <c r="AO195" i="2"/>
  <c r="AO132" i="2"/>
  <c r="AO36" i="2"/>
  <c r="AO156" i="2"/>
  <c r="AO61" i="2"/>
  <c r="AO157" i="2"/>
  <c r="AO21" i="2"/>
  <c r="AO198" i="2"/>
  <c r="AO54" i="2"/>
  <c r="AO118" i="2"/>
  <c r="AO190" i="2"/>
  <c r="AO47" i="2"/>
  <c r="AO111" i="2"/>
  <c r="AO175" i="2"/>
  <c r="AO40" i="2"/>
  <c r="AO176" i="2"/>
  <c r="AO81" i="2"/>
  <c r="AO145" i="2"/>
  <c r="AO10" i="2"/>
  <c r="AO42" i="2"/>
  <c r="AO106" i="2"/>
  <c r="AO170" i="2"/>
  <c r="AO192" i="2"/>
  <c r="AO75" i="2"/>
  <c r="AO139" i="2"/>
  <c r="AO203" i="2"/>
  <c r="AO148" i="2"/>
  <c r="AO44" i="2"/>
  <c r="AO180" i="2"/>
  <c r="AO77" i="2"/>
  <c r="AO173" i="2"/>
  <c r="AO69" i="2"/>
  <c r="AO48" i="2"/>
  <c r="AO62" i="2"/>
  <c r="AO126" i="2"/>
  <c r="AO15" i="2"/>
  <c r="AO55" i="2"/>
  <c r="AO119" i="2"/>
  <c r="AO183" i="2"/>
  <c r="AO64" i="2"/>
  <c r="AO17" i="2"/>
  <c r="AO25" i="2"/>
  <c r="AO89" i="2"/>
  <c r="AO153" i="2"/>
  <c r="AO4" i="2"/>
  <c r="AO50" i="2"/>
  <c r="AO114" i="2"/>
  <c r="AO178" i="2"/>
  <c r="AO19" i="2"/>
  <c r="AO83" i="2"/>
  <c r="AO147" i="2"/>
  <c r="AO12" i="2"/>
  <c r="AO164" i="2"/>
  <c r="AO60" i="2"/>
  <c r="AO196" i="2"/>
  <c r="AO85" i="2"/>
  <c r="AO181" i="2"/>
  <c r="AO101" i="2"/>
  <c r="AO120" i="2"/>
  <c r="AO70" i="2"/>
  <c r="AO134" i="2"/>
  <c r="AO88" i="2"/>
  <c r="AO63" i="2"/>
  <c r="AO127" i="2"/>
  <c r="AO191" i="2"/>
  <c r="AO72" i="2"/>
  <c r="AO33" i="2"/>
  <c r="AO97" i="2"/>
  <c r="AO161" i="2"/>
  <c r="AO96" i="2"/>
  <c r="AO58" i="2"/>
  <c r="AO122" i="2"/>
  <c r="AO186" i="2"/>
  <c r="AO27" i="2"/>
  <c r="AO91" i="2"/>
  <c r="AO155" i="2"/>
  <c r="AO52" i="2"/>
  <c r="AO172" i="2"/>
  <c r="AO68" i="2"/>
  <c r="AO13" i="2"/>
  <c r="AO93" i="2"/>
  <c r="AO197" i="2"/>
  <c r="AO125" i="2"/>
  <c r="AO168" i="2"/>
  <c r="AO78" i="2"/>
  <c r="AO142" i="2"/>
  <c r="AO144" i="2"/>
  <c r="AO71" i="2"/>
  <c r="AO135" i="2"/>
  <c r="AO199" i="2"/>
  <c r="AO80" i="2"/>
  <c r="AO41" i="2"/>
  <c r="AO105" i="2"/>
  <c r="AO169" i="2"/>
  <c r="AO152" i="2"/>
  <c r="AO66" i="2"/>
  <c r="AO130" i="2"/>
  <c r="AO194" i="2"/>
  <c r="AO35" i="2"/>
  <c r="AO99" i="2"/>
  <c r="AO163" i="2"/>
  <c r="AO76" i="2"/>
  <c r="AO188" i="2"/>
  <c r="AO84" i="2"/>
  <c r="AO29" i="2"/>
  <c r="AO109" i="2"/>
  <c r="AO14" i="2"/>
  <c r="AO149" i="2"/>
  <c r="AO22" i="2"/>
  <c r="AO86" i="2"/>
  <c r="AO150" i="2"/>
  <c r="AO9" i="2"/>
  <c r="AO79" i="2"/>
  <c r="AO143" i="2"/>
  <c r="AO8" i="2"/>
  <c r="AO104" i="2"/>
  <c r="AO49" i="2"/>
  <c r="AO113" i="2"/>
  <c r="AO177" i="2"/>
  <c r="AO184" i="2"/>
  <c r="AO74" i="2"/>
  <c r="AO138" i="2"/>
  <c r="AO202" i="2"/>
  <c r="AO43" i="2"/>
  <c r="AO107" i="2"/>
  <c r="AO171" i="2"/>
  <c r="AO92" i="2"/>
  <c r="AO5" i="2"/>
  <c r="AO108" i="2"/>
  <c r="AO37" i="2"/>
  <c r="AO117" i="2"/>
  <c r="AO182" i="2"/>
  <c r="AO165" i="2"/>
  <c r="AO30" i="2"/>
  <c r="AO94" i="2"/>
  <c r="AO158" i="2"/>
  <c r="AO23" i="2"/>
  <c r="AO87" i="2"/>
  <c r="AO151" i="2"/>
  <c r="AO16" i="2"/>
  <c r="AO112" i="2"/>
  <c r="DU109" i="2"/>
  <c r="DU24" i="2"/>
  <c r="DU172" i="2"/>
  <c r="DU52" i="2"/>
  <c r="DU142" i="2"/>
  <c r="DU83" i="2"/>
  <c r="DU177" i="2"/>
  <c r="DU67" i="2"/>
  <c r="DU103" i="2"/>
  <c r="DU121" i="2"/>
  <c r="DU182" i="2"/>
  <c r="DU144" i="2"/>
  <c r="DU38" i="2"/>
  <c r="DU202" i="2"/>
  <c r="DU76" i="2"/>
  <c r="DU35" i="2"/>
  <c r="DU127" i="2"/>
  <c r="DU136" i="2"/>
  <c r="DU26" i="2"/>
  <c r="DU49" i="2"/>
  <c r="DU186" i="2"/>
  <c r="DU198" i="2"/>
  <c r="DU165" i="2"/>
  <c r="DU111" i="2"/>
  <c r="DU176" i="2"/>
  <c r="DU173" i="2"/>
  <c r="DU122" i="2"/>
  <c r="DU92" i="2"/>
  <c r="DU117" i="2"/>
  <c r="DU41" i="2"/>
  <c r="DU194" i="2"/>
  <c r="DU61" i="2"/>
  <c r="DU152" i="2"/>
  <c r="DU126" i="2"/>
  <c r="DU185" i="2"/>
  <c r="DU78" i="2"/>
  <c r="DU124" i="2"/>
  <c r="DU65" i="2"/>
  <c r="DU107" i="2"/>
  <c r="DU108" i="2"/>
  <c r="DU46" i="2"/>
  <c r="DU17" i="2"/>
  <c r="DU98" i="2"/>
  <c r="DU43" i="2"/>
  <c r="DU138" i="2"/>
  <c r="DU158" i="2"/>
  <c r="DU34" i="2"/>
  <c r="DU63" i="2"/>
  <c r="DU196" i="2"/>
  <c r="DU12" i="2"/>
  <c r="DU42" i="2"/>
  <c r="DU74" i="2"/>
  <c r="DU15" i="2"/>
  <c r="DU114" i="2"/>
  <c r="DU181" i="2"/>
  <c r="DU132" i="2"/>
  <c r="DU178" i="2"/>
  <c r="DU125" i="2"/>
  <c r="DU58" i="2"/>
  <c r="DU70" i="2"/>
  <c r="DU69" i="2"/>
  <c r="DU163" i="2"/>
  <c r="DU147" i="2"/>
  <c r="DU129" i="2"/>
  <c r="DU192" i="2"/>
  <c r="DU166" i="2"/>
  <c r="DU73" i="2"/>
  <c r="DU118" i="2"/>
  <c r="DU151" i="2"/>
  <c r="DU54" i="2"/>
  <c r="DU36" i="2"/>
  <c r="DU119" i="2"/>
  <c r="DU51" i="2"/>
  <c r="DU148" i="2"/>
  <c r="DU179" i="2"/>
  <c r="DU6" i="2"/>
  <c r="DU159" i="2"/>
  <c r="DU200" i="2"/>
  <c r="DU50" i="2"/>
  <c r="DU84" i="2"/>
  <c r="DU48" i="2"/>
  <c r="DU199" i="2"/>
  <c r="DU189" i="2"/>
  <c r="DU143" i="2"/>
  <c r="DU44" i="2"/>
  <c r="DU133" i="2"/>
  <c r="DU68" i="2"/>
  <c r="DU155" i="2"/>
  <c r="DU193" i="2"/>
  <c r="DU88" i="2"/>
  <c r="DU146" i="2"/>
  <c r="DU137" i="2"/>
  <c r="DU203" i="2"/>
  <c r="DU187" i="2"/>
  <c r="DU81" i="2"/>
  <c r="DU128" i="2"/>
  <c r="DU28" i="2"/>
  <c r="DU7" i="2"/>
  <c r="DU53" i="2"/>
  <c r="DU140" i="2"/>
  <c r="DU20" i="2"/>
  <c r="DU64" i="2"/>
  <c r="DU162" i="2"/>
  <c r="DU14" i="2"/>
  <c r="DU170" i="2"/>
  <c r="DU104" i="2"/>
  <c r="DU11" i="2"/>
  <c r="DU95" i="2"/>
  <c r="DU72" i="2"/>
  <c r="DU134" i="2"/>
  <c r="DU197" i="2"/>
  <c r="DU154" i="2"/>
  <c r="DU47" i="2"/>
  <c r="DU77" i="2"/>
  <c r="DU174" i="2"/>
  <c r="DU190" i="2"/>
  <c r="DU201" i="2"/>
  <c r="DU99" i="2"/>
  <c r="DU167" i="2"/>
  <c r="DU145" i="2"/>
  <c r="DU5" i="2"/>
  <c r="DU168" i="2"/>
  <c r="DU89" i="2"/>
  <c r="DU139" i="2"/>
  <c r="DU59" i="2"/>
  <c r="DU97" i="2"/>
  <c r="DU150" i="2"/>
  <c r="DU80" i="2"/>
  <c r="DU32" i="2"/>
  <c r="DU75" i="2"/>
  <c r="DU183" i="2"/>
  <c r="DU22" i="2"/>
  <c r="DU180" i="2"/>
  <c r="DU21" i="2"/>
  <c r="DU19" i="2"/>
  <c r="DU106" i="2"/>
  <c r="DU94" i="2"/>
  <c r="DU135" i="2"/>
  <c r="DU141" i="2"/>
  <c r="DU79" i="2"/>
  <c r="DU71" i="2"/>
  <c r="DU85" i="2"/>
  <c r="DU184" i="2"/>
  <c r="DU37" i="2"/>
  <c r="DU13" i="2"/>
  <c r="DU110" i="2"/>
  <c r="DU188" i="2"/>
  <c r="DU153" i="2"/>
  <c r="DU23" i="2"/>
  <c r="DU29" i="2"/>
  <c r="DU161" i="2"/>
  <c r="DU40" i="2"/>
  <c r="DU60" i="2"/>
  <c r="DU105" i="2"/>
  <c r="DU160" i="2"/>
  <c r="DU102" i="2"/>
  <c r="DU45" i="2"/>
  <c r="DU86" i="2"/>
  <c r="DU4" i="2"/>
  <c r="DU30" i="2"/>
  <c r="DU191" i="2"/>
  <c r="DU55" i="2"/>
  <c r="DU10" i="2"/>
  <c r="DU16" i="2"/>
  <c r="DU164" i="2"/>
  <c r="DU9" i="2"/>
  <c r="DU149" i="2"/>
  <c r="DU90" i="2"/>
  <c r="DU156" i="2"/>
  <c r="DU93" i="2"/>
  <c r="DU195" i="2"/>
  <c r="DU87" i="2"/>
  <c r="DU25" i="2"/>
  <c r="DU120" i="2"/>
  <c r="DU31" i="2"/>
  <c r="DU39" i="2"/>
  <c r="DU131" i="2"/>
  <c r="DU62" i="2"/>
  <c r="DU169" i="2"/>
  <c r="DU56" i="2"/>
  <c r="DU82" i="2"/>
  <c r="DU113" i="2"/>
  <c r="DU171" i="2"/>
  <c r="DU123" i="2"/>
  <c r="DU57" i="2"/>
  <c r="DU96" i="2"/>
  <c r="DU66" i="2"/>
  <c r="DU27" i="2"/>
  <c r="DU116" i="2"/>
  <c r="DU115" i="2"/>
  <c r="DU18" i="2"/>
  <c r="DU33" i="2"/>
  <c r="DU175" i="2"/>
  <c r="DU112" i="2"/>
  <c r="DU157" i="2"/>
  <c r="DU100" i="2"/>
  <c r="DU91" i="2"/>
  <c r="DU101" i="2"/>
  <c r="DU8" i="2"/>
  <c r="DU130" i="2"/>
  <c r="GF6" i="2"/>
  <c r="GF122" i="2"/>
  <c r="GF56" i="2"/>
  <c r="GF53" i="2"/>
  <c r="GF66" i="2"/>
  <c r="GF197" i="2"/>
  <c r="GF28" i="2"/>
  <c r="GF10" i="2"/>
  <c r="GF108" i="2"/>
  <c r="GF48" i="2"/>
  <c r="GF151" i="2"/>
  <c r="GF19" i="2"/>
  <c r="GF184" i="2"/>
  <c r="GF95" i="2"/>
  <c r="GF129" i="2"/>
  <c r="GF148" i="2"/>
  <c r="GF39" i="2"/>
  <c r="GF40" i="2"/>
  <c r="GF187" i="2"/>
  <c r="GF182" i="2"/>
  <c r="GF153" i="2"/>
  <c r="GF43" i="2"/>
  <c r="GF126" i="2"/>
  <c r="GF64" i="2"/>
  <c r="GF161" i="2"/>
  <c r="GF70" i="2"/>
  <c r="GF186" i="2"/>
  <c r="GF17" i="2"/>
  <c r="GF14" i="2"/>
  <c r="GF130" i="2"/>
  <c r="GF75" i="2"/>
  <c r="GF68" i="2"/>
  <c r="GF74" i="2"/>
  <c r="GF9" i="2"/>
  <c r="GF92" i="2"/>
  <c r="GF18" i="2"/>
  <c r="GF121" i="2"/>
  <c r="GF11" i="2"/>
  <c r="GF159" i="2"/>
  <c r="GF32" i="2"/>
  <c r="GF8" i="2"/>
  <c r="GF103" i="2"/>
  <c r="GF141" i="2"/>
  <c r="GF169" i="2"/>
  <c r="GF47" i="2"/>
  <c r="GF52" i="2"/>
  <c r="GF24" i="2"/>
  <c r="GF190" i="2"/>
  <c r="GF165" i="2"/>
  <c r="GF61" i="2"/>
  <c r="GF134" i="2"/>
  <c r="GF76" i="2"/>
  <c r="GF181" i="2"/>
  <c r="GF78" i="2"/>
  <c r="GF194" i="2"/>
  <c r="GF36" i="2"/>
  <c r="GF22" i="2"/>
  <c r="GF138" i="2"/>
  <c r="GF97" i="2"/>
  <c r="GF109" i="2"/>
  <c r="GF82" i="2"/>
  <c r="GF29" i="2"/>
  <c r="GF132" i="2"/>
  <c r="GF26" i="2"/>
  <c r="GF133" i="2"/>
  <c r="GF88" i="2"/>
  <c r="GF167" i="2"/>
  <c r="GF44" i="2"/>
  <c r="GF81" i="2"/>
  <c r="GF111" i="2"/>
  <c r="GF155" i="2"/>
  <c r="GF188" i="2"/>
  <c r="GF55" i="2"/>
  <c r="GF65" i="2"/>
  <c r="GF45" i="2"/>
  <c r="GF198" i="2"/>
  <c r="GF179" i="2"/>
  <c r="GF84" i="2"/>
  <c r="GF142" i="2"/>
  <c r="GF89" i="2"/>
  <c r="GF201" i="2"/>
  <c r="GF86" i="2"/>
  <c r="GF202" i="2"/>
  <c r="GF59" i="2"/>
  <c r="GF30" i="2"/>
  <c r="GF146" i="2"/>
  <c r="GF117" i="2"/>
  <c r="GF112" i="2"/>
  <c r="GF90" i="2"/>
  <c r="GF49" i="2"/>
  <c r="GF173" i="2"/>
  <c r="GF34" i="2"/>
  <c r="GF147" i="2"/>
  <c r="GF131" i="2"/>
  <c r="GF175" i="2"/>
  <c r="GF57" i="2"/>
  <c r="GF123" i="2"/>
  <c r="GF119" i="2"/>
  <c r="GF168" i="2"/>
  <c r="GF73" i="2"/>
  <c r="GF63" i="2"/>
  <c r="GF77" i="2"/>
  <c r="GF67" i="2"/>
  <c r="GF7" i="2"/>
  <c r="GF192" i="2"/>
  <c r="GF105" i="2"/>
  <c r="GF150" i="2"/>
  <c r="GF101" i="2"/>
  <c r="GF20" i="2"/>
  <c r="GF94" i="2"/>
  <c r="GF12" i="2"/>
  <c r="GF80" i="2"/>
  <c r="GF38" i="2"/>
  <c r="GF154" i="2"/>
  <c r="GF137" i="2"/>
  <c r="GF149" i="2"/>
  <c r="GF98" i="2"/>
  <c r="GF72" i="2"/>
  <c r="GF33" i="2"/>
  <c r="GF42" i="2"/>
  <c r="GF160" i="2"/>
  <c r="GF171" i="2"/>
  <c r="GF183" i="2"/>
  <c r="GF69" i="2"/>
  <c r="GF163" i="2"/>
  <c r="GF127" i="2"/>
  <c r="GF180" i="2"/>
  <c r="GF113" i="2"/>
  <c r="GF71" i="2"/>
  <c r="GF91" i="2"/>
  <c r="GF85" i="2"/>
  <c r="GF15" i="2"/>
  <c r="GF4" i="2"/>
  <c r="GF124" i="2"/>
  <c r="GF158" i="2"/>
  <c r="GF115" i="2"/>
  <c r="GF41" i="2"/>
  <c r="GF102" i="2"/>
  <c r="GF25" i="2"/>
  <c r="GF99" i="2"/>
  <c r="GF46" i="2"/>
  <c r="GF162" i="2"/>
  <c r="GF157" i="2"/>
  <c r="GF152" i="2"/>
  <c r="GF106" i="2"/>
  <c r="GF16" i="2"/>
  <c r="GF176" i="2"/>
  <c r="GF50" i="2"/>
  <c r="GF172" i="2"/>
  <c r="GF93" i="2"/>
  <c r="GF191" i="2"/>
  <c r="GF83" i="2"/>
  <c r="GF203" i="2"/>
  <c r="GF135" i="2"/>
  <c r="GF193" i="2"/>
  <c r="GF156" i="2"/>
  <c r="GF79" i="2"/>
  <c r="GF104" i="2"/>
  <c r="GF107" i="2"/>
  <c r="GF23" i="2"/>
  <c r="GF13" i="2"/>
  <c r="GF145" i="2"/>
  <c r="GF166" i="2"/>
  <c r="GF128" i="2"/>
  <c r="GF60" i="2"/>
  <c r="GF110" i="2"/>
  <c r="GF37" i="2"/>
  <c r="GF120" i="2"/>
  <c r="GF54" i="2"/>
  <c r="GF170" i="2"/>
  <c r="GF177" i="2"/>
  <c r="GF189" i="2"/>
  <c r="GF114" i="2"/>
  <c r="GF35" i="2"/>
  <c r="GF144" i="2"/>
  <c r="GF58" i="2"/>
  <c r="GF185" i="2"/>
  <c r="GF100" i="2"/>
  <c r="GF199" i="2"/>
  <c r="GF96" i="2"/>
  <c r="GF136" i="2"/>
  <c r="GF143" i="2"/>
  <c r="GF5" i="2"/>
  <c r="GF196" i="2"/>
  <c r="GF87" i="2"/>
  <c r="GF116" i="2"/>
  <c r="GF125" i="2"/>
  <c r="GF31" i="2"/>
  <c r="GF27" i="2"/>
  <c r="GF164" i="2"/>
  <c r="GF174" i="2"/>
  <c r="GF140" i="2"/>
  <c r="GF21" i="2"/>
  <c r="GF118" i="2"/>
  <c r="GF51" i="2"/>
  <c r="GF139" i="2"/>
  <c r="GF62" i="2"/>
  <c r="GF178" i="2"/>
  <c r="GF200" i="2"/>
  <c r="GF195" i="2"/>
  <c r="EP27" i="2"/>
  <c r="EP135" i="2"/>
  <c r="EP202" i="2"/>
  <c r="EP109" i="2"/>
  <c r="EP79" i="2"/>
  <c r="EP82" i="2"/>
  <c r="EP170" i="2"/>
  <c r="EP23" i="2"/>
  <c r="EP166" i="2"/>
  <c r="EP26" i="2"/>
  <c r="EP172" i="2"/>
  <c r="EP46" i="2"/>
  <c r="EP193" i="2"/>
  <c r="EP116" i="2"/>
  <c r="EP150" i="2"/>
  <c r="EP186" i="2"/>
  <c r="EP60" i="2"/>
  <c r="EP61" i="2"/>
  <c r="EP33" i="2"/>
  <c r="EP139" i="2"/>
  <c r="EP80" i="2"/>
  <c r="EP56" i="2"/>
  <c r="EP83" i="2"/>
  <c r="EP191" i="2"/>
  <c r="EP121" i="2"/>
  <c r="EP91" i="2"/>
  <c r="EP199" i="2"/>
  <c r="EP138" i="2"/>
  <c r="EP35" i="2"/>
  <c r="EP143" i="2"/>
  <c r="EP18" i="2"/>
  <c r="EP42" i="2"/>
  <c r="EP87" i="2"/>
  <c r="EP101" i="2"/>
  <c r="EP6" i="2"/>
  <c r="EP31" i="2"/>
  <c r="EP184" i="2"/>
  <c r="EP62" i="2"/>
  <c r="EP180" i="2"/>
  <c r="EP64" i="2"/>
  <c r="EP25" i="2"/>
  <c r="EP124" i="2"/>
  <c r="EP162" i="2"/>
  <c r="EP136" i="2"/>
  <c r="EP203" i="2"/>
  <c r="EP182" i="2"/>
  <c r="EP192" i="2"/>
  <c r="EP147" i="2"/>
  <c r="EP93" i="2"/>
  <c r="EP72" i="2"/>
  <c r="EP155" i="2"/>
  <c r="EP105" i="2"/>
  <c r="EP89" i="2"/>
  <c r="EP99" i="2"/>
  <c r="EP16" i="2"/>
  <c r="EP154" i="2"/>
  <c r="EP43" i="2"/>
  <c r="EP151" i="2"/>
  <c r="EP37" i="2"/>
  <c r="EP178" i="2"/>
  <c r="EP95" i="2"/>
  <c r="EP117" i="2"/>
  <c r="EP142" i="2"/>
  <c r="EP39" i="2"/>
  <c r="EP200" i="2"/>
  <c r="EP96" i="2"/>
  <c r="EP188" i="2"/>
  <c r="EP81" i="2"/>
  <c r="EP58" i="2"/>
  <c r="EP68" i="2"/>
  <c r="EP73" i="2"/>
  <c r="EP102" i="2"/>
  <c r="EP12" i="2"/>
  <c r="EP194" i="2"/>
  <c r="EP10" i="2"/>
  <c r="EP20" i="2"/>
  <c r="EP5" i="2"/>
  <c r="EP45" i="2"/>
  <c r="EP163" i="2"/>
  <c r="EP118" i="2"/>
  <c r="EP106" i="2"/>
  <c r="EP107" i="2"/>
  <c r="EP29" i="2"/>
  <c r="EP173" i="2"/>
  <c r="EP51" i="2"/>
  <c r="EP159" i="2"/>
  <c r="EP53" i="2"/>
  <c r="EP74" i="2"/>
  <c r="EP103" i="2"/>
  <c r="EP134" i="2"/>
  <c r="EP8" i="2"/>
  <c r="EP47" i="2"/>
  <c r="EP14" i="2"/>
  <c r="EP129" i="2"/>
  <c r="EP132" i="2"/>
  <c r="EP176" i="2"/>
  <c r="EP24" i="2"/>
  <c r="EP76" i="2"/>
  <c r="EP86" i="2"/>
  <c r="EP17" i="2"/>
  <c r="EP84" i="2"/>
  <c r="EP98" i="2"/>
  <c r="EP50" i="2"/>
  <c r="EP28" i="2"/>
  <c r="EP9" i="2"/>
  <c r="EP78" i="2"/>
  <c r="EP171" i="2"/>
  <c r="EP130" i="2"/>
  <c r="EP122" i="2"/>
  <c r="EP115" i="2"/>
  <c r="EP41" i="2"/>
  <c r="EP190" i="2"/>
  <c r="EP59" i="2"/>
  <c r="EP167" i="2"/>
  <c r="EP70" i="2"/>
  <c r="EP77" i="2"/>
  <c r="EP111" i="2"/>
  <c r="EP152" i="2"/>
  <c r="EP145" i="2"/>
  <c r="EP196" i="2"/>
  <c r="EP97" i="2"/>
  <c r="EP94" i="2"/>
  <c r="EP140" i="2"/>
  <c r="EP189" i="2"/>
  <c r="EP57" i="2"/>
  <c r="EP148" i="2"/>
  <c r="EP201" i="2"/>
  <c r="EP90" i="2"/>
  <c r="EP92" i="2"/>
  <c r="EP112" i="2"/>
  <c r="EP85" i="2"/>
  <c r="EP36" i="2"/>
  <c r="EP22" i="2"/>
  <c r="EP113" i="2"/>
  <c r="EP179" i="2"/>
  <c r="EP144" i="2"/>
  <c r="EP141" i="2"/>
  <c r="EP123" i="2"/>
  <c r="EP54" i="2"/>
  <c r="EP21" i="2"/>
  <c r="EP67" i="2"/>
  <c r="EP175" i="2"/>
  <c r="EP88" i="2"/>
  <c r="EP110" i="2"/>
  <c r="EP55" i="2"/>
  <c r="EP32" i="2"/>
  <c r="EP165" i="2"/>
  <c r="EP4" i="2"/>
  <c r="EP114" i="2"/>
  <c r="EP128" i="2"/>
  <c r="EP7" i="2"/>
  <c r="EP133" i="2"/>
  <c r="EP161" i="2"/>
  <c r="EP156" i="2"/>
  <c r="EP13" i="2"/>
  <c r="EP126" i="2"/>
  <c r="EP100" i="2"/>
  <c r="EP125" i="2"/>
  <c r="EP120" i="2"/>
  <c r="EP44" i="2"/>
  <c r="EP34" i="2"/>
  <c r="EP146" i="2"/>
  <c r="EP187" i="2"/>
  <c r="EP157" i="2"/>
  <c r="EP158" i="2"/>
  <c r="EP131" i="2"/>
  <c r="EP66" i="2"/>
  <c r="EP38" i="2"/>
  <c r="EP11" i="2"/>
  <c r="EP119" i="2"/>
  <c r="EP168" i="2"/>
  <c r="EP40" i="2"/>
  <c r="EP63" i="2"/>
  <c r="EP49" i="2"/>
  <c r="EP198" i="2"/>
  <c r="EP71" i="2"/>
  <c r="EP65" i="2"/>
  <c r="EP69" i="2"/>
  <c r="EP15" i="2"/>
  <c r="EP149" i="2"/>
  <c r="EP197" i="2"/>
  <c r="EP164" i="2"/>
  <c r="EP30" i="2"/>
  <c r="EP160" i="2"/>
  <c r="EP108" i="2"/>
  <c r="EP137" i="2"/>
  <c r="EP153" i="2"/>
  <c r="EP52" i="2"/>
  <c r="EP48" i="2"/>
  <c r="EP181" i="2"/>
  <c r="EP195" i="2"/>
  <c r="EP169" i="2"/>
  <c r="EP174" i="2"/>
  <c r="EP75" i="2"/>
  <c r="EP183" i="2"/>
  <c r="EP104" i="2"/>
  <c r="EP19" i="2"/>
  <c r="EP127" i="2"/>
  <c r="EP185" i="2"/>
  <c r="EP177" i="2"/>
  <c r="HA83" i="2"/>
  <c r="HA26" i="2"/>
  <c r="HA109" i="2"/>
  <c r="HA27" i="2"/>
  <c r="HA130" i="2"/>
  <c r="HA185" i="2"/>
  <c r="HA40" i="2"/>
  <c r="HA36" i="2"/>
  <c r="HA118" i="2"/>
  <c r="HA101" i="2"/>
  <c r="HA107" i="2"/>
  <c r="HA127" i="2"/>
  <c r="HA60" i="2"/>
  <c r="HA33" i="2"/>
  <c r="HA89" i="2"/>
  <c r="HA59" i="2"/>
  <c r="HA181" i="2"/>
  <c r="HA25" i="2"/>
  <c r="HA72" i="2"/>
  <c r="HA86" i="2"/>
  <c r="HA198" i="2"/>
  <c r="HA87" i="2"/>
  <c r="HA203" i="2"/>
  <c r="HA133" i="2"/>
  <c r="HA166" i="2"/>
  <c r="HA31" i="2"/>
  <c r="HA147" i="2"/>
  <c r="HA190" i="2"/>
  <c r="HA65" i="2"/>
  <c r="HA91" i="2"/>
  <c r="HA45" i="2"/>
  <c r="HA193" i="2"/>
  <c r="HA104" i="2"/>
  <c r="HA138" i="2"/>
  <c r="HA81" i="2"/>
  <c r="HA55" i="2"/>
  <c r="HA171" i="2"/>
  <c r="HA191" i="2"/>
  <c r="HA162" i="2"/>
  <c r="HA197" i="2"/>
  <c r="HA7" i="2"/>
  <c r="HA123" i="2"/>
  <c r="HA129" i="2"/>
  <c r="HA126" i="2"/>
  <c r="HA136" i="2"/>
  <c r="HA189" i="2"/>
  <c r="HA161" i="2"/>
  <c r="HA151" i="2"/>
  <c r="HA98" i="2"/>
  <c r="HA94" i="2"/>
  <c r="HA95" i="2"/>
  <c r="HA9" i="2"/>
  <c r="HA154" i="2"/>
  <c r="HA39" i="2"/>
  <c r="HA155" i="2"/>
  <c r="HA12" i="2"/>
  <c r="HA146" i="2"/>
  <c r="HA168" i="2"/>
  <c r="HA41" i="2"/>
  <c r="HA42" i="2"/>
  <c r="HA119" i="2"/>
  <c r="HA46" i="2"/>
  <c r="HA56" i="2"/>
  <c r="HA61" i="2"/>
  <c r="HA158" i="2"/>
  <c r="HA71" i="2"/>
  <c r="HA187" i="2"/>
  <c r="HA93" i="2"/>
  <c r="HA156" i="2"/>
  <c r="HA200" i="2"/>
  <c r="HA92" i="2"/>
  <c r="HA122" i="2"/>
  <c r="HA16" i="2"/>
  <c r="HA201" i="2"/>
  <c r="HA57" i="2"/>
  <c r="HA159" i="2"/>
  <c r="HA110" i="2"/>
  <c r="HA116" i="2"/>
  <c r="HA103" i="2"/>
  <c r="HA21" i="2"/>
  <c r="HA173" i="2"/>
  <c r="HA49" i="2"/>
  <c r="HA35" i="2"/>
  <c r="HA142" i="2"/>
  <c r="HA6" i="2"/>
  <c r="HA183" i="2"/>
  <c r="HA150" i="2"/>
  <c r="HA120" i="2"/>
  <c r="HA164" i="2"/>
  <c r="HA121" i="2"/>
  <c r="HA135" i="2"/>
  <c r="HA73" i="2"/>
  <c r="HA54" i="2"/>
  <c r="HA90" i="2"/>
  <c r="HA67" i="2"/>
  <c r="HA194" i="2"/>
  <c r="HA106" i="2"/>
  <c r="HA80" i="2"/>
  <c r="HA100" i="2"/>
  <c r="HA18" i="2"/>
  <c r="HA24" i="2"/>
  <c r="HA10" i="2"/>
  <c r="HA77" i="2"/>
  <c r="HA167" i="2"/>
  <c r="HA124" i="2"/>
  <c r="HA134" i="2"/>
  <c r="HA140" i="2"/>
  <c r="HA99" i="2"/>
  <c r="HA68" i="2"/>
  <c r="HA153" i="2"/>
  <c r="HA48" i="2"/>
  <c r="HA53" i="2"/>
  <c r="HA184" i="2"/>
  <c r="HA66" i="2"/>
  <c r="HA82" i="2"/>
  <c r="HA199" i="2"/>
  <c r="HA174" i="2"/>
  <c r="HA17" i="2"/>
  <c r="HA15" i="2"/>
  <c r="HA131" i="2"/>
  <c r="HA148" i="2"/>
  <c r="HA50" i="2"/>
  <c r="HA144" i="2"/>
  <c r="HA202" i="2"/>
  <c r="HA182" i="2"/>
  <c r="HA88" i="2"/>
  <c r="HA113" i="2"/>
  <c r="HA38" i="2"/>
  <c r="HA32" i="2"/>
  <c r="HA22" i="2"/>
  <c r="HA97" i="2"/>
  <c r="HA47" i="2"/>
  <c r="HA163" i="2"/>
  <c r="HA30" i="2"/>
  <c r="HA69" i="2"/>
  <c r="HA112" i="2"/>
  <c r="HA13" i="2"/>
  <c r="HA51" i="2"/>
  <c r="HA169" i="2"/>
  <c r="HA172" i="2"/>
  <c r="HA64" i="2"/>
  <c r="HA74" i="2"/>
  <c r="HA180" i="2"/>
  <c r="HA79" i="2"/>
  <c r="HA195" i="2"/>
  <c r="HA114" i="2"/>
  <c r="HA52" i="2"/>
  <c r="HA11" i="2"/>
  <c r="HA105" i="2"/>
  <c r="HA145" i="2"/>
  <c r="HA152" i="2"/>
  <c r="HA14" i="2"/>
  <c r="HA4" i="2"/>
  <c r="HA96" i="2"/>
  <c r="HA125" i="2"/>
  <c r="HA58" i="2"/>
  <c r="HA111" i="2"/>
  <c r="HA34" i="2"/>
  <c r="HA196" i="2"/>
  <c r="HA149" i="2"/>
  <c r="HA176" i="2"/>
  <c r="HA62" i="2"/>
  <c r="HA115" i="2"/>
  <c r="HA108" i="2"/>
  <c r="HA44" i="2"/>
  <c r="HA128" i="2"/>
  <c r="HA177" i="2"/>
  <c r="HA141" i="2"/>
  <c r="HA143" i="2"/>
  <c r="HA85" i="2"/>
  <c r="HA76" i="2"/>
  <c r="HA84" i="2"/>
  <c r="HA75" i="2"/>
  <c r="HA5" i="2"/>
  <c r="HA29" i="2"/>
  <c r="HA19" i="2"/>
  <c r="HA117" i="2"/>
  <c r="HA165" i="2"/>
  <c r="HA160" i="2"/>
  <c r="HA28" i="2"/>
  <c r="HA20" i="2"/>
  <c r="HA175" i="2"/>
  <c r="HA137" i="2"/>
  <c r="HA157" i="2"/>
  <c r="HA178" i="2"/>
  <c r="HA43" i="2"/>
  <c r="HA63" i="2"/>
  <c r="HA179" i="2"/>
  <c r="HA70" i="2"/>
  <c r="HA186" i="2"/>
  <c r="HA192" i="2"/>
  <c r="HA78" i="2"/>
  <c r="HA102" i="2"/>
  <c r="HA8" i="2"/>
  <c r="HA188" i="2"/>
  <c r="HA37" i="2"/>
  <c r="HA23" i="2"/>
  <c r="HA139" i="2"/>
  <c r="HA170" i="2"/>
  <c r="HA132" i="2"/>
  <c r="FK116" i="2"/>
  <c r="FK165" i="2"/>
  <c r="FK162" i="2"/>
  <c r="FK100" i="2"/>
  <c r="FK95" i="2"/>
  <c r="FK16" i="2"/>
  <c r="FK132" i="2"/>
  <c r="FK78" i="2"/>
  <c r="FK24" i="2"/>
  <c r="FK194" i="2"/>
  <c r="FK128" i="2"/>
  <c r="FK46" i="2"/>
  <c r="FK81" i="2"/>
  <c r="FK178" i="2"/>
  <c r="FK146" i="2"/>
  <c r="FK39" i="2"/>
  <c r="FK22" i="2"/>
  <c r="FK40" i="2"/>
  <c r="FK203" i="2"/>
  <c r="FK72" i="2"/>
  <c r="FK77" i="2"/>
  <c r="FK33" i="2"/>
  <c r="FK122" i="2"/>
  <c r="FK127" i="2"/>
  <c r="FK197" i="2"/>
  <c r="FK84" i="2"/>
  <c r="FK177" i="2"/>
  <c r="FK48" i="2"/>
  <c r="FK124" i="2"/>
  <c r="FK9" i="2"/>
  <c r="FK98" i="2"/>
  <c r="FK164" i="2"/>
  <c r="FK38" i="2"/>
  <c r="FK23" i="2"/>
  <c r="FK196" i="2"/>
  <c r="FK14" i="2"/>
  <c r="FK31" i="2"/>
  <c r="FK201" i="2"/>
  <c r="FK64" i="2"/>
  <c r="FK117" i="2"/>
  <c r="FK88" i="2"/>
  <c r="FK114" i="2"/>
  <c r="FK18" i="2"/>
  <c r="FK110" i="2"/>
  <c r="FK157" i="2"/>
  <c r="FK111" i="2"/>
  <c r="FK11" i="2"/>
  <c r="FK8" i="2"/>
  <c r="FK13" i="2"/>
  <c r="FK104" i="2"/>
  <c r="FK58" i="2"/>
  <c r="FK63" i="2"/>
  <c r="FK133" i="2"/>
  <c r="FK156" i="2"/>
  <c r="FK113" i="2"/>
  <c r="FK183" i="2"/>
  <c r="FK20" i="2"/>
  <c r="FK163" i="2"/>
  <c r="FK34" i="2"/>
  <c r="FK92" i="2"/>
  <c r="FK59" i="2"/>
  <c r="FK94" i="2"/>
  <c r="FK12" i="2"/>
  <c r="FK149" i="2"/>
  <c r="FK102" i="2"/>
  <c r="FK80" i="2"/>
  <c r="FK199" i="2"/>
  <c r="FK67" i="2"/>
  <c r="FK159" i="2"/>
  <c r="FK50" i="2"/>
  <c r="FK89" i="2"/>
  <c r="FK181" i="2"/>
  <c r="FK93" i="2"/>
  <c r="FK182" i="2"/>
  <c r="FK82" i="2"/>
  <c r="FK143" i="2"/>
  <c r="FK83" i="2"/>
  <c r="FK175" i="2"/>
  <c r="FK193" i="2"/>
  <c r="FK198" i="2"/>
  <c r="FK69" i="2"/>
  <c r="FK73" i="2"/>
  <c r="FK49" i="2"/>
  <c r="FK119" i="2"/>
  <c r="FK172" i="2"/>
  <c r="FK99" i="2"/>
  <c r="FK169" i="2"/>
  <c r="FK188" i="2"/>
  <c r="FK66" i="2"/>
  <c r="FK101" i="2"/>
  <c r="FK76" i="2"/>
  <c r="FK85" i="2"/>
  <c r="FK109" i="2"/>
  <c r="FK87" i="2"/>
  <c r="FK135" i="2"/>
  <c r="FK202" i="2"/>
  <c r="FK166" i="2"/>
  <c r="FK185" i="2"/>
  <c r="FK160" i="2"/>
  <c r="FK53" i="2"/>
  <c r="FK29" i="2"/>
  <c r="FK54" i="2"/>
  <c r="FK153" i="2"/>
  <c r="FK79" i="2"/>
  <c r="FK154" i="2"/>
  <c r="FK47" i="2"/>
  <c r="FK129" i="2"/>
  <c r="FK134" i="2"/>
  <c r="FK147" i="2"/>
  <c r="FK179" i="2"/>
  <c r="FK184" i="2"/>
  <c r="FK55" i="2"/>
  <c r="FK28" i="2"/>
  <c r="FK35" i="2"/>
  <c r="FK105" i="2"/>
  <c r="FK108" i="2"/>
  <c r="FK144" i="2"/>
  <c r="FK155" i="2"/>
  <c r="FK140" i="2"/>
  <c r="FK21" i="2"/>
  <c r="FK187" i="2"/>
  <c r="FK30" i="2"/>
  <c r="FK71" i="2"/>
  <c r="FK74" i="2"/>
  <c r="FK173" i="2"/>
  <c r="FK121" i="2"/>
  <c r="FK32" i="2"/>
  <c r="FK131" i="2"/>
  <c r="FK171" i="2"/>
  <c r="FK125" i="2"/>
  <c r="FK25" i="2"/>
  <c r="FK15" i="2"/>
  <c r="FK26" i="2"/>
  <c r="FK118" i="2"/>
  <c r="FK65" i="2"/>
  <c r="FK70" i="2"/>
  <c r="FK19" i="2"/>
  <c r="FK115" i="2"/>
  <c r="FK120" i="2"/>
  <c r="FK190" i="2"/>
  <c r="FK180" i="2"/>
  <c r="FK170" i="2"/>
  <c r="FK41" i="2"/>
  <c r="FK44" i="2"/>
  <c r="FK151" i="2"/>
  <c r="FK91" i="2"/>
  <c r="FK4" i="2"/>
  <c r="FK195" i="2"/>
  <c r="FK130" i="2"/>
  <c r="FK37" i="2"/>
  <c r="FK5" i="2"/>
  <c r="FK7" i="2"/>
  <c r="FK145" i="2"/>
  <c r="FK45" i="2"/>
  <c r="FK57" i="2"/>
  <c r="FK103" i="2"/>
  <c r="FK138" i="2"/>
  <c r="FK107" i="2"/>
  <c r="FK139" i="2"/>
  <c r="FK96" i="2"/>
  <c r="FK150" i="2"/>
  <c r="FK97" i="2"/>
  <c r="FK189" i="2"/>
  <c r="FK200" i="2"/>
  <c r="FK6" i="2"/>
  <c r="FK90" i="2"/>
  <c r="FK51" i="2"/>
  <c r="FK56" i="2"/>
  <c r="FK126" i="2"/>
  <c r="FK52" i="2"/>
  <c r="FK106" i="2"/>
  <c r="FK176" i="2"/>
  <c r="FK148" i="2"/>
  <c r="FK158" i="2"/>
  <c r="FK27" i="2"/>
  <c r="FK36" i="2"/>
  <c r="FK17" i="2"/>
  <c r="FK137" i="2"/>
  <c r="FK68" i="2"/>
  <c r="FK142" i="2"/>
  <c r="FK152" i="2"/>
  <c r="FK123" i="2"/>
  <c r="FK192" i="2"/>
  <c r="FK174" i="2"/>
  <c r="FK10" i="2"/>
  <c r="FK43" i="2"/>
  <c r="FK75" i="2"/>
  <c r="FK167" i="2"/>
  <c r="FK86" i="2"/>
  <c r="FK168" i="2"/>
  <c r="FK61" i="2"/>
  <c r="FK136" i="2"/>
  <c r="FK141" i="2"/>
  <c r="FK161" i="2"/>
  <c r="FK186" i="2"/>
  <c r="FK191" i="2"/>
  <c r="FK62" i="2"/>
  <c r="FK60" i="2"/>
  <c r="FK42" i="2"/>
  <c r="FK112" i="2"/>
  <c r="CE13" i="2"/>
  <c r="CE127" i="2"/>
  <c r="CE153" i="2"/>
  <c r="CE123" i="2"/>
  <c r="CE28" i="2"/>
  <c r="CE145" i="2"/>
  <c r="CE67" i="2"/>
  <c r="CE201" i="2"/>
  <c r="CE49" i="2"/>
  <c r="CE11" i="2"/>
  <c r="CE136" i="2"/>
  <c r="CE151" i="2"/>
  <c r="CE42" i="2"/>
  <c r="CE41" i="2"/>
  <c r="CE64" i="2"/>
  <c r="CE191" i="2"/>
  <c r="CE142" i="2"/>
  <c r="CE33" i="2"/>
  <c r="CE164" i="2"/>
  <c r="CE86" i="2"/>
  <c r="CE149" i="2"/>
  <c r="CE167" i="2"/>
  <c r="CE30" i="2"/>
  <c r="CE63" i="2"/>
  <c r="CE56" i="2"/>
  <c r="CE77" i="2"/>
  <c r="CE202" i="2"/>
  <c r="CE182" i="2"/>
  <c r="CE21" i="2"/>
  <c r="CE137" i="2"/>
  <c r="CE176" i="2"/>
  <c r="CE131" i="2"/>
  <c r="CE44" i="2"/>
  <c r="CE175" i="2"/>
  <c r="CE75" i="2"/>
  <c r="CE17" i="2"/>
  <c r="CE109" i="2"/>
  <c r="CE19" i="2"/>
  <c r="CE146" i="2"/>
  <c r="CE161" i="2"/>
  <c r="CE50" i="2"/>
  <c r="CE57" i="2"/>
  <c r="CE80" i="2"/>
  <c r="CE39" i="2"/>
  <c r="CE150" i="2"/>
  <c r="CE97" i="2"/>
  <c r="CE184" i="2"/>
  <c r="CE94" i="2"/>
  <c r="CE160" i="2"/>
  <c r="CE84" i="2"/>
  <c r="CE38" i="2"/>
  <c r="CE79" i="2"/>
  <c r="CE100" i="2"/>
  <c r="CE85" i="2"/>
  <c r="CE81" i="2"/>
  <c r="CE200" i="2"/>
  <c r="CE29" i="2"/>
  <c r="CE148" i="2"/>
  <c r="CE199" i="2"/>
  <c r="CE139" i="2"/>
  <c r="CE60" i="2"/>
  <c r="CE198" i="2"/>
  <c r="CE83" i="2"/>
  <c r="CE65" i="2"/>
  <c r="CE152" i="2"/>
  <c r="CE27" i="2"/>
  <c r="CE157" i="2"/>
  <c r="CE171" i="2"/>
  <c r="CE58" i="2"/>
  <c r="CE73" i="2"/>
  <c r="CE96" i="2"/>
  <c r="CE113" i="2"/>
  <c r="CE158" i="2"/>
  <c r="CE130" i="2"/>
  <c r="CE24" i="2"/>
  <c r="CE102" i="2"/>
  <c r="CE170" i="2"/>
  <c r="CE144" i="2"/>
  <c r="CE46" i="2"/>
  <c r="CE95" i="2"/>
  <c r="CE132" i="2"/>
  <c r="CE93" i="2"/>
  <c r="CE141" i="2"/>
  <c r="CE165" i="2"/>
  <c r="CE37" i="2"/>
  <c r="CE159" i="2"/>
  <c r="CE8" i="2"/>
  <c r="CE147" i="2"/>
  <c r="CE76" i="2"/>
  <c r="CE7" i="2"/>
  <c r="CE91" i="2"/>
  <c r="CE120" i="2"/>
  <c r="CE181" i="2"/>
  <c r="CE35" i="2"/>
  <c r="CE168" i="2"/>
  <c r="CE180" i="2"/>
  <c r="CE66" i="2"/>
  <c r="CE89" i="2"/>
  <c r="CE108" i="2"/>
  <c r="CE173" i="2"/>
  <c r="CE10" i="2"/>
  <c r="CE166" i="2"/>
  <c r="CE172" i="2"/>
  <c r="CE71" i="2"/>
  <c r="CE110" i="2"/>
  <c r="CE179" i="2"/>
  <c r="CE23" i="2"/>
  <c r="CE54" i="2"/>
  <c r="CE106" i="2"/>
  <c r="CE156" i="2"/>
  <c r="CE101" i="2"/>
  <c r="CE197" i="2"/>
  <c r="CE36" i="2"/>
  <c r="CE45" i="2"/>
  <c r="CE169" i="2"/>
  <c r="CE55" i="2"/>
  <c r="CE155" i="2"/>
  <c r="CE92" i="2"/>
  <c r="CE52" i="2"/>
  <c r="CE99" i="2"/>
  <c r="CE162" i="2"/>
  <c r="CE40" i="2"/>
  <c r="CE43" i="2"/>
  <c r="CE177" i="2"/>
  <c r="CE188" i="2"/>
  <c r="CE74" i="2"/>
  <c r="CE104" i="2"/>
  <c r="CE119" i="2"/>
  <c r="CE18" i="2"/>
  <c r="CE174" i="2"/>
  <c r="CE16" i="2"/>
  <c r="CE135" i="2"/>
  <c r="CE118" i="2"/>
  <c r="CE187" i="2"/>
  <c r="CE68" i="2"/>
  <c r="CE62" i="2"/>
  <c r="CE117" i="2"/>
  <c r="CE183" i="2"/>
  <c r="CE6" i="2"/>
  <c r="CE15" i="2"/>
  <c r="CE143" i="2"/>
  <c r="CE53" i="2"/>
  <c r="CE178" i="2"/>
  <c r="CE98" i="2"/>
  <c r="CE163" i="2"/>
  <c r="CE105" i="2"/>
  <c r="CE88" i="2"/>
  <c r="CE107" i="2"/>
  <c r="CE189" i="2"/>
  <c r="CE87" i="2"/>
  <c r="CE51" i="2"/>
  <c r="CE185" i="2"/>
  <c r="CE196" i="2"/>
  <c r="CE82" i="2"/>
  <c r="CE114" i="2"/>
  <c r="CE129" i="2"/>
  <c r="CE26" i="2"/>
  <c r="CE9" i="2"/>
  <c r="CE32" i="2"/>
  <c r="CE190" i="2"/>
  <c r="CE126" i="2"/>
  <c r="CE195" i="2"/>
  <c r="CE103" i="2"/>
  <c r="CE70" i="2"/>
  <c r="CE128" i="2"/>
  <c r="CE111" i="2"/>
  <c r="CE14" i="2"/>
  <c r="CE31" i="2"/>
  <c r="CE192" i="2"/>
  <c r="CE61" i="2"/>
  <c r="CE186" i="2"/>
  <c r="CE124" i="2"/>
  <c r="CE5" i="2"/>
  <c r="CE116" i="2"/>
  <c r="CE122" i="2"/>
  <c r="CE115" i="2"/>
  <c r="CE12" i="2"/>
  <c r="CE121" i="2"/>
  <c r="CE59" i="2"/>
  <c r="CE193" i="2"/>
  <c r="CE4" i="2"/>
  <c r="CE90" i="2"/>
  <c r="CE125" i="2"/>
  <c r="CE140" i="2"/>
  <c r="CE34" i="2"/>
  <c r="CE25" i="2"/>
  <c r="CE48" i="2"/>
  <c r="CE112" i="2"/>
  <c r="CE134" i="2"/>
  <c r="CE203" i="2"/>
  <c r="CE133" i="2"/>
  <c r="CE78" i="2"/>
  <c r="CE138" i="2"/>
  <c r="CE72" i="2"/>
  <c r="CE22" i="2"/>
  <c r="CE47" i="2"/>
  <c r="CE20" i="2"/>
  <c r="CE69" i="2"/>
  <c r="CE194" i="2"/>
  <c r="CE154" i="2"/>
  <c r="FE105" i="2"/>
  <c r="FF104" i="2"/>
  <c r="FG104" i="2" s="1"/>
  <c r="FH104" i="2" s="1"/>
  <c r="FI104" i="2" s="1"/>
  <c r="EJ105" i="2"/>
  <c r="EK104" i="2"/>
  <c r="EL104" i="2" s="1"/>
  <c r="EM104" i="2" s="1"/>
  <c r="EN104" i="2" s="1"/>
  <c r="DO105" i="2"/>
  <c r="DP104" i="2"/>
  <c r="DQ104" i="2" s="1"/>
  <c r="DR104" i="2" s="1"/>
  <c r="DS104" i="2" s="1"/>
  <c r="CT105" i="2"/>
  <c r="CU104" i="2"/>
  <c r="CV104" i="2" s="1"/>
  <c r="CW104" i="2" s="1"/>
  <c r="CX104" i="2" s="1"/>
  <c r="BY105" i="2"/>
  <c r="BZ104" i="2"/>
  <c r="CA104" i="2" s="1"/>
  <c r="CB104" i="2" s="1"/>
  <c r="CC104" i="2" s="1"/>
  <c r="N105" i="2"/>
  <c r="O104" i="2"/>
  <c r="P104" i="2" s="1"/>
  <c r="Q104" i="2" s="1"/>
  <c r="R104" i="2" s="1"/>
  <c r="GA104" i="2"/>
  <c r="GB104" i="2" s="1"/>
  <c r="GC104" i="2" s="1"/>
  <c r="GD104" i="2" s="1"/>
  <c r="GV104" i="2"/>
  <c r="GW104" i="2" s="1"/>
  <c r="GX104" i="2" s="1"/>
  <c r="GY104" i="2" s="1"/>
  <c r="AJ104" i="2"/>
  <c r="AK104" i="2" s="1"/>
  <c r="AL104" i="2" s="1"/>
  <c r="AM104" i="2" s="1"/>
  <c r="FE106" i="2" l="1"/>
  <c r="FF105" i="2"/>
  <c r="FG105" i="2" s="1"/>
  <c r="FH105" i="2" s="1"/>
  <c r="FI105" i="2" s="1"/>
  <c r="EJ106" i="2"/>
  <c r="EK105" i="2"/>
  <c r="EL105" i="2" s="1"/>
  <c r="EM105" i="2" s="1"/>
  <c r="EN105" i="2" s="1"/>
  <c r="DO106" i="2"/>
  <c r="DP105" i="2"/>
  <c r="DQ105" i="2" s="1"/>
  <c r="DR105" i="2" s="1"/>
  <c r="DS105" i="2" s="1"/>
  <c r="CT106" i="2"/>
  <c r="CU105" i="2"/>
  <c r="CV105" i="2" s="1"/>
  <c r="CW105" i="2" s="1"/>
  <c r="CX105" i="2" s="1"/>
  <c r="BY106" i="2"/>
  <c r="BZ105" i="2"/>
  <c r="CA105" i="2" s="1"/>
  <c r="CB105" i="2" s="1"/>
  <c r="CC105" i="2" s="1"/>
  <c r="N106" i="2"/>
  <c r="O105" i="2"/>
  <c r="P105" i="2" s="1"/>
  <c r="Q105" i="2" s="1"/>
  <c r="R105" i="2" s="1"/>
  <c r="GA105" i="2"/>
  <c r="GB105" i="2" s="1"/>
  <c r="GC105" i="2" s="1"/>
  <c r="GD105" i="2" s="1"/>
  <c r="GV105" i="2"/>
  <c r="GW105" i="2" s="1"/>
  <c r="GX105" i="2" s="1"/>
  <c r="GY105" i="2" s="1"/>
  <c r="AJ105" i="2"/>
  <c r="AK105" i="2" s="1"/>
  <c r="AL105" i="2" s="1"/>
  <c r="AM105" i="2" s="1"/>
  <c r="FE107" i="2" l="1"/>
  <c r="FF106" i="2"/>
  <c r="FG106" i="2" s="1"/>
  <c r="FH106" i="2" s="1"/>
  <c r="FI106" i="2" s="1"/>
  <c r="EJ107" i="2"/>
  <c r="EK106" i="2"/>
  <c r="EL106" i="2" s="1"/>
  <c r="EM106" i="2" s="1"/>
  <c r="EN106" i="2" s="1"/>
  <c r="DO107" i="2"/>
  <c r="DP106" i="2"/>
  <c r="DQ106" i="2" s="1"/>
  <c r="DR106" i="2" s="1"/>
  <c r="DS106" i="2" s="1"/>
  <c r="CT107" i="2"/>
  <c r="CU106" i="2"/>
  <c r="CV106" i="2" s="1"/>
  <c r="CW106" i="2" s="1"/>
  <c r="CX106" i="2" s="1"/>
  <c r="BY107" i="2"/>
  <c r="BZ106" i="2"/>
  <c r="CA106" i="2" s="1"/>
  <c r="CB106" i="2" s="1"/>
  <c r="CC106" i="2" s="1"/>
  <c r="N107" i="2"/>
  <c r="O106" i="2"/>
  <c r="P106" i="2" s="1"/>
  <c r="Q106" i="2" s="1"/>
  <c r="R106" i="2" s="1"/>
  <c r="GA106" i="2"/>
  <c r="GB106" i="2" s="1"/>
  <c r="GC106" i="2" s="1"/>
  <c r="GD106" i="2" s="1"/>
  <c r="GV106" i="2"/>
  <c r="GW106" i="2" s="1"/>
  <c r="GX106" i="2" s="1"/>
  <c r="GY106" i="2" s="1"/>
  <c r="AJ106" i="2"/>
  <c r="AK106" i="2" s="1"/>
  <c r="AL106" i="2" s="1"/>
  <c r="AM106" i="2" s="1"/>
  <c r="J8" i="4"/>
  <c r="J16" i="4" s="1"/>
  <c r="FE108" i="2" l="1"/>
  <c r="FF107" i="2"/>
  <c r="FG107" i="2" s="1"/>
  <c r="FH107" i="2" s="1"/>
  <c r="FI107" i="2" s="1"/>
  <c r="EJ108" i="2"/>
  <c r="EK107" i="2"/>
  <c r="EL107" i="2" s="1"/>
  <c r="EM107" i="2" s="1"/>
  <c r="EN107" i="2" s="1"/>
  <c r="DO108" i="2"/>
  <c r="DP107" i="2"/>
  <c r="DQ107" i="2" s="1"/>
  <c r="DR107" i="2" s="1"/>
  <c r="DS107" i="2" s="1"/>
  <c r="CT108" i="2"/>
  <c r="CU107" i="2"/>
  <c r="CV107" i="2" s="1"/>
  <c r="CW107" i="2" s="1"/>
  <c r="CX107" i="2" s="1"/>
  <c r="BY108" i="2"/>
  <c r="BZ107" i="2"/>
  <c r="CA107" i="2" s="1"/>
  <c r="CB107" i="2" s="1"/>
  <c r="CC107" i="2" s="1"/>
  <c r="N108" i="2"/>
  <c r="O107" i="2"/>
  <c r="P107" i="2" s="1"/>
  <c r="Q107" i="2" s="1"/>
  <c r="R107" i="2" s="1"/>
  <c r="GA107" i="2"/>
  <c r="GB107" i="2" s="1"/>
  <c r="GC107" i="2" s="1"/>
  <c r="GD107" i="2" s="1"/>
  <c r="GV107" i="2"/>
  <c r="GW107" i="2" s="1"/>
  <c r="GX107" i="2" s="1"/>
  <c r="GY107" i="2" s="1"/>
  <c r="AJ107" i="2"/>
  <c r="AK107" i="2" s="1"/>
  <c r="AL107" i="2" s="1"/>
  <c r="AM107" i="2" s="1"/>
  <c r="BS19" i="2"/>
  <c r="BE20" i="2"/>
  <c r="BF20" i="2" s="1"/>
  <c r="BE21" i="2"/>
  <c r="K8" i="4"/>
  <c r="K16" i="4" s="1"/>
  <c r="FE109" i="2" l="1"/>
  <c r="FF108" i="2"/>
  <c r="FG108" i="2" s="1"/>
  <c r="FH108" i="2" s="1"/>
  <c r="FI108" i="2" s="1"/>
  <c r="EJ109" i="2"/>
  <c r="EK108" i="2"/>
  <c r="EL108" i="2" s="1"/>
  <c r="EM108" i="2" s="1"/>
  <c r="EN108" i="2" s="1"/>
  <c r="DO109" i="2"/>
  <c r="DP108" i="2"/>
  <c r="DQ108" i="2" s="1"/>
  <c r="DR108" i="2" s="1"/>
  <c r="DS108" i="2" s="1"/>
  <c r="CT109" i="2"/>
  <c r="CU108" i="2"/>
  <c r="CV108" i="2" s="1"/>
  <c r="CW108" i="2" s="1"/>
  <c r="CX108" i="2" s="1"/>
  <c r="BY109" i="2"/>
  <c r="BZ108" i="2"/>
  <c r="CA108" i="2" s="1"/>
  <c r="CB108" i="2" s="1"/>
  <c r="CC108" i="2" s="1"/>
  <c r="N109" i="2"/>
  <c r="O108" i="2"/>
  <c r="P108" i="2" s="1"/>
  <c r="Q108" i="2" s="1"/>
  <c r="R108" i="2" s="1"/>
  <c r="GA108" i="2"/>
  <c r="GB108" i="2" s="1"/>
  <c r="GC108" i="2" s="1"/>
  <c r="GD108" i="2" s="1"/>
  <c r="GV108" i="2"/>
  <c r="GW108" i="2" s="1"/>
  <c r="GX108" i="2" s="1"/>
  <c r="GY108" i="2" s="1"/>
  <c r="AJ108" i="2"/>
  <c r="AK108" i="2" s="1"/>
  <c r="AL108" i="2" s="1"/>
  <c r="AM108" i="2" s="1"/>
  <c r="BG20" i="2"/>
  <c r="BH20" i="2" s="1"/>
  <c r="BS20" i="2"/>
  <c r="BE22" i="2"/>
  <c r="BF21" i="2"/>
  <c r="BG21" i="2" s="1"/>
  <c r="BH21" i="2" s="1"/>
  <c r="FE110" i="2" l="1"/>
  <c r="FF109" i="2"/>
  <c r="FG109" i="2" s="1"/>
  <c r="FH109" i="2" s="1"/>
  <c r="FI109" i="2" s="1"/>
  <c r="EJ110" i="2"/>
  <c r="EK109" i="2"/>
  <c r="EL109" i="2" s="1"/>
  <c r="EM109" i="2" s="1"/>
  <c r="EN109" i="2" s="1"/>
  <c r="DO110" i="2"/>
  <c r="DP109" i="2"/>
  <c r="DQ109" i="2" s="1"/>
  <c r="DR109" i="2" s="1"/>
  <c r="DS109" i="2" s="1"/>
  <c r="CT110" i="2"/>
  <c r="CU109" i="2"/>
  <c r="CV109" i="2" s="1"/>
  <c r="CW109" i="2" s="1"/>
  <c r="CX109" i="2" s="1"/>
  <c r="BY110" i="2"/>
  <c r="BZ109" i="2"/>
  <c r="CA109" i="2" s="1"/>
  <c r="CB109" i="2" s="1"/>
  <c r="CC109" i="2" s="1"/>
  <c r="N110" i="2"/>
  <c r="O109" i="2"/>
  <c r="P109" i="2" s="1"/>
  <c r="Q109" i="2" s="1"/>
  <c r="R109" i="2" s="1"/>
  <c r="GA109" i="2"/>
  <c r="GB109" i="2" s="1"/>
  <c r="GC109" i="2" s="1"/>
  <c r="GD109" i="2" s="1"/>
  <c r="GV109" i="2"/>
  <c r="GW109" i="2" s="1"/>
  <c r="GX109" i="2" s="1"/>
  <c r="GY109" i="2" s="1"/>
  <c r="AJ109" i="2"/>
  <c r="AK109" i="2" s="1"/>
  <c r="AL109" i="2" s="1"/>
  <c r="AM109" i="2" s="1"/>
  <c r="BS21" i="2"/>
  <c r="BF22" i="2"/>
  <c r="BG22" i="2" s="1"/>
  <c r="BH22" i="2" s="1"/>
  <c r="BE23" i="2"/>
  <c r="FE111" i="2" l="1"/>
  <c r="FF110" i="2"/>
  <c r="FG110" i="2" s="1"/>
  <c r="FH110" i="2" s="1"/>
  <c r="FI110" i="2" s="1"/>
  <c r="EJ111" i="2"/>
  <c r="EK110" i="2"/>
  <c r="EL110" i="2" s="1"/>
  <c r="EM110" i="2" s="1"/>
  <c r="EN110" i="2" s="1"/>
  <c r="DO111" i="2"/>
  <c r="DP110" i="2"/>
  <c r="DQ110" i="2" s="1"/>
  <c r="DR110" i="2" s="1"/>
  <c r="DS110" i="2" s="1"/>
  <c r="CT111" i="2"/>
  <c r="CU110" i="2"/>
  <c r="CV110" i="2" s="1"/>
  <c r="CW110" i="2" s="1"/>
  <c r="CX110" i="2" s="1"/>
  <c r="BY111" i="2"/>
  <c r="BZ110" i="2"/>
  <c r="CA110" i="2" s="1"/>
  <c r="CB110" i="2" s="1"/>
  <c r="CC110" i="2" s="1"/>
  <c r="N111" i="2"/>
  <c r="O110" i="2"/>
  <c r="P110" i="2" s="1"/>
  <c r="Q110" i="2" s="1"/>
  <c r="R110" i="2" s="1"/>
  <c r="GA110" i="2"/>
  <c r="GB110" i="2" s="1"/>
  <c r="GC110" i="2" s="1"/>
  <c r="GD110" i="2" s="1"/>
  <c r="GV110" i="2"/>
  <c r="GW110" i="2" s="1"/>
  <c r="GX110" i="2" s="1"/>
  <c r="GY110" i="2" s="1"/>
  <c r="AJ110" i="2"/>
  <c r="AK110" i="2" s="1"/>
  <c r="AL110" i="2" s="1"/>
  <c r="AM110" i="2" s="1"/>
  <c r="BS22" i="2"/>
  <c r="BE24" i="2"/>
  <c r="BF23" i="2"/>
  <c r="BG23" i="2" s="1"/>
  <c r="BH23" i="2" s="1"/>
  <c r="FE112" i="2" l="1"/>
  <c r="FF111" i="2"/>
  <c r="FG111" i="2" s="1"/>
  <c r="FH111" i="2" s="1"/>
  <c r="FI111" i="2" s="1"/>
  <c r="EJ112" i="2"/>
  <c r="EK111" i="2"/>
  <c r="EL111" i="2" s="1"/>
  <c r="EM111" i="2" s="1"/>
  <c r="EN111" i="2" s="1"/>
  <c r="DO112" i="2"/>
  <c r="DP111" i="2"/>
  <c r="DQ111" i="2" s="1"/>
  <c r="DR111" i="2" s="1"/>
  <c r="DS111" i="2" s="1"/>
  <c r="CT112" i="2"/>
  <c r="CU111" i="2"/>
  <c r="CV111" i="2" s="1"/>
  <c r="CW111" i="2" s="1"/>
  <c r="CX111" i="2" s="1"/>
  <c r="BY112" i="2"/>
  <c r="BZ111" i="2"/>
  <c r="CA111" i="2" s="1"/>
  <c r="CB111" i="2" s="1"/>
  <c r="CC111" i="2" s="1"/>
  <c r="N112" i="2"/>
  <c r="O111" i="2"/>
  <c r="P111" i="2" s="1"/>
  <c r="Q111" i="2" s="1"/>
  <c r="R111" i="2" s="1"/>
  <c r="GA111" i="2"/>
  <c r="GB111" i="2" s="1"/>
  <c r="GC111" i="2" s="1"/>
  <c r="GD111" i="2" s="1"/>
  <c r="GV111" i="2"/>
  <c r="GW111" i="2" s="1"/>
  <c r="GX111" i="2" s="1"/>
  <c r="GY111" i="2" s="1"/>
  <c r="AJ111" i="2"/>
  <c r="AK111" i="2" s="1"/>
  <c r="AL111" i="2" s="1"/>
  <c r="AM111" i="2" s="1"/>
  <c r="BE25" i="2"/>
  <c r="BS23" i="2"/>
  <c r="BF24" i="2"/>
  <c r="BG24" i="2" s="1"/>
  <c r="BH24" i="2" s="1"/>
  <c r="FE113" i="2" l="1"/>
  <c r="FF112" i="2"/>
  <c r="FG112" i="2" s="1"/>
  <c r="FH112" i="2" s="1"/>
  <c r="FI112" i="2" s="1"/>
  <c r="EJ113" i="2"/>
  <c r="EK112" i="2"/>
  <c r="EL112" i="2" s="1"/>
  <c r="EM112" i="2" s="1"/>
  <c r="EN112" i="2" s="1"/>
  <c r="DO113" i="2"/>
  <c r="DP112" i="2"/>
  <c r="DQ112" i="2" s="1"/>
  <c r="DR112" i="2" s="1"/>
  <c r="DS112" i="2" s="1"/>
  <c r="CT113" i="2"/>
  <c r="CU112" i="2"/>
  <c r="CV112" i="2" s="1"/>
  <c r="CW112" i="2" s="1"/>
  <c r="CX112" i="2" s="1"/>
  <c r="BY113" i="2"/>
  <c r="BZ112" i="2"/>
  <c r="CA112" i="2" s="1"/>
  <c r="CB112" i="2" s="1"/>
  <c r="CC112" i="2" s="1"/>
  <c r="N113" i="2"/>
  <c r="O112" i="2"/>
  <c r="P112" i="2" s="1"/>
  <c r="Q112" i="2" s="1"/>
  <c r="R112" i="2" s="1"/>
  <c r="GA112" i="2"/>
  <c r="GB112" i="2" s="1"/>
  <c r="GC112" i="2" s="1"/>
  <c r="GD112" i="2" s="1"/>
  <c r="GV112" i="2"/>
  <c r="GW112" i="2" s="1"/>
  <c r="GX112" i="2" s="1"/>
  <c r="GY112" i="2" s="1"/>
  <c r="AJ112" i="2"/>
  <c r="AK112" i="2" s="1"/>
  <c r="AL112" i="2" s="1"/>
  <c r="AM112" i="2" s="1"/>
  <c r="BS24" i="2"/>
  <c r="BE26" i="2"/>
  <c r="BF25" i="2"/>
  <c r="BG25" i="2" s="1"/>
  <c r="BH25" i="2" s="1"/>
  <c r="FE114" i="2" l="1"/>
  <c r="FF113" i="2"/>
  <c r="FG113" i="2" s="1"/>
  <c r="FH113" i="2" s="1"/>
  <c r="FI113" i="2" s="1"/>
  <c r="EJ114" i="2"/>
  <c r="EK113" i="2"/>
  <c r="EL113" i="2" s="1"/>
  <c r="EM113" i="2" s="1"/>
  <c r="EN113" i="2" s="1"/>
  <c r="DO114" i="2"/>
  <c r="DP113" i="2"/>
  <c r="DQ113" i="2" s="1"/>
  <c r="DR113" i="2" s="1"/>
  <c r="DS113" i="2" s="1"/>
  <c r="CT114" i="2"/>
  <c r="CU113" i="2"/>
  <c r="CV113" i="2" s="1"/>
  <c r="CW113" i="2" s="1"/>
  <c r="CX113" i="2" s="1"/>
  <c r="BY114" i="2"/>
  <c r="BZ113" i="2"/>
  <c r="CA113" i="2" s="1"/>
  <c r="CB113" i="2" s="1"/>
  <c r="CC113" i="2" s="1"/>
  <c r="N114" i="2"/>
  <c r="O113" i="2"/>
  <c r="P113" i="2" s="1"/>
  <c r="Q113" i="2" s="1"/>
  <c r="R113" i="2" s="1"/>
  <c r="GA113" i="2"/>
  <c r="GB113" i="2" s="1"/>
  <c r="GC113" i="2" s="1"/>
  <c r="GD113" i="2" s="1"/>
  <c r="GV113" i="2"/>
  <c r="GW113" i="2" s="1"/>
  <c r="GX113" i="2" s="1"/>
  <c r="GY113" i="2" s="1"/>
  <c r="AJ113" i="2"/>
  <c r="AK113" i="2" s="1"/>
  <c r="AL113" i="2" s="1"/>
  <c r="AM113" i="2" s="1"/>
  <c r="BE27" i="2"/>
  <c r="BS25" i="2"/>
  <c r="BF26" i="2"/>
  <c r="BG26" i="2" s="1"/>
  <c r="BH26" i="2" s="1"/>
  <c r="FE115" i="2" l="1"/>
  <c r="FF114" i="2"/>
  <c r="FG114" i="2" s="1"/>
  <c r="FH114" i="2" s="1"/>
  <c r="FI114" i="2" s="1"/>
  <c r="EJ115" i="2"/>
  <c r="EK114" i="2"/>
  <c r="EL114" i="2" s="1"/>
  <c r="EM114" i="2" s="1"/>
  <c r="EN114" i="2" s="1"/>
  <c r="DO115" i="2"/>
  <c r="DP114" i="2"/>
  <c r="DQ114" i="2" s="1"/>
  <c r="DR114" i="2" s="1"/>
  <c r="DS114" i="2" s="1"/>
  <c r="CT115" i="2"/>
  <c r="CU114" i="2"/>
  <c r="CV114" i="2" s="1"/>
  <c r="CW114" i="2" s="1"/>
  <c r="CX114" i="2" s="1"/>
  <c r="BY115" i="2"/>
  <c r="BZ114" i="2"/>
  <c r="CA114" i="2" s="1"/>
  <c r="CB114" i="2" s="1"/>
  <c r="CC114" i="2" s="1"/>
  <c r="N115" i="2"/>
  <c r="O114" i="2"/>
  <c r="P114" i="2" s="1"/>
  <c r="Q114" i="2" s="1"/>
  <c r="R114" i="2" s="1"/>
  <c r="GA114" i="2"/>
  <c r="GB114" i="2" s="1"/>
  <c r="GC114" i="2" s="1"/>
  <c r="GD114" i="2" s="1"/>
  <c r="GV114" i="2"/>
  <c r="GW114" i="2" s="1"/>
  <c r="GX114" i="2" s="1"/>
  <c r="GY114" i="2" s="1"/>
  <c r="AJ114" i="2"/>
  <c r="AK114" i="2" s="1"/>
  <c r="AL114" i="2" s="1"/>
  <c r="AM114" i="2" s="1"/>
  <c r="BS26" i="2"/>
  <c r="BE28" i="2"/>
  <c r="BF27" i="2"/>
  <c r="BG27" i="2" s="1"/>
  <c r="BH27" i="2" s="1"/>
  <c r="FE116" i="2" l="1"/>
  <c r="FF115" i="2"/>
  <c r="FG115" i="2" s="1"/>
  <c r="FH115" i="2" s="1"/>
  <c r="FI115" i="2" s="1"/>
  <c r="EJ116" i="2"/>
  <c r="EK115" i="2"/>
  <c r="EL115" i="2" s="1"/>
  <c r="EM115" i="2" s="1"/>
  <c r="EN115" i="2" s="1"/>
  <c r="DO116" i="2"/>
  <c r="DP115" i="2"/>
  <c r="DQ115" i="2" s="1"/>
  <c r="DR115" i="2" s="1"/>
  <c r="DS115" i="2" s="1"/>
  <c r="CT116" i="2"/>
  <c r="CU115" i="2"/>
  <c r="CV115" i="2" s="1"/>
  <c r="CW115" i="2" s="1"/>
  <c r="CX115" i="2" s="1"/>
  <c r="BY116" i="2"/>
  <c r="BZ115" i="2"/>
  <c r="CA115" i="2" s="1"/>
  <c r="CB115" i="2" s="1"/>
  <c r="CC115" i="2" s="1"/>
  <c r="N116" i="2"/>
  <c r="O115" i="2"/>
  <c r="P115" i="2" s="1"/>
  <c r="Q115" i="2" s="1"/>
  <c r="R115" i="2" s="1"/>
  <c r="GA115" i="2"/>
  <c r="GB115" i="2" s="1"/>
  <c r="GC115" i="2" s="1"/>
  <c r="GD115" i="2" s="1"/>
  <c r="GV115" i="2"/>
  <c r="GW115" i="2" s="1"/>
  <c r="GX115" i="2" s="1"/>
  <c r="GY115" i="2" s="1"/>
  <c r="AJ115" i="2"/>
  <c r="AK115" i="2" s="1"/>
  <c r="AL115" i="2" s="1"/>
  <c r="AM115" i="2" s="1"/>
  <c r="BE29" i="2"/>
  <c r="BS27" i="2"/>
  <c r="BF28" i="2"/>
  <c r="BG28" i="2" s="1"/>
  <c r="BH28" i="2" s="1"/>
  <c r="FE117" i="2" l="1"/>
  <c r="FF116" i="2"/>
  <c r="FG116" i="2" s="1"/>
  <c r="FH116" i="2" s="1"/>
  <c r="FI116" i="2" s="1"/>
  <c r="EJ117" i="2"/>
  <c r="EK116" i="2"/>
  <c r="EL116" i="2" s="1"/>
  <c r="EM116" i="2" s="1"/>
  <c r="EN116" i="2" s="1"/>
  <c r="DO117" i="2"/>
  <c r="DP116" i="2"/>
  <c r="DQ116" i="2" s="1"/>
  <c r="DR116" i="2" s="1"/>
  <c r="DS116" i="2" s="1"/>
  <c r="CT117" i="2"/>
  <c r="CU116" i="2"/>
  <c r="CV116" i="2" s="1"/>
  <c r="CW116" i="2" s="1"/>
  <c r="CX116" i="2" s="1"/>
  <c r="BY117" i="2"/>
  <c r="BZ116" i="2"/>
  <c r="CA116" i="2" s="1"/>
  <c r="CB116" i="2" s="1"/>
  <c r="CC116" i="2" s="1"/>
  <c r="N117" i="2"/>
  <c r="O116" i="2"/>
  <c r="P116" i="2" s="1"/>
  <c r="Q116" i="2" s="1"/>
  <c r="R116" i="2" s="1"/>
  <c r="GA116" i="2"/>
  <c r="GB116" i="2" s="1"/>
  <c r="GC116" i="2" s="1"/>
  <c r="GD116" i="2" s="1"/>
  <c r="GV116" i="2"/>
  <c r="GW116" i="2" s="1"/>
  <c r="GX116" i="2" s="1"/>
  <c r="GY116" i="2" s="1"/>
  <c r="AJ116" i="2"/>
  <c r="AK116" i="2" s="1"/>
  <c r="AL116" i="2" s="1"/>
  <c r="AM116" i="2" s="1"/>
  <c r="BS28" i="2"/>
  <c r="BE30" i="2"/>
  <c r="BF29" i="2"/>
  <c r="BG29" i="2" s="1"/>
  <c r="BH29" i="2" s="1"/>
  <c r="FE118" i="2" l="1"/>
  <c r="FF117" i="2"/>
  <c r="FG117" i="2" s="1"/>
  <c r="FH117" i="2" s="1"/>
  <c r="FI117" i="2" s="1"/>
  <c r="EJ118" i="2"/>
  <c r="EK117" i="2"/>
  <c r="EL117" i="2" s="1"/>
  <c r="EM117" i="2" s="1"/>
  <c r="EN117" i="2" s="1"/>
  <c r="DO118" i="2"/>
  <c r="DP117" i="2"/>
  <c r="DQ117" i="2" s="1"/>
  <c r="DR117" i="2" s="1"/>
  <c r="DS117" i="2" s="1"/>
  <c r="CT118" i="2"/>
  <c r="CU117" i="2"/>
  <c r="CV117" i="2" s="1"/>
  <c r="CW117" i="2" s="1"/>
  <c r="CX117" i="2" s="1"/>
  <c r="BY118" i="2"/>
  <c r="BZ117" i="2"/>
  <c r="CA117" i="2" s="1"/>
  <c r="CB117" i="2" s="1"/>
  <c r="CC117" i="2" s="1"/>
  <c r="N118" i="2"/>
  <c r="O117" i="2"/>
  <c r="P117" i="2" s="1"/>
  <c r="Q117" i="2" s="1"/>
  <c r="R117" i="2" s="1"/>
  <c r="GA117" i="2"/>
  <c r="GB117" i="2" s="1"/>
  <c r="GC117" i="2" s="1"/>
  <c r="GD117" i="2" s="1"/>
  <c r="GV117" i="2"/>
  <c r="GW117" i="2" s="1"/>
  <c r="GX117" i="2" s="1"/>
  <c r="GY117" i="2" s="1"/>
  <c r="AJ117" i="2"/>
  <c r="AK117" i="2" s="1"/>
  <c r="AL117" i="2" s="1"/>
  <c r="AM117" i="2" s="1"/>
  <c r="BF30" i="2"/>
  <c r="BG30" i="2" s="1"/>
  <c r="BH30" i="2" s="1"/>
  <c r="BE31" i="2"/>
  <c r="BS29" i="2"/>
  <c r="FE119" i="2" l="1"/>
  <c r="FF118" i="2"/>
  <c r="FG118" i="2" s="1"/>
  <c r="FH118" i="2" s="1"/>
  <c r="FI118" i="2" s="1"/>
  <c r="EJ119" i="2"/>
  <c r="EK118" i="2"/>
  <c r="EL118" i="2" s="1"/>
  <c r="EM118" i="2" s="1"/>
  <c r="EN118" i="2" s="1"/>
  <c r="DO119" i="2"/>
  <c r="DP118" i="2"/>
  <c r="DQ118" i="2" s="1"/>
  <c r="DR118" i="2" s="1"/>
  <c r="DS118" i="2" s="1"/>
  <c r="CT119" i="2"/>
  <c r="CU118" i="2"/>
  <c r="CV118" i="2" s="1"/>
  <c r="CW118" i="2" s="1"/>
  <c r="CX118" i="2" s="1"/>
  <c r="BY119" i="2"/>
  <c r="BZ118" i="2"/>
  <c r="CA118" i="2" s="1"/>
  <c r="CB118" i="2" s="1"/>
  <c r="CC118" i="2" s="1"/>
  <c r="N119" i="2"/>
  <c r="O118" i="2"/>
  <c r="P118" i="2" s="1"/>
  <c r="Q118" i="2" s="1"/>
  <c r="R118" i="2" s="1"/>
  <c r="GA118" i="2"/>
  <c r="GB118" i="2" s="1"/>
  <c r="GC118" i="2" s="1"/>
  <c r="GD118" i="2" s="1"/>
  <c r="GV118" i="2"/>
  <c r="GW118" i="2" s="1"/>
  <c r="GX118" i="2" s="1"/>
  <c r="GY118" i="2" s="1"/>
  <c r="AJ118" i="2"/>
  <c r="AK118" i="2" s="1"/>
  <c r="AL118" i="2" s="1"/>
  <c r="AM118" i="2" s="1"/>
  <c r="BF31" i="2"/>
  <c r="BG31" i="2" s="1"/>
  <c r="BH31" i="2" s="1"/>
  <c r="BS30" i="2"/>
  <c r="BE32" i="2"/>
  <c r="FE120" i="2" l="1"/>
  <c r="FF119" i="2"/>
  <c r="FG119" i="2" s="1"/>
  <c r="FH119" i="2" s="1"/>
  <c r="FI119" i="2" s="1"/>
  <c r="EJ120" i="2"/>
  <c r="EK119" i="2"/>
  <c r="EL119" i="2" s="1"/>
  <c r="EM119" i="2" s="1"/>
  <c r="EN119" i="2" s="1"/>
  <c r="DO120" i="2"/>
  <c r="DP119" i="2"/>
  <c r="DQ119" i="2" s="1"/>
  <c r="DR119" i="2" s="1"/>
  <c r="DS119" i="2" s="1"/>
  <c r="CT120" i="2"/>
  <c r="CU119" i="2"/>
  <c r="CV119" i="2" s="1"/>
  <c r="CW119" i="2" s="1"/>
  <c r="CX119" i="2" s="1"/>
  <c r="BY120" i="2"/>
  <c r="BZ119" i="2"/>
  <c r="CA119" i="2" s="1"/>
  <c r="CB119" i="2" s="1"/>
  <c r="CC119" i="2" s="1"/>
  <c r="N120" i="2"/>
  <c r="O119" i="2"/>
  <c r="P119" i="2" s="1"/>
  <c r="Q119" i="2" s="1"/>
  <c r="R119" i="2" s="1"/>
  <c r="GA119" i="2"/>
  <c r="GB119" i="2" s="1"/>
  <c r="GC119" i="2" s="1"/>
  <c r="GD119" i="2" s="1"/>
  <c r="GV119" i="2"/>
  <c r="GW119" i="2" s="1"/>
  <c r="GX119" i="2" s="1"/>
  <c r="GY119" i="2" s="1"/>
  <c r="AJ119" i="2"/>
  <c r="AK119" i="2" s="1"/>
  <c r="AL119" i="2" s="1"/>
  <c r="AM119" i="2" s="1"/>
  <c r="BF32" i="2"/>
  <c r="BG32" i="2" s="1"/>
  <c r="BH32" i="2" s="1"/>
  <c r="BE33" i="2"/>
  <c r="BS31" i="2"/>
  <c r="FE121" i="2" l="1"/>
  <c r="FF120" i="2"/>
  <c r="FG120" i="2" s="1"/>
  <c r="FH120" i="2" s="1"/>
  <c r="FI120" i="2" s="1"/>
  <c r="EJ121" i="2"/>
  <c r="EK120" i="2"/>
  <c r="EL120" i="2" s="1"/>
  <c r="EM120" i="2" s="1"/>
  <c r="EN120" i="2" s="1"/>
  <c r="DO121" i="2"/>
  <c r="DP120" i="2"/>
  <c r="DQ120" i="2" s="1"/>
  <c r="DR120" i="2" s="1"/>
  <c r="DS120" i="2" s="1"/>
  <c r="CT121" i="2"/>
  <c r="CU120" i="2"/>
  <c r="CV120" i="2" s="1"/>
  <c r="CW120" i="2" s="1"/>
  <c r="CX120" i="2" s="1"/>
  <c r="BY121" i="2"/>
  <c r="BZ120" i="2"/>
  <c r="CA120" i="2" s="1"/>
  <c r="CB120" i="2" s="1"/>
  <c r="CC120" i="2" s="1"/>
  <c r="N121" i="2"/>
  <c r="O120" i="2"/>
  <c r="P120" i="2" s="1"/>
  <c r="Q120" i="2" s="1"/>
  <c r="R120" i="2" s="1"/>
  <c r="GA120" i="2"/>
  <c r="GB120" i="2" s="1"/>
  <c r="GC120" i="2" s="1"/>
  <c r="GD120" i="2" s="1"/>
  <c r="GV120" i="2"/>
  <c r="GW120" i="2" s="1"/>
  <c r="GX120" i="2" s="1"/>
  <c r="GY120" i="2" s="1"/>
  <c r="AJ120" i="2"/>
  <c r="AK120" i="2" s="1"/>
  <c r="AL120" i="2" s="1"/>
  <c r="AM120" i="2" s="1"/>
  <c r="BS32" i="2"/>
  <c r="BE34" i="2"/>
  <c r="BF33" i="2"/>
  <c r="BG33" i="2" s="1"/>
  <c r="BH33" i="2" s="1"/>
  <c r="BJ3" i="2" s="1"/>
  <c r="FE122" i="2" l="1"/>
  <c r="FF121" i="2"/>
  <c r="FG121" i="2" s="1"/>
  <c r="FH121" i="2" s="1"/>
  <c r="FI121" i="2" s="1"/>
  <c r="EJ122" i="2"/>
  <c r="EK121" i="2"/>
  <c r="EL121" i="2" s="1"/>
  <c r="EM121" i="2" s="1"/>
  <c r="EN121" i="2" s="1"/>
  <c r="DO122" i="2"/>
  <c r="DP121" i="2"/>
  <c r="DQ121" i="2" s="1"/>
  <c r="DR121" i="2" s="1"/>
  <c r="DS121" i="2" s="1"/>
  <c r="CT122" i="2"/>
  <c r="CU121" i="2"/>
  <c r="CV121" i="2" s="1"/>
  <c r="CW121" i="2" s="1"/>
  <c r="CX121" i="2" s="1"/>
  <c r="BY122" i="2"/>
  <c r="BZ121" i="2"/>
  <c r="CA121" i="2" s="1"/>
  <c r="CB121" i="2" s="1"/>
  <c r="CC121" i="2" s="1"/>
  <c r="N122" i="2"/>
  <c r="O121" i="2"/>
  <c r="P121" i="2" s="1"/>
  <c r="Q121" i="2" s="1"/>
  <c r="R121" i="2" s="1"/>
  <c r="GA121" i="2"/>
  <c r="GB121" i="2" s="1"/>
  <c r="GC121" i="2" s="1"/>
  <c r="GD121" i="2" s="1"/>
  <c r="GV121" i="2"/>
  <c r="GW121" i="2" s="1"/>
  <c r="GX121" i="2" s="1"/>
  <c r="GY121" i="2" s="1"/>
  <c r="AJ121" i="2"/>
  <c r="AK121" i="2" s="1"/>
  <c r="AL121" i="2" s="1"/>
  <c r="AM121" i="2" s="1"/>
  <c r="D8" i="4"/>
  <c r="BF34" i="2"/>
  <c r="BG34" i="2" s="1"/>
  <c r="BH34" i="2" s="1"/>
  <c r="BE35" i="2"/>
  <c r="BS33" i="2"/>
  <c r="H8" i="4" s="1"/>
  <c r="H16" i="4" s="1"/>
  <c r="FE123" i="2" l="1"/>
  <c r="FF122" i="2"/>
  <c r="FG122" i="2" s="1"/>
  <c r="FH122" i="2" s="1"/>
  <c r="FI122" i="2" s="1"/>
  <c r="EJ123" i="2"/>
  <c r="EK122" i="2"/>
  <c r="EL122" i="2" s="1"/>
  <c r="EM122" i="2" s="1"/>
  <c r="EN122" i="2" s="1"/>
  <c r="DO123" i="2"/>
  <c r="DP122" i="2"/>
  <c r="DQ122" i="2" s="1"/>
  <c r="DR122" i="2" s="1"/>
  <c r="DS122" i="2" s="1"/>
  <c r="CT123" i="2"/>
  <c r="CU122" i="2"/>
  <c r="CV122" i="2" s="1"/>
  <c r="CW122" i="2" s="1"/>
  <c r="CX122" i="2" s="1"/>
  <c r="BY123" i="2"/>
  <c r="BZ122" i="2"/>
  <c r="CA122" i="2" s="1"/>
  <c r="CB122" i="2" s="1"/>
  <c r="CC122" i="2" s="1"/>
  <c r="N123" i="2"/>
  <c r="O122" i="2"/>
  <c r="P122" i="2" s="1"/>
  <c r="Q122" i="2" s="1"/>
  <c r="R122" i="2" s="1"/>
  <c r="GA122" i="2"/>
  <c r="GB122" i="2" s="1"/>
  <c r="GC122" i="2" s="1"/>
  <c r="GD122" i="2" s="1"/>
  <c r="GV122" i="2"/>
  <c r="GW122" i="2" s="1"/>
  <c r="GX122" i="2" s="1"/>
  <c r="GY122" i="2" s="1"/>
  <c r="AJ122" i="2"/>
  <c r="AK122" i="2" s="1"/>
  <c r="AL122" i="2" s="1"/>
  <c r="AM122" i="2" s="1"/>
  <c r="I8" i="4"/>
  <c r="BS34" i="2"/>
  <c r="BE36" i="2"/>
  <c r="BF35" i="2"/>
  <c r="BG35" i="2" s="1"/>
  <c r="BH35" i="2" s="1"/>
  <c r="FE124" i="2" l="1"/>
  <c r="FF123" i="2"/>
  <c r="FG123" i="2" s="1"/>
  <c r="FH123" i="2" s="1"/>
  <c r="FI123" i="2" s="1"/>
  <c r="EJ124" i="2"/>
  <c r="EK123" i="2"/>
  <c r="EL123" i="2" s="1"/>
  <c r="EM123" i="2" s="1"/>
  <c r="EN123" i="2" s="1"/>
  <c r="DO124" i="2"/>
  <c r="DP123" i="2"/>
  <c r="DQ123" i="2" s="1"/>
  <c r="DR123" i="2" s="1"/>
  <c r="DS123" i="2" s="1"/>
  <c r="CT124" i="2"/>
  <c r="CU123" i="2"/>
  <c r="CV123" i="2" s="1"/>
  <c r="CW123" i="2" s="1"/>
  <c r="CX123" i="2" s="1"/>
  <c r="BY124" i="2"/>
  <c r="BZ123" i="2"/>
  <c r="CA123" i="2" s="1"/>
  <c r="CB123" i="2" s="1"/>
  <c r="CC123" i="2" s="1"/>
  <c r="N124" i="2"/>
  <c r="O123" i="2"/>
  <c r="P123" i="2" s="1"/>
  <c r="Q123" i="2" s="1"/>
  <c r="R123" i="2" s="1"/>
  <c r="GA123" i="2"/>
  <c r="GB123" i="2" s="1"/>
  <c r="GC123" i="2" s="1"/>
  <c r="GD123" i="2" s="1"/>
  <c r="GV123" i="2"/>
  <c r="GW123" i="2" s="1"/>
  <c r="GX123" i="2" s="1"/>
  <c r="GY123" i="2" s="1"/>
  <c r="AJ123" i="2"/>
  <c r="AK123" i="2" s="1"/>
  <c r="AL123" i="2" s="1"/>
  <c r="AM123" i="2" s="1"/>
  <c r="I16" i="4"/>
  <c r="BE37" i="2"/>
  <c r="BS35" i="2"/>
  <c r="BF36" i="2"/>
  <c r="BG36" i="2" s="1"/>
  <c r="BH36" i="2" s="1"/>
  <c r="FE125" i="2" l="1"/>
  <c r="FF124" i="2"/>
  <c r="FG124" i="2" s="1"/>
  <c r="FH124" i="2" s="1"/>
  <c r="FI124" i="2" s="1"/>
  <c r="EJ125" i="2"/>
  <c r="EK124" i="2"/>
  <c r="EL124" i="2" s="1"/>
  <c r="EM124" i="2" s="1"/>
  <c r="EN124" i="2" s="1"/>
  <c r="DO125" i="2"/>
  <c r="DP124" i="2"/>
  <c r="DQ124" i="2" s="1"/>
  <c r="DR124" i="2" s="1"/>
  <c r="DS124" i="2" s="1"/>
  <c r="CT125" i="2"/>
  <c r="CU124" i="2"/>
  <c r="CV124" i="2" s="1"/>
  <c r="CW124" i="2" s="1"/>
  <c r="CX124" i="2" s="1"/>
  <c r="BY125" i="2"/>
  <c r="BZ124" i="2"/>
  <c r="CA124" i="2" s="1"/>
  <c r="CB124" i="2" s="1"/>
  <c r="CC124" i="2" s="1"/>
  <c r="N125" i="2"/>
  <c r="O124" i="2"/>
  <c r="P124" i="2" s="1"/>
  <c r="Q124" i="2" s="1"/>
  <c r="R124" i="2" s="1"/>
  <c r="GA124" i="2"/>
  <c r="GB124" i="2" s="1"/>
  <c r="GC124" i="2" s="1"/>
  <c r="GD124" i="2" s="1"/>
  <c r="GV124" i="2"/>
  <c r="GW124" i="2" s="1"/>
  <c r="GX124" i="2" s="1"/>
  <c r="GY124" i="2" s="1"/>
  <c r="AJ124" i="2"/>
  <c r="AK124" i="2" s="1"/>
  <c r="AL124" i="2" s="1"/>
  <c r="AM124" i="2" s="1"/>
  <c r="BS36" i="2"/>
  <c r="BE38" i="2"/>
  <c r="BF37" i="2"/>
  <c r="BG37" i="2" s="1"/>
  <c r="BH37" i="2" s="1"/>
  <c r="FE126" i="2" l="1"/>
  <c r="FF125" i="2"/>
  <c r="FG125" i="2" s="1"/>
  <c r="FH125" i="2" s="1"/>
  <c r="FI125" i="2" s="1"/>
  <c r="EJ126" i="2"/>
  <c r="EK125" i="2"/>
  <c r="EL125" i="2" s="1"/>
  <c r="EM125" i="2" s="1"/>
  <c r="EN125" i="2" s="1"/>
  <c r="DO126" i="2"/>
  <c r="DP125" i="2"/>
  <c r="DQ125" i="2" s="1"/>
  <c r="DR125" i="2" s="1"/>
  <c r="DS125" i="2" s="1"/>
  <c r="CT126" i="2"/>
  <c r="CU125" i="2"/>
  <c r="CV125" i="2" s="1"/>
  <c r="CW125" i="2" s="1"/>
  <c r="CX125" i="2" s="1"/>
  <c r="BY126" i="2"/>
  <c r="BZ125" i="2"/>
  <c r="CA125" i="2" s="1"/>
  <c r="CB125" i="2" s="1"/>
  <c r="CC125" i="2" s="1"/>
  <c r="N126" i="2"/>
  <c r="O125" i="2"/>
  <c r="P125" i="2" s="1"/>
  <c r="Q125" i="2" s="1"/>
  <c r="R125" i="2" s="1"/>
  <c r="GA125" i="2"/>
  <c r="GB125" i="2" s="1"/>
  <c r="GC125" i="2" s="1"/>
  <c r="GD125" i="2" s="1"/>
  <c r="GV125" i="2"/>
  <c r="GW125" i="2" s="1"/>
  <c r="GX125" i="2" s="1"/>
  <c r="GY125" i="2" s="1"/>
  <c r="AJ125" i="2"/>
  <c r="AK125" i="2" s="1"/>
  <c r="AL125" i="2" s="1"/>
  <c r="AM125" i="2" s="1"/>
  <c r="BS37" i="2"/>
  <c r="BE39" i="2"/>
  <c r="BF38" i="2"/>
  <c r="BG38" i="2" s="1"/>
  <c r="BH38" i="2" s="1"/>
  <c r="FE127" i="2" l="1"/>
  <c r="FF126" i="2"/>
  <c r="FG126" i="2" s="1"/>
  <c r="FH126" i="2" s="1"/>
  <c r="FI126" i="2" s="1"/>
  <c r="EJ127" i="2"/>
  <c r="EK126" i="2"/>
  <c r="EL126" i="2" s="1"/>
  <c r="EM126" i="2" s="1"/>
  <c r="EN126" i="2" s="1"/>
  <c r="DO127" i="2"/>
  <c r="DP126" i="2"/>
  <c r="DQ126" i="2" s="1"/>
  <c r="DR126" i="2" s="1"/>
  <c r="DS126" i="2" s="1"/>
  <c r="CT127" i="2"/>
  <c r="CU126" i="2"/>
  <c r="CV126" i="2" s="1"/>
  <c r="CW126" i="2" s="1"/>
  <c r="CX126" i="2" s="1"/>
  <c r="BY127" i="2"/>
  <c r="BZ126" i="2"/>
  <c r="CA126" i="2" s="1"/>
  <c r="CB126" i="2" s="1"/>
  <c r="CC126" i="2" s="1"/>
  <c r="N127" i="2"/>
  <c r="O126" i="2"/>
  <c r="P126" i="2" s="1"/>
  <c r="Q126" i="2" s="1"/>
  <c r="R126" i="2" s="1"/>
  <c r="GA126" i="2"/>
  <c r="GB126" i="2" s="1"/>
  <c r="GC126" i="2" s="1"/>
  <c r="GD126" i="2" s="1"/>
  <c r="GV126" i="2"/>
  <c r="GW126" i="2" s="1"/>
  <c r="GX126" i="2" s="1"/>
  <c r="GY126" i="2" s="1"/>
  <c r="AJ126" i="2"/>
  <c r="AK126" i="2" s="1"/>
  <c r="AL126" i="2" s="1"/>
  <c r="AM126" i="2" s="1"/>
  <c r="BS38" i="2"/>
  <c r="BE40" i="2"/>
  <c r="BF39" i="2"/>
  <c r="BG39" i="2" s="1"/>
  <c r="BH39" i="2" s="1"/>
  <c r="FE128" i="2" l="1"/>
  <c r="FF127" i="2"/>
  <c r="FG127" i="2" s="1"/>
  <c r="FH127" i="2" s="1"/>
  <c r="FI127" i="2" s="1"/>
  <c r="EJ128" i="2"/>
  <c r="EK127" i="2"/>
  <c r="EL127" i="2" s="1"/>
  <c r="EM127" i="2" s="1"/>
  <c r="EN127" i="2" s="1"/>
  <c r="DO128" i="2"/>
  <c r="DP127" i="2"/>
  <c r="DQ127" i="2" s="1"/>
  <c r="DR127" i="2" s="1"/>
  <c r="DS127" i="2" s="1"/>
  <c r="CT128" i="2"/>
  <c r="CU127" i="2"/>
  <c r="CV127" i="2" s="1"/>
  <c r="CW127" i="2" s="1"/>
  <c r="CX127" i="2" s="1"/>
  <c r="BY128" i="2"/>
  <c r="BZ127" i="2"/>
  <c r="CA127" i="2" s="1"/>
  <c r="CB127" i="2" s="1"/>
  <c r="CC127" i="2" s="1"/>
  <c r="N128" i="2"/>
  <c r="O127" i="2"/>
  <c r="P127" i="2" s="1"/>
  <c r="Q127" i="2" s="1"/>
  <c r="R127" i="2" s="1"/>
  <c r="GA127" i="2"/>
  <c r="GB127" i="2" s="1"/>
  <c r="GC127" i="2" s="1"/>
  <c r="GD127" i="2" s="1"/>
  <c r="GV127" i="2"/>
  <c r="GW127" i="2" s="1"/>
  <c r="GX127" i="2" s="1"/>
  <c r="GY127" i="2" s="1"/>
  <c r="AJ127" i="2"/>
  <c r="AK127" i="2" s="1"/>
  <c r="AL127" i="2" s="1"/>
  <c r="AM127" i="2" s="1"/>
  <c r="BS39" i="2"/>
  <c r="BE41" i="2"/>
  <c r="BF40" i="2"/>
  <c r="BG40" i="2" s="1"/>
  <c r="BH40" i="2" s="1"/>
  <c r="FE129" i="2" l="1"/>
  <c r="FF128" i="2"/>
  <c r="FG128" i="2" s="1"/>
  <c r="FH128" i="2" s="1"/>
  <c r="FI128" i="2" s="1"/>
  <c r="EJ129" i="2"/>
  <c r="EK128" i="2"/>
  <c r="EL128" i="2" s="1"/>
  <c r="EM128" i="2" s="1"/>
  <c r="EN128" i="2" s="1"/>
  <c r="DO129" i="2"/>
  <c r="DP128" i="2"/>
  <c r="DQ128" i="2" s="1"/>
  <c r="DR128" i="2" s="1"/>
  <c r="DS128" i="2" s="1"/>
  <c r="CT129" i="2"/>
  <c r="CU128" i="2"/>
  <c r="CV128" i="2" s="1"/>
  <c r="CW128" i="2" s="1"/>
  <c r="CX128" i="2" s="1"/>
  <c r="BY129" i="2"/>
  <c r="BZ128" i="2"/>
  <c r="CA128" i="2" s="1"/>
  <c r="CB128" i="2" s="1"/>
  <c r="CC128" i="2" s="1"/>
  <c r="N129" i="2"/>
  <c r="O128" i="2"/>
  <c r="P128" i="2" s="1"/>
  <c r="Q128" i="2" s="1"/>
  <c r="R128" i="2" s="1"/>
  <c r="GA128" i="2"/>
  <c r="GB128" i="2" s="1"/>
  <c r="GC128" i="2" s="1"/>
  <c r="GD128" i="2" s="1"/>
  <c r="GV128" i="2"/>
  <c r="GW128" i="2" s="1"/>
  <c r="GX128" i="2" s="1"/>
  <c r="GY128" i="2" s="1"/>
  <c r="AJ128" i="2"/>
  <c r="AK128" i="2" s="1"/>
  <c r="AL128" i="2" s="1"/>
  <c r="AM128" i="2" s="1"/>
  <c r="BS40" i="2"/>
  <c r="BE42" i="2"/>
  <c r="BF41" i="2"/>
  <c r="BG41" i="2" s="1"/>
  <c r="BH41" i="2" s="1"/>
  <c r="FE130" i="2" l="1"/>
  <c r="FF129" i="2"/>
  <c r="FG129" i="2" s="1"/>
  <c r="FH129" i="2" s="1"/>
  <c r="FI129" i="2" s="1"/>
  <c r="EJ130" i="2"/>
  <c r="EK129" i="2"/>
  <c r="EL129" i="2" s="1"/>
  <c r="EM129" i="2" s="1"/>
  <c r="EN129" i="2" s="1"/>
  <c r="DO130" i="2"/>
  <c r="DP129" i="2"/>
  <c r="DQ129" i="2" s="1"/>
  <c r="DR129" i="2" s="1"/>
  <c r="DS129" i="2" s="1"/>
  <c r="CT130" i="2"/>
  <c r="CU129" i="2"/>
  <c r="CV129" i="2" s="1"/>
  <c r="CW129" i="2" s="1"/>
  <c r="CX129" i="2" s="1"/>
  <c r="BY130" i="2"/>
  <c r="BZ129" i="2"/>
  <c r="CA129" i="2" s="1"/>
  <c r="CB129" i="2" s="1"/>
  <c r="CC129" i="2" s="1"/>
  <c r="N130" i="2"/>
  <c r="O129" i="2"/>
  <c r="P129" i="2" s="1"/>
  <c r="Q129" i="2" s="1"/>
  <c r="R129" i="2" s="1"/>
  <c r="GA129" i="2"/>
  <c r="GB129" i="2" s="1"/>
  <c r="GC129" i="2" s="1"/>
  <c r="GD129" i="2" s="1"/>
  <c r="GV129" i="2"/>
  <c r="GW129" i="2" s="1"/>
  <c r="GX129" i="2" s="1"/>
  <c r="GY129" i="2" s="1"/>
  <c r="AJ129" i="2"/>
  <c r="AK129" i="2" s="1"/>
  <c r="AL129" i="2" s="1"/>
  <c r="AM129" i="2" s="1"/>
  <c r="BS41" i="2"/>
  <c r="BE43" i="2"/>
  <c r="BF42" i="2"/>
  <c r="BG42" i="2" s="1"/>
  <c r="BH42" i="2" s="1"/>
  <c r="FE131" i="2" l="1"/>
  <c r="FF130" i="2"/>
  <c r="FG130" i="2" s="1"/>
  <c r="FH130" i="2" s="1"/>
  <c r="FI130" i="2" s="1"/>
  <c r="EJ131" i="2"/>
  <c r="EK130" i="2"/>
  <c r="EL130" i="2" s="1"/>
  <c r="EM130" i="2" s="1"/>
  <c r="EN130" i="2" s="1"/>
  <c r="DO131" i="2"/>
  <c r="DP130" i="2"/>
  <c r="DQ130" i="2" s="1"/>
  <c r="DR130" i="2" s="1"/>
  <c r="DS130" i="2" s="1"/>
  <c r="CT131" i="2"/>
  <c r="CU130" i="2"/>
  <c r="CV130" i="2" s="1"/>
  <c r="CW130" i="2" s="1"/>
  <c r="CX130" i="2" s="1"/>
  <c r="BY131" i="2"/>
  <c r="BZ130" i="2"/>
  <c r="CA130" i="2" s="1"/>
  <c r="CB130" i="2" s="1"/>
  <c r="CC130" i="2" s="1"/>
  <c r="N131" i="2"/>
  <c r="O130" i="2"/>
  <c r="P130" i="2" s="1"/>
  <c r="Q130" i="2" s="1"/>
  <c r="R130" i="2" s="1"/>
  <c r="GA130" i="2"/>
  <c r="GB130" i="2" s="1"/>
  <c r="GC130" i="2" s="1"/>
  <c r="GD130" i="2" s="1"/>
  <c r="GV130" i="2"/>
  <c r="GW130" i="2" s="1"/>
  <c r="GX130" i="2" s="1"/>
  <c r="GY130" i="2" s="1"/>
  <c r="AJ130" i="2"/>
  <c r="AK130" i="2" s="1"/>
  <c r="AL130" i="2" s="1"/>
  <c r="AM130" i="2" s="1"/>
  <c r="BS42" i="2"/>
  <c r="BE44" i="2"/>
  <c r="BF43" i="2"/>
  <c r="BG43" i="2" s="1"/>
  <c r="BH43" i="2" s="1"/>
  <c r="FE132" i="2" l="1"/>
  <c r="FF131" i="2"/>
  <c r="FG131" i="2" s="1"/>
  <c r="FH131" i="2" s="1"/>
  <c r="FI131" i="2" s="1"/>
  <c r="EJ132" i="2"/>
  <c r="EK131" i="2"/>
  <c r="EL131" i="2" s="1"/>
  <c r="EM131" i="2" s="1"/>
  <c r="EN131" i="2" s="1"/>
  <c r="DO132" i="2"/>
  <c r="DP131" i="2"/>
  <c r="DQ131" i="2" s="1"/>
  <c r="DR131" i="2" s="1"/>
  <c r="DS131" i="2" s="1"/>
  <c r="CT132" i="2"/>
  <c r="CU131" i="2"/>
  <c r="CV131" i="2" s="1"/>
  <c r="CW131" i="2" s="1"/>
  <c r="CX131" i="2" s="1"/>
  <c r="BY132" i="2"/>
  <c r="BZ131" i="2"/>
  <c r="CA131" i="2" s="1"/>
  <c r="CB131" i="2" s="1"/>
  <c r="CC131" i="2" s="1"/>
  <c r="N132" i="2"/>
  <c r="O131" i="2"/>
  <c r="P131" i="2" s="1"/>
  <c r="Q131" i="2" s="1"/>
  <c r="R131" i="2" s="1"/>
  <c r="GA131" i="2"/>
  <c r="GB131" i="2" s="1"/>
  <c r="GC131" i="2" s="1"/>
  <c r="GD131" i="2" s="1"/>
  <c r="GV131" i="2"/>
  <c r="GW131" i="2" s="1"/>
  <c r="GX131" i="2" s="1"/>
  <c r="GY131" i="2" s="1"/>
  <c r="AJ131" i="2"/>
  <c r="AK131" i="2" s="1"/>
  <c r="AL131" i="2" s="1"/>
  <c r="AM131" i="2" s="1"/>
  <c r="BS43" i="2"/>
  <c r="BE45" i="2"/>
  <c r="BF44" i="2"/>
  <c r="BG44" i="2" s="1"/>
  <c r="BH44" i="2" s="1"/>
  <c r="FE133" i="2" l="1"/>
  <c r="FF132" i="2"/>
  <c r="FG132" i="2" s="1"/>
  <c r="FH132" i="2" s="1"/>
  <c r="FI132" i="2" s="1"/>
  <c r="EJ133" i="2"/>
  <c r="EK132" i="2"/>
  <c r="EL132" i="2" s="1"/>
  <c r="EM132" i="2" s="1"/>
  <c r="EN132" i="2" s="1"/>
  <c r="DO133" i="2"/>
  <c r="DP132" i="2"/>
  <c r="DQ132" i="2" s="1"/>
  <c r="DR132" i="2" s="1"/>
  <c r="DS132" i="2" s="1"/>
  <c r="CT133" i="2"/>
  <c r="CU132" i="2"/>
  <c r="CV132" i="2" s="1"/>
  <c r="CW132" i="2" s="1"/>
  <c r="CX132" i="2" s="1"/>
  <c r="BY133" i="2"/>
  <c r="BZ132" i="2"/>
  <c r="CA132" i="2" s="1"/>
  <c r="CB132" i="2" s="1"/>
  <c r="CC132" i="2" s="1"/>
  <c r="N133" i="2"/>
  <c r="O132" i="2"/>
  <c r="P132" i="2" s="1"/>
  <c r="Q132" i="2" s="1"/>
  <c r="R132" i="2" s="1"/>
  <c r="GA132" i="2"/>
  <c r="GB132" i="2" s="1"/>
  <c r="GC132" i="2" s="1"/>
  <c r="GD132" i="2" s="1"/>
  <c r="GV132" i="2"/>
  <c r="GW132" i="2" s="1"/>
  <c r="GX132" i="2" s="1"/>
  <c r="GY132" i="2" s="1"/>
  <c r="AJ132" i="2"/>
  <c r="AK132" i="2" s="1"/>
  <c r="AL132" i="2" s="1"/>
  <c r="AM132" i="2" s="1"/>
  <c r="BS44" i="2"/>
  <c r="BE46" i="2"/>
  <c r="BF45" i="2"/>
  <c r="BG45" i="2" s="1"/>
  <c r="BH45" i="2" s="1"/>
  <c r="FE134" i="2" l="1"/>
  <c r="FF133" i="2"/>
  <c r="FG133" i="2" s="1"/>
  <c r="FH133" i="2" s="1"/>
  <c r="FI133" i="2" s="1"/>
  <c r="EJ134" i="2"/>
  <c r="EK133" i="2"/>
  <c r="EL133" i="2" s="1"/>
  <c r="EM133" i="2" s="1"/>
  <c r="EN133" i="2" s="1"/>
  <c r="DO134" i="2"/>
  <c r="DP133" i="2"/>
  <c r="DQ133" i="2" s="1"/>
  <c r="DR133" i="2" s="1"/>
  <c r="DS133" i="2" s="1"/>
  <c r="CT134" i="2"/>
  <c r="CU133" i="2"/>
  <c r="CV133" i="2" s="1"/>
  <c r="CW133" i="2" s="1"/>
  <c r="CX133" i="2" s="1"/>
  <c r="BY134" i="2"/>
  <c r="BZ133" i="2"/>
  <c r="CA133" i="2" s="1"/>
  <c r="CB133" i="2" s="1"/>
  <c r="CC133" i="2" s="1"/>
  <c r="N134" i="2"/>
  <c r="O133" i="2"/>
  <c r="P133" i="2" s="1"/>
  <c r="Q133" i="2" s="1"/>
  <c r="R133" i="2" s="1"/>
  <c r="GA133" i="2"/>
  <c r="GB133" i="2" s="1"/>
  <c r="GC133" i="2" s="1"/>
  <c r="GD133" i="2" s="1"/>
  <c r="GV133" i="2"/>
  <c r="GW133" i="2" s="1"/>
  <c r="GX133" i="2" s="1"/>
  <c r="GY133" i="2" s="1"/>
  <c r="AJ133" i="2"/>
  <c r="AK133" i="2" s="1"/>
  <c r="AL133" i="2" s="1"/>
  <c r="AM133" i="2" s="1"/>
  <c r="BS45" i="2"/>
  <c r="BE47" i="2"/>
  <c r="BF46" i="2"/>
  <c r="BG46" i="2" s="1"/>
  <c r="BH46" i="2" s="1"/>
  <c r="FE135" i="2" l="1"/>
  <c r="FF134" i="2"/>
  <c r="FG134" i="2" s="1"/>
  <c r="FH134" i="2" s="1"/>
  <c r="FI134" i="2" s="1"/>
  <c r="EJ135" i="2"/>
  <c r="EK134" i="2"/>
  <c r="EL134" i="2" s="1"/>
  <c r="EM134" i="2" s="1"/>
  <c r="EN134" i="2" s="1"/>
  <c r="DO135" i="2"/>
  <c r="DP134" i="2"/>
  <c r="DQ134" i="2" s="1"/>
  <c r="DR134" i="2" s="1"/>
  <c r="DS134" i="2" s="1"/>
  <c r="CT135" i="2"/>
  <c r="CU134" i="2"/>
  <c r="CV134" i="2" s="1"/>
  <c r="CW134" i="2" s="1"/>
  <c r="CX134" i="2" s="1"/>
  <c r="BY135" i="2"/>
  <c r="BZ134" i="2"/>
  <c r="CA134" i="2" s="1"/>
  <c r="CB134" i="2" s="1"/>
  <c r="CC134" i="2" s="1"/>
  <c r="N135" i="2"/>
  <c r="O134" i="2"/>
  <c r="P134" i="2" s="1"/>
  <c r="Q134" i="2" s="1"/>
  <c r="R134" i="2" s="1"/>
  <c r="GA134" i="2"/>
  <c r="GB134" i="2" s="1"/>
  <c r="GC134" i="2" s="1"/>
  <c r="GD134" i="2" s="1"/>
  <c r="GV134" i="2"/>
  <c r="GW134" i="2" s="1"/>
  <c r="GX134" i="2" s="1"/>
  <c r="GY134" i="2" s="1"/>
  <c r="AJ134" i="2"/>
  <c r="AK134" i="2" s="1"/>
  <c r="AL134" i="2" s="1"/>
  <c r="AM134" i="2" s="1"/>
  <c r="BS46" i="2"/>
  <c r="BE48" i="2"/>
  <c r="BF47" i="2"/>
  <c r="BG47" i="2" s="1"/>
  <c r="BH47" i="2" s="1"/>
  <c r="FE136" i="2" l="1"/>
  <c r="FF135" i="2"/>
  <c r="FG135" i="2" s="1"/>
  <c r="FH135" i="2" s="1"/>
  <c r="FI135" i="2" s="1"/>
  <c r="EJ136" i="2"/>
  <c r="EK135" i="2"/>
  <c r="EL135" i="2" s="1"/>
  <c r="EM135" i="2" s="1"/>
  <c r="EN135" i="2" s="1"/>
  <c r="DO136" i="2"/>
  <c r="DP135" i="2"/>
  <c r="DQ135" i="2" s="1"/>
  <c r="DR135" i="2" s="1"/>
  <c r="DS135" i="2" s="1"/>
  <c r="CT136" i="2"/>
  <c r="CU135" i="2"/>
  <c r="CV135" i="2" s="1"/>
  <c r="CW135" i="2" s="1"/>
  <c r="CX135" i="2" s="1"/>
  <c r="BY136" i="2"/>
  <c r="BZ135" i="2"/>
  <c r="CA135" i="2" s="1"/>
  <c r="CB135" i="2" s="1"/>
  <c r="CC135" i="2" s="1"/>
  <c r="N136" i="2"/>
  <c r="O135" i="2"/>
  <c r="P135" i="2" s="1"/>
  <c r="Q135" i="2" s="1"/>
  <c r="R135" i="2" s="1"/>
  <c r="GA135" i="2"/>
  <c r="GB135" i="2" s="1"/>
  <c r="GC135" i="2" s="1"/>
  <c r="GD135" i="2" s="1"/>
  <c r="GV135" i="2"/>
  <c r="GW135" i="2" s="1"/>
  <c r="GX135" i="2" s="1"/>
  <c r="GY135" i="2" s="1"/>
  <c r="AJ135" i="2"/>
  <c r="AK135" i="2" s="1"/>
  <c r="AL135" i="2" s="1"/>
  <c r="AM135" i="2" s="1"/>
  <c r="BE49" i="2"/>
  <c r="BS47" i="2"/>
  <c r="BF48" i="2"/>
  <c r="BG48" i="2" s="1"/>
  <c r="BH48" i="2" s="1"/>
  <c r="FE137" i="2" l="1"/>
  <c r="FF136" i="2"/>
  <c r="FG136" i="2" s="1"/>
  <c r="FH136" i="2" s="1"/>
  <c r="FI136" i="2" s="1"/>
  <c r="EJ137" i="2"/>
  <c r="EK136" i="2"/>
  <c r="EL136" i="2" s="1"/>
  <c r="EM136" i="2" s="1"/>
  <c r="EN136" i="2" s="1"/>
  <c r="DO137" i="2"/>
  <c r="DP136" i="2"/>
  <c r="DQ136" i="2" s="1"/>
  <c r="DR136" i="2" s="1"/>
  <c r="DS136" i="2" s="1"/>
  <c r="CT137" i="2"/>
  <c r="CU136" i="2"/>
  <c r="CV136" i="2" s="1"/>
  <c r="CW136" i="2" s="1"/>
  <c r="CX136" i="2" s="1"/>
  <c r="BY137" i="2"/>
  <c r="BZ136" i="2"/>
  <c r="CA136" i="2" s="1"/>
  <c r="CB136" i="2" s="1"/>
  <c r="CC136" i="2" s="1"/>
  <c r="N137" i="2"/>
  <c r="O136" i="2"/>
  <c r="P136" i="2" s="1"/>
  <c r="Q136" i="2" s="1"/>
  <c r="R136" i="2" s="1"/>
  <c r="GA136" i="2"/>
  <c r="GB136" i="2" s="1"/>
  <c r="GC136" i="2" s="1"/>
  <c r="GD136" i="2" s="1"/>
  <c r="GV136" i="2"/>
  <c r="GW136" i="2" s="1"/>
  <c r="GX136" i="2" s="1"/>
  <c r="GY136" i="2" s="1"/>
  <c r="AJ136" i="2"/>
  <c r="AK136" i="2" s="1"/>
  <c r="AL136" i="2" s="1"/>
  <c r="AM136" i="2" s="1"/>
  <c r="BS48" i="2"/>
  <c r="BE50" i="2"/>
  <c r="BF49" i="2"/>
  <c r="BG49" i="2" s="1"/>
  <c r="BH49" i="2" s="1"/>
  <c r="FE138" i="2" l="1"/>
  <c r="FF137" i="2"/>
  <c r="FG137" i="2" s="1"/>
  <c r="FH137" i="2" s="1"/>
  <c r="FI137" i="2" s="1"/>
  <c r="EJ138" i="2"/>
  <c r="EK137" i="2"/>
  <c r="EL137" i="2" s="1"/>
  <c r="EM137" i="2" s="1"/>
  <c r="EN137" i="2" s="1"/>
  <c r="DO138" i="2"/>
  <c r="DP137" i="2"/>
  <c r="DQ137" i="2" s="1"/>
  <c r="DR137" i="2" s="1"/>
  <c r="DS137" i="2" s="1"/>
  <c r="CT138" i="2"/>
  <c r="CU137" i="2"/>
  <c r="CV137" i="2" s="1"/>
  <c r="CW137" i="2" s="1"/>
  <c r="CX137" i="2" s="1"/>
  <c r="BY138" i="2"/>
  <c r="BZ137" i="2"/>
  <c r="CA137" i="2" s="1"/>
  <c r="CB137" i="2" s="1"/>
  <c r="CC137" i="2" s="1"/>
  <c r="N138" i="2"/>
  <c r="O137" i="2"/>
  <c r="P137" i="2" s="1"/>
  <c r="Q137" i="2" s="1"/>
  <c r="R137" i="2" s="1"/>
  <c r="GA137" i="2"/>
  <c r="GB137" i="2" s="1"/>
  <c r="GC137" i="2" s="1"/>
  <c r="GD137" i="2" s="1"/>
  <c r="GV137" i="2"/>
  <c r="GW137" i="2" s="1"/>
  <c r="GX137" i="2" s="1"/>
  <c r="GY137" i="2" s="1"/>
  <c r="AJ137" i="2"/>
  <c r="AK137" i="2" s="1"/>
  <c r="AL137" i="2" s="1"/>
  <c r="AM137" i="2" s="1"/>
  <c r="DT86" i="2"/>
  <c r="DT186" i="2"/>
  <c r="DT158" i="2"/>
  <c r="DT27" i="2"/>
  <c r="DT178" i="2"/>
  <c r="DT105" i="2"/>
  <c r="DT44" i="2"/>
  <c r="DT121" i="2"/>
  <c r="DT37" i="2"/>
  <c r="DT13" i="2"/>
  <c r="DT35" i="2"/>
  <c r="DT161" i="2"/>
  <c r="DT8" i="2"/>
  <c r="DT48" i="2"/>
  <c r="DT189" i="2"/>
  <c r="DT116" i="2"/>
  <c r="DT145" i="2"/>
  <c r="DT180" i="2"/>
  <c r="DT107" i="2"/>
  <c r="DT59" i="2"/>
  <c r="DT57" i="2"/>
  <c r="DT124" i="2"/>
  <c r="DT80" i="2"/>
  <c r="DT123" i="2"/>
  <c r="DT92" i="2"/>
  <c r="DT182" i="2"/>
  <c r="DT148" i="2"/>
  <c r="DT195" i="2"/>
  <c r="DT83" i="2"/>
  <c r="DT17" i="2"/>
  <c r="DT65" i="2"/>
  <c r="DT198" i="2"/>
  <c r="DT171" i="2"/>
  <c r="DT97" i="2"/>
  <c r="DT10" i="2"/>
  <c r="DT54" i="2"/>
  <c r="DT156" i="2"/>
  <c r="DT172" i="2"/>
  <c r="DT165" i="2"/>
  <c r="DT24" i="2"/>
  <c r="DT151" i="2"/>
  <c r="DT144" i="2"/>
  <c r="DT109" i="2"/>
  <c r="DT190" i="2"/>
  <c r="DT157" i="2"/>
  <c r="DT167" i="2"/>
  <c r="DT181" i="2"/>
  <c r="DT94" i="2"/>
  <c r="DT9" i="2"/>
  <c r="DT173" i="2"/>
  <c r="DT26" i="2"/>
  <c r="DT170" i="2"/>
  <c r="DT108" i="2"/>
  <c r="DT15" i="2"/>
  <c r="DT153" i="2"/>
  <c r="DT149" i="2"/>
  <c r="DT101" i="2"/>
  <c r="DT53" i="2"/>
  <c r="DT192" i="2"/>
  <c r="DT164" i="2"/>
  <c r="DT56" i="2"/>
  <c r="DT85" i="2"/>
  <c r="DT196" i="2"/>
  <c r="DT89" i="2"/>
  <c r="DT90" i="2"/>
  <c r="DT29" i="2"/>
  <c r="DT68" i="2"/>
  <c r="DT70" i="2"/>
  <c r="DT88" i="2"/>
  <c r="DT126" i="2"/>
  <c r="DT111" i="2"/>
  <c r="DT74" i="2"/>
  <c r="DT159" i="2"/>
  <c r="DT76" i="2"/>
  <c r="DT47" i="2"/>
  <c r="DT30" i="2"/>
  <c r="DT143" i="2"/>
  <c r="DT104" i="2"/>
  <c r="DT58" i="2"/>
  <c r="DT199" i="2"/>
  <c r="DT20" i="2"/>
  <c r="DT72" i="2"/>
  <c r="DT40" i="2"/>
  <c r="DT122" i="2"/>
  <c r="DT69" i="2"/>
  <c r="DT55" i="2"/>
  <c r="DT169" i="2"/>
  <c r="DT28" i="2"/>
  <c r="DT23" i="2"/>
  <c r="DT184" i="2"/>
  <c r="DT22" i="2"/>
  <c r="DT146" i="2"/>
  <c r="DT42" i="2"/>
  <c r="DT95" i="2"/>
  <c r="DT154" i="2"/>
  <c r="DT91" i="2"/>
  <c r="DT64" i="2"/>
  <c r="DT140" i="2"/>
  <c r="DT128" i="2"/>
  <c r="DT38" i="2"/>
  <c r="DT52" i="2"/>
  <c r="DT142" i="2"/>
  <c r="DT150" i="2"/>
  <c r="DT194" i="2"/>
  <c r="DT134" i="2"/>
  <c r="DT163" i="2"/>
  <c r="DT75" i="2"/>
  <c r="DT36" i="2"/>
  <c r="DT32" i="2"/>
  <c r="DT117" i="2"/>
  <c r="DT51" i="2"/>
  <c r="DT25" i="2"/>
  <c r="DT197" i="2"/>
  <c r="DT129" i="2"/>
  <c r="DT99" i="2"/>
  <c r="DT139" i="2"/>
  <c r="DT120" i="2"/>
  <c r="DT46" i="2"/>
  <c r="DT174" i="2"/>
  <c r="DT160" i="2"/>
  <c r="DT98" i="2"/>
  <c r="DT176" i="2"/>
  <c r="DT81" i="2"/>
  <c r="DT179" i="2"/>
  <c r="DT113" i="2"/>
  <c r="DT152" i="2"/>
  <c r="DT39" i="2"/>
  <c r="DT43" i="2"/>
  <c r="DT185" i="2"/>
  <c r="DT12" i="2"/>
  <c r="DT50" i="2"/>
  <c r="DT102" i="2"/>
  <c r="DT62" i="2"/>
  <c r="DT119" i="2"/>
  <c r="DT84" i="2"/>
  <c r="DT147" i="2"/>
  <c r="DT166" i="2"/>
  <c r="DT135" i="2"/>
  <c r="DT66" i="2"/>
  <c r="DT138" i="2"/>
  <c r="DT31" i="2"/>
  <c r="DT49" i="2"/>
  <c r="DT78" i="2"/>
  <c r="DT114" i="2"/>
  <c r="DT202" i="2"/>
  <c r="DT131" i="2"/>
  <c r="DT141" i="2"/>
  <c r="DT41" i="2"/>
  <c r="DT155" i="2"/>
  <c r="DT67" i="2"/>
  <c r="DT183" i="2"/>
  <c r="DT79" i="2"/>
  <c r="DT63" i="2"/>
  <c r="DT16" i="2"/>
  <c r="DT60" i="2"/>
  <c r="DT193" i="2"/>
  <c r="DT19" i="2"/>
  <c r="DT71" i="2"/>
  <c r="DT82" i="2"/>
  <c r="DT115" i="2"/>
  <c r="DT127" i="2"/>
  <c r="DT34" i="2"/>
  <c r="DT130" i="2"/>
  <c r="DT125" i="2"/>
  <c r="DT191" i="2"/>
  <c r="DT14" i="2"/>
  <c r="DT7" i="2"/>
  <c r="DT133" i="2"/>
  <c r="DT200" i="2"/>
  <c r="DT188" i="2"/>
  <c r="DT6" i="2"/>
  <c r="DT103" i="2"/>
  <c r="DT106" i="2"/>
  <c r="DT132" i="2"/>
  <c r="DT177" i="2"/>
  <c r="DT118" i="2"/>
  <c r="DT77" i="2"/>
  <c r="DT21" i="2"/>
  <c r="DT136" i="2"/>
  <c r="DT11" i="2"/>
  <c r="DT112" i="2"/>
  <c r="DT33" i="2"/>
  <c r="DT137" i="2"/>
  <c r="DT201" i="2"/>
  <c r="DT175" i="2"/>
  <c r="DT187" i="2"/>
  <c r="DT110" i="2"/>
  <c r="DT45" i="2"/>
  <c r="DT4" i="2"/>
  <c r="DT93" i="2"/>
  <c r="DT5" i="2"/>
  <c r="DT61" i="2"/>
  <c r="DT18" i="2"/>
  <c r="DT100" i="2"/>
  <c r="DT96" i="2"/>
  <c r="DT87" i="2"/>
  <c r="DT162" i="2"/>
  <c r="DT168" i="2"/>
  <c r="DT73" i="2"/>
  <c r="DT203" i="2"/>
  <c r="DT3" i="2"/>
  <c r="C11" i="4" s="1"/>
  <c r="E11" i="4" s="1"/>
  <c r="F11" i="4" s="1"/>
  <c r="G11" i="4" s="1"/>
  <c r="L11" i="4" s="1"/>
  <c r="EO44" i="2"/>
  <c r="EO35" i="2"/>
  <c r="EO143" i="2"/>
  <c r="EO197" i="2"/>
  <c r="EO146" i="2"/>
  <c r="EO100" i="2"/>
  <c r="EO126" i="2"/>
  <c r="EO187" i="2"/>
  <c r="EO113" i="2"/>
  <c r="EO31" i="2"/>
  <c r="EO108" i="2"/>
  <c r="EO7" i="2"/>
  <c r="EO40" i="2"/>
  <c r="EO142" i="2"/>
  <c r="EO176" i="2"/>
  <c r="EO82" i="2"/>
  <c r="EO71" i="2"/>
  <c r="EO200" i="2"/>
  <c r="EO52" i="2"/>
  <c r="EO26" i="2"/>
  <c r="EO91" i="2"/>
  <c r="EO102" i="2"/>
  <c r="EO183" i="2"/>
  <c r="EO98" i="2"/>
  <c r="EO155" i="2"/>
  <c r="EO174" i="2"/>
  <c r="EO58" i="2"/>
  <c r="EO83" i="2"/>
  <c r="EO136" i="2"/>
  <c r="EO33" i="2"/>
  <c r="EO12" i="2"/>
  <c r="EO21" i="2"/>
  <c r="EO73" i="2"/>
  <c r="EO130" i="2"/>
  <c r="EO192" i="2"/>
  <c r="EO69" i="2"/>
  <c r="EO55" i="2"/>
  <c r="EO148" i="2"/>
  <c r="EO4" i="2"/>
  <c r="EO22" i="2"/>
  <c r="EO114" i="2"/>
  <c r="EO32" i="2"/>
  <c r="EO28" i="2"/>
  <c r="EO11" i="2"/>
  <c r="EO97" i="2"/>
  <c r="EO163" i="2"/>
  <c r="EO134" i="2"/>
  <c r="EO201" i="2"/>
  <c r="EO39" i="2"/>
  <c r="EO85" i="2"/>
  <c r="EO194" i="2"/>
  <c r="EO106" i="2"/>
  <c r="EO129" i="2"/>
  <c r="EO53" i="2"/>
  <c r="EO68" i="2"/>
  <c r="EO154" i="2"/>
  <c r="EO199" i="2"/>
  <c r="EO101" i="2"/>
  <c r="EO57" i="2"/>
  <c r="EO86" i="2"/>
  <c r="EO20" i="2"/>
  <c r="EO103" i="2"/>
  <c r="EO14" i="2"/>
  <c r="EO16" i="2"/>
  <c r="EO139" i="2"/>
  <c r="EO157" i="2"/>
  <c r="EO161" i="2"/>
  <c r="EO64" i="2"/>
  <c r="EO153" i="2"/>
  <c r="EO111" i="2"/>
  <c r="EO49" i="2"/>
  <c r="EO171" i="2"/>
  <c r="EO110" i="2"/>
  <c r="EO78" i="2"/>
  <c r="EO184" i="2"/>
  <c r="EO65" i="2"/>
  <c r="EO38" i="2"/>
  <c r="EO37" i="2"/>
  <c r="EO105" i="2"/>
  <c r="EO119" i="2"/>
  <c r="EO36" i="2"/>
  <c r="EO104" i="2"/>
  <c r="EO177" i="2"/>
  <c r="EO17" i="2"/>
  <c r="EO62" i="2"/>
  <c r="EO150" i="2"/>
  <c r="EO94" i="2"/>
  <c r="EO9" i="2"/>
  <c r="EO170" i="2"/>
  <c r="EO80" i="2"/>
  <c r="EO115" i="2"/>
  <c r="EO135" i="2"/>
  <c r="EO8" i="2"/>
  <c r="EO196" i="2"/>
  <c r="EO122" i="2"/>
  <c r="EO173" i="2"/>
  <c r="EO19" i="2"/>
  <c r="EO93" i="2"/>
  <c r="EO61" i="2"/>
  <c r="EO90" i="2"/>
  <c r="EO109" i="2"/>
  <c r="EO48" i="2"/>
  <c r="EO189" i="2"/>
  <c r="EO25" i="2"/>
  <c r="EO43" i="2"/>
  <c r="EO125" i="2"/>
  <c r="EO178" i="2"/>
  <c r="EO137" i="2"/>
  <c r="EO51" i="2"/>
  <c r="EO160" i="2"/>
  <c r="EO120" i="2"/>
  <c r="EO59" i="2"/>
  <c r="EO81" i="2"/>
  <c r="EO164" i="2"/>
  <c r="EO159" i="2"/>
  <c r="EO149" i="2"/>
  <c r="EO168" i="2"/>
  <c r="EO50" i="2"/>
  <c r="EO79" i="2"/>
  <c r="EO167" i="2"/>
  <c r="EO46" i="2"/>
  <c r="EO15" i="2"/>
  <c r="EO158" i="2"/>
  <c r="EO123" i="2"/>
  <c r="EO6" i="2"/>
  <c r="EO24" i="2"/>
  <c r="EO112" i="2"/>
  <c r="EO140" i="2"/>
  <c r="EO195" i="2"/>
  <c r="EO34" i="2"/>
  <c r="EO88" i="2"/>
  <c r="EO84" i="2"/>
  <c r="EO75" i="2"/>
  <c r="EO30" i="2"/>
  <c r="EO121" i="2"/>
  <c r="EO54" i="2"/>
  <c r="EO42" i="2"/>
  <c r="EO124" i="2"/>
  <c r="EO23" i="2"/>
  <c r="EO92" i="2"/>
  <c r="EO70" i="2"/>
  <c r="EO166" i="2"/>
  <c r="EO29" i="2"/>
  <c r="EO72" i="2"/>
  <c r="EO74" i="2"/>
  <c r="EO198" i="2"/>
  <c r="EO185" i="2"/>
  <c r="EO172" i="2"/>
  <c r="EO191" i="2"/>
  <c r="EO66" i="2"/>
  <c r="EO5" i="2"/>
  <c r="EO96" i="2"/>
  <c r="EO138" i="2"/>
  <c r="EO18" i="2"/>
  <c r="EO162" i="2"/>
  <c r="EO13" i="2"/>
  <c r="EO87" i="2"/>
  <c r="EO56" i="2"/>
  <c r="EO132" i="2"/>
  <c r="EO27" i="2"/>
  <c r="EO63" i="2"/>
  <c r="EO67" i="2"/>
  <c r="EO47" i="2"/>
  <c r="EO133" i="2"/>
  <c r="EO147" i="2"/>
  <c r="EO45" i="2"/>
  <c r="EO169" i="2"/>
  <c r="EO118" i="2"/>
  <c r="EO188" i="2"/>
  <c r="EO156" i="2"/>
  <c r="EO203" i="2"/>
  <c r="EO141" i="2"/>
  <c r="EO131" i="2"/>
  <c r="EO193" i="2"/>
  <c r="EO117" i="2"/>
  <c r="EO165" i="2"/>
  <c r="EO60" i="2"/>
  <c r="EO181" i="2"/>
  <c r="EO41" i="2"/>
  <c r="EO10" i="2"/>
  <c r="EO116" i="2"/>
  <c r="EO202" i="2"/>
  <c r="EO77" i="2"/>
  <c r="EO128" i="2"/>
  <c r="EO179" i="2"/>
  <c r="EO89" i="2"/>
  <c r="EO99" i="2"/>
  <c r="EO151" i="2"/>
  <c r="EO186" i="2"/>
  <c r="EO190" i="2"/>
  <c r="EO152" i="2"/>
  <c r="EO144" i="2"/>
  <c r="EO182" i="2"/>
  <c r="EO76" i="2"/>
  <c r="EO127" i="2"/>
  <c r="EO107" i="2"/>
  <c r="EO175" i="2"/>
  <c r="EO95" i="2"/>
  <c r="EO145" i="2"/>
  <c r="EO180" i="2"/>
  <c r="EO3" i="2"/>
  <c r="C12" i="4" s="1"/>
  <c r="E12" i="4" s="1"/>
  <c r="F12" i="4" s="1"/>
  <c r="G12" i="4" s="1"/>
  <c r="L12" i="4" s="1"/>
  <c r="BE51" i="2"/>
  <c r="BS49" i="2"/>
  <c r="BF50" i="2"/>
  <c r="BG50" i="2" s="1"/>
  <c r="BH50" i="2" s="1"/>
  <c r="FE139" i="2" l="1"/>
  <c r="FF138" i="2"/>
  <c r="FG138" i="2" s="1"/>
  <c r="FH138" i="2" s="1"/>
  <c r="FI138" i="2" s="1"/>
  <c r="EJ139" i="2"/>
  <c r="EK138" i="2"/>
  <c r="EL138" i="2" s="1"/>
  <c r="EM138" i="2" s="1"/>
  <c r="EN138" i="2" s="1"/>
  <c r="DO139" i="2"/>
  <c r="DP138" i="2"/>
  <c r="DQ138" i="2" s="1"/>
  <c r="DR138" i="2" s="1"/>
  <c r="DS138" i="2" s="1"/>
  <c r="CT139" i="2"/>
  <c r="CU138" i="2"/>
  <c r="CV138" i="2" s="1"/>
  <c r="CW138" i="2" s="1"/>
  <c r="CX138" i="2" s="1"/>
  <c r="BY139" i="2"/>
  <c r="BZ138" i="2"/>
  <c r="CA138" i="2" s="1"/>
  <c r="CB138" i="2" s="1"/>
  <c r="CC138" i="2" s="1"/>
  <c r="N139" i="2"/>
  <c r="O138" i="2"/>
  <c r="P138" i="2" s="1"/>
  <c r="Q138" i="2" s="1"/>
  <c r="R138" i="2" s="1"/>
  <c r="GA138" i="2"/>
  <c r="GB138" i="2" s="1"/>
  <c r="GC138" i="2" s="1"/>
  <c r="GD138" i="2" s="1"/>
  <c r="GV138" i="2"/>
  <c r="GW138" i="2" s="1"/>
  <c r="GX138" i="2" s="1"/>
  <c r="GY138" i="2" s="1"/>
  <c r="AJ138" i="2"/>
  <c r="AK138" i="2" s="1"/>
  <c r="AL138" i="2" s="1"/>
  <c r="AM138" i="2" s="1"/>
  <c r="BS50" i="2"/>
  <c r="BE52" i="2"/>
  <c r="BF51" i="2"/>
  <c r="BG51" i="2" s="1"/>
  <c r="BH51" i="2" s="1"/>
  <c r="FE140" i="2" l="1"/>
  <c r="FF139" i="2"/>
  <c r="FG139" i="2" s="1"/>
  <c r="FH139" i="2" s="1"/>
  <c r="FI139" i="2" s="1"/>
  <c r="EJ140" i="2"/>
  <c r="EK139" i="2"/>
  <c r="EL139" i="2" s="1"/>
  <c r="EM139" i="2" s="1"/>
  <c r="EN139" i="2" s="1"/>
  <c r="DO140" i="2"/>
  <c r="DP139" i="2"/>
  <c r="DQ139" i="2" s="1"/>
  <c r="DR139" i="2" s="1"/>
  <c r="DS139" i="2" s="1"/>
  <c r="CT140" i="2"/>
  <c r="CU139" i="2"/>
  <c r="CV139" i="2" s="1"/>
  <c r="CW139" i="2" s="1"/>
  <c r="CX139" i="2" s="1"/>
  <c r="BY140" i="2"/>
  <c r="BZ139" i="2"/>
  <c r="CA139" i="2" s="1"/>
  <c r="CB139" i="2" s="1"/>
  <c r="CC139" i="2" s="1"/>
  <c r="N140" i="2"/>
  <c r="O139" i="2"/>
  <c r="P139" i="2" s="1"/>
  <c r="Q139" i="2" s="1"/>
  <c r="R139" i="2" s="1"/>
  <c r="GA139" i="2"/>
  <c r="GB139" i="2" s="1"/>
  <c r="GC139" i="2" s="1"/>
  <c r="GD139" i="2" s="1"/>
  <c r="GV139" i="2"/>
  <c r="GW139" i="2" s="1"/>
  <c r="GX139" i="2" s="1"/>
  <c r="GY139" i="2" s="1"/>
  <c r="AJ139" i="2"/>
  <c r="AK139" i="2" s="1"/>
  <c r="AL139" i="2" s="1"/>
  <c r="AM139" i="2" s="1"/>
  <c r="BE53" i="2"/>
  <c r="BS51" i="2"/>
  <c r="BF52" i="2"/>
  <c r="BG52" i="2" s="1"/>
  <c r="BH52" i="2" s="1"/>
  <c r="FE141" i="2" l="1"/>
  <c r="FF140" i="2"/>
  <c r="FG140" i="2" s="1"/>
  <c r="FH140" i="2" s="1"/>
  <c r="FI140" i="2" s="1"/>
  <c r="EJ141" i="2"/>
  <c r="EK140" i="2"/>
  <c r="EL140" i="2" s="1"/>
  <c r="EM140" i="2" s="1"/>
  <c r="EN140" i="2" s="1"/>
  <c r="DO141" i="2"/>
  <c r="DP140" i="2"/>
  <c r="DQ140" i="2" s="1"/>
  <c r="DR140" i="2" s="1"/>
  <c r="DS140" i="2" s="1"/>
  <c r="CT141" i="2"/>
  <c r="CU140" i="2"/>
  <c r="CV140" i="2" s="1"/>
  <c r="CW140" i="2" s="1"/>
  <c r="CX140" i="2" s="1"/>
  <c r="BY141" i="2"/>
  <c r="BZ140" i="2"/>
  <c r="CA140" i="2" s="1"/>
  <c r="CB140" i="2" s="1"/>
  <c r="CC140" i="2" s="1"/>
  <c r="N141" i="2"/>
  <c r="O140" i="2"/>
  <c r="P140" i="2" s="1"/>
  <c r="Q140" i="2" s="1"/>
  <c r="R140" i="2" s="1"/>
  <c r="GA140" i="2"/>
  <c r="GB140" i="2" s="1"/>
  <c r="GC140" i="2" s="1"/>
  <c r="GD140" i="2" s="1"/>
  <c r="GV140" i="2"/>
  <c r="GW140" i="2" s="1"/>
  <c r="GX140" i="2" s="1"/>
  <c r="GY140" i="2" s="1"/>
  <c r="AJ140" i="2"/>
  <c r="AK140" i="2" s="1"/>
  <c r="AL140" i="2" s="1"/>
  <c r="AM140" i="2" s="1"/>
  <c r="BS52" i="2"/>
  <c r="BE54" i="2"/>
  <c r="BF53" i="2"/>
  <c r="BG53" i="2" s="1"/>
  <c r="BH53" i="2" s="1"/>
  <c r="FE142" i="2" l="1"/>
  <c r="FF141" i="2"/>
  <c r="FG141" i="2" s="1"/>
  <c r="FH141" i="2" s="1"/>
  <c r="FI141" i="2" s="1"/>
  <c r="EJ142" i="2"/>
  <c r="EK141" i="2"/>
  <c r="EL141" i="2" s="1"/>
  <c r="EM141" i="2" s="1"/>
  <c r="EN141" i="2" s="1"/>
  <c r="DO142" i="2"/>
  <c r="DP141" i="2"/>
  <c r="DQ141" i="2" s="1"/>
  <c r="DR141" i="2" s="1"/>
  <c r="DS141" i="2" s="1"/>
  <c r="CT142" i="2"/>
  <c r="CU141" i="2"/>
  <c r="CV141" i="2" s="1"/>
  <c r="CW141" i="2" s="1"/>
  <c r="CX141" i="2" s="1"/>
  <c r="BY142" i="2"/>
  <c r="BZ141" i="2"/>
  <c r="CA141" i="2" s="1"/>
  <c r="CB141" i="2" s="1"/>
  <c r="CC141" i="2" s="1"/>
  <c r="N142" i="2"/>
  <c r="O141" i="2"/>
  <c r="P141" i="2" s="1"/>
  <c r="Q141" i="2" s="1"/>
  <c r="R141" i="2" s="1"/>
  <c r="GA141" i="2"/>
  <c r="GB141" i="2" s="1"/>
  <c r="GC141" i="2" s="1"/>
  <c r="GD141" i="2" s="1"/>
  <c r="GV141" i="2"/>
  <c r="GW141" i="2" s="1"/>
  <c r="GX141" i="2" s="1"/>
  <c r="GY141" i="2" s="1"/>
  <c r="AJ141" i="2"/>
  <c r="AK141" i="2" s="1"/>
  <c r="AL141" i="2" s="1"/>
  <c r="AM141" i="2" s="1"/>
  <c r="BE55" i="2"/>
  <c r="BS53" i="2"/>
  <c r="BF54" i="2"/>
  <c r="BG54" i="2" s="1"/>
  <c r="BH54" i="2" s="1"/>
  <c r="FE143" i="2" l="1"/>
  <c r="FF142" i="2"/>
  <c r="FG142" i="2" s="1"/>
  <c r="FH142" i="2" s="1"/>
  <c r="FI142" i="2" s="1"/>
  <c r="EJ143" i="2"/>
  <c r="EK142" i="2"/>
  <c r="EL142" i="2" s="1"/>
  <c r="EM142" i="2" s="1"/>
  <c r="EN142" i="2" s="1"/>
  <c r="DO143" i="2"/>
  <c r="DP142" i="2"/>
  <c r="DQ142" i="2" s="1"/>
  <c r="DR142" i="2" s="1"/>
  <c r="DS142" i="2" s="1"/>
  <c r="CT143" i="2"/>
  <c r="CU142" i="2"/>
  <c r="CV142" i="2" s="1"/>
  <c r="CW142" i="2" s="1"/>
  <c r="CX142" i="2" s="1"/>
  <c r="BY143" i="2"/>
  <c r="BZ142" i="2"/>
  <c r="CA142" i="2" s="1"/>
  <c r="CB142" i="2" s="1"/>
  <c r="CC142" i="2" s="1"/>
  <c r="N143" i="2"/>
  <c r="O142" i="2"/>
  <c r="P142" i="2" s="1"/>
  <c r="Q142" i="2" s="1"/>
  <c r="R142" i="2" s="1"/>
  <c r="GA142" i="2"/>
  <c r="GB142" i="2" s="1"/>
  <c r="GC142" i="2" s="1"/>
  <c r="GD142" i="2" s="1"/>
  <c r="GV142" i="2"/>
  <c r="GW142" i="2" s="1"/>
  <c r="GX142" i="2" s="1"/>
  <c r="GY142" i="2" s="1"/>
  <c r="AJ142" i="2"/>
  <c r="AK142" i="2" s="1"/>
  <c r="AL142" i="2" s="1"/>
  <c r="AM142" i="2" s="1"/>
  <c r="BS54" i="2"/>
  <c r="BE56" i="2"/>
  <c r="BF55" i="2"/>
  <c r="BG55" i="2" s="1"/>
  <c r="BH55" i="2" s="1"/>
  <c r="FE144" i="2" l="1"/>
  <c r="FF143" i="2"/>
  <c r="FG143" i="2" s="1"/>
  <c r="FH143" i="2" s="1"/>
  <c r="FI143" i="2" s="1"/>
  <c r="EJ144" i="2"/>
  <c r="EK143" i="2"/>
  <c r="EL143" i="2" s="1"/>
  <c r="EM143" i="2" s="1"/>
  <c r="EN143" i="2" s="1"/>
  <c r="DO144" i="2"/>
  <c r="DP143" i="2"/>
  <c r="DQ143" i="2" s="1"/>
  <c r="DR143" i="2" s="1"/>
  <c r="DS143" i="2" s="1"/>
  <c r="CT144" i="2"/>
  <c r="CU143" i="2"/>
  <c r="CV143" i="2" s="1"/>
  <c r="CW143" i="2" s="1"/>
  <c r="CX143" i="2" s="1"/>
  <c r="BY144" i="2"/>
  <c r="BZ143" i="2"/>
  <c r="CA143" i="2" s="1"/>
  <c r="CB143" i="2" s="1"/>
  <c r="CC143" i="2" s="1"/>
  <c r="N144" i="2"/>
  <c r="O143" i="2"/>
  <c r="P143" i="2" s="1"/>
  <c r="Q143" i="2" s="1"/>
  <c r="R143" i="2" s="1"/>
  <c r="GA143" i="2"/>
  <c r="GB143" i="2" s="1"/>
  <c r="GC143" i="2" s="1"/>
  <c r="GD143" i="2" s="1"/>
  <c r="GV143" i="2"/>
  <c r="GW143" i="2" s="1"/>
  <c r="GX143" i="2" s="1"/>
  <c r="GY143" i="2" s="1"/>
  <c r="AJ143" i="2"/>
  <c r="AK143" i="2" s="1"/>
  <c r="AL143" i="2" s="1"/>
  <c r="AM143" i="2" s="1"/>
  <c r="BE57" i="2"/>
  <c r="BS55" i="2"/>
  <c r="BF56" i="2"/>
  <c r="BG56" i="2" s="1"/>
  <c r="BH56" i="2" s="1"/>
  <c r="FE145" i="2" l="1"/>
  <c r="FF144" i="2"/>
  <c r="FG144" i="2" s="1"/>
  <c r="FH144" i="2" s="1"/>
  <c r="FI144" i="2" s="1"/>
  <c r="EJ145" i="2"/>
  <c r="EK144" i="2"/>
  <c r="EL144" i="2" s="1"/>
  <c r="EM144" i="2" s="1"/>
  <c r="EN144" i="2" s="1"/>
  <c r="DO145" i="2"/>
  <c r="DP144" i="2"/>
  <c r="DQ144" i="2" s="1"/>
  <c r="DR144" i="2" s="1"/>
  <c r="DS144" i="2" s="1"/>
  <c r="CT145" i="2"/>
  <c r="CU144" i="2"/>
  <c r="CV144" i="2" s="1"/>
  <c r="CW144" i="2" s="1"/>
  <c r="CX144" i="2" s="1"/>
  <c r="BY145" i="2"/>
  <c r="BZ144" i="2"/>
  <c r="CA144" i="2" s="1"/>
  <c r="CB144" i="2" s="1"/>
  <c r="CC144" i="2" s="1"/>
  <c r="N145" i="2"/>
  <c r="O144" i="2"/>
  <c r="P144" i="2" s="1"/>
  <c r="Q144" i="2" s="1"/>
  <c r="R144" i="2" s="1"/>
  <c r="GA144" i="2"/>
  <c r="GB144" i="2" s="1"/>
  <c r="GC144" i="2" s="1"/>
  <c r="GD144" i="2" s="1"/>
  <c r="GV144" i="2"/>
  <c r="GW144" i="2" s="1"/>
  <c r="GX144" i="2" s="1"/>
  <c r="GY144" i="2" s="1"/>
  <c r="AJ144" i="2"/>
  <c r="AK144" i="2" s="1"/>
  <c r="AL144" i="2" s="1"/>
  <c r="AM144" i="2" s="1"/>
  <c r="BS56" i="2"/>
  <c r="BE58" i="2"/>
  <c r="BF57" i="2"/>
  <c r="BG57" i="2" s="1"/>
  <c r="BH57" i="2" s="1"/>
  <c r="FE146" i="2" l="1"/>
  <c r="FF145" i="2"/>
  <c r="FG145" i="2" s="1"/>
  <c r="FH145" i="2" s="1"/>
  <c r="FI145" i="2" s="1"/>
  <c r="EJ146" i="2"/>
  <c r="EK145" i="2"/>
  <c r="EL145" i="2" s="1"/>
  <c r="EM145" i="2" s="1"/>
  <c r="EN145" i="2" s="1"/>
  <c r="DO146" i="2"/>
  <c r="DP145" i="2"/>
  <c r="DQ145" i="2" s="1"/>
  <c r="DR145" i="2" s="1"/>
  <c r="DS145" i="2" s="1"/>
  <c r="CT146" i="2"/>
  <c r="CU145" i="2"/>
  <c r="CV145" i="2" s="1"/>
  <c r="CW145" i="2" s="1"/>
  <c r="CX145" i="2" s="1"/>
  <c r="BY146" i="2"/>
  <c r="BZ145" i="2"/>
  <c r="CA145" i="2" s="1"/>
  <c r="CB145" i="2" s="1"/>
  <c r="CC145" i="2" s="1"/>
  <c r="N146" i="2"/>
  <c r="O145" i="2"/>
  <c r="P145" i="2" s="1"/>
  <c r="Q145" i="2" s="1"/>
  <c r="R145" i="2" s="1"/>
  <c r="GA145" i="2"/>
  <c r="GB145" i="2" s="1"/>
  <c r="GC145" i="2" s="1"/>
  <c r="GD145" i="2" s="1"/>
  <c r="GV145" i="2"/>
  <c r="GW145" i="2" s="1"/>
  <c r="GX145" i="2" s="1"/>
  <c r="GY145" i="2" s="1"/>
  <c r="AJ145" i="2"/>
  <c r="AK145" i="2" s="1"/>
  <c r="AL145" i="2" s="1"/>
  <c r="AM145" i="2" s="1"/>
  <c r="BE59" i="2"/>
  <c r="BS57" i="2"/>
  <c r="BF58" i="2"/>
  <c r="BG58" i="2" s="1"/>
  <c r="BH58" i="2" s="1"/>
  <c r="FE147" i="2" l="1"/>
  <c r="FF146" i="2"/>
  <c r="FG146" i="2" s="1"/>
  <c r="FH146" i="2" s="1"/>
  <c r="FI146" i="2" s="1"/>
  <c r="EJ147" i="2"/>
  <c r="EK146" i="2"/>
  <c r="EL146" i="2" s="1"/>
  <c r="EM146" i="2" s="1"/>
  <c r="EN146" i="2" s="1"/>
  <c r="DO147" i="2"/>
  <c r="DP146" i="2"/>
  <c r="DQ146" i="2" s="1"/>
  <c r="DR146" i="2" s="1"/>
  <c r="DS146" i="2" s="1"/>
  <c r="CT147" i="2"/>
  <c r="CU146" i="2"/>
  <c r="CV146" i="2" s="1"/>
  <c r="CW146" i="2" s="1"/>
  <c r="CX146" i="2" s="1"/>
  <c r="BY147" i="2"/>
  <c r="BZ146" i="2"/>
  <c r="CA146" i="2" s="1"/>
  <c r="CB146" i="2" s="1"/>
  <c r="CC146" i="2" s="1"/>
  <c r="N147" i="2"/>
  <c r="O146" i="2"/>
  <c r="P146" i="2" s="1"/>
  <c r="Q146" i="2" s="1"/>
  <c r="R146" i="2" s="1"/>
  <c r="GA146" i="2"/>
  <c r="GB146" i="2" s="1"/>
  <c r="GC146" i="2" s="1"/>
  <c r="GD146" i="2" s="1"/>
  <c r="GV146" i="2"/>
  <c r="GW146" i="2" s="1"/>
  <c r="GX146" i="2" s="1"/>
  <c r="GY146" i="2" s="1"/>
  <c r="AJ146" i="2"/>
  <c r="AK146" i="2" s="1"/>
  <c r="AL146" i="2" s="1"/>
  <c r="AM146" i="2" s="1"/>
  <c r="BS58" i="2"/>
  <c r="BE60" i="2"/>
  <c r="BF59" i="2"/>
  <c r="BG59" i="2" s="1"/>
  <c r="BH59" i="2" s="1"/>
  <c r="FE148" i="2" l="1"/>
  <c r="FF147" i="2"/>
  <c r="FG147" i="2" s="1"/>
  <c r="FH147" i="2" s="1"/>
  <c r="FI147" i="2" s="1"/>
  <c r="EJ148" i="2"/>
  <c r="EK147" i="2"/>
  <c r="EL147" i="2" s="1"/>
  <c r="EM147" i="2" s="1"/>
  <c r="EN147" i="2" s="1"/>
  <c r="DO148" i="2"/>
  <c r="DP147" i="2"/>
  <c r="DQ147" i="2" s="1"/>
  <c r="DR147" i="2" s="1"/>
  <c r="DS147" i="2" s="1"/>
  <c r="CT148" i="2"/>
  <c r="CU147" i="2"/>
  <c r="CV147" i="2" s="1"/>
  <c r="CW147" i="2" s="1"/>
  <c r="CX147" i="2" s="1"/>
  <c r="BY148" i="2"/>
  <c r="BZ147" i="2"/>
  <c r="CA147" i="2" s="1"/>
  <c r="CB147" i="2" s="1"/>
  <c r="CC147" i="2" s="1"/>
  <c r="N148" i="2"/>
  <c r="O147" i="2"/>
  <c r="P147" i="2" s="1"/>
  <c r="Q147" i="2" s="1"/>
  <c r="R147" i="2" s="1"/>
  <c r="GA147" i="2"/>
  <c r="GB147" i="2" s="1"/>
  <c r="GC147" i="2" s="1"/>
  <c r="GD147" i="2" s="1"/>
  <c r="GV147" i="2"/>
  <c r="GW147" i="2" s="1"/>
  <c r="GX147" i="2" s="1"/>
  <c r="GY147" i="2" s="1"/>
  <c r="AJ147" i="2"/>
  <c r="AK147" i="2" s="1"/>
  <c r="AL147" i="2" s="1"/>
  <c r="AM147" i="2" s="1"/>
  <c r="BE61" i="2"/>
  <c r="BS59" i="2"/>
  <c r="BF60" i="2"/>
  <c r="BG60" i="2" s="1"/>
  <c r="BH60" i="2" s="1"/>
  <c r="FE149" i="2" l="1"/>
  <c r="FF148" i="2"/>
  <c r="FG148" i="2" s="1"/>
  <c r="FH148" i="2" s="1"/>
  <c r="FI148" i="2" s="1"/>
  <c r="EJ149" i="2"/>
  <c r="EK148" i="2"/>
  <c r="EL148" i="2" s="1"/>
  <c r="EM148" i="2" s="1"/>
  <c r="EN148" i="2" s="1"/>
  <c r="DO149" i="2"/>
  <c r="DP148" i="2"/>
  <c r="DQ148" i="2" s="1"/>
  <c r="DR148" i="2" s="1"/>
  <c r="DS148" i="2" s="1"/>
  <c r="CT149" i="2"/>
  <c r="CU148" i="2"/>
  <c r="CV148" i="2" s="1"/>
  <c r="CW148" i="2" s="1"/>
  <c r="CX148" i="2" s="1"/>
  <c r="BY149" i="2"/>
  <c r="BZ148" i="2"/>
  <c r="CA148" i="2" s="1"/>
  <c r="CB148" i="2" s="1"/>
  <c r="CC148" i="2" s="1"/>
  <c r="N149" i="2"/>
  <c r="O148" i="2"/>
  <c r="P148" i="2" s="1"/>
  <c r="Q148" i="2" s="1"/>
  <c r="R148" i="2" s="1"/>
  <c r="GA148" i="2"/>
  <c r="GB148" i="2" s="1"/>
  <c r="GC148" i="2" s="1"/>
  <c r="GD148" i="2" s="1"/>
  <c r="GV148" i="2"/>
  <c r="GW148" i="2" s="1"/>
  <c r="GX148" i="2" s="1"/>
  <c r="GY148" i="2" s="1"/>
  <c r="AJ148" i="2"/>
  <c r="AK148" i="2" s="1"/>
  <c r="AL148" i="2" s="1"/>
  <c r="AM148" i="2" s="1"/>
  <c r="BS60" i="2"/>
  <c r="BE62" i="2"/>
  <c r="BF61" i="2"/>
  <c r="BG61" i="2" s="1"/>
  <c r="BH61" i="2" s="1"/>
  <c r="FE150" i="2" l="1"/>
  <c r="FF149" i="2"/>
  <c r="FG149" i="2" s="1"/>
  <c r="FH149" i="2" s="1"/>
  <c r="FI149" i="2" s="1"/>
  <c r="EJ150" i="2"/>
  <c r="EK149" i="2"/>
  <c r="EL149" i="2" s="1"/>
  <c r="EM149" i="2" s="1"/>
  <c r="EN149" i="2" s="1"/>
  <c r="DO150" i="2"/>
  <c r="DP149" i="2"/>
  <c r="DQ149" i="2" s="1"/>
  <c r="DR149" i="2" s="1"/>
  <c r="DS149" i="2" s="1"/>
  <c r="CT150" i="2"/>
  <c r="CU149" i="2"/>
  <c r="CV149" i="2" s="1"/>
  <c r="CW149" i="2" s="1"/>
  <c r="CX149" i="2" s="1"/>
  <c r="BY150" i="2"/>
  <c r="BZ149" i="2"/>
  <c r="CA149" i="2" s="1"/>
  <c r="CB149" i="2" s="1"/>
  <c r="CC149" i="2" s="1"/>
  <c r="N150" i="2"/>
  <c r="O149" i="2"/>
  <c r="P149" i="2" s="1"/>
  <c r="Q149" i="2" s="1"/>
  <c r="R149" i="2" s="1"/>
  <c r="GA149" i="2"/>
  <c r="GB149" i="2" s="1"/>
  <c r="GC149" i="2" s="1"/>
  <c r="GD149" i="2" s="1"/>
  <c r="GV149" i="2"/>
  <c r="GW149" i="2" s="1"/>
  <c r="GX149" i="2" s="1"/>
  <c r="GY149" i="2" s="1"/>
  <c r="AJ149" i="2"/>
  <c r="AK149" i="2" s="1"/>
  <c r="AL149" i="2" s="1"/>
  <c r="AM149" i="2" s="1"/>
  <c r="BE63" i="2"/>
  <c r="BS61" i="2"/>
  <c r="BF62" i="2"/>
  <c r="BG62" i="2" s="1"/>
  <c r="BH62" i="2" s="1"/>
  <c r="FE151" i="2" l="1"/>
  <c r="FF150" i="2"/>
  <c r="FG150" i="2" s="1"/>
  <c r="FH150" i="2" s="1"/>
  <c r="FI150" i="2" s="1"/>
  <c r="EJ151" i="2"/>
  <c r="EK150" i="2"/>
  <c r="EL150" i="2" s="1"/>
  <c r="EM150" i="2" s="1"/>
  <c r="EN150" i="2" s="1"/>
  <c r="DO151" i="2"/>
  <c r="DP150" i="2"/>
  <c r="DQ150" i="2" s="1"/>
  <c r="DR150" i="2" s="1"/>
  <c r="DS150" i="2" s="1"/>
  <c r="CT151" i="2"/>
  <c r="CU150" i="2"/>
  <c r="CV150" i="2" s="1"/>
  <c r="CW150" i="2" s="1"/>
  <c r="CX150" i="2" s="1"/>
  <c r="BY151" i="2"/>
  <c r="BZ150" i="2"/>
  <c r="CA150" i="2" s="1"/>
  <c r="CB150" i="2" s="1"/>
  <c r="CC150" i="2" s="1"/>
  <c r="N151" i="2"/>
  <c r="O150" i="2"/>
  <c r="P150" i="2" s="1"/>
  <c r="Q150" i="2" s="1"/>
  <c r="R150" i="2" s="1"/>
  <c r="GA150" i="2"/>
  <c r="GB150" i="2" s="1"/>
  <c r="GC150" i="2" s="1"/>
  <c r="GD150" i="2" s="1"/>
  <c r="GV150" i="2"/>
  <c r="GW150" i="2" s="1"/>
  <c r="GX150" i="2" s="1"/>
  <c r="GY150" i="2" s="1"/>
  <c r="AJ150" i="2"/>
  <c r="AK150" i="2" s="1"/>
  <c r="AL150" i="2" s="1"/>
  <c r="AM150" i="2" s="1"/>
  <c r="BS62" i="2"/>
  <c r="BE64" i="2"/>
  <c r="BF63" i="2"/>
  <c r="BG63" i="2" s="1"/>
  <c r="BH63" i="2" s="1"/>
  <c r="FE152" i="2" l="1"/>
  <c r="FF151" i="2"/>
  <c r="FG151" i="2" s="1"/>
  <c r="FH151" i="2" s="1"/>
  <c r="FI151" i="2" s="1"/>
  <c r="EJ152" i="2"/>
  <c r="EK151" i="2"/>
  <c r="EL151" i="2" s="1"/>
  <c r="EM151" i="2" s="1"/>
  <c r="EN151" i="2" s="1"/>
  <c r="DO152" i="2"/>
  <c r="DP151" i="2"/>
  <c r="DQ151" i="2" s="1"/>
  <c r="DR151" i="2" s="1"/>
  <c r="DS151" i="2" s="1"/>
  <c r="CT152" i="2"/>
  <c r="CU151" i="2"/>
  <c r="CV151" i="2" s="1"/>
  <c r="CW151" i="2" s="1"/>
  <c r="CX151" i="2" s="1"/>
  <c r="BY152" i="2"/>
  <c r="BZ151" i="2"/>
  <c r="CA151" i="2" s="1"/>
  <c r="CB151" i="2" s="1"/>
  <c r="CC151" i="2" s="1"/>
  <c r="N152" i="2"/>
  <c r="O151" i="2"/>
  <c r="P151" i="2" s="1"/>
  <c r="Q151" i="2" s="1"/>
  <c r="R151" i="2" s="1"/>
  <c r="GA151" i="2"/>
  <c r="GB151" i="2" s="1"/>
  <c r="GC151" i="2" s="1"/>
  <c r="GD151" i="2" s="1"/>
  <c r="GV151" i="2"/>
  <c r="GW151" i="2" s="1"/>
  <c r="GX151" i="2" s="1"/>
  <c r="GY151" i="2" s="1"/>
  <c r="AJ151" i="2"/>
  <c r="AK151" i="2" s="1"/>
  <c r="AL151" i="2" s="1"/>
  <c r="AM151" i="2" s="1"/>
  <c r="BE65" i="2"/>
  <c r="BS63" i="2"/>
  <c r="BF64" i="2"/>
  <c r="BG64" i="2" s="1"/>
  <c r="BH64" i="2" s="1"/>
  <c r="FE153" i="2" l="1"/>
  <c r="FF152" i="2"/>
  <c r="FG152" i="2" s="1"/>
  <c r="FH152" i="2" s="1"/>
  <c r="FI152" i="2" s="1"/>
  <c r="EJ153" i="2"/>
  <c r="EK152" i="2"/>
  <c r="EL152" i="2" s="1"/>
  <c r="EM152" i="2" s="1"/>
  <c r="EN152" i="2" s="1"/>
  <c r="DO153" i="2"/>
  <c r="DP152" i="2"/>
  <c r="DQ152" i="2" s="1"/>
  <c r="DR152" i="2" s="1"/>
  <c r="DS152" i="2" s="1"/>
  <c r="CT153" i="2"/>
  <c r="CU152" i="2"/>
  <c r="CV152" i="2" s="1"/>
  <c r="CW152" i="2" s="1"/>
  <c r="CX152" i="2" s="1"/>
  <c r="BY153" i="2"/>
  <c r="BZ152" i="2"/>
  <c r="CA152" i="2" s="1"/>
  <c r="CB152" i="2" s="1"/>
  <c r="CC152" i="2" s="1"/>
  <c r="N153" i="2"/>
  <c r="O152" i="2"/>
  <c r="P152" i="2" s="1"/>
  <c r="Q152" i="2" s="1"/>
  <c r="R152" i="2" s="1"/>
  <c r="GA152" i="2"/>
  <c r="GB152" i="2" s="1"/>
  <c r="GC152" i="2" s="1"/>
  <c r="GD152" i="2" s="1"/>
  <c r="GV152" i="2"/>
  <c r="GW152" i="2" s="1"/>
  <c r="GX152" i="2" s="1"/>
  <c r="GY152" i="2" s="1"/>
  <c r="AJ152" i="2"/>
  <c r="AK152" i="2" s="1"/>
  <c r="AL152" i="2" s="1"/>
  <c r="AM152" i="2" s="1"/>
  <c r="BS64" i="2"/>
  <c r="BE66" i="2"/>
  <c r="BF65" i="2"/>
  <c r="BG65" i="2" s="1"/>
  <c r="BH65" i="2" s="1"/>
  <c r="FE154" i="2" l="1"/>
  <c r="FF153" i="2"/>
  <c r="FG153" i="2" s="1"/>
  <c r="FH153" i="2" s="1"/>
  <c r="FI153" i="2" s="1"/>
  <c r="EJ154" i="2"/>
  <c r="EK153" i="2"/>
  <c r="EL153" i="2" s="1"/>
  <c r="EM153" i="2" s="1"/>
  <c r="EN153" i="2" s="1"/>
  <c r="DO154" i="2"/>
  <c r="DP153" i="2"/>
  <c r="DQ153" i="2" s="1"/>
  <c r="DR153" i="2" s="1"/>
  <c r="DS153" i="2" s="1"/>
  <c r="CT154" i="2"/>
  <c r="CU153" i="2"/>
  <c r="CV153" i="2" s="1"/>
  <c r="CW153" i="2" s="1"/>
  <c r="CX153" i="2" s="1"/>
  <c r="BY154" i="2"/>
  <c r="BZ153" i="2"/>
  <c r="CA153" i="2" s="1"/>
  <c r="CB153" i="2" s="1"/>
  <c r="CC153" i="2" s="1"/>
  <c r="N154" i="2"/>
  <c r="O153" i="2"/>
  <c r="P153" i="2" s="1"/>
  <c r="Q153" i="2" s="1"/>
  <c r="R153" i="2" s="1"/>
  <c r="GA153" i="2"/>
  <c r="GB153" i="2" s="1"/>
  <c r="GC153" i="2" s="1"/>
  <c r="GD153" i="2" s="1"/>
  <c r="GV153" i="2"/>
  <c r="GW153" i="2" s="1"/>
  <c r="GX153" i="2" s="1"/>
  <c r="GY153" i="2" s="1"/>
  <c r="AJ153" i="2"/>
  <c r="AK153" i="2" s="1"/>
  <c r="AL153" i="2" s="1"/>
  <c r="AM153" i="2" s="1"/>
  <c r="BE67" i="2"/>
  <c r="BS65" i="2"/>
  <c r="BF66" i="2"/>
  <c r="BG66" i="2" s="1"/>
  <c r="BH66" i="2" s="1"/>
  <c r="FJ134" i="2" l="1"/>
  <c r="FJ156" i="2"/>
  <c r="FJ41" i="2"/>
  <c r="FJ55" i="2"/>
  <c r="FJ138" i="2"/>
  <c r="FJ188" i="2"/>
  <c r="FJ88" i="2"/>
  <c r="FJ164" i="2"/>
  <c r="FJ32" i="2"/>
  <c r="FJ74" i="2"/>
  <c r="FJ107" i="2"/>
  <c r="FJ159" i="2"/>
  <c r="FJ202" i="2"/>
  <c r="FJ203" i="2"/>
  <c r="FJ20" i="2"/>
  <c r="FJ85" i="2"/>
  <c r="FJ80" i="2"/>
  <c r="FJ49" i="2"/>
  <c r="FJ63" i="2"/>
  <c r="FJ199" i="2"/>
  <c r="FJ197" i="2"/>
  <c r="FJ76" i="2"/>
  <c r="FJ24" i="2"/>
  <c r="FJ143" i="2"/>
  <c r="FJ150" i="2"/>
  <c r="FJ122" i="2"/>
  <c r="FJ99" i="2"/>
  <c r="FJ137" i="2"/>
  <c r="FJ112" i="2"/>
  <c r="FJ75" i="2"/>
  <c r="FJ185" i="2"/>
  <c r="FJ157" i="2"/>
  <c r="FJ174" i="2"/>
  <c r="FJ38" i="2"/>
  <c r="FJ91" i="2"/>
  <c r="FJ34" i="2"/>
  <c r="FJ149" i="2"/>
  <c r="FJ144" i="2"/>
  <c r="FJ9" i="2"/>
  <c r="FJ126" i="2"/>
  <c r="FJ30" i="2"/>
  <c r="FJ52" i="2"/>
  <c r="FJ68" i="2"/>
  <c r="FJ12" i="2"/>
  <c r="FJ39" i="2"/>
  <c r="FJ19" i="2"/>
  <c r="FJ71" i="2"/>
  <c r="FJ25" i="2"/>
  <c r="FJ59" i="2"/>
  <c r="FJ147" i="2"/>
  <c r="FJ167" i="2"/>
  <c r="FJ161" i="2"/>
  <c r="FJ4" i="2"/>
  <c r="FJ191" i="2"/>
  <c r="FJ5" i="2"/>
  <c r="FJ170" i="2"/>
  <c r="FJ162" i="2"/>
  <c r="FJ66" i="2"/>
  <c r="FJ82" i="2"/>
  <c r="FJ7" i="2"/>
  <c r="FJ198" i="2"/>
  <c r="FJ69" i="2"/>
  <c r="FJ106" i="2"/>
  <c r="FJ95" i="2"/>
  <c r="FJ11" i="2"/>
  <c r="FJ165" i="2"/>
  <c r="FJ146" i="2"/>
  <c r="FJ57" i="2"/>
  <c r="FJ111" i="2"/>
  <c r="FJ136" i="2"/>
  <c r="FJ114" i="2"/>
  <c r="FJ3" i="2"/>
  <c r="C13" i="4" s="1"/>
  <c r="E13" i="4" s="1"/>
  <c r="F13" i="4" s="1"/>
  <c r="G13" i="4" s="1"/>
  <c r="L13" i="4" s="1"/>
  <c r="FJ128" i="2"/>
  <c r="FJ22" i="2"/>
  <c r="FJ28" i="2"/>
  <c r="FJ196" i="2"/>
  <c r="FJ43" i="2"/>
  <c r="FJ100" i="2"/>
  <c r="FJ93" i="2"/>
  <c r="FJ54" i="2"/>
  <c r="FJ182" i="2"/>
  <c r="FJ189" i="2"/>
  <c r="FJ127" i="2"/>
  <c r="FJ14" i="2"/>
  <c r="FJ103" i="2"/>
  <c r="FJ27" i="2"/>
  <c r="FJ140" i="2"/>
  <c r="FJ125" i="2"/>
  <c r="FJ92" i="2"/>
  <c r="FJ6" i="2"/>
  <c r="FJ26" i="2"/>
  <c r="FJ33" i="2"/>
  <c r="FJ187" i="2"/>
  <c r="FJ98" i="2"/>
  <c r="FJ70" i="2"/>
  <c r="FJ13" i="2"/>
  <c r="FJ155" i="2"/>
  <c r="FJ169" i="2"/>
  <c r="FJ152" i="2"/>
  <c r="FJ77" i="2"/>
  <c r="FJ62" i="2"/>
  <c r="FJ86" i="2"/>
  <c r="FJ104" i="2"/>
  <c r="FJ193" i="2"/>
  <c r="FJ186" i="2"/>
  <c r="FJ178" i="2"/>
  <c r="FJ64" i="2"/>
  <c r="FJ118" i="2"/>
  <c r="FJ81" i="2"/>
  <c r="FJ84" i="2"/>
  <c r="FJ35" i="2"/>
  <c r="FJ160" i="2"/>
  <c r="FJ109" i="2"/>
  <c r="FJ132" i="2"/>
  <c r="FJ142" i="2"/>
  <c r="FJ89" i="2"/>
  <c r="FJ18" i="2"/>
  <c r="FJ192" i="2"/>
  <c r="FJ119" i="2"/>
  <c r="FJ131" i="2"/>
  <c r="FJ45" i="2"/>
  <c r="FJ173" i="2"/>
  <c r="FJ94" i="2"/>
  <c r="FJ123" i="2"/>
  <c r="FJ51" i="2"/>
  <c r="FJ151" i="2"/>
  <c r="FJ40" i="2"/>
  <c r="FJ110" i="2"/>
  <c r="FJ184" i="2"/>
  <c r="FJ72" i="2"/>
  <c r="FJ65" i="2"/>
  <c r="FJ42" i="2"/>
  <c r="FJ139" i="2"/>
  <c r="FJ8" i="2"/>
  <c r="FJ168" i="2"/>
  <c r="FJ117" i="2"/>
  <c r="FJ201" i="2"/>
  <c r="FJ36" i="2"/>
  <c r="FJ17" i="2"/>
  <c r="FJ29" i="2"/>
  <c r="FJ194" i="2"/>
  <c r="FJ47" i="2"/>
  <c r="FJ46" i="2"/>
  <c r="FJ141" i="2"/>
  <c r="FJ177" i="2"/>
  <c r="FJ116" i="2"/>
  <c r="FJ113" i="2"/>
  <c r="FJ87" i="2"/>
  <c r="FJ58" i="2"/>
  <c r="FJ97" i="2"/>
  <c r="FJ48" i="2"/>
  <c r="FJ166" i="2"/>
  <c r="FJ180" i="2"/>
  <c r="FJ73" i="2"/>
  <c r="FJ130" i="2"/>
  <c r="FJ105" i="2"/>
  <c r="FJ148" i="2"/>
  <c r="FJ31" i="2"/>
  <c r="FJ56" i="2"/>
  <c r="FJ120" i="2"/>
  <c r="FJ133" i="2"/>
  <c r="FJ108" i="2"/>
  <c r="FJ135" i="2"/>
  <c r="FJ176" i="2"/>
  <c r="FJ181" i="2"/>
  <c r="FJ37" i="2"/>
  <c r="FJ121" i="2"/>
  <c r="FJ158" i="2"/>
  <c r="FJ179" i="2"/>
  <c r="FJ171" i="2"/>
  <c r="FJ190" i="2"/>
  <c r="FJ145" i="2"/>
  <c r="FJ83" i="2"/>
  <c r="FJ101" i="2"/>
  <c r="FJ90" i="2"/>
  <c r="FJ53" i="2"/>
  <c r="FJ153" i="2"/>
  <c r="FJ172" i="2"/>
  <c r="FJ60" i="2"/>
  <c r="FJ102" i="2"/>
  <c r="FJ129" i="2"/>
  <c r="FJ175" i="2"/>
  <c r="FJ195" i="2"/>
  <c r="FJ10" i="2"/>
  <c r="FJ163" i="2"/>
  <c r="FJ124" i="2"/>
  <c r="FJ44" i="2"/>
  <c r="FJ50" i="2"/>
  <c r="FJ96" i="2"/>
  <c r="FJ79" i="2"/>
  <c r="FJ23" i="2"/>
  <c r="FJ15" i="2"/>
  <c r="FJ115" i="2"/>
  <c r="FJ78" i="2"/>
  <c r="FJ154" i="2"/>
  <c r="FJ16" i="2"/>
  <c r="FJ67" i="2"/>
  <c r="FJ200" i="2"/>
  <c r="FJ61" i="2"/>
  <c r="FJ21" i="2"/>
  <c r="FJ183" i="2"/>
  <c r="FE155" i="2"/>
  <c r="FF154" i="2"/>
  <c r="FG154" i="2" s="1"/>
  <c r="FH154" i="2" s="1"/>
  <c r="FI154" i="2" s="1"/>
  <c r="EJ155" i="2"/>
  <c r="EK154" i="2"/>
  <c r="EL154" i="2" s="1"/>
  <c r="EM154" i="2" s="1"/>
  <c r="EN154" i="2" s="1"/>
  <c r="DO155" i="2"/>
  <c r="DP154" i="2"/>
  <c r="DQ154" i="2" s="1"/>
  <c r="DR154" i="2" s="1"/>
  <c r="DS154" i="2" s="1"/>
  <c r="CT155" i="2"/>
  <c r="CU154" i="2"/>
  <c r="CV154" i="2" s="1"/>
  <c r="CW154" i="2" s="1"/>
  <c r="CX154" i="2" s="1"/>
  <c r="BY155" i="2"/>
  <c r="BZ154" i="2"/>
  <c r="CA154" i="2" s="1"/>
  <c r="CB154" i="2" s="1"/>
  <c r="CC154" i="2" s="1"/>
  <c r="N155" i="2"/>
  <c r="O154" i="2"/>
  <c r="P154" i="2" s="1"/>
  <c r="Q154" i="2" s="1"/>
  <c r="R154" i="2" s="1"/>
  <c r="GA154" i="2"/>
  <c r="GB154" i="2" s="1"/>
  <c r="GC154" i="2" s="1"/>
  <c r="GD154" i="2" s="1"/>
  <c r="GV154" i="2"/>
  <c r="GW154" i="2" s="1"/>
  <c r="GX154" i="2" s="1"/>
  <c r="GY154" i="2" s="1"/>
  <c r="AN50" i="2"/>
  <c r="AN16" i="2"/>
  <c r="AN100" i="2"/>
  <c r="AN183" i="2"/>
  <c r="AN58" i="2"/>
  <c r="AN173" i="2"/>
  <c r="AN19" i="2"/>
  <c r="AN127" i="2"/>
  <c r="AN82" i="2"/>
  <c r="AN104" i="2"/>
  <c r="AN32" i="2"/>
  <c r="AN14" i="2"/>
  <c r="AN170" i="2"/>
  <c r="AN140" i="2"/>
  <c r="AN174" i="2"/>
  <c r="AN148" i="2"/>
  <c r="AN138" i="2"/>
  <c r="AN156" i="2"/>
  <c r="AN92" i="2"/>
  <c r="AN90" i="2"/>
  <c r="AN129" i="2"/>
  <c r="AN7" i="2"/>
  <c r="AN188" i="2"/>
  <c r="AN112" i="2"/>
  <c r="AN190" i="2"/>
  <c r="AN51" i="2"/>
  <c r="AN182" i="2"/>
  <c r="AN11" i="2"/>
  <c r="AN197" i="2"/>
  <c r="AN130" i="2"/>
  <c r="AN163" i="2"/>
  <c r="AN168" i="2"/>
  <c r="AN115" i="2"/>
  <c r="AN39" i="2"/>
  <c r="AN113" i="2"/>
  <c r="AN20" i="2"/>
  <c r="AN34" i="2"/>
  <c r="AN70" i="2"/>
  <c r="AN193" i="2"/>
  <c r="AN35" i="2"/>
  <c r="AN165" i="2"/>
  <c r="AN139" i="2"/>
  <c r="AN194" i="2"/>
  <c r="AN26" i="2"/>
  <c r="AN178" i="2"/>
  <c r="AN141" i="2"/>
  <c r="AN64" i="2"/>
  <c r="AN186" i="2"/>
  <c r="AN159" i="2"/>
  <c r="AN93" i="2"/>
  <c r="AN171" i="2"/>
  <c r="AN158" i="2"/>
  <c r="AN135" i="2"/>
  <c r="AN84" i="2"/>
  <c r="AN74" i="2"/>
  <c r="AN196" i="2"/>
  <c r="AN67" i="2"/>
  <c r="AN131" i="2"/>
  <c r="AN18" i="2"/>
  <c r="AN89" i="2"/>
  <c r="AN88" i="2"/>
  <c r="AN86" i="2"/>
  <c r="AN24" i="2"/>
  <c r="AN149" i="2"/>
  <c r="AN43" i="2"/>
  <c r="AN152" i="2"/>
  <c r="AN87" i="2"/>
  <c r="AN108" i="2"/>
  <c r="AN48" i="2"/>
  <c r="AN154" i="2"/>
  <c r="AN8" i="2"/>
  <c r="AN106" i="2"/>
  <c r="AN177" i="2"/>
  <c r="AN55" i="2"/>
  <c r="AN78" i="2"/>
  <c r="AN66" i="2"/>
  <c r="AN44" i="2"/>
  <c r="AN111" i="2"/>
  <c r="AN45" i="2"/>
  <c r="AN116" i="2"/>
  <c r="AN102" i="2"/>
  <c r="AN144" i="2"/>
  <c r="AN142" i="2"/>
  <c r="AN76" i="2"/>
  <c r="AN10" i="2"/>
  <c r="AN167" i="2"/>
  <c r="AN49" i="2"/>
  <c r="AN121" i="2"/>
  <c r="AN107" i="2"/>
  <c r="AN3" i="2"/>
  <c r="C7" i="4" s="1"/>
  <c r="E7" i="4" s="1"/>
  <c r="F7" i="4" s="1"/>
  <c r="G7" i="4" s="1"/>
  <c r="L7" i="4" s="1"/>
  <c r="AN28" i="2"/>
  <c r="AN21" i="2"/>
  <c r="AN198" i="2"/>
  <c r="AN31" i="2"/>
  <c r="AN118" i="2"/>
  <c r="AN150" i="2"/>
  <c r="AN126" i="2"/>
  <c r="AN122" i="2"/>
  <c r="AN96" i="2"/>
  <c r="AN105" i="2"/>
  <c r="AN160" i="2"/>
  <c r="AN172" i="2"/>
  <c r="AN185" i="2"/>
  <c r="AN109" i="2"/>
  <c r="AN110" i="2"/>
  <c r="AN143" i="2"/>
  <c r="AN180" i="2"/>
  <c r="AN95" i="2"/>
  <c r="AN179" i="2"/>
  <c r="AN80" i="2"/>
  <c r="AN192" i="2"/>
  <c r="AN22" i="2"/>
  <c r="AN191" i="2"/>
  <c r="AN25" i="2"/>
  <c r="AN63" i="2"/>
  <c r="AN157" i="2"/>
  <c r="AN164" i="2"/>
  <c r="AN54" i="2"/>
  <c r="AN30" i="2"/>
  <c r="AN27" i="2"/>
  <c r="AN184" i="2"/>
  <c r="AN12" i="2"/>
  <c r="AN101" i="2"/>
  <c r="AN117" i="2"/>
  <c r="AN169" i="2"/>
  <c r="AN99" i="2"/>
  <c r="AN23" i="2"/>
  <c r="AN15" i="2"/>
  <c r="AN134" i="2"/>
  <c r="AN98" i="2"/>
  <c r="AN72" i="2"/>
  <c r="AN199" i="2"/>
  <c r="AN47" i="2"/>
  <c r="AN146" i="2"/>
  <c r="AN133" i="2"/>
  <c r="AN9" i="2"/>
  <c r="AN94" i="2"/>
  <c r="AN195" i="2"/>
  <c r="AN5" i="2"/>
  <c r="AN17" i="2"/>
  <c r="AN189" i="2"/>
  <c r="AN59" i="2"/>
  <c r="AN46" i="2"/>
  <c r="AN153" i="2"/>
  <c r="AN13" i="2"/>
  <c r="AN201" i="2"/>
  <c r="AN77" i="2"/>
  <c r="AN79" i="2"/>
  <c r="AN40" i="2"/>
  <c r="AN73" i="2"/>
  <c r="AN29" i="2"/>
  <c r="AN62" i="2"/>
  <c r="AN83" i="2"/>
  <c r="AN136" i="2"/>
  <c r="AN41" i="2"/>
  <c r="AN65" i="2"/>
  <c r="AN162" i="2"/>
  <c r="AN61" i="2"/>
  <c r="AN123" i="2"/>
  <c r="AN75" i="2"/>
  <c r="AN33" i="2"/>
  <c r="AN181" i="2"/>
  <c r="AN69" i="2"/>
  <c r="AN119" i="2"/>
  <c r="AN203" i="2"/>
  <c r="AN175" i="2"/>
  <c r="AN202" i="2"/>
  <c r="AN97" i="2"/>
  <c r="AN120" i="2"/>
  <c r="AN124" i="2"/>
  <c r="AN200" i="2"/>
  <c r="AN42" i="2"/>
  <c r="AN128" i="2"/>
  <c r="AN147" i="2"/>
  <c r="AN151" i="2"/>
  <c r="AN38" i="2"/>
  <c r="AN85" i="2"/>
  <c r="AN132" i="2"/>
  <c r="AN4" i="2"/>
  <c r="AN187" i="2"/>
  <c r="AN176" i="2"/>
  <c r="AN52" i="2"/>
  <c r="AN6" i="2"/>
  <c r="AN53" i="2"/>
  <c r="AN37" i="2"/>
  <c r="AN166" i="2"/>
  <c r="AN145" i="2"/>
  <c r="AN155" i="2"/>
  <c r="AN161" i="2"/>
  <c r="AN60" i="2"/>
  <c r="AN137" i="2"/>
  <c r="AN36" i="2"/>
  <c r="AN71" i="2"/>
  <c r="AN114" i="2"/>
  <c r="AN125" i="2"/>
  <c r="AN91" i="2"/>
  <c r="AN57" i="2"/>
  <c r="AN56" i="2"/>
  <c r="AN103" i="2"/>
  <c r="AN81" i="2"/>
  <c r="AN68" i="2"/>
  <c r="AJ154" i="2"/>
  <c r="AK154" i="2" s="1"/>
  <c r="AL154" i="2" s="1"/>
  <c r="AM154" i="2" s="1"/>
  <c r="BS66" i="2"/>
  <c r="BE68" i="2"/>
  <c r="BF67" i="2"/>
  <c r="BG67" i="2" s="1"/>
  <c r="BH67" i="2" s="1"/>
  <c r="FE156" i="2" l="1"/>
  <c r="FF155" i="2"/>
  <c r="FG155" i="2" s="1"/>
  <c r="FH155" i="2" s="1"/>
  <c r="FI155" i="2" s="1"/>
  <c r="EJ156" i="2"/>
  <c r="EK155" i="2"/>
  <c r="EL155" i="2" s="1"/>
  <c r="EM155" i="2" s="1"/>
  <c r="EN155" i="2" s="1"/>
  <c r="DO156" i="2"/>
  <c r="DP155" i="2"/>
  <c r="DQ155" i="2" s="1"/>
  <c r="DR155" i="2" s="1"/>
  <c r="DS155" i="2" s="1"/>
  <c r="CT156" i="2"/>
  <c r="CU155" i="2"/>
  <c r="CV155" i="2" s="1"/>
  <c r="CW155" i="2" s="1"/>
  <c r="CX155" i="2" s="1"/>
  <c r="BY156" i="2"/>
  <c r="BZ155" i="2"/>
  <c r="CA155" i="2" s="1"/>
  <c r="CB155" i="2" s="1"/>
  <c r="CC155" i="2" s="1"/>
  <c r="N156" i="2"/>
  <c r="O155" i="2"/>
  <c r="P155" i="2" s="1"/>
  <c r="Q155" i="2" s="1"/>
  <c r="R155" i="2" s="1"/>
  <c r="GA155" i="2"/>
  <c r="GB155" i="2" s="1"/>
  <c r="GC155" i="2" s="1"/>
  <c r="GD155" i="2" s="1"/>
  <c r="GV155" i="2"/>
  <c r="GW155" i="2" s="1"/>
  <c r="GX155" i="2" s="1"/>
  <c r="GY155" i="2" s="1"/>
  <c r="AJ155" i="2"/>
  <c r="AK155" i="2" s="1"/>
  <c r="AL155" i="2" s="1"/>
  <c r="AM155" i="2" s="1"/>
  <c r="BE69" i="2"/>
  <c r="BS67" i="2"/>
  <c r="BF68" i="2"/>
  <c r="BG68" i="2" s="1"/>
  <c r="BH68" i="2" s="1"/>
  <c r="FE157" i="2" l="1"/>
  <c r="FF156" i="2"/>
  <c r="FG156" i="2" s="1"/>
  <c r="FH156" i="2" s="1"/>
  <c r="FI156" i="2" s="1"/>
  <c r="EJ157" i="2"/>
  <c r="EK156" i="2"/>
  <c r="EL156" i="2" s="1"/>
  <c r="EM156" i="2" s="1"/>
  <c r="EN156" i="2" s="1"/>
  <c r="DO157" i="2"/>
  <c r="DP156" i="2"/>
  <c r="DQ156" i="2" s="1"/>
  <c r="DR156" i="2" s="1"/>
  <c r="DS156" i="2" s="1"/>
  <c r="CT157" i="2"/>
  <c r="CU156" i="2"/>
  <c r="CV156" i="2" s="1"/>
  <c r="CW156" i="2" s="1"/>
  <c r="CX156" i="2" s="1"/>
  <c r="BY157" i="2"/>
  <c r="BZ156" i="2"/>
  <c r="CA156" i="2" s="1"/>
  <c r="CB156" i="2" s="1"/>
  <c r="CC156" i="2" s="1"/>
  <c r="N157" i="2"/>
  <c r="O156" i="2"/>
  <c r="P156" i="2" s="1"/>
  <c r="Q156" i="2" s="1"/>
  <c r="R156" i="2" s="1"/>
  <c r="GA156" i="2"/>
  <c r="GB156" i="2" s="1"/>
  <c r="GC156" i="2" s="1"/>
  <c r="GD156" i="2" s="1"/>
  <c r="GV156" i="2"/>
  <c r="GW156" i="2" s="1"/>
  <c r="GX156" i="2" s="1"/>
  <c r="GY156" i="2" s="1"/>
  <c r="AJ156" i="2"/>
  <c r="AK156" i="2" s="1"/>
  <c r="AL156" i="2" s="1"/>
  <c r="AM156" i="2" s="1"/>
  <c r="BS68" i="2"/>
  <c r="BE70" i="2"/>
  <c r="BF69" i="2"/>
  <c r="BG69" i="2" s="1"/>
  <c r="BH69" i="2" s="1"/>
  <c r="FE158" i="2" l="1"/>
  <c r="FF157" i="2"/>
  <c r="FG157" i="2" s="1"/>
  <c r="FH157" i="2" s="1"/>
  <c r="FI157" i="2" s="1"/>
  <c r="EJ158" i="2"/>
  <c r="EK157" i="2"/>
  <c r="EL157" i="2" s="1"/>
  <c r="EM157" i="2" s="1"/>
  <c r="EN157" i="2" s="1"/>
  <c r="DO158" i="2"/>
  <c r="DP157" i="2"/>
  <c r="DQ157" i="2" s="1"/>
  <c r="DR157" i="2" s="1"/>
  <c r="DS157" i="2" s="1"/>
  <c r="CT158" i="2"/>
  <c r="CU157" i="2"/>
  <c r="CV157" i="2" s="1"/>
  <c r="CW157" i="2" s="1"/>
  <c r="CX157" i="2" s="1"/>
  <c r="BY158" i="2"/>
  <c r="BZ157" i="2"/>
  <c r="CA157" i="2" s="1"/>
  <c r="CB157" i="2" s="1"/>
  <c r="CC157" i="2" s="1"/>
  <c r="N158" i="2"/>
  <c r="O157" i="2"/>
  <c r="P157" i="2" s="1"/>
  <c r="Q157" i="2" s="1"/>
  <c r="R157" i="2" s="1"/>
  <c r="GA157" i="2"/>
  <c r="GB157" i="2" s="1"/>
  <c r="GC157" i="2" s="1"/>
  <c r="GD157" i="2" s="1"/>
  <c r="GV157" i="2"/>
  <c r="GW157" i="2" s="1"/>
  <c r="GX157" i="2" s="1"/>
  <c r="GY157" i="2" s="1"/>
  <c r="AJ157" i="2"/>
  <c r="AK157" i="2" s="1"/>
  <c r="AL157" i="2" s="1"/>
  <c r="AM157" i="2" s="1"/>
  <c r="BE71" i="2"/>
  <c r="BS69" i="2"/>
  <c r="BF70" i="2"/>
  <c r="BG70" i="2" s="1"/>
  <c r="BH70" i="2" s="1"/>
  <c r="FE159" i="2" l="1"/>
  <c r="FF158" i="2"/>
  <c r="FG158" i="2" s="1"/>
  <c r="FH158" i="2" s="1"/>
  <c r="FI158" i="2" s="1"/>
  <c r="EJ159" i="2"/>
  <c r="EK158" i="2"/>
  <c r="EL158" i="2" s="1"/>
  <c r="EM158" i="2" s="1"/>
  <c r="EN158" i="2" s="1"/>
  <c r="DO159" i="2"/>
  <c r="DP158" i="2"/>
  <c r="DQ158" i="2" s="1"/>
  <c r="DR158" i="2" s="1"/>
  <c r="DS158" i="2" s="1"/>
  <c r="CT159" i="2"/>
  <c r="CU158" i="2"/>
  <c r="CV158" i="2" s="1"/>
  <c r="CW158" i="2" s="1"/>
  <c r="CX158" i="2" s="1"/>
  <c r="BY159" i="2"/>
  <c r="BZ158" i="2"/>
  <c r="CA158" i="2" s="1"/>
  <c r="CB158" i="2" s="1"/>
  <c r="CC158" i="2" s="1"/>
  <c r="N159" i="2"/>
  <c r="O158" i="2"/>
  <c r="P158" i="2" s="1"/>
  <c r="Q158" i="2" s="1"/>
  <c r="R158" i="2" s="1"/>
  <c r="GA158" i="2"/>
  <c r="GB158" i="2" s="1"/>
  <c r="GC158" i="2" s="1"/>
  <c r="GD158" i="2" s="1"/>
  <c r="GV158" i="2"/>
  <c r="GW158" i="2" s="1"/>
  <c r="GX158" i="2" s="1"/>
  <c r="GY158" i="2" s="1"/>
  <c r="AJ158" i="2"/>
  <c r="AK158" i="2" s="1"/>
  <c r="AL158" i="2" s="1"/>
  <c r="AM158" i="2" s="1"/>
  <c r="BS70" i="2"/>
  <c r="BE72" i="2"/>
  <c r="BF71" i="2"/>
  <c r="BG71" i="2" s="1"/>
  <c r="BH71" i="2" s="1"/>
  <c r="FE160" i="2" l="1"/>
  <c r="FF159" i="2"/>
  <c r="FG159" i="2" s="1"/>
  <c r="FH159" i="2" s="1"/>
  <c r="FI159" i="2" s="1"/>
  <c r="EJ160" i="2"/>
  <c r="EK159" i="2"/>
  <c r="EL159" i="2" s="1"/>
  <c r="EM159" i="2" s="1"/>
  <c r="EN159" i="2" s="1"/>
  <c r="DO160" i="2"/>
  <c r="DP159" i="2"/>
  <c r="DQ159" i="2" s="1"/>
  <c r="DR159" i="2" s="1"/>
  <c r="DS159" i="2" s="1"/>
  <c r="CT160" i="2"/>
  <c r="CU159" i="2"/>
  <c r="CV159" i="2" s="1"/>
  <c r="CW159" i="2" s="1"/>
  <c r="CX159" i="2" s="1"/>
  <c r="BY160" i="2"/>
  <c r="BZ159" i="2"/>
  <c r="CA159" i="2" s="1"/>
  <c r="CB159" i="2" s="1"/>
  <c r="CC159" i="2" s="1"/>
  <c r="N160" i="2"/>
  <c r="O159" i="2"/>
  <c r="P159" i="2" s="1"/>
  <c r="Q159" i="2" s="1"/>
  <c r="R159" i="2" s="1"/>
  <c r="GA159" i="2"/>
  <c r="GB159" i="2" s="1"/>
  <c r="GC159" i="2" s="1"/>
  <c r="GD159" i="2" s="1"/>
  <c r="GV159" i="2"/>
  <c r="GW159" i="2" s="1"/>
  <c r="GX159" i="2" s="1"/>
  <c r="GY159" i="2" s="1"/>
  <c r="AJ159" i="2"/>
  <c r="AK159" i="2" s="1"/>
  <c r="AL159" i="2" s="1"/>
  <c r="AM159" i="2" s="1"/>
  <c r="BE73" i="2"/>
  <c r="BS71" i="2"/>
  <c r="BF72" i="2"/>
  <c r="BG72" i="2" s="1"/>
  <c r="BH72" i="2" s="1"/>
  <c r="FE161" i="2" l="1"/>
  <c r="FF160" i="2"/>
  <c r="FG160" i="2" s="1"/>
  <c r="FH160" i="2" s="1"/>
  <c r="FI160" i="2" s="1"/>
  <c r="EJ161" i="2"/>
  <c r="EK160" i="2"/>
  <c r="EL160" i="2" s="1"/>
  <c r="EM160" i="2" s="1"/>
  <c r="EN160" i="2" s="1"/>
  <c r="DO161" i="2"/>
  <c r="DP160" i="2"/>
  <c r="DQ160" i="2" s="1"/>
  <c r="DR160" i="2" s="1"/>
  <c r="DS160" i="2" s="1"/>
  <c r="CT161" i="2"/>
  <c r="CU160" i="2"/>
  <c r="CV160" i="2" s="1"/>
  <c r="CW160" i="2" s="1"/>
  <c r="CX160" i="2" s="1"/>
  <c r="BY161" i="2"/>
  <c r="BZ160" i="2"/>
  <c r="CA160" i="2" s="1"/>
  <c r="CB160" i="2" s="1"/>
  <c r="CC160" i="2" s="1"/>
  <c r="N161" i="2"/>
  <c r="O160" i="2"/>
  <c r="P160" i="2" s="1"/>
  <c r="Q160" i="2" s="1"/>
  <c r="R160" i="2" s="1"/>
  <c r="GA160" i="2"/>
  <c r="GB160" i="2" s="1"/>
  <c r="GC160" i="2" s="1"/>
  <c r="GD160" i="2" s="1"/>
  <c r="GV160" i="2"/>
  <c r="GW160" i="2" s="1"/>
  <c r="GX160" i="2" s="1"/>
  <c r="GY160" i="2" s="1"/>
  <c r="AJ160" i="2"/>
  <c r="AK160" i="2" s="1"/>
  <c r="AL160" i="2" s="1"/>
  <c r="AM160" i="2" s="1"/>
  <c r="BS72" i="2"/>
  <c r="BE74" i="2"/>
  <c r="BF73" i="2"/>
  <c r="BG73" i="2" s="1"/>
  <c r="BH73" i="2" s="1"/>
  <c r="FE162" i="2" l="1"/>
  <c r="FF161" i="2"/>
  <c r="FG161" i="2" s="1"/>
  <c r="FH161" i="2" s="1"/>
  <c r="FI161" i="2" s="1"/>
  <c r="EJ162" i="2"/>
  <c r="EK161" i="2"/>
  <c r="EL161" i="2" s="1"/>
  <c r="EM161" i="2" s="1"/>
  <c r="EN161" i="2" s="1"/>
  <c r="DO162" i="2"/>
  <c r="DP161" i="2"/>
  <c r="DQ161" i="2" s="1"/>
  <c r="DR161" i="2" s="1"/>
  <c r="DS161" i="2" s="1"/>
  <c r="CT162" i="2"/>
  <c r="CU161" i="2"/>
  <c r="CV161" i="2" s="1"/>
  <c r="CW161" i="2" s="1"/>
  <c r="CX161" i="2" s="1"/>
  <c r="BY162" i="2"/>
  <c r="BZ161" i="2"/>
  <c r="CA161" i="2" s="1"/>
  <c r="CB161" i="2" s="1"/>
  <c r="CC161" i="2" s="1"/>
  <c r="N162" i="2"/>
  <c r="O161" i="2"/>
  <c r="P161" i="2" s="1"/>
  <c r="Q161" i="2" s="1"/>
  <c r="R161" i="2" s="1"/>
  <c r="GA161" i="2"/>
  <c r="GB161" i="2" s="1"/>
  <c r="GC161" i="2" s="1"/>
  <c r="GD161" i="2" s="1"/>
  <c r="GV161" i="2"/>
  <c r="GW161" i="2" s="1"/>
  <c r="GX161" i="2" s="1"/>
  <c r="GY161" i="2" s="1"/>
  <c r="AJ161" i="2"/>
  <c r="AK161" i="2" s="1"/>
  <c r="AL161" i="2" s="1"/>
  <c r="AM161" i="2" s="1"/>
  <c r="BE75" i="2"/>
  <c r="BS73" i="2"/>
  <c r="BF74" i="2"/>
  <c r="BG74" i="2" s="1"/>
  <c r="BH74" i="2" s="1"/>
  <c r="FE163" i="2" l="1"/>
  <c r="FF162" i="2"/>
  <c r="FG162" i="2" s="1"/>
  <c r="FH162" i="2" s="1"/>
  <c r="FI162" i="2" s="1"/>
  <c r="EJ163" i="2"/>
  <c r="EK162" i="2"/>
  <c r="EL162" i="2" s="1"/>
  <c r="EM162" i="2" s="1"/>
  <c r="EN162" i="2" s="1"/>
  <c r="DO163" i="2"/>
  <c r="DP162" i="2"/>
  <c r="DQ162" i="2" s="1"/>
  <c r="DR162" i="2" s="1"/>
  <c r="DS162" i="2" s="1"/>
  <c r="CT163" i="2"/>
  <c r="CU162" i="2"/>
  <c r="CV162" i="2" s="1"/>
  <c r="CW162" i="2" s="1"/>
  <c r="CX162" i="2" s="1"/>
  <c r="BY163" i="2"/>
  <c r="BZ162" i="2"/>
  <c r="CA162" i="2" s="1"/>
  <c r="CB162" i="2" s="1"/>
  <c r="CC162" i="2" s="1"/>
  <c r="N163" i="2"/>
  <c r="O162" i="2"/>
  <c r="P162" i="2" s="1"/>
  <c r="Q162" i="2" s="1"/>
  <c r="R162" i="2" s="1"/>
  <c r="GA162" i="2"/>
  <c r="GB162" i="2" s="1"/>
  <c r="GC162" i="2" s="1"/>
  <c r="GD162" i="2" s="1"/>
  <c r="GV162" i="2"/>
  <c r="GW162" i="2" s="1"/>
  <c r="GX162" i="2" s="1"/>
  <c r="GY162" i="2" s="1"/>
  <c r="AJ162" i="2"/>
  <c r="AK162" i="2" s="1"/>
  <c r="AL162" i="2" s="1"/>
  <c r="AM162" i="2" s="1"/>
  <c r="BS74" i="2"/>
  <c r="BE76" i="2"/>
  <c r="BF75" i="2"/>
  <c r="BG75" i="2" s="1"/>
  <c r="BH75" i="2" s="1"/>
  <c r="FE164" i="2" l="1"/>
  <c r="FF163" i="2"/>
  <c r="FG163" i="2" s="1"/>
  <c r="FH163" i="2" s="1"/>
  <c r="FI163" i="2" s="1"/>
  <c r="EJ164" i="2"/>
  <c r="EK163" i="2"/>
  <c r="EL163" i="2" s="1"/>
  <c r="EM163" i="2" s="1"/>
  <c r="EN163" i="2" s="1"/>
  <c r="DO164" i="2"/>
  <c r="DP163" i="2"/>
  <c r="DQ163" i="2" s="1"/>
  <c r="DR163" i="2" s="1"/>
  <c r="DS163" i="2" s="1"/>
  <c r="CT164" i="2"/>
  <c r="CU163" i="2"/>
  <c r="CV163" i="2" s="1"/>
  <c r="CW163" i="2" s="1"/>
  <c r="CX163" i="2" s="1"/>
  <c r="BY164" i="2"/>
  <c r="BZ163" i="2"/>
  <c r="CA163" i="2" s="1"/>
  <c r="CB163" i="2" s="1"/>
  <c r="CC163" i="2" s="1"/>
  <c r="N164" i="2"/>
  <c r="O163" i="2"/>
  <c r="P163" i="2" s="1"/>
  <c r="Q163" i="2" s="1"/>
  <c r="R163" i="2" s="1"/>
  <c r="GA163" i="2"/>
  <c r="GB163" i="2" s="1"/>
  <c r="GC163" i="2" s="1"/>
  <c r="GD163" i="2" s="1"/>
  <c r="GV163" i="2"/>
  <c r="GW163" i="2" s="1"/>
  <c r="GX163" i="2" s="1"/>
  <c r="GY163" i="2" s="1"/>
  <c r="AJ163" i="2"/>
  <c r="AK163" i="2" s="1"/>
  <c r="AL163" i="2" s="1"/>
  <c r="AM163" i="2" s="1"/>
  <c r="BE77" i="2"/>
  <c r="BS75" i="2"/>
  <c r="BF76" i="2"/>
  <c r="BG76" i="2" s="1"/>
  <c r="BH76" i="2" s="1"/>
  <c r="FE165" i="2" l="1"/>
  <c r="FF164" i="2"/>
  <c r="FG164" i="2" s="1"/>
  <c r="FH164" i="2" s="1"/>
  <c r="FI164" i="2" s="1"/>
  <c r="EJ165" i="2"/>
  <c r="EK164" i="2"/>
  <c r="EL164" i="2" s="1"/>
  <c r="EM164" i="2" s="1"/>
  <c r="EN164" i="2" s="1"/>
  <c r="DO165" i="2"/>
  <c r="DP164" i="2"/>
  <c r="DQ164" i="2" s="1"/>
  <c r="DR164" i="2" s="1"/>
  <c r="DS164" i="2" s="1"/>
  <c r="CT165" i="2"/>
  <c r="CU164" i="2"/>
  <c r="CV164" i="2" s="1"/>
  <c r="CW164" i="2" s="1"/>
  <c r="CX164" i="2" s="1"/>
  <c r="BY165" i="2"/>
  <c r="BZ164" i="2"/>
  <c r="CA164" i="2" s="1"/>
  <c r="CB164" i="2" s="1"/>
  <c r="CC164" i="2" s="1"/>
  <c r="N165" i="2"/>
  <c r="O164" i="2"/>
  <c r="P164" i="2" s="1"/>
  <c r="Q164" i="2" s="1"/>
  <c r="R164" i="2" s="1"/>
  <c r="GA164" i="2"/>
  <c r="GB164" i="2" s="1"/>
  <c r="GC164" i="2" s="1"/>
  <c r="GD164" i="2" s="1"/>
  <c r="GV164" i="2"/>
  <c r="GW164" i="2" s="1"/>
  <c r="GX164" i="2" s="1"/>
  <c r="GY164" i="2" s="1"/>
  <c r="AJ164" i="2"/>
  <c r="AK164" i="2" s="1"/>
  <c r="AL164" i="2" s="1"/>
  <c r="AM164" i="2" s="1"/>
  <c r="BS76" i="2"/>
  <c r="BE78" i="2"/>
  <c r="BF77" i="2"/>
  <c r="BG77" i="2" s="1"/>
  <c r="BH77" i="2" s="1"/>
  <c r="CY24" i="2" l="1"/>
  <c r="CY6" i="2"/>
  <c r="CY41" i="2"/>
  <c r="CY70" i="2"/>
  <c r="CY129" i="2"/>
  <c r="CY173" i="2"/>
  <c r="CY169" i="2"/>
  <c r="CY27" i="2"/>
  <c r="CY190" i="2"/>
  <c r="CY130" i="2"/>
  <c r="CY156" i="2"/>
  <c r="CY104" i="2"/>
  <c r="CY88" i="2"/>
  <c r="CY109" i="2"/>
  <c r="CY29" i="2"/>
  <c r="CY31" i="2"/>
  <c r="CY121" i="2"/>
  <c r="CY153" i="2"/>
  <c r="CY102" i="2"/>
  <c r="CY132" i="2"/>
  <c r="CY159" i="2"/>
  <c r="CY69" i="2"/>
  <c r="CY93" i="2"/>
  <c r="CY191" i="2"/>
  <c r="CY5" i="2"/>
  <c r="CY22" i="2"/>
  <c r="CY47" i="2"/>
  <c r="CY152" i="2"/>
  <c r="CY40" i="2"/>
  <c r="CY97" i="2"/>
  <c r="CY80" i="2"/>
  <c r="CY42" i="2"/>
  <c r="CY163" i="2"/>
  <c r="CY195" i="2"/>
  <c r="CY198" i="2"/>
  <c r="CY36" i="2"/>
  <c r="CY64" i="2"/>
  <c r="CY94" i="2"/>
  <c r="CY193" i="2"/>
  <c r="CY197" i="2"/>
  <c r="CY13" i="2"/>
  <c r="CY183" i="2"/>
  <c r="CY181" i="2"/>
  <c r="CY63" i="2"/>
  <c r="CY162" i="2"/>
  <c r="CY28" i="2"/>
  <c r="CY12" i="2"/>
  <c r="CY103" i="2"/>
  <c r="CY16" i="2"/>
  <c r="CY9" i="2"/>
  <c r="CY77" i="2"/>
  <c r="CY119" i="2"/>
  <c r="CY52" i="2"/>
  <c r="CY98" i="2"/>
  <c r="CY177" i="2"/>
  <c r="CY160" i="2"/>
  <c r="CY118" i="2"/>
  <c r="CY56" i="2"/>
  <c r="CY81" i="2"/>
  <c r="CY194" i="2"/>
  <c r="CY172" i="2"/>
  <c r="CY44" i="2"/>
  <c r="CY161" i="2"/>
  <c r="CY49" i="2"/>
  <c r="CY178" i="2"/>
  <c r="CY37" i="2"/>
  <c r="CY26" i="2"/>
  <c r="CY180" i="2"/>
  <c r="CY158" i="2"/>
  <c r="CY78" i="2"/>
  <c r="CY110" i="2"/>
  <c r="CY202" i="2"/>
  <c r="CY174" i="2"/>
  <c r="CY127" i="2"/>
  <c r="CY164" i="2"/>
  <c r="CY73" i="2"/>
  <c r="CY62" i="2"/>
  <c r="CY120" i="2"/>
  <c r="CY168" i="2"/>
  <c r="CY128" i="2"/>
  <c r="CY122" i="2"/>
  <c r="CY84" i="2"/>
  <c r="CY82" i="2"/>
  <c r="CY146" i="2"/>
  <c r="CY76" i="2"/>
  <c r="CY131" i="2"/>
  <c r="CY86" i="2"/>
  <c r="CY34" i="2"/>
  <c r="CY157" i="2"/>
  <c r="CY149" i="2"/>
  <c r="CY85" i="2"/>
  <c r="CY45" i="2"/>
  <c r="CY116" i="2"/>
  <c r="CY66" i="2"/>
  <c r="CY71" i="2"/>
  <c r="CY39" i="2"/>
  <c r="CY167" i="2"/>
  <c r="CY18" i="2"/>
  <c r="CY58" i="2"/>
  <c r="CY117" i="2"/>
  <c r="CY201" i="2"/>
  <c r="CY57" i="2"/>
  <c r="CY92" i="2"/>
  <c r="CY53" i="2"/>
  <c r="CY165" i="2"/>
  <c r="CY30" i="2"/>
  <c r="CY46" i="2"/>
  <c r="CY166" i="2"/>
  <c r="CY141" i="2"/>
  <c r="CY125" i="2"/>
  <c r="CY186" i="2"/>
  <c r="CY15" i="2"/>
  <c r="CY101" i="2"/>
  <c r="CY170" i="2"/>
  <c r="CY105" i="2"/>
  <c r="CY196" i="2"/>
  <c r="CY72" i="2"/>
  <c r="CY43" i="2"/>
  <c r="CY147" i="2"/>
  <c r="CY140" i="2"/>
  <c r="CY155" i="2"/>
  <c r="CY50" i="2"/>
  <c r="CY124" i="2"/>
  <c r="CY17" i="2"/>
  <c r="CY96" i="2"/>
  <c r="CY176" i="2"/>
  <c r="CY179" i="2"/>
  <c r="CY192" i="2"/>
  <c r="CY3" i="2"/>
  <c r="C10" i="4" s="1"/>
  <c r="E10" i="4" s="1"/>
  <c r="F10" i="4" s="1"/>
  <c r="G10" i="4" s="1"/>
  <c r="L10" i="4" s="1"/>
  <c r="CY55" i="2"/>
  <c r="CY35" i="2"/>
  <c r="CY203" i="2"/>
  <c r="CY188" i="2"/>
  <c r="CY91" i="2"/>
  <c r="CY21" i="2"/>
  <c r="CY106" i="2"/>
  <c r="CY151" i="2"/>
  <c r="CY48" i="2"/>
  <c r="CY199" i="2"/>
  <c r="CY107" i="2"/>
  <c r="CY11" i="2"/>
  <c r="CY100" i="2"/>
  <c r="CY113" i="2"/>
  <c r="CY54" i="2"/>
  <c r="CY150" i="2"/>
  <c r="CY25" i="2"/>
  <c r="CY200" i="2"/>
  <c r="CY75" i="2"/>
  <c r="CY23" i="2"/>
  <c r="CY108" i="2"/>
  <c r="CY99" i="2"/>
  <c r="CY32" i="2"/>
  <c r="CY184" i="2"/>
  <c r="CY112" i="2"/>
  <c r="CY7" i="2"/>
  <c r="CY4" i="2"/>
  <c r="CY114" i="2"/>
  <c r="CY111" i="2"/>
  <c r="CY65" i="2"/>
  <c r="CY133" i="2"/>
  <c r="CY83" i="2"/>
  <c r="CY79" i="2"/>
  <c r="CY74" i="2"/>
  <c r="CY135" i="2"/>
  <c r="CY67" i="2"/>
  <c r="CY144" i="2"/>
  <c r="CY126" i="2"/>
  <c r="CY61" i="2"/>
  <c r="CY148" i="2"/>
  <c r="CY19" i="2"/>
  <c r="CY59" i="2"/>
  <c r="CY136" i="2"/>
  <c r="CY89" i="2"/>
  <c r="CY115" i="2"/>
  <c r="CY33" i="2"/>
  <c r="CY8" i="2"/>
  <c r="CY189" i="2"/>
  <c r="CY185" i="2"/>
  <c r="CY143" i="2"/>
  <c r="CY14" i="2"/>
  <c r="CY68" i="2"/>
  <c r="CY51" i="2"/>
  <c r="CY38" i="2"/>
  <c r="CY175" i="2"/>
  <c r="CY154" i="2"/>
  <c r="CY187" i="2"/>
  <c r="CY137" i="2"/>
  <c r="CY87" i="2"/>
  <c r="CY171" i="2"/>
  <c r="CY10" i="2"/>
  <c r="CY123" i="2"/>
  <c r="CY182" i="2"/>
  <c r="CY134" i="2"/>
  <c r="CY90" i="2"/>
  <c r="CY95" i="2"/>
  <c r="CY145" i="2"/>
  <c r="CY142" i="2"/>
  <c r="CY60" i="2"/>
  <c r="CY20" i="2"/>
  <c r="CY139" i="2"/>
  <c r="CY138" i="2"/>
  <c r="FE166" i="2"/>
  <c r="FF165" i="2"/>
  <c r="FG165" i="2" s="1"/>
  <c r="FH165" i="2" s="1"/>
  <c r="FI165" i="2" s="1"/>
  <c r="EJ166" i="2"/>
  <c r="EK165" i="2"/>
  <c r="EL165" i="2" s="1"/>
  <c r="EM165" i="2" s="1"/>
  <c r="EN165" i="2" s="1"/>
  <c r="DO166" i="2"/>
  <c r="DP165" i="2"/>
  <c r="DQ165" i="2" s="1"/>
  <c r="DR165" i="2" s="1"/>
  <c r="DS165" i="2" s="1"/>
  <c r="CT166" i="2"/>
  <c r="CU165" i="2"/>
  <c r="CV165" i="2" s="1"/>
  <c r="CW165" i="2" s="1"/>
  <c r="CX165" i="2" s="1"/>
  <c r="BY166" i="2"/>
  <c r="BZ165" i="2"/>
  <c r="CA165" i="2" s="1"/>
  <c r="CB165" i="2" s="1"/>
  <c r="CC165" i="2" s="1"/>
  <c r="N166" i="2"/>
  <c r="O165" i="2"/>
  <c r="P165" i="2" s="1"/>
  <c r="Q165" i="2" s="1"/>
  <c r="R165" i="2" s="1"/>
  <c r="GA165" i="2"/>
  <c r="GB165" i="2" s="1"/>
  <c r="GC165" i="2" s="1"/>
  <c r="GD165" i="2" s="1"/>
  <c r="GV165" i="2"/>
  <c r="GW165" i="2" s="1"/>
  <c r="GX165" i="2" s="1"/>
  <c r="GY165" i="2" s="1"/>
  <c r="AJ165" i="2"/>
  <c r="AK165" i="2" s="1"/>
  <c r="AL165" i="2" s="1"/>
  <c r="AM165" i="2" s="1"/>
  <c r="BE79" i="2"/>
  <c r="BS77" i="2"/>
  <c r="BF78" i="2"/>
  <c r="BG78" i="2" s="1"/>
  <c r="BH78" i="2" s="1"/>
  <c r="FE167" i="2" l="1"/>
  <c r="FF166" i="2"/>
  <c r="FG166" i="2" s="1"/>
  <c r="FH166" i="2" s="1"/>
  <c r="FI166" i="2" s="1"/>
  <c r="EJ167" i="2"/>
  <c r="EK166" i="2"/>
  <c r="EL166" i="2" s="1"/>
  <c r="EM166" i="2" s="1"/>
  <c r="EN166" i="2" s="1"/>
  <c r="DO167" i="2"/>
  <c r="DP166" i="2"/>
  <c r="DQ166" i="2" s="1"/>
  <c r="DR166" i="2" s="1"/>
  <c r="DS166" i="2" s="1"/>
  <c r="CT167" i="2"/>
  <c r="CU166" i="2"/>
  <c r="CV166" i="2" s="1"/>
  <c r="CW166" i="2" s="1"/>
  <c r="CX166" i="2" s="1"/>
  <c r="BY167" i="2"/>
  <c r="BZ166" i="2"/>
  <c r="CA166" i="2" s="1"/>
  <c r="CB166" i="2" s="1"/>
  <c r="CC166" i="2" s="1"/>
  <c r="N167" i="2"/>
  <c r="O166" i="2"/>
  <c r="P166" i="2" s="1"/>
  <c r="Q166" i="2" s="1"/>
  <c r="R166" i="2" s="1"/>
  <c r="GA166" i="2"/>
  <c r="GB166" i="2" s="1"/>
  <c r="GC166" i="2" s="1"/>
  <c r="GD166" i="2" s="1"/>
  <c r="GV166" i="2"/>
  <c r="GW166" i="2" s="1"/>
  <c r="GX166" i="2" s="1"/>
  <c r="GY166" i="2" s="1"/>
  <c r="AJ166" i="2"/>
  <c r="AK166" i="2" s="1"/>
  <c r="AL166" i="2" s="1"/>
  <c r="AM166" i="2" s="1"/>
  <c r="BS78" i="2"/>
  <c r="BE80" i="2"/>
  <c r="BF79" i="2"/>
  <c r="BG79" i="2" s="1"/>
  <c r="BH79" i="2" s="1"/>
  <c r="FE168" i="2" l="1"/>
  <c r="FF167" i="2"/>
  <c r="FG167" i="2" s="1"/>
  <c r="FH167" i="2" s="1"/>
  <c r="FI167" i="2" s="1"/>
  <c r="EJ168" i="2"/>
  <c r="EK167" i="2"/>
  <c r="EL167" i="2" s="1"/>
  <c r="EM167" i="2" s="1"/>
  <c r="EN167" i="2" s="1"/>
  <c r="DO168" i="2"/>
  <c r="DP167" i="2"/>
  <c r="DQ167" i="2" s="1"/>
  <c r="DR167" i="2" s="1"/>
  <c r="DS167" i="2" s="1"/>
  <c r="CT168" i="2"/>
  <c r="CU167" i="2"/>
  <c r="CV167" i="2" s="1"/>
  <c r="CW167" i="2" s="1"/>
  <c r="CX167" i="2" s="1"/>
  <c r="BY168" i="2"/>
  <c r="BZ167" i="2"/>
  <c r="CA167" i="2" s="1"/>
  <c r="CB167" i="2" s="1"/>
  <c r="CC167" i="2" s="1"/>
  <c r="N168" i="2"/>
  <c r="O167" i="2"/>
  <c r="P167" i="2" s="1"/>
  <c r="Q167" i="2" s="1"/>
  <c r="R167" i="2" s="1"/>
  <c r="GA167" i="2"/>
  <c r="GB167" i="2" s="1"/>
  <c r="GC167" i="2" s="1"/>
  <c r="GD167" i="2" s="1"/>
  <c r="GV167" i="2"/>
  <c r="GW167" i="2" s="1"/>
  <c r="GX167" i="2" s="1"/>
  <c r="GY167" i="2" s="1"/>
  <c r="AJ167" i="2"/>
  <c r="AK167" i="2" s="1"/>
  <c r="AL167" i="2" s="1"/>
  <c r="AM167" i="2" s="1"/>
  <c r="BE81" i="2"/>
  <c r="BS79" i="2"/>
  <c r="BF80" i="2"/>
  <c r="BG80" i="2" s="1"/>
  <c r="BH80" i="2" s="1"/>
  <c r="FE169" i="2" l="1"/>
  <c r="FF168" i="2"/>
  <c r="FG168" i="2" s="1"/>
  <c r="FH168" i="2" s="1"/>
  <c r="FI168" i="2" s="1"/>
  <c r="EJ169" i="2"/>
  <c r="EK168" i="2"/>
  <c r="EL168" i="2" s="1"/>
  <c r="EM168" i="2" s="1"/>
  <c r="EN168" i="2" s="1"/>
  <c r="DO169" i="2"/>
  <c r="DP168" i="2"/>
  <c r="DQ168" i="2" s="1"/>
  <c r="DR168" i="2" s="1"/>
  <c r="DS168" i="2" s="1"/>
  <c r="CT169" i="2"/>
  <c r="CU168" i="2"/>
  <c r="CV168" i="2" s="1"/>
  <c r="CW168" i="2" s="1"/>
  <c r="CX168" i="2" s="1"/>
  <c r="BY169" i="2"/>
  <c r="BZ168" i="2"/>
  <c r="CA168" i="2" s="1"/>
  <c r="CB168" i="2" s="1"/>
  <c r="CC168" i="2" s="1"/>
  <c r="N169" i="2"/>
  <c r="O168" i="2"/>
  <c r="P168" i="2" s="1"/>
  <c r="Q168" i="2" s="1"/>
  <c r="R168" i="2" s="1"/>
  <c r="GA168" i="2"/>
  <c r="GB168" i="2" s="1"/>
  <c r="GC168" i="2" s="1"/>
  <c r="GD168" i="2" s="1"/>
  <c r="GV168" i="2"/>
  <c r="GW168" i="2" s="1"/>
  <c r="GX168" i="2" s="1"/>
  <c r="GY168" i="2" s="1"/>
  <c r="AJ168" i="2"/>
  <c r="AK168" i="2" s="1"/>
  <c r="AL168" i="2" s="1"/>
  <c r="AM168" i="2" s="1"/>
  <c r="BS80" i="2"/>
  <c r="BE82" i="2"/>
  <c r="BF81" i="2"/>
  <c r="BG81" i="2" s="1"/>
  <c r="BH81" i="2" s="1"/>
  <c r="FE170" i="2" l="1"/>
  <c r="FF169" i="2"/>
  <c r="FG169" i="2" s="1"/>
  <c r="FH169" i="2" s="1"/>
  <c r="FI169" i="2" s="1"/>
  <c r="EJ170" i="2"/>
  <c r="EK169" i="2"/>
  <c r="EL169" i="2" s="1"/>
  <c r="EM169" i="2" s="1"/>
  <c r="EN169" i="2" s="1"/>
  <c r="DO170" i="2"/>
  <c r="DP169" i="2"/>
  <c r="DQ169" i="2" s="1"/>
  <c r="DR169" i="2" s="1"/>
  <c r="DS169" i="2" s="1"/>
  <c r="CT170" i="2"/>
  <c r="CU169" i="2"/>
  <c r="CV169" i="2" s="1"/>
  <c r="CW169" i="2" s="1"/>
  <c r="CX169" i="2" s="1"/>
  <c r="BY170" i="2"/>
  <c r="BZ169" i="2"/>
  <c r="CA169" i="2" s="1"/>
  <c r="CB169" i="2" s="1"/>
  <c r="CC169" i="2" s="1"/>
  <c r="N170" i="2"/>
  <c r="O169" i="2"/>
  <c r="P169" i="2" s="1"/>
  <c r="Q169" i="2" s="1"/>
  <c r="R169" i="2" s="1"/>
  <c r="GA169" i="2"/>
  <c r="GB169" i="2" s="1"/>
  <c r="GC169" i="2" s="1"/>
  <c r="GD169" i="2" s="1"/>
  <c r="GV169" i="2"/>
  <c r="GW169" i="2" s="1"/>
  <c r="GX169" i="2" s="1"/>
  <c r="GY169" i="2" s="1"/>
  <c r="AJ169" i="2"/>
  <c r="AK169" i="2" s="1"/>
  <c r="AL169" i="2" s="1"/>
  <c r="AM169" i="2" s="1"/>
  <c r="BE83" i="2"/>
  <c r="BS81" i="2"/>
  <c r="BF82" i="2"/>
  <c r="BG82" i="2" s="1"/>
  <c r="BH82" i="2" s="1"/>
  <c r="FE171" i="2" l="1"/>
  <c r="FF170" i="2"/>
  <c r="FG170" i="2" s="1"/>
  <c r="FH170" i="2" s="1"/>
  <c r="FI170" i="2" s="1"/>
  <c r="EJ171" i="2"/>
  <c r="EK170" i="2"/>
  <c r="EL170" i="2" s="1"/>
  <c r="EM170" i="2" s="1"/>
  <c r="EN170" i="2" s="1"/>
  <c r="DO171" i="2"/>
  <c r="DP170" i="2"/>
  <c r="DQ170" i="2" s="1"/>
  <c r="DR170" i="2" s="1"/>
  <c r="DS170" i="2" s="1"/>
  <c r="CT171" i="2"/>
  <c r="CU170" i="2"/>
  <c r="CV170" i="2" s="1"/>
  <c r="CW170" i="2" s="1"/>
  <c r="CX170" i="2" s="1"/>
  <c r="BY171" i="2"/>
  <c r="BZ170" i="2"/>
  <c r="CA170" i="2" s="1"/>
  <c r="CB170" i="2" s="1"/>
  <c r="CC170" i="2" s="1"/>
  <c r="N171" i="2"/>
  <c r="O170" i="2"/>
  <c r="P170" i="2" s="1"/>
  <c r="Q170" i="2" s="1"/>
  <c r="R170" i="2" s="1"/>
  <c r="GA170" i="2"/>
  <c r="GB170" i="2" s="1"/>
  <c r="GC170" i="2" s="1"/>
  <c r="GD170" i="2" s="1"/>
  <c r="GV170" i="2"/>
  <c r="GW170" i="2" s="1"/>
  <c r="GX170" i="2" s="1"/>
  <c r="GY170" i="2" s="1"/>
  <c r="AJ170" i="2"/>
  <c r="AK170" i="2" s="1"/>
  <c r="AL170" i="2" s="1"/>
  <c r="AM170" i="2" s="1"/>
  <c r="BS82" i="2"/>
  <c r="BE84" i="2"/>
  <c r="BF83" i="2"/>
  <c r="BG83" i="2" s="1"/>
  <c r="BH83" i="2" s="1"/>
  <c r="FE172" i="2" l="1"/>
  <c r="FF171" i="2"/>
  <c r="FG171" i="2" s="1"/>
  <c r="FH171" i="2" s="1"/>
  <c r="FI171" i="2" s="1"/>
  <c r="EJ172" i="2"/>
  <c r="EK171" i="2"/>
  <c r="EL171" i="2" s="1"/>
  <c r="EM171" i="2" s="1"/>
  <c r="EN171" i="2" s="1"/>
  <c r="DO172" i="2"/>
  <c r="DP171" i="2"/>
  <c r="DQ171" i="2" s="1"/>
  <c r="DR171" i="2" s="1"/>
  <c r="DS171" i="2" s="1"/>
  <c r="CT172" i="2"/>
  <c r="CU171" i="2"/>
  <c r="CV171" i="2" s="1"/>
  <c r="CW171" i="2" s="1"/>
  <c r="CX171" i="2" s="1"/>
  <c r="BY172" i="2"/>
  <c r="BZ171" i="2"/>
  <c r="CA171" i="2" s="1"/>
  <c r="CB171" i="2" s="1"/>
  <c r="CC171" i="2" s="1"/>
  <c r="N172" i="2"/>
  <c r="O171" i="2"/>
  <c r="P171" i="2" s="1"/>
  <c r="Q171" i="2" s="1"/>
  <c r="R171" i="2" s="1"/>
  <c r="GA171" i="2"/>
  <c r="GB171" i="2" s="1"/>
  <c r="GC171" i="2" s="1"/>
  <c r="GD171" i="2" s="1"/>
  <c r="GV171" i="2"/>
  <c r="GW171" i="2" s="1"/>
  <c r="GX171" i="2" s="1"/>
  <c r="GY171" i="2" s="1"/>
  <c r="AJ171" i="2"/>
  <c r="AK171" i="2" s="1"/>
  <c r="AL171" i="2" s="1"/>
  <c r="AM171" i="2" s="1"/>
  <c r="BF84" i="2"/>
  <c r="BG84" i="2" s="1"/>
  <c r="BH84" i="2" s="1"/>
  <c r="BE85" i="2"/>
  <c r="BS83" i="2"/>
  <c r="FE173" i="2" l="1"/>
  <c r="FF172" i="2"/>
  <c r="FG172" i="2" s="1"/>
  <c r="FH172" i="2" s="1"/>
  <c r="FI172" i="2" s="1"/>
  <c r="EJ173" i="2"/>
  <c r="EK172" i="2"/>
  <c r="EL172" i="2" s="1"/>
  <c r="EM172" i="2" s="1"/>
  <c r="EN172" i="2" s="1"/>
  <c r="DO173" i="2"/>
  <c r="DP172" i="2"/>
  <c r="DQ172" i="2" s="1"/>
  <c r="DR172" i="2" s="1"/>
  <c r="DS172" i="2" s="1"/>
  <c r="CT173" i="2"/>
  <c r="CU172" i="2"/>
  <c r="CV172" i="2" s="1"/>
  <c r="CW172" i="2" s="1"/>
  <c r="CX172" i="2" s="1"/>
  <c r="BY173" i="2"/>
  <c r="BZ172" i="2"/>
  <c r="CA172" i="2" s="1"/>
  <c r="CB172" i="2" s="1"/>
  <c r="CC172" i="2" s="1"/>
  <c r="N173" i="2"/>
  <c r="O172" i="2"/>
  <c r="P172" i="2" s="1"/>
  <c r="Q172" i="2" s="1"/>
  <c r="R172" i="2" s="1"/>
  <c r="GA172" i="2"/>
  <c r="GB172" i="2" s="1"/>
  <c r="GC172" i="2" s="1"/>
  <c r="GD172" i="2" s="1"/>
  <c r="GV172" i="2"/>
  <c r="GW172" i="2" s="1"/>
  <c r="GX172" i="2" s="1"/>
  <c r="GY172" i="2" s="1"/>
  <c r="AJ172" i="2"/>
  <c r="AK172" i="2" s="1"/>
  <c r="AL172" i="2" s="1"/>
  <c r="AM172" i="2" s="1"/>
  <c r="BF85" i="2"/>
  <c r="BG85" i="2" s="1"/>
  <c r="BH85" i="2" s="1"/>
  <c r="BS84" i="2"/>
  <c r="BE86" i="2"/>
  <c r="FE174" i="2" l="1"/>
  <c r="FF173" i="2"/>
  <c r="FG173" i="2" s="1"/>
  <c r="FH173" i="2" s="1"/>
  <c r="FI173" i="2" s="1"/>
  <c r="EJ174" i="2"/>
  <c r="EK173" i="2"/>
  <c r="EL173" i="2" s="1"/>
  <c r="EM173" i="2" s="1"/>
  <c r="EN173" i="2" s="1"/>
  <c r="DO174" i="2"/>
  <c r="DP173" i="2"/>
  <c r="DQ173" i="2" s="1"/>
  <c r="DR173" i="2" s="1"/>
  <c r="DS173" i="2" s="1"/>
  <c r="CT174" i="2"/>
  <c r="CU173" i="2"/>
  <c r="CV173" i="2" s="1"/>
  <c r="CW173" i="2" s="1"/>
  <c r="CX173" i="2" s="1"/>
  <c r="BY174" i="2"/>
  <c r="BZ173" i="2"/>
  <c r="CA173" i="2" s="1"/>
  <c r="CB173" i="2" s="1"/>
  <c r="CC173" i="2" s="1"/>
  <c r="N174" i="2"/>
  <c r="O173" i="2"/>
  <c r="P173" i="2" s="1"/>
  <c r="Q173" i="2" s="1"/>
  <c r="R173" i="2" s="1"/>
  <c r="GA173" i="2"/>
  <c r="GB173" i="2" s="1"/>
  <c r="GC173" i="2" s="1"/>
  <c r="GD173" i="2" s="1"/>
  <c r="GV173" i="2"/>
  <c r="GW173" i="2" s="1"/>
  <c r="GX173" i="2" s="1"/>
  <c r="GY173" i="2" s="1"/>
  <c r="AJ173" i="2"/>
  <c r="AK173" i="2" s="1"/>
  <c r="AL173" i="2" s="1"/>
  <c r="AM173" i="2" s="1"/>
  <c r="BF86" i="2"/>
  <c r="BG86" i="2" s="1"/>
  <c r="BH86" i="2" s="1"/>
  <c r="BE87" i="2"/>
  <c r="BS85" i="2"/>
  <c r="FE175" i="2" l="1"/>
  <c r="FF174" i="2"/>
  <c r="FG174" i="2" s="1"/>
  <c r="FH174" i="2" s="1"/>
  <c r="FI174" i="2" s="1"/>
  <c r="EJ175" i="2"/>
  <c r="EK174" i="2"/>
  <c r="EL174" i="2" s="1"/>
  <c r="EM174" i="2" s="1"/>
  <c r="EN174" i="2" s="1"/>
  <c r="DO175" i="2"/>
  <c r="DP174" i="2"/>
  <c r="DQ174" i="2" s="1"/>
  <c r="DR174" i="2" s="1"/>
  <c r="DS174" i="2" s="1"/>
  <c r="CT175" i="2"/>
  <c r="CU174" i="2"/>
  <c r="CV174" i="2" s="1"/>
  <c r="CW174" i="2" s="1"/>
  <c r="CX174" i="2" s="1"/>
  <c r="BY175" i="2"/>
  <c r="BZ174" i="2"/>
  <c r="CA174" i="2" s="1"/>
  <c r="CB174" i="2" s="1"/>
  <c r="CC174" i="2" s="1"/>
  <c r="N175" i="2"/>
  <c r="O174" i="2"/>
  <c r="P174" i="2" s="1"/>
  <c r="Q174" i="2" s="1"/>
  <c r="R174" i="2" s="1"/>
  <c r="GA174" i="2"/>
  <c r="GB174" i="2" s="1"/>
  <c r="GC174" i="2" s="1"/>
  <c r="GD174" i="2" s="1"/>
  <c r="GV174" i="2"/>
  <c r="GW174" i="2" s="1"/>
  <c r="GX174" i="2" s="1"/>
  <c r="GY174" i="2" s="1"/>
  <c r="AJ174" i="2"/>
  <c r="AK174" i="2" s="1"/>
  <c r="AL174" i="2" s="1"/>
  <c r="AM174" i="2" s="1"/>
  <c r="BF87" i="2"/>
  <c r="BG87" i="2" s="1"/>
  <c r="BH87" i="2" s="1"/>
  <c r="BS86" i="2"/>
  <c r="BE88" i="2"/>
  <c r="FE176" i="2" l="1"/>
  <c r="FF175" i="2"/>
  <c r="FG175" i="2" s="1"/>
  <c r="FH175" i="2" s="1"/>
  <c r="FI175" i="2" s="1"/>
  <c r="EJ176" i="2"/>
  <c r="EK175" i="2"/>
  <c r="EL175" i="2" s="1"/>
  <c r="EM175" i="2" s="1"/>
  <c r="EN175" i="2" s="1"/>
  <c r="DO176" i="2"/>
  <c r="DP175" i="2"/>
  <c r="DQ175" i="2" s="1"/>
  <c r="DR175" i="2" s="1"/>
  <c r="DS175" i="2" s="1"/>
  <c r="CT176" i="2"/>
  <c r="CU175" i="2"/>
  <c r="CV175" i="2" s="1"/>
  <c r="CW175" i="2" s="1"/>
  <c r="CX175" i="2" s="1"/>
  <c r="BY176" i="2"/>
  <c r="BZ175" i="2"/>
  <c r="CA175" i="2" s="1"/>
  <c r="CB175" i="2" s="1"/>
  <c r="CC175" i="2" s="1"/>
  <c r="N176" i="2"/>
  <c r="O175" i="2"/>
  <c r="P175" i="2" s="1"/>
  <c r="Q175" i="2" s="1"/>
  <c r="R175" i="2" s="1"/>
  <c r="GA175" i="2"/>
  <c r="GB175" i="2" s="1"/>
  <c r="GC175" i="2" s="1"/>
  <c r="GD175" i="2" s="1"/>
  <c r="GV175" i="2"/>
  <c r="GW175" i="2" s="1"/>
  <c r="GX175" i="2" s="1"/>
  <c r="GY175" i="2" s="1"/>
  <c r="AJ175" i="2"/>
  <c r="AK175" i="2" s="1"/>
  <c r="AL175" i="2" s="1"/>
  <c r="AM175" i="2" s="1"/>
  <c r="BF88" i="2"/>
  <c r="BG88" i="2" s="1"/>
  <c r="BH88" i="2" s="1"/>
  <c r="BE89" i="2"/>
  <c r="BS87" i="2"/>
  <c r="FE177" i="2" l="1"/>
  <c r="FF176" i="2"/>
  <c r="FG176" i="2" s="1"/>
  <c r="FH176" i="2" s="1"/>
  <c r="FI176" i="2" s="1"/>
  <c r="EJ177" i="2"/>
  <c r="EK176" i="2"/>
  <c r="EL176" i="2" s="1"/>
  <c r="EM176" i="2" s="1"/>
  <c r="EN176" i="2" s="1"/>
  <c r="DO177" i="2"/>
  <c r="DP176" i="2"/>
  <c r="DQ176" i="2" s="1"/>
  <c r="DR176" i="2" s="1"/>
  <c r="DS176" i="2" s="1"/>
  <c r="CT177" i="2"/>
  <c r="CU176" i="2"/>
  <c r="CV176" i="2" s="1"/>
  <c r="CW176" i="2" s="1"/>
  <c r="CX176" i="2" s="1"/>
  <c r="BY177" i="2"/>
  <c r="BZ176" i="2"/>
  <c r="CA176" i="2" s="1"/>
  <c r="CB176" i="2" s="1"/>
  <c r="CC176" i="2" s="1"/>
  <c r="N177" i="2"/>
  <c r="O176" i="2"/>
  <c r="P176" i="2" s="1"/>
  <c r="Q176" i="2" s="1"/>
  <c r="R176" i="2" s="1"/>
  <c r="GA176" i="2"/>
  <c r="GB176" i="2" s="1"/>
  <c r="GC176" i="2" s="1"/>
  <c r="GD176" i="2" s="1"/>
  <c r="GV176" i="2"/>
  <c r="GW176" i="2" s="1"/>
  <c r="GX176" i="2" s="1"/>
  <c r="GY176" i="2" s="1"/>
  <c r="AJ176" i="2"/>
  <c r="AK176" i="2" s="1"/>
  <c r="AL176" i="2" s="1"/>
  <c r="AM176" i="2" s="1"/>
  <c r="BF89" i="2"/>
  <c r="BG89" i="2" s="1"/>
  <c r="BH89" i="2" s="1"/>
  <c r="BS88" i="2"/>
  <c r="BE90" i="2"/>
  <c r="FE178" i="2" l="1"/>
  <c r="FF177" i="2"/>
  <c r="FG177" i="2" s="1"/>
  <c r="FH177" i="2" s="1"/>
  <c r="FI177" i="2" s="1"/>
  <c r="EJ178" i="2"/>
  <c r="EK177" i="2"/>
  <c r="EL177" i="2" s="1"/>
  <c r="EM177" i="2" s="1"/>
  <c r="EN177" i="2" s="1"/>
  <c r="DO178" i="2"/>
  <c r="DP177" i="2"/>
  <c r="DQ177" i="2" s="1"/>
  <c r="DR177" i="2" s="1"/>
  <c r="DS177" i="2" s="1"/>
  <c r="CT178" i="2"/>
  <c r="CU177" i="2"/>
  <c r="CV177" i="2" s="1"/>
  <c r="CW177" i="2" s="1"/>
  <c r="CX177" i="2" s="1"/>
  <c r="BY178" i="2"/>
  <c r="BZ177" i="2"/>
  <c r="CA177" i="2" s="1"/>
  <c r="CB177" i="2" s="1"/>
  <c r="CC177" i="2" s="1"/>
  <c r="N178" i="2"/>
  <c r="O177" i="2"/>
  <c r="P177" i="2" s="1"/>
  <c r="Q177" i="2" s="1"/>
  <c r="R177" i="2" s="1"/>
  <c r="GA177" i="2"/>
  <c r="GB177" i="2" s="1"/>
  <c r="GC177" i="2" s="1"/>
  <c r="GD177" i="2" s="1"/>
  <c r="GV177" i="2"/>
  <c r="GW177" i="2" s="1"/>
  <c r="GX177" i="2" s="1"/>
  <c r="GY177" i="2" s="1"/>
  <c r="AJ177" i="2"/>
  <c r="AK177" i="2" s="1"/>
  <c r="AL177" i="2" s="1"/>
  <c r="AM177" i="2" s="1"/>
  <c r="BF90" i="2"/>
  <c r="BG90" i="2" s="1"/>
  <c r="BH90" i="2" s="1"/>
  <c r="BE91" i="2"/>
  <c r="BS89" i="2"/>
  <c r="FE179" i="2" l="1"/>
  <c r="FF178" i="2"/>
  <c r="FG178" i="2" s="1"/>
  <c r="FH178" i="2" s="1"/>
  <c r="FI178" i="2" s="1"/>
  <c r="EJ179" i="2"/>
  <c r="EK178" i="2"/>
  <c r="EL178" i="2" s="1"/>
  <c r="EM178" i="2" s="1"/>
  <c r="EN178" i="2" s="1"/>
  <c r="DO179" i="2"/>
  <c r="DP178" i="2"/>
  <c r="DQ178" i="2" s="1"/>
  <c r="DR178" i="2" s="1"/>
  <c r="DS178" i="2" s="1"/>
  <c r="CT179" i="2"/>
  <c r="CU178" i="2"/>
  <c r="CV178" i="2" s="1"/>
  <c r="CW178" i="2" s="1"/>
  <c r="CX178" i="2" s="1"/>
  <c r="BY179" i="2"/>
  <c r="BZ178" i="2"/>
  <c r="CA178" i="2" s="1"/>
  <c r="CB178" i="2" s="1"/>
  <c r="CC178" i="2" s="1"/>
  <c r="N179" i="2"/>
  <c r="O178" i="2"/>
  <c r="P178" i="2" s="1"/>
  <c r="Q178" i="2" s="1"/>
  <c r="R178" i="2" s="1"/>
  <c r="GA178" i="2"/>
  <c r="GB178" i="2" s="1"/>
  <c r="GC178" i="2" s="1"/>
  <c r="GD178" i="2" s="1"/>
  <c r="GV178" i="2"/>
  <c r="GW178" i="2" s="1"/>
  <c r="GX178" i="2" s="1"/>
  <c r="GY178" i="2" s="1"/>
  <c r="AJ178" i="2"/>
  <c r="AK178" i="2" s="1"/>
  <c r="AL178" i="2" s="1"/>
  <c r="AM178" i="2" s="1"/>
  <c r="BF91" i="2"/>
  <c r="BG91" i="2" s="1"/>
  <c r="BH91" i="2" s="1"/>
  <c r="BS90" i="2"/>
  <c r="BE92" i="2"/>
  <c r="FE180" i="2" l="1"/>
  <c r="FF179" i="2"/>
  <c r="FG179" i="2" s="1"/>
  <c r="FH179" i="2" s="1"/>
  <c r="FI179" i="2" s="1"/>
  <c r="EJ180" i="2"/>
  <c r="EK179" i="2"/>
  <c r="EL179" i="2" s="1"/>
  <c r="EM179" i="2" s="1"/>
  <c r="EN179" i="2" s="1"/>
  <c r="DO180" i="2"/>
  <c r="DP179" i="2"/>
  <c r="DQ179" i="2" s="1"/>
  <c r="DR179" i="2" s="1"/>
  <c r="DS179" i="2" s="1"/>
  <c r="CT180" i="2"/>
  <c r="CU179" i="2"/>
  <c r="CV179" i="2" s="1"/>
  <c r="CW179" i="2" s="1"/>
  <c r="CX179" i="2" s="1"/>
  <c r="BY180" i="2"/>
  <c r="BZ179" i="2"/>
  <c r="CA179" i="2" s="1"/>
  <c r="CB179" i="2" s="1"/>
  <c r="CC179" i="2" s="1"/>
  <c r="N180" i="2"/>
  <c r="O179" i="2"/>
  <c r="P179" i="2" s="1"/>
  <c r="Q179" i="2" s="1"/>
  <c r="R179" i="2" s="1"/>
  <c r="GA179" i="2"/>
  <c r="GB179" i="2" s="1"/>
  <c r="GC179" i="2" s="1"/>
  <c r="GD179" i="2" s="1"/>
  <c r="GV179" i="2"/>
  <c r="GW179" i="2" s="1"/>
  <c r="GX179" i="2" s="1"/>
  <c r="GY179" i="2" s="1"/>
  <c r="AJ179" i="2"/>
  <c r="AK179" i="2" s="1"/>
  <c r="AL179" i="2" s="1"/>
  <c r="AM179" i="2" s="1"/>
  <c r="BF92" i="2"/>
  <c r="BG92" i="2" s="1"/>
  <c r="BH92" i="2" s="1"/>
  <c r="BE93" i="2"/>
  <c r="BS91" i="2"/>
  <c r="FE181" i="2" l="1"/>
  <c r="FF180" i="2"/>
  <c r="FG180" i="2" s="1"/>
  <c r="FH180" i="2" s="1"/>
  <c r="FI180" i="2" s="1"/>
  <c r="EJ181" i="2"/>
  <c r="EK180" i="2"/>
  <c r="EL180" i="2" s="1"/>
  <c r="EM180" i="2" s="1"/>
  <c r="EN180" i="2" s="1"/>
  <c r="DO181" i="2"/>
  <c r="DP180" i="2"/>
  <c r="DQ180" i="2" s="1"/>
  <c r="DR180" i="2" s="1"/>
  <c r="DS180" i="2" s="1"/>
  <c r="CT181" i="2"/>
  <c r="CU180" i="2"/>
  <c r="CV180" i="2" s="1"/>
  <c r="CW180" i="2" s="1"/>
  <c r="CX180" i="2" s="1"/>
  <c r="BY181" i="2"/>
  <c r="BZ180" i="2"/>
  <c r="CA180" i="2" s="1"/>
  <c r="CB180" i="2" s="1"/>
  <c r="CC180" i="2" s="1"/>
  <c r="N181" i="2"/>
  <c r="O180" i="2"/>
  <c r="P180" i="2" s="1"/>
  <c r="Q180" i="2" s="1"/>
  <c r="R180" i="2" s="1"/>
  <c r="GA180" i="2"/>
  <c r="GB180" i="2" s="1"/>
  <c r="GC180" i="2" s="1"/>
  <c r="GD180" i="2" s="1"/>
  <c r="GV180" i="2"/>
  <c r="GW180" i="2" s="1"/>
  <c r="GX180" i="2" s="1"/>
  <c r="GY180" i="2" s="1"/>
  <c r="AJ180" i="2"/>
  <c r="AK180" i="2" s="1"/>
  <c r="AL180" i="2" s="1"/>
  <c r="AM180" i="2" s="1"/>
  <c r="BF93" i="2"/>
  <c r="BG93" i="2" s="1"/>
  <c r="BH93" i="2" s="1"/>
  <c r="BS92" i="2"/>
  <c r="BE94" i="2"/>
  <c r="FE182" i="2" l="1"/>
  <c r="FF181" i="2"/>
  <c r="FG181" i="2" s="1"/>
  <c r="FH181" i="2" s="1"/>
  <c r="FI181" i="2" s="1"/>
  <c r="EJ182" i="2"/>
  <c r="EK181" i="2"/>
  <c r="EL181" i="2" s="1"/>
  <c r="EM181" i="2" s="1"/>
  <c r="EN181" i="2" s="1"/>
  <c r="DO182" i="2"/>
  <c r="DP181" i="2"/>
  <c r="DQ181" i="2" s="1"/>
  <c r="DR181" i="2" s="1"/>
  <c r="DS181" i="2" s="1"/>
  <c r="CT182" i="2"/>
  <c r="CU181" i="2"/>
  <c r="CV181" i="2" s="1"/>
  <c r="CW181" i="2" s="1"/>
  <c r="CX181" i="2" s="1"/>
  <c r="BY182" i="2"/>
  <c r="BZ181" i="2"/>
  <c r="CA181" i="2" s="1"/>
  <c r="CB181" i="2" s="1"/>
  <c r="CC181" i="2" s="1"/>
  <c r="N182" i="2"/>
  <c r="O181" i="2"/>
  <c r="P181" i="2" s="1"/>
  <c r="Q181" i="2" s="1"/>
  <c r="R181" i="2" s="1"/>
  <c r="GA181" i="2"/>
  <c r="GB181" i="2" s="1"/>
  <c r="GC181" i="2" s="1"/>
  <c r="GD181" i="2" s="1"/>
  <c r="GV181" i="2"/>
  <c r="GW181" i="2" s="1"/>
  <c r="GX181" i="2" s="1"/>
  <c r="GY181" i="2" s="1"/>
  <c r="AJ181" i="2"/>
  <c r="AK181" i="2" s="1"/>
  <c r="AL181" i="2" s="1"/>
  <c r="AM181" i="2" s="1"/>
  <c r="BF94" i="2"/>
  <c r="BG94" i="2" s="1"/>
  <c r="BH94" i="2" s="1"/>
  <c r="BE95" i="2"/>
  <c r="BS93" i="2"/>
  <c r="FE183" i="2" l="1"/>
  <c r="FF182" i="2"/>
  <c r="FG182" i="2" s="1"/>
  <c r="FH182" i="2" s="1"/>
  <c r="FI182" i="2" s="1"/>
  <c r="EJ183" i="2"/>
  <c r="EK182" i="2"/>
  <c r="EL182" i="2" s="1"/>
  <c r="EM182" i="2" s="1"/>
  <c r="EN182" i="2" s="1"/>
  <c r="DO183" i="2"/>
  <c r="DP182" i="2"/>
  <c r="DQ182" i="2" s="1"/>
  <c r="DR182" i="2" s="1"/>
  <c r="DS182" i="2" s="1"/>
  <c r="CT183" i="2"/>
  <c r="CU182" i="2"/>
  <c r="CV182" i="2" s="1"/>
  <c r="CW182" i="2" s="1"/>
  <c r="CX182" i="2" s="1"/>
  <c r="BY183" i="2"/>
  <c r="BZ182" i="2"/>
  <c r="CA182" i="2" s="1"/>
  <c r="CB182" i="2" s="1"/>
  <c r="CC182" i="2" s="1"/>
  <c r="N183" i="2"/>
  <c r="O182" i="2"/>
  <c r="P182" i="2" s="1"/>
  <c r="Q182" i="2" s="1"/>
  <c r="R182" i="2" s="1"/>
  <c r="GA182" i="2"/>
  <c r="GB182" i="2" s="1"/>
  <c r="GC182" i="2" s="1"/>
  <c r="GD182" i="2" s="1"/>
  <c r="GV182" i="2"/>
  <c r="GW182" i="2" s="1"/>
  <c r="GX182" i="2" s="1"/>
  <c r="GY182" i="2" s="1"/>
  <c r="AJ182" i="2"/>
  <c r="AK182" i="2" s="1"/>
  <c r="AL182" i="2" s="1"/>
  <c r="AM182" i="2" s="1"/>
  <c r="BF95" i="2"/>
  <c r="BG95" i="2" s="1"/>
  <c r="BH95" i="2" s="1"/>
  <c r="BS94" i="2"/>
  <c r="BE96" i="2"/>
  <c r="FE184" i="2" l="1"/>
  <c r="FF183" i="2"/>
  <c r="FG183" i="2" s="1"/>
  <c r="FH183" i="2" s="1"/>
  <c r="FI183" i="2" s="1"/>
  <c r="EJ184" i="2"/>
  <c r="EK183" i="2"/>
  <c r="EL183" i="2" s="1"/>
  <c r="EM183" i="2" s="1"/>
  <c r="EN183" i="2" s="1"/>
  <c r="DO184" i="2"/>
  <c r="DP183" i="2"/>
  <c r="DQ183" i="2" s="1"/>
  <c r="DR183" i="2" s="1"/>
  <c r="DS183" i="2" s="1"/>
  <c r="CT184" i="2"/>
  <c r="CU183" i="2"/>
  <c r="CV183" i="2" s="1"/>
  <c r="CW183" i="2" s="1"/>
  <c r="CX183" i="2" s="1"/>
  <c r="BY184" i="2"/>
  <c r="BZ183" i="2"/>
  <c r="CA183" i="2" s="1"/>
  <c r="CB183" i="2" s="1"/>
  <c r="CC183" i="2" s="1"/>
  <c r="N184" i="2"/>
  <c r="O183" i="2"/>
  <c r="P183" i="2" s="1"/>
  <c r="Q183" i="2" s="1"/>
  <c r="R183" i="2" s="1"/>
  <c r="GA183" i="2"/>
  <c r="GB183" i="2" s="1"/>
  <c r="GC183" i="2" s="1"/>
  <c r="GD183" i="2" s="1"/>
  <c r="GV183" i="2"/>
  <c r="GW183" i="2" s="1"/>
  <c r="GX183" i="2" s="1"/>
  <c r="GY183" i="2" s="1"/>
  <c r="AJ183" i="2"/>
  <c r="AK183" i="2" s="1"/>
  <c r="AL183" i="2" s="1"/>
  <c r="AM183" i="2" s="1"/>
  <c r="BF96" i="2"/>
  <c r="BG96" i="2" s="1"/>
  <c r="BH96" i="2" s="1"/>
  <c r="BE97" i="2"/>
  <c r="BS95" i="2"/>
  <c r="FE185" i="2" l="1"/>
  <c r="FF184" i="2"/>
  <c r="FG184" i="2" s="1"/>
  <c r="FH184" i="2" s="1"/>
  <c r="FI184" i="2" s="1"/>
  <c r="EJ185" i="2"/>
  <c r="EK184" i="2"/>
  <c r="EL184" i="2" s="1"/>
  <c r="EM184" i="2" s="1"/>
  <c r="EN184" i="2" s="1"/>
  <c r="DO185" i="2"/>
  <c r="DP184" i="2"/>
  <c r="DQ184" i="2" s="1"/>
  <c r="DR184" i="2" s="1"/>
  <c r="DS184" i="2" s="1"/>
  <c r="CT185" i="2"/>
  <c r="CU184" i="2"/>
  <c r="CV184" i="2" s="1"/>
  <c r="CW184" i="2" s="1"/>
  <c r="CX184" i="2" s="1"/>
  <c r="BY185" i="2"/>
  <c r="BZ184" i="2"/>
  <c r="CA184" i="2" s="1"/>
  <c r="CB184" i="2" s="1"/>
  <c r="CC184" i="2" s="1"/>
  <c r="N185" i="2"/>
  <c r="O184" i="2"/>
  <c r="P184" i="2" s="1"/>
  <c r="Q184" i="2" s="1"/>
  <c r="R184" i="2" s="1"/>
  <c r="GA184" i="2"/>
  <c r="GB184" i="2" s="1"/>
  <c r="GC184" i="2" s="1"/>
  <c r="GD184" i="2" s="1"/>
  <c r="GV184" i="2"/>
  <c r="GW184" i="2" s="1"/>
  <c r="GX184" i="2" s="1"/>
  <c r="GY184" i="2" s="1"/>
  <c r="AJ184" i="2"/>
  <c r="AK184" i="2" s="1"/>
  <c r="AL184" i="2" s="1"/>
  <c r="AM184" i="2" s="1"/>
  <c r="BF97" i="2"/>
  <c r="BG97" i="2" s="1"/>
  <c r="BH97" i="2" s="1"/>
  <c r="BS96" i="2"/>
  <c r="BE98" i="2"/>
  <c r="FE186" i="2" l="1"/>
  <c r="FF185" i="2"/>
  <c r="FG185" i="2" s="1"/>
  <c r="FH185" i="2" s="1"/>
  <c r="FI185" i="2" s="1"/>
  <c r="EJ186" i="2"/>
  <c r="EK185" i="2"/>
  <c r="EL185" i="2" s="1"/>
  <c r="EM185" i="2" s="1"/>
  <c r="EN185" i="2" s="1"/>
  <c r="DO186" i="2"/>
  <c r="DP185" i="2"/>
  <c r="DQ185" i="2" s="1"/>
  <c r="DR185" i="2" s="1"/>
  <c r="DS185" i="2" s="1"/>
  <c r="CT186" i="2"/>
  <c r="CU185" i="2"/>
  <c r="CV185" i="2" s="1"/>
  <c r="CW185" i="2" s="1"/>
  <c r="CX185" i="2" s="1"/>
  <c r="BY186" i="2"/>
  <c r="BZ185" i="2"/>
  <c r="CA185" i="2" s="1"/>
  <c r="CB185" i="2" s="1"/>
  <c r="CC185" i="2" s="1"/>
  <c r="N186" i="2"/>
  <c r="O185" i="2"/>
  <c r="P185" i="2" s="1"/>
  <c r="Q185" i="2" s="1"/>
  <c r="R185" i="2" s="1"/>
  <c r="GA185" i="2"/>
  <c r="GB185" i="2" s="1"/>
  <c r="GC185" i="2" s="1"/>
  <c r="GD185" i="2" s="1"/>
  <c r="GV185" i="2"/>
  <c r="GW185" i="2" s="1"/>
  <c r="GX185" i="2" s="1"/>
  <c r="GY185" i="2" s="1"/>
  <c r="AJ185" i="2"/>
  <c r="AK185" i="2" s="1"/>
  <c r="AL185" i="2" s="1"/>
  <c r="AM185" i="2" s="1"/>
  <c r="BF98" i="2"/>
  <c r="BG98" i="2" s="1"/>
  <c r="BH98" i="2" s="1"/>
  <c r="BE99" i="2"/>
  <c r="BS97" i="2"/>
  <c r="FE187" i="2" l="1"/>
  <c r="FF186" i="2"/>
  <c r="FG186" i="2" s="1"/>
  <c r="FH186" i="2" s="1"/>
  <c r="FI186" i="2" s="1"/>
  <c r="EJ187" i="2"/>
  <c r="EK186" i="2"/>
  <c r="EL186" i="2" s="1"/>
  <c r="EM186" i="2" s="1"/>
  <c r="EN186" i="2" s="1"/>
  <c r="DO187" i="2"/>
  <c r="DP186" i="2"/>
  <c r="DQ186" i="2" s="1"/>
  <c r="DR186" i="2" s="1"/>
  <c r="DS186" i="2" s="1"/>
  <c r="CT187" i="2"/>
  <c r="CU186" i="2"/>
  <c r="CV186" i="2" s="1"/>
  <c r="CW186" i="2" s="1"/>
  <c r="CX186" i="2" s="1"/>
  <c r="BY187" i="2"/>
  <c r="BZ186" i="2"/>
  <c r="CA186" i="2" s="1"/>
  <c r="CB186" i="2" s="1"/>
  <c r="CC186" i="2" s="1"/>
  <c r="N187" i="2"/>
  <c r="O186" i="2"/>
  <c r="P186" i="2" s="1"/>
  <c r="Q186" i="2" s="1"/>
  <c r="R186" i="2" s="1"/>
  <c r="GA186" i="2"/>
  <c r="GB186" i="2" s="1"/>
  <c r="GC186" i="2" s="1"/>
  <c r="GD186" i="2" s="1"/>
  <c r="GV186" i="2"/>
  <c r="GW186" i="2" s="1"/>
  <c r="GX186" i="2" s="1"/>
  <c r="GY186" i="2" s="1"/>
  <c r="AJ186" i="2"/>
  <c r="AK186" i="2" s="1"/>
  <c r="AL186" i="2" s="1"/>
  <c r="AM186" i="2" s="1"/>
  <c r="BF99" i="2"/>
  <c r="BG99" i="2" s="1"/>
  <c r="BH99" i="2" s="1"/>
  <c r="BS98" i="2"/>
  <c r="BE100" i="2"/>
  <c r="FE188" i="2" l="1"/>
  <c r="FF187" i="2"/>
  <c r="FG187" i="2" s="1"/>
  <c r="FH187" i="2" s="1"/>
  <c r="FI187" i="2" s="1"/>
  <c r="EJ188" i="2"/>
  <c r="EK187" i="2"/>
  <c r="EL187" i="2" s="1"/>
  <c r="EM187" i="2" s="1"/>
  <c r="EN187" i="2" s="1"/>
  <c r="DO188" i="2"/>
  <c r="DP187" i="2"/>
  <c r="DQ187" i="2" s="1"/>
  <c r="DR187" i="2" s="1"/>
  <c r="DS187" i="2" s="1"/>
  <c r="CT188" i="2"/>
  <c r="CU187" i="2"/>
  <c r="CV187" i="2" s="1"/>
  <c r="CW187" i="2" s="1"/>
  <c r="CX187" i="2" s="1"/>
  <c r="BY188" i="2"/>
  <c r="BZ187" i="2"/>
  <c r="CA187" i="2" s="1"/>
  <c r="CB187" i="2" s="1"/>
  <c r="CC187" i="2" s="1"/>
  <c r="N188" i="2"/>
  <c r="O187" i="2"/>
  <c r="P187" i="2" s="1"/>
  <c r="Q187" i="2" s="1"/>
  <c r="R187" i="2" s="1"/>
  <c r="GA187" i="2"/>
  <c r="GB187" i="2" s="1"/>
  <c r="GC187" i="2" s="1"/>
  <c r="GD187" i="2" s="1"/>
  <c r="GV187" i="2"/>
  <c r="GW187" i="2" s="1"/>
  <c r="GX187" i="2" s="1"/>
  <c r="GY187" i="2" s="1"/>
  <c r="AJ187" i="2"/>
  <c r="AK187" i="2" s="1"/>
  <c r="AL187" i="2" s="1"/>
  <c r="AM187" i="2" s="1"/>
  <c r="BF100" i="2"/>
  <c r="BG100" i="2" s="1"/>
  <c r="BH100" i="2" s="1"/>
  <c r="BE101" i="2"/>
  <c r="BS99" i="2"/>
  <c r="FE189" i="2" l="1"/>
  <c r="FF188" i="2"/>
  <c r="FG188" i="2" s="1"/>
  <c r="FH188" i="2" s="1"/>
  <c r="FI188" i="2" s="1"/>
  <c r="EJ189" i="2"/>
  <c r="EK188" i="2"/>
  <c r="EL188" i="2" s="1"/>
  <c r="EM188" i="2" s="1"/>
  <c r="EN188" i="2" s="1"/>
  <c r="DO189" i="2"/>
  <c r="DP188" i="2"/>
  <c r="DQ188" i="2" s="1"/>
  <c r="DR188" i="2" s="1"/>
  <c r="DS188" i="2" s="1"/>
  <c r="CT189" i="2"/>
  <c r="CU188" i="2"/>
  <c r="CV188" i="2" s="1"/>
  <c r="CW188" i="2" s="1"/>
  <c r="CX188" i="2" s="1"/>
  <c r="BY189" i="2"/>
  <c r="BZ188" i="2"/>
  <c r="CA188" i="2" s="1"/>
  <c r="CB188" i="2" s="1"/>
  <c r="CC188" i="2" s="1"/>
  <c r="N189" i="2"/>
  <c r="O188" i="2"/>
  <c r="P188" i="2" s="1"/>
  <c r="Q188" i="2" s="1"/>
  <c r="R188" i="2" s="1"/>
  <c r="GA188" i="2"/>
  <c r="GB188" i="2" s="1"/>
  <c r="GC188" i="2" s="1"/>
  <c r="GD188" i="2" s="1"/>
  <c r="GV188" i="2"/>
  <c r="GW188" i="2" s="1"/>
  <c r="GX188" i="2" s="1"/>
  <c r="GY188" i="2" s="1"/>
  <c r="AJ188" i="2"/>
  <c r="AK188" i="2" s="1"/>
  <c r="AL188" i="2" s="1"/>
  <c r="AM188" i="2" s="1"/>
  <c r="BF101" i="2"/>
  <c r="BG101" i="2" s="1"/>
  <c r="BH101" i="2" s="1"/>
  <c r="BS100" i="2"/>
  <c r="BE102" i="2"/>
  <c r="FE190" i="2" l="1"/>
  <c r="FF189" i="2"/>
  <c r="FG189" i="2" s="1"/>
  <c r="FH189" i="2" s="1"/>
  <c r="FI189" i="2" s="1"/>
  <c r="EJ190" i="2"/>
  <c r="EK189" i="2"/>
  <c r="EL189" i="2" s="1"/>
  <c r="EM189" i="2" s="1"/>
  <c r="EN189" i="2" s="1"/>
  <c r="DO190" i="2"/>
  <c r="DP189" i="2"/>
  <c r="DQ189" i="2" s="1"/>
  <c r="DR189" i="2" s="1"/>
  <c r="DS189" i="2" s="1"/>
  <c r="CT190" i="2"/>
  <c r="CU189" i="2"/>
  <c r="CV189" i="2" s="1"/>
  <c r="CW189" i="2" s="1"/>
  <c r="CX189" i="2" s="1"/>
  <c r="BY190" i="2"/>
  <c r="BZ189" i="2"/>
  <c r="CA189" i="2" s="1"/>
  <c r="CB189" i="2" s="1"/>
  <c r="CC189" i="2" s="1"/>
  <c r="N190" i="2"/>
  <c r="O189" i="2"/>
  <c r="P189" i="2" s="1"/>
  <c r="Q189" i="2" s="1"/>
  <c r="R189" i="2" s="1"/>
  <c r="GA189" i="2"/>
  <c r="GB189" i="2" s="1"/>
  <c r="GC189" i="2" s="1"/>
  <c r="GD189" i="2" s="1"/>
  <c r="GV189" i="2"/>
  <c r="GW189" i="2" s="1"/>
  <c r="GX189" i="2" s="1"/>
  <c r="GY189" i="2" s="1"/>
  <c r="AJ189" i="2"/>
  <c r="AK189" i="2" s="1"/>
  <c r="AL189" i="2" s="1"/>
  <c r="AM189" i="2" s="1"/>
  <c r="BF102" i="2"/>
  <c r="BG102" i="2" s="1"/>
  <c r="BH102" i="2" s="1"/>
  <c r="BE103" i="2"/>
  <c r="BS101" i="2"/>
  <c r="FE191" i="2" l="1"/>
  <c r="FF190" i="2"/>
  <c r="FG190" i="2" s="1"/>
  <c r="FH190" i="2" s="1"/>
  <c r="FI190" i="2" s="1"/>
  <c r="EJ191" i="2"/>
  <c r="EK190" i="2"/>
  <c r="EL190" i="2" s="1"/>
  <c r="EM190" i="2" s="1"/>
  <c r="EN190" i="2" s="1"/>
  <c r="DO191" i="2"/>
  <c r="DP190" i="2"/>
  <c r="DQ190" i="2" s="1"/>
  <c r="DR190" i="2" s="1"/>
  <c r="DS190" i="2" s="1"/>
  <c r="CT191" i="2"/>
  <c r="CU190" i="2"/>
  <c r="CV190" i="2" s="1"/>
  <c r="CW190" i="2" s="1"/>
  <c r="CX190" i="2" s="1"/>
  <c r="BY191" i="2"/>
  <c r="BZ190" i="2"/>
  <c r="CA190" i="2" s="1"/>
  <c r="CB190" i="2" s="1"/>
  <c r="CC190" i="2" s="1"/>
  <c r="N191" i="2"/>
  <c r="O190" i="2"/>
  <c r="P190" i="2" s="1"/>
  <c r="Q190" i="2" s="1"/>
  <c r="R190" i="2" s="1"/>
  <c r="GA190" i="2"/>
  <c r="GB190" i="2" s="1"/>
  <c r="GC190" i="2" s="1"/>
  <c r="GD190" i="2" s="1"/>
  <c r="GV190" i="2"/>
  <c r="GW190" i="2" s="1"/>
  <c r="GX190" i="2" s="1"/>
  <c r="GY190" i="2" s="1"/>
  <c r="AJ190" i="2"/>
  <c r="AK190" i="2" s="1"/>
  <c r="AL190" i="2" s="1"/>
  <c r="AM190" i="2" s="1"/>
  <c r="BF103" i="2"/>
  <c r="BG103" i="2" s="1"/>
  <c r="BH103" i="2" s="1"/>
  <c r="BS102" i="2"/>
  <c r="BE104" i="2"/>
  <c r="BI47" i="2" l="1"/>
  <c r="BI190" i="2"/>
  <c r="BI59" i="2"/>
  <c r="BI29" i="2"/>
  <c r="BI34" i="2"/>
  <c r="BI20" i="2"/>
  <c r="BI160" i="2"/>
  <c r="BI48" i="2"/>
  <c r="BI103" i="2"/>
  <c r="BI57" i="2"/>
  <c r="BI31" i="2"/>
  <c r="BI27" i="2"/>
  <c r="BI113" i="2"/>
  <c r="BI158" i="2"/>
  <c r="BI159" i="2"/>
  <c r="BI51" i="2"/>
  <c r="BI161" i="2"/>
  <c r="BI141" i="2"/>
  <c r="BI146" i="2"/>
  <c r="BI168" i="2"/>
  <c r="BI105" i="2"/>
  <c r="BI36" i="2"/>
  <c r="BI143" i="2"/>
  <c r="BI107" i="2"/>
  <c r="BI67" i="2"/>
  <c r="BI74" i="2"/>
  <c r="BI154" i="2"/>
  <c r="BI139" i="2"/>
  <c r="BI134" i="2"/>
  <c r="BI90" i="2"/>
  <c r="BI62" i="2"/>
  <c r="BI183" i="2"/>
  <c r="BI4" i="2"/>
  <c r="BI112" i="2"/>
  <c r="BI60" i="2"/>
  <c r="BI38" i="2"/>
  <c r="BI136" i="2"/>
  <c r="BI124" i="2"/>
  <c r="BI114" i="2"/>
  <c r="BI22" i="2"/>
  <c r="BI199" i="2"/>
  <c r="BI11" i="2"/>
  <c r="BI135" i="2"/>
  <c r="BI150" i="2"/>
  <c r="BI35" i="2"/>
  <c r="BI15" i="2"/>
  <c r="BI78" i="2"/>
  <c r="BI46" i="2"/>
  <c r="BI50" i="2"/>
  <c r="BI52" i="2"/>
  <c r="BI98" i="2"/>
  <c r="BI85" i="2"/>
  <c r="BI100" i="2"/>
  <c r="BI84" i="2"/>
  <c r="BI170" i="2"/>
  <c r="BI102" i="2"/>
  <c r="BI117" i="2"/>
  <c r="BI197" i="2"/>
  <c r="BI40" i="2"/>
  <c r="BI184" i="2"/>
  <c r="BI64" i="2"/>
  <c r="BI9" i="2"/>
  <c r="BI86" i="2"/>
  <c r="BI138" i="2"/>
  <c r="BI130" i="2"/>
  <c r="BI201" i="2"/>
  <c r="BI151" i="2"/>
  <c r="BI13" i="2"/>
  <c r="BI12" i="2"/>
  <c r="BI37" i="2"/>
  <c r="BI165" i="2"/>
  <c r="BI83" i="2"/>
  <c r="BI149" i="2"/>
  <c r="BI39" i="2"/>
  <c r="BI73" i="2"/>
  <c r="BI118" i="2"/>
  <c r="BI189" i="2"/>
  <c r="BI132" i="2"/>
  <c r="BI162" i="2"/>
  <c r="BI200" i="2"/>
  <c r="BI96" i="2"/>
  <c r="BI198" i="2"/>
  <c r="BI126" i="2"/>
  <c r="BI127" i="2"/>
  <c r="BI175" i="2"/>
  <c r="BI157" i="2"/>
  <c r="BI156" i="2"/>
  <c r="BI49" i="2"/>
  <c r="BI191" i="2"/>
  <c r="BI147" i="2"/>
  <c r="BI58" i="2"/>
  <c r="BI111" i="2"/>
  <c r="BI44" i="2"/>
  <c r="BI93" i="2"/>
  <c r="BI140" i="2"/>
  <c r="BI195" i="2"/>
  <c r="BI171" i="2"/>
  <c r="BI69" i="2"/>
  <c r="BI180" i="2"/>
  <c r="BI66" i="2"/>
  <c r="BI68" i="2"/>
  <c r="BI163" i="2"/>
  <c r="BI10" i="2"/>
  <c r="BI188" i="2"/>
  <c r="BI121" i="2"/>
  <c r="BI97" i="2"/>
  <c r="BI75" i="2"/>
  <c r="BI80" i="2"/>
  <c r="BI33" i="2"/>
  <c r="BI77" i="2"/>
  <c r="BI193" i="2"/>
  <c r="BI65" i="2"/>
  <c r="BI41" i="2"/>
  <c r="BI88" i="2"/>
  <c r="BI23" i="2"/>
  <c r="BI173" i="2"/>
  <c r="BI101" i="2"/>
  <c r="BI155" i="2"/>
  <c r="BI169" i="2"/>
  <c r="BI81" i="2"/>
  <c r="BI196" i="2"/>
  <c r="BI131" i="2"/>
  <c r="BI177" i="2"/>
  <c r="BI187" i="2"/>
  <c r="BI21" i="2"/>
  <c r="BI144" i="2"/>
  <c r="BI123" i="2"/>
  <c r="BI122" i="2"/>
  <c r="BI116" i="2"/>
  <c r="BI152" i="2"/>
  <c r="BI28" i="2"/>
  <c r="BI133" i="2"/>
  <c r="BI129" i="2"/>
  <c r="BI179" i="2"/>
  <c r="BI109" i="2"/>
  <c r="BI18" i="2"/>
  <c r="BI89" i="2"/>
  <c r="BI120" i="2"/>
  <c r="BI45" i="2"/>
  <c r="BI119" i="2"/>
  <c r="BI7" i="2"/>
  <c r="BI108" i="2"/>
  <c r="BI202" i="2"/>
  <c r="BI203" i="2"/>
  <c r="BI30" i="2"/>
  <c r="BI99" i="2"/>
  <c r="BI172" i="2"/>
  <c r="BI176" i="2"/>
  <c r="BI72" i="2"/>
  <c r="BI106" i="2"/>
  <c r="BI43" i="2"/>
  <c r="BI174" i="2"/>
  <c r="BI76" i="2"/>
  <c r="BI56" i="2"/>
  <c r="BI92" i="2"/>
  <c r="BI55" i="2"/>
  <c r="BI186" i="2"/>
  <c r="BI178" i="2"/>
  <c r="BI17" i="2"/>
  <c r="BI185" i="2"/>
  <c r="BI8" i="2"/>
  <c r="BI61" i="2"/>
  <c r="BI192" i="2"/>
  <c r="BI115" i="2"/>
  <c r="BI182" i="2"/>
  <c r="BI137" i="2"/>
  <c r="BI24" i="2"/>
  <c r="BI110" i="2"/>
  <c r="BI6" i="2"/>
  <c r="BI128" i="2"/>
  <c r="BI94" i="2"/>
  <c r="BI14" i="2"/>
  <c r="BI145" i="2"/>
  <c r="BI79" i="2"/>
  <c r="BI5" i="2"/>
  <c r="BI54" i="2"/>
  <c r="BI148" i="2"/>
  <c r="BI167" i="2"/>
  <c r="BI70" i="2"/>
  <c r="BI194" i="2"/>
  <c r="BI87" i="2"/>
  <c r="BI63" i="2"/>
  <c r="BI82" i="2"/>
  <c r="BI32" i="2"/>
  <c r="BI166" i="2"/>
  <c r="BI26" i="2"/>
  <c r="BI19" i="2"/>
  <c r="BI104" i="2"/>
  <c r="BI142" i="2"/>
  <c r="BI164" i="2"/>
  <c r="BI153" i="2"/>
  <c r="BI181" i="2"/>
  <c r="BI25" i="2"/>
  <c r="BI95" i="2"/>
  <c r="BI16" i="2"/>
  <c r="BI42" i="2"/>
  <c r="BI91" i="2"/>
  <c r="BI125" i="2"/>
  <c r="BI3" i="2"/>
  <c r="C8" i="4" s="1"/>
  <c r="E8" i="4" s="1"/>
  <c r="F8" i="4" s="1"/>
  <c r="G8" i="4" s="1"/>
  <c r="L8" i="4" s="1"/>
  <c r="BI71" i="2"/>
  <c r="BI53" i="2"/>
  <c r="BJ16" i="2"/>
  <c r="BJ80" i="2"/>
  <c r="BJ144" i="2"/>
  <c r="BJ97" i="2"/>
  <c r="BJ20" i="2"/>
  <c r="BJ196" i="2"/>
  <c r="BJ65" i="2"/>
  <c r="BJ161" i="2"/>
  <c r="BJ180" i="2"/>
  <c r="BJ58" i="2"/>
  <c r="BJ122" i="2"/>
  <c r="BJ186" i="2"/>
  <c r="BJ59" i="2"/>
  <c r="BJ123" i="2"/>
  <c r="BJ187" i="2"/>
  <c r="BJ132" i="2"/>
  <c r="BJ102" i="2"/>
  <c r="BJ85" i="2"/>
  <c r="BJ63" i="2"/>
  <c r="BJ94" i="2"/>
  <c r="BJ23" i="2"/>
  <c r="BJ197" i="2"/>
  <c r="BJ14" i="2"/>
  <c r="BJ93" i="2"/>
  <c r="BJ181" i="2"/>
  <c r="BJ24" i="2"/>
  <c r="BJ88" i="2"/>
  <c r="BJ152" i="2"/>
  <c r="BJ121" i="2"/>
  <c r="BJ44" i="2"/>
  <c r="BJ9" i="2"/>
  <c r="BJ73" i="2"/>
  <c r="BJ177" i="2"/>
  <c r="BJ4" i="2"/>
  <c r="BJ66" i="2"/>
  <c r="BJ130" i="2"/>
  <c r="BJ194" i="2"/>
  <c r="BJ67" i="2"/>
  <c r="BJ131" i="2"/>
  <c r="BJ195" i="2"/>
  <c r="BJ148" i="2"/>
  <c r="BJ125" i="2"/>
  <c r="BJ103" i="2"/>
  <c r="BJ86" i="2"/>
  <c r="BJ158" i="2"/>
  <c r="BJ46" i="2"/>
  <c r="BJ7" i="2"/>
  <c r="BJ55" i="2"/>
  <c r="BJ111" i="2"/>
  <c r="BJ54" i="2"/>
  <c r="BJ32" i="2"/>
  <c r="BJ96" i="2"/>
  <c r="BJ160" i="2"/>
  <c r="BJ137" i="2"/>
  <c r="BJ60" i="2"/>
  <c r="BJ17" i="2"/>
  <c r="BJ81" i="2"/>
  <c r="BJ193" i="2"/>
  <c r="BJ10" i="2"/>
  <c r="BJ74" i="2"/>
  <c r="BJ138" i="2"/>
  <c r="BJ11" i="2"/>
  <c r="BJ75" i="2"/>
  <c r="BJ139" i="2"/>
  <c r="BJ203" i="2"/>
  <c r="BJ164" i="2"/>
  <c r="BJ143" i="2"/>
  <c r="BJ126" i="2"/>
  <c r="BJ109" i="2"/>
  <c r="BJ13" i="2"/>
  <c r="BJ69" i="2"/>
  <c r="BJ71" i="2"/>
  <c r="BJ119" i="2"/>
  <c r="BJ134" i="2"/>
  <c r="BJ118" i="2"/>
  <c r="BJ40" i="2"/>
  <c r="BJ104" i="2"/>
  <c r="BJ168" i="2"/>
  <c r="BJ153" i="2"/>
  <c r="BJ84" i="2"/>
  <c r="BJ25" i="2"/>
  <c r="BJ89" i="2"/>
  <c r="BJ28" i="2"/>
  <c r="BJ18" i="2"/>
  <c r="BJ82" i="2"/>
  <c r="BJ146" i="2"/>
  <c r="BJ19" i="2"/>
  <c r="BJ83" i="2"/>
  <c r="BJ147" i="2"/>
  <c r="BJ12" i="2"/>
  <c r="BJ188" i="2"/>
  <c r="BJ166" i="2"/>
  <c r="BJ149" i="2"/>
  <c r="BJ127" i="2"/>
  <c r="BJ77" i="2"/>
  <c r="BJ87" i="2"/>
  <c r="BJ135" i="2"/>
  <c r="BJ183" i="2"/>
  <c r="BJ157" i="2"/>
  <c r="BJ182" i="2"/>
  <c r="BJ48" i="2"/>
  <c r="BJ112" i="2"/>
  <c r="BJ176" i="2"/>
  <c r="BJ169" i="2"/>
  <c r="BJ100" i="2"/>
  <c r="BJ33" i="2"/>
  <c r="BJ105" i="2"/>
  <c r="BJ68" i="2"/>
  <c r="BJ26" i="2"/>
  <c r="BJ90" i="2"/>
  <c r="BJ154" i="2"/>
  <c r="BJ27" i="2"/>
  <c r="BJ91" i="2"/>
  <c r="BJ155" i="2"/>
  <c r="BJ36" i="2"/>
  <c r="BJ15" i="2"/>
  <c r="BJ189" i="2"/>
  <c r="BJ167" i="2"/>
  <c r="BJ150" i="2"/>
  <c r="BJ141" i="2"/>
  <c r="BJ110" i="2"/>
  <c r="BJ199" i="2"/>
  <c r="BJ6" i="2"/>
  <c r="BJ175" i="2"/>
  <c r="BJ56" i="2"/>
  <c r="BJ120" i="2"/>
  <c r="BJ184" i="2"/>
  <c r="BJ185" i="2"/>
  <c r="BJ124" i="2"/>
  <c r="BJ41" i="2"/>
  <c r="BJ113" i="2"/>
  <c r="BJ92" i="2"/>
  <c r="BJ34" i="2"/>
  <c r="BJ98" i="2"/>
  <c r="BJ162" i="2"/>
  <c r="BJ35" i="2"/>
  <c r="BJ99" i="2"/>
  <c r="BJ163" i="2"/>
  <c r="BJ52" i="2"/>
  <c r="BJ38" i="2"/>
  <c r="BJ21" i="2"/>
  <c r="BJ190" i="2"/>
  <c r="BJ173" i="2"/>
  <c r="BJ78" i="2"/>
  <c r="BJ133" i="2"/>
  <c r="BJ31" i="2"/>
  <c r="BJ29" i="2"/>
  <c r="BJ198" i="2"/>
  <c r="BJ101" i="2"/>
  <c r="BJ37" i="2"/>
  <c r="BJ64" i="2"/>
  <c r="BJ128" i="2"/>
  <c r="BJ192" i="2"/>
  <c r="BJ201" i="2"/>
  <c r="BJ140" i="2"/>
  <c r="BJ49" i="2"/>
  <c r="BJ129" i="2"/>
  <c r="BJ116" i="2"/>
  <c r="BJ42" i="2"/>
  <c r="BJ106" i="2"/>
  <c r="BJ170" i="2"/>
  <c r="BJ43" i="2"/>
  <c r="BJ107" i="2"/>
  <c r="BJ171" i="2"/>
  <c r="BJ76" i="2"/>
  <c r="BJ61" i="2"/>
  <c r="BJ39" i="2"/>
  <c r="BJ22" i="2"/>
  <c r="BJ191" i="2"/>
  <c r="BJ142" i="2"/>
  <c r="BJ151" i="2"/>
  <c r="BJ95" i="2"/>
  <c r="BJ47" i="2"/>
  <c r="BJ53" i="2"/>
  <c r="BJ165" i="2"/>
  <c r="BJ8" i="2"/>
  <c r="BJ72" i="2"/>
  <c r="BJ136" i="2"/>
  <c r="BJ200" i="2"/>
  <c r="BJ202" i="2"/>
  <c r="BJ172" i="2"/>
  <c r="BJ57" i="2"/>
  <c r="BJ145" i="2"/>
  <c r="BJ156" i="2"/>
  <c r="BJ50" i="2"/>
  <c r="BJ114" i="2"/>
  <c r="BJ178" i="2"/>
  <c r="BJ51" i="2"/>
  <c r="BJ115" i="2"/>
  <c r="BJ179" i="2"/>
  <c r="BJ108" i="2"/>
  <c r="BJ79" i="2"/>
  <c r="BJ62" i="2"/>
  <c r="BJ45" i="2"/>
  <c r="BJ30" i="2"/>
  <c r="BJ5" i="2"/>
  <c r="BJ174" i="2"/>
  <c r="BJ159" i="2"/>
  <c r="BJ70" i="2"/>
  <c r="BJ117" i="2"/>
  <c r="FE192" i="2"/>
  <c r="FF191" i="2"/>
  <c r="FG191" i="2" s="1"/>
  <c r="FH191" i="2" s="1"/>
  <c r="FI191" i="2" s="1"/>
  <c r="EJ192" i="2"/>
  <c r="EK191" i="2"/>
  <c r="EL191" i="2" s="1"/>
  <c r="EM191" i="2" s="1"/>
  <c r="EN191" i="2" s="1"/>
  <c r="DO192" i="2"/>
  <c r="DP191" i="2"/>
  <c r="DQ191" i="2" s="1"/>
  <c r="DR191" i="2" s="1"/>
  <c r="DS191" i="2" s="1"/>
  <c r="CT192" i="2"/>
  <c r="CU191" i="2"/>
  <c r="CV191" i="2" s="1"/>
  <c r="CW191" i="2" s="1"/>
  <c r="CX191" i="2" s="1"/>
  <c r="BY192" i="2"/>
  <c r="BZ191" i="2"/>
  <c r="CA191" i="2" s="1"/>
  <c r="CB191" i="2" s="1"/>
  <c r="CC191" i="2" s="1"/>
  <c r="N192" i="2"/>
  <c r="O191" i="2"/>
  <c r="P191" i="2" s="1"/>
  <c r="Q191" i="2" s="1"/>
  <c r="R191" i="2" s="1"/>
  <c r="GA191" i="2"/>
  <c r="GB191" i="2" s="1"/>
  <c r="GC191" i="2" s="1"/>
  <c r="GD191" i="2" s="1"/>
  <c r="GV191" i="2"/>
  <c r="GW191" i="2" s="1"/>
  <c r="GX191" i="2" s="1"/>
  <c r="GY191" i="2" s="1"/>
  <c r="AJ191" i="2"/>
  <c r="AK191" i="2" s="1"/>
  <c r="AL191" i="2" s="1"/>
  <c r="AM191" i="2" s="1"/>
  <c r="BF104" i="2"/>
  <c r="BG104" i="2" s="1"/>
  <c r="BH104" i="2" s="1"/>
  <c r="BE105" i="2"/>
  <c r="BS103" i="2"/>
  <c r="FE193" i="2" l="1"/>
  <c r="FF192" i="2"/>
  <c r="FG192" i="2" s="1"/>
  <c r="FH192" i="2" s="1"/>
  <c r="FI192" i="2" s="1"/>
  <c r="EJ193" i="2"/>
  <c r="EK192" i="2"/>
  <c r="EL192" i="2" s="1"/>
  <c r="EM192" i="2" s="1"/>
  <c r="EN192" i="2" s="1"/>
  <c r="DO193" i="2"/>
  <c r="DP192" i="2"/>
  <c r="DQ192" i="2" s="1"/>
  <c r="DR192" i="2" s="1"/>
  <c r="DS192" i="2" s="1"/>
  <c r="CT193" i="2"/>
  <c r="CU192" i="2"/>
  <c r="CV192" i="2" s="1"/>
  <c r="CW192" i="2" s="1"/>
  <c r="CX192" i="2" s="1"/>
  <c r="BY193" i="2"/>
  <c r="BZ192" i="2"/>
  <c r="CA192" i="2" s="1"/>
  <c r="CB192" i="2" s="1"/>
  <c r="CC192" i="2" s="1"/>
  <c r="N193" i="2"/>
  <c r="O192" i="2"/>
  <c r="P192" i="2" s="1"/>
  <c r="Q192" i="2" s="1"/>
  <c r="R192" i="2" s="1"/>
  <c r="GA192" i="2"/>
  <c r="GB192" i="2" s="1"/>
  <c r="GC192" i="2" s="1"/>
  <c r="GD192" i="2" s="1"/>
  <c r="GV192" i="2"/>
  <c r="GW192" i="2" s="1"/>
  <c r="GX192" i="2" s="1"/>
  <c r="GY192" i="2" s="1"/>
  <c r="AJ192" i="2"/>
  <c r="AK192" i="2" s="1"/>
  <c r="AL192" i="2" s="1"/>
  <c r="AM192" i="2" s="1"/>
  <c r="BF105" i="2"/>
  <c r="BG105" i="2" s="1"/>
  <c r="BH105" i="2" s="1"/>
  <c r="BS104" i="2"/>
  <c r="BE106" i="2"/>
  <c r="FE194" i="2" l="1"/>
  <c r="FF193" i="2"/>
  <c r="FG193" i="2" s="1"/>
  <c r="FH193" i="2" s="1"/>
  <c r="FI193" i="2" s="1"/>
  <c r="EJ194" i="2"/>
  <c r="EK193" i="2"/>
  <c r="EL193" i="2" s="1"/>
  <c r="EM193" i="2" s="1"/>
  <c r="EN193" i="2" s="1"/>
  <c r="DO194" i="2"/>
  <c r="DP193" i="2"/>
  <c r="DQ193" i="2" s="1"/>
  <c r="DR193" i="2" s="1"/>
  <c r="DS193" i="2" s="1"/>
  <c r="CT194" i="2"/>
  <c r="CU193" i="2"/>
  <c r="CV193" i="2" s="1"/>
  <c r="CW193" i="2" s="1"/>
  <c r="CX193" i="2" s="1"/>
  <c r="BY194" i="2"/>
  <c r="BZ193" i="2"/>
  <c r="CA193" i="2" s="1"/>
  <c r="CB193" i="2" s="1"/>
  <c r="CC193" i="2" s="1"/>
  <c r="N194" i="2"/>
  <c r="O193" i="2"/>
  <c r="P193" i="2" s="1"/>
  <c r="Q193" i="2" s="1"/>
  <c r="R193" i="2" s="1"/>
  <c r="GA193" i="2"/>
  <c r="GB193" i="2" s="1"/>
  <c r="GC193" i="2" s="1"/>
  <c r="GD193" i="2" s="1"/>
  <c r="GV193" i="2"/>
  <c r="GW193" i="2" s="1"/>
  <c r="GX193" i="2" s="1"/>
  <c r="GY193" i="2" s="1"/>
  <c r="AJ193" i="2"/>
  <c r="AK193" i="2" s="1"/>
  <c r="AL193" i="2" s="1"/>
  <c r="AM193" i="2" s="1"/>
  <c r="BF106" i="2"/>
  <c r="BG106" i="2" s="1"/>
  <c r="BH106" i="2" s="1"/>
  <c r="BE107" i="2"/>
  <c r="BS105" i="2"/>
  <c r="FE195" i="2" l="1"/>
  <c r="FF194" i="2"/>
  <c r="FG194" i="2" s="1"/>
  <c r="FH194" i="2" s="1"/>
  <c r="FI194" i="2" s="1"/>
  <c r="EJ195" i="2"/>
  <c r="EK194" i="2"/>
  <c r="EL194" i="2" s="1"/>
  <c r="EM194" i="2" s="1"/>
  <c r="EN194" i="2" s="1"/>
  <c r="DO195" i="2"/>
  <c r="DP194" i="2"/>
  <c r="DQ194" i="2" s="1"/>
  <c r="DR194" i="2" s="1"/>
  <c r="DS194" i="2" s="1"/>
  <c r="CT195" i="2"/>
  <c r="CU194" i="2"/>
  <c r="CV194" i="2" s="1"/>
  <c r="CW194" i="2" s="1"/>
  <c r="CX194" i="2" s="1"/>
  <c r="BY195" i="2"/>
  <c r="BZ194" i="2"/>
  <c r="CA194" i="2" s="1"/>
  <c r="CB194" i="2" s="1"/>
  <c r="CC194" i="2" s="1"/>
  <c r="N195" i="2"/>
  <c r="O194" i="2"/>
  <c r="P194" i="2" s="1"/>
  <c r="Q194" i="2" s="1"/>
  <c r="R194" i="2" s="1"/>
  <c r="GA194" i="2"/>
  <c r="GB194" i="2" s="1"/>
  <c r="GC194" i="2" s="1"/>
  <c r="GD194" i="2" s="1"/>
  <c r="GV194" i="2"/>
  <c r="GW194" i="2" s="1"/>
  <c r="GX194" i="2" s="1"/>
  <c r="GY194" i="2" s="1"/>
  <c r="AJ194" i="2"/>
  <c r="AK194" i="2" s="1"/>
  <c r="AL194" i="2" s="1"/>
  <c r="AM194" i="2" s="1"/>
  <c r="BF107" i="2"/>
  <c r="BG107" i="2" s="1"/>
  <c r="BH107" i="2" s="1"/>
  <c r="BS106" i="2"/>
  <c r="BE108" i="2"/>
  <c r="FE196" i="2" l="1"/>
  <c r="FF195" i="2"/>
  <c r="FG195" i="2" s="1"/>
  <c r="FH195" i="2" s="1"/>
  <c r="FI195" i="2" s="1"/>
  <c r="EJ196" i="2"/>
  <c r="EK195" i="2"/>
  <c r="EL195" i="2" s="1"/>
  <c r="EM195" i="2" s="1"/>
  <c r="EN195" i="2" s="1"/>
  <c r="DO196" i="2"/>
  <c r="DP195" i="2"/>
  <c r="DQ195" i="2" s="1"/>
  <c r="DR195" i="2" s="1"/>
  <c r="DS195" i="2" s="1"/>
  <c r="CT196" i="2"/>
  <c r="CU195" i="2"/>
  <c r="CV195" i="2" s="1"/>
  <c r="CW195" i="2" s="1"/>
  <c r="CX195" i="2" s="1"/>
  <c r="BY196" i="2"/>
  <c r="BZ195" i="2"/>
  <c r="CA195" i="2" s="1"/>
  <c r="CB195" i="2" s="1"/>
  <c r="CC195" i="2" s="1"/>
  <c r="N196" i="2"/>
  <c r="O195" i="2"/>
  <c r="P195" i="2" s="1"/>
  <c r="Q195" i="2" s="1"/>
  <c r="R195" i="2" s="1"/>
  <c r="GA195" i="2"/>
  <c r="GB195" i="2" s="1"/>
  <c r="GC195" i="2" s="1"/>
  <c r="GD195" i="2" s="1"/>
  <c r="GV195" i="2"/>
  <c r="GW195" i="2" s="1"/>
  <c r="GX195" i="2" s="1"/>
  <c r="GY195" i="2" s="1"/>
  <c r="AJ195" i="2"/>
  <c r="AK195" i="2" s="1"/>
  <c r="AL195" i="2" s="1"/>
  <c r="AM195" i="2" s="1"/>
  <c r="BF108" i="2"/>
  <c r="BG108" i="2" s="1"/>
  <c r="BH108" i="2" s="1"/>
  <c r="BE109" i="2"/>
  <c r="BS107" i="2"/>
  <c r="FE197" i="2" l="1"/>
  <c r="FF196" i="2"/>
  <c r="FG196" i="2" s="1"/>
  <c r="FH196" i="2" s="1"/>
  <c r="FI196" i="2" s="1"/>
  <c r="EJ197" i="2"/>
  <c r="EK196" i="2"/>
  <c r="EL196" i="2" s="1"/>
  <c r="EM196" i="2" s="1"/>
  <c r="EN196" i="2" s="1"/>
  <c r="DO197" i="2"/>
  <c r="DP196" i="2"/>
  <c r="DQ196" i="2" s="1"/>
  <c r="DR196" i="2" s="1"/>
  <c r="DS196" i="2" s="1"/>
  <c r="CT197" i="2"/>
  <c r="CU196" i="2"/>
  <c r="CV196" i="2" s="1"/>
  <c r="CW196" i="2" s="1"/>
  <c r="CX196" i="2" s="1"/>
  <c r="BY197" i="2"/>
  <c r="BZ196" i="2"/>
  <c r="CA196" i="2" s="1"/>
  <c r="CB196" i="2" s="1"/>
  <c r="CC196" i="2" s="1"/>
  <c r="N197" i="2"/>
  <c r="O196" i="2"/>
  <c r="P196" i="2" s="1"/>
  <c r="Q196" i="2" s="1"/>
  <c r="R196" i="2" s="1"/>
  <c r="GA196" i="2"/>
  <c r="GB196" i="2" s="1"/>
  <c r="GC196" i="2" s="1"/>
  <c r="GD196" i="2" s="1"/>
  <c r="GV196" i="2"/>
  <c r="GW196" i="2" s="1"/>
  <c r="GX196" i="2" s="1"/>
  <c r="GY196" i="2" s="1"/>
  <c r="AJ196" i="2"/>
  <c r="AK196" i="2" s="1"/>
  <c r="AL196" i="2" s="1"/>
  <c r="AM196" i="2" s="1"/>
  <c r="BF109" i="2"/>
  <c r="BG109" i="2" s="1"/>
  <c r="BH109" i="2" s="1"/>
  <c r="BS108" i="2"/>
  <c r="BE110" i="2"/>
  <c r="FE198" i="2" l="1"/>
  <c r="FF197" i="2"/>
  <c r="FG197" i="2" s="1"/>
  <c r="FH197" i="2" s="1"/>
  <c r="FI197" i="2" s="1"/>
  <c r="EJ198" i="2"/>
  <c r="EK197" i="2"/>
  <c r="EL197" i="2" s="1"/>
  <c r="EM197" i="2" s="1"/>
  <c r="EN197" i="2" s="1"/>
  <c r="DO198" i="2"/>
  <c r="DP197" i="2"/>
  <c r="DQ197" i="2" s="1"/>
  <c r="DR197" i="2" s="1"/>
  <c r="DS197" i="2" s="1"/>
  <c r="CT198" i="2"/>
  <c r="CU197" i="2"/>
  <c r="CV197" i="2" s="1"/>
  <c r="CW197" i="2" s="1"/>
  <c r="CX197" i="2" s="1"/>
  <c r="BY198" i="2"/>
  <c r="BZ197" i="2"/>
  <c r="CA197" i="2" s="1"/>
  <c r="CB197" i="2" s="1"/>
  <c r="CC197" i="2" s="1"/>
  <c r="N198" i="2"/>
  <c r="O197" i="2"/>
  <c r="P197" i="2" s="1"/>
  <c r="Q197" i="2" s="1"/>
  <c r="R197" i="2" s="1"/>
  <c r="GA197" i="2"/>
  <c r="GB197" i="2" s="1"/>
  <c r="GC197" i="2" s="1"/>
  <c r="GD197" i="2" s="1"/>
  <c r="GV197" i="2"/>
  <c r="GW197" i="2" s="1"/>
  <c r="GX197" i="2" s="1"/>
  <c r="GY197" i="2" s="1"/>
  <c r="AJ197" i="2"/>
  <c r="AK197" i="2" s="1"/>
  <c r="AL197" i="2" s="1"/>
  <c r="AM197" i="2" s="1"/>
  <c r="BF110" i="2"/>
  <c r="BG110" i="2" s="1"/>
  <c r="BH110" i="2" s="1"/>
  <c r="BE111" i="2"/>
  <c r="BS109" i="2"/>
  <c r="FE199" i="2" l="1"/>
  <c r="FF198" i="2"/>
  <c r="FG198" i="2" s="1"/>
  <c r="FH198" i="2" s="1"/>
  <c r="FI198" i="2" s="1"/>
  <c r="EJ199" i="2"/>
  <c r="EK198" i="2"/>
  <c r="EL198" i="2" s="1"/>
  <c r="EM198" i="2" s="1"/>
  <c r="EN198" i="2" s="1"/>
  <c r="DO199" i="2"/>
  <c r="DP198" i="2"/>
  <c r="DQ198" i="2" s="1"/>
  <c r="DR198" i="2" s="1"/>
  <c r="DS198" i="2" s="1"/>
  <c r="CT199" i="2"/>
  <c r="CU198" i="2"/>
  <c r="CV198" i="2" s="1"/>
  <c r="CW198" i="2" s="1"/>
  <c r="CX198" i="2" s="1"/>
  <c r="BY199" i="2"/>
  <c r="BZ198" i="2"/>
  <c r="CA198" i="2" s="1"/>
  <c r="CB198" i="2" s="1"/>
  <c r="CC198" i="2" s="1"/>
  <c r="N199" i="2"/>
  <c r="O198" i="2"/>
  <c r="P198" i="2" s="1"/>
  <c r="Q198" i="2" s="1"/>
  <c r="R198" i="2" s="1"/>
  <c r="GA198" i="2"/>
  <c r="GB198" i="2" s="1"/>
  <c r="GC198" i="2" s="1"/>
  <c r="GD198" i="2" s="1"/>
  <c r="GV198" i="2"/>
  <c r="GW198" i="2" s="1"/>
  <c r="GX198" i="2" s="1"/>
  <c r="GY198" i="2" s="1"/>
  <c r="AJ198" i="2"/>
  <c r="AK198" i="2" s="1"/>
  <c r="AL198" i="2" s="1"/>
  <c r="AM198" i="2" s="1"/>
  <c r="BF111" i="2"/>
  <c r="BG111" i="2" s="1"/>
  <c r="BH111" i="2" s="1"/>
  <c r="BS110" i="2"/>
  <c r="BE112" i="2"/>
  <c r="FE200" i="2" l="1"/>
  <c r="FF199" i="2"/>
  <c r="FG199" i="2" s="1"/>
  <c r="FH199" i="2" s="1"/>
  <c r="FI199" i="2" s="1"/>
  <c r="EJ200" i="2"/>
  <c r="EK199" i="2"/>
  <c r="EL199" i="2" s="1"/>
  <c r="EM199" i="2" s="1"/>
  <c r="EN199" i="2" s="1"/>
  <c r="DO200" i="2"/>
  <c r="DP199" i="2"/>
  <c r="DQ199" i="2" s="1"/>
  <c r="DR199" i="2" s="1"/>
  <c r="DS199" i="2" s="1"/>
  <c r="CT200" i="2"/>
  <c r="CU199" i="2"/>
  <c r="CV199" i="2" s="1"/>
  <c r="CW199" i="2" s="1"/>
  <c r="CX199" i="2" s="1"/>
  <c r="BY200" i="2"/>
  <c r="BZ199" i="2"/>
  <c r="CA199" i="2" s="1"/>
  <c r="CB199" i="2" s="1"/>
  <c r="CC199" i="2" s="1"/>
  <c r="N200" i="2"/>
  <c r="O199" i="2"/>
  <c r="P199" i="2" s="1"/>
  <c r="Q199" i="2" s="1"/>
  <c r="R199" i="2" s="1"/>
  <c r="GA199" i="2"/>
  <c r="GB199" i="2" s="1"/>
  <c r="GC199" i="2" s="1"/>
  <c r="GD199" i="2" s="1"/>
  <c r="GV199" i="2"/>
  <c r="GW199" i="2" s="1"/>
  <c r="GX199" i="2" s="1"/>
  <c r="GY199" i="2" s="1"/>
  <c r="AJ199" i="2"/>
  <c r="AK199" i="2" s="1"/>
  <c r="AL199" i="2" s="1"/>
  <c r="AM199" i="2" s="1"/>
  <c r="BF112" i="2"/>
  <c r="BG112" i="2" s="1"/>
  <c r="BH112" i="2" s="1"/>
  <c r="BE113" i="2"/>
  <c r="BS111" i="2"/>
  <c r="FE201" i="2" l="1"/>
  <c r="FF200" i="2"/>
  <c r="FG200" i="2" s="1"/>
  <c r="FH200" i="2" s="1"/>
  <c r="FI200" i="2" s="1"/>
  <c r="EJ201" i="2"/>
  <c r="EK200" i="2"/>
  <c r="EL200" i="2" s="1"/>
  <c r="EM200" i="2" s="1"/>
  <c r="EN200" i="2" s="1"/>
  <c r="DO201" i="2"/>
  <c r="DP200" i="2"/>
  <c r="DQ200" i="2" s="1"/>
  <c r="DR200" i="2" s="1"/>
  <c r="DS200" i="2" s="1"/>
  <c r="CT201" i="2"/>
  <c r="CU200" i="2"/>
  <c r="CV200" i="2" s="1"/>
  <c r="CW200" i="2" s="1"/>
  <c r="CX200" i="2" s="1"/>
  <c r="BY201" i="2"/>
  <c r="BZ200" i="2"/>
  <c r="CA200" i="2" s="1"/>
  <c r="CB200" i="2" s="1"/>
  <c r="CC200" i="2" s="1"/>
  <c r="N201" i="2"/>
  <c r="O200" i="2"/>
  <c r="P200" i="2" s="1"/>
  <c r="Q200" i="2" s="1"/>
  <c r="R200" i="2" s="1"/>
  <c r="GA200" i="2"/>
  <c r="GB200" i="2" s="1"/>
  <c r="GC200" i="2" s="1"/>
  <c r="GD200" i="2" s="1"/>
  <c r="GV200" i="2"/>
  <c r="GW200" i="2" s="1"/>
  <c r="GX200" i="2" s="1"/>
  <c r="GY200" i="2" s="1"/>
  <c r="AJ200" i="2"/>
  <c r="AK200" i="2" s="1"/>
  <c r="AL200" i="2" s="1"/>
  <c r="AM200" i="2" s="1"/>
  <c r="BF113" i="2"/>
  <c r="BG113" i="2" s="1"/>
  <c r="BH113" i="2" s="1"/>
  <c r="BS112" i="2"/>
  <c r="BE114" i="2"/>
  <c r="FE202" i="2" l="1"/>
  <c r="FF201" i="2"/>
  <c r="FG201" i="2" s="1"/>
  <c r="FH201" i="2" s="1"/>
  <c r="FI201" i="2" s="1"/>
  <c r="EJ202" i="2"/>
  <c r="EK201" i="2"/>
  <c r="EL201" i="2" s="1"/>
  <c r="EM201" i="2" s="1"/>
  <c r="EN201" i="2" s="1"/>
  <c r="DO202" i="2"/>
  <c r="DP201" i="2"/>
  <c r="DQ201" i="2" s="1"/>
  <c r="DR201" i="2" s="1"/>
  <c r="DS201" i="2" s="1"/>
  <c r="CT202" i="2"/>
  <c r="CU201" i="2"/>
  <c r="CV201" i="2" s="1"/>
  <c r="CW201" i="2" s="1"/>
  <c r="CX201" i="2" s="1"/>
  <c r="BY202" i="2"/>
  <c r="BZ201" i="2"/>
  <c r="CA201" i="2" s="1"/>
  <c r="CB201" i="2" s="1"/>
  <c r="CC201" i="2" s="1"/>
  <c r="N202" i="2"/>
  <c r="O201" i="2"/>
  <c r="P201" i="2" s="1"/>
  <c r="Q201" i="2" s="1"/>
  <c r="R201" i="2" s="1"/>
  <c r="GA201" i="2"/>
  <c r="GB201" i="2" s="1"/>
  <c r="GC201" i="2" s="1"/>
  <c r="GD201" i="2" s="1"/>
  <c r="GV201" i="2"/>
  <c r="GW201" i="2" s="1"/>
  <c r="GX201" i="2" s="1"/>
  <c r="GY201" i="2" s="1"/>
  <c r="AJ201" i="2"/>
  <c r="AK201" i="2" s="1"/>
  <c r="AL201" i="2" s="1"/>
  <c r="AM201" i="2" s="1"/>
  <c r="BF114" i="2"/>
  <c r="BG114" i="2" s="1"/>
  <c r="BH114" i="2" s="1"/>
  <c r="BE115" i="2"/>
  <c r="BS113" i="2"/>
  <c r="FE203" i="2" l="1"/>
  <c r="FF203" i="2" s="1"/>
  <c r="FG203" i="2" s="1"/>
  <c r="FH203" i="2" s="1"/>
  <c r="FI203" i="2" s="1"/>
  <c r="FF202" i="2"/>
  <c r="FG202" i="2" s="1"/>
  <c r="FH202" i="2" s="1"/>
  <c r="FI202" i="2" s="1"/>
  <c r="EJ203" i="2"/>
  <c r="EK203" i="2" s="1"/>
  <c r="EL203" i="2" s="1"/>
  <c r="EM203" i="2" s="1"/>
  <c r="EN203" i="2" s="1"/>
  <c r="EK202" i="2"/>
  <c r="EL202" i="2" s="1"/>
  <c r="EM202" i="2" s="1"/>
  <c r="EN202" i="2" s="1"/>
  <c r="DO203" i="2"/>
  <c r="DP203" i="2" s="1"/>
  <c r="DQ203" i="2" s="1"/>
  <c r="DR203" i="2" s="1"/>
  <c r="DS203" i="2" s="1"/>
  <c r="DP202" i="2"/>
  <c r="DQ202" i="2" s="1"/>
  <c r="DR202" i="2" s="1"/>
  <c r="DS202" i="2" s="1"/>
  <c r="CT203" i="2"/>
  <c r="CU203" i="2" s="1"/>
  <c r="CV203" i="2" s="1"/>
  <c r="CW203" i="2" s="1"/>
  <c r="CX203" i="2" s="1"/>
  <c r="CU202" i="2"/>
  <c r="CV202" i="2" s="1"/>
  <c r="CW202" i="2" s="1"/>
  <c r="CX202" i="2" s="1"/>
  <c r="BY203" i="2"/>
  <c r="BZ203" i="2" s="1"/>
  <c r="CA203" i="2" s="1"/>
  <c r="CB203" i="2" s="1"/>
  <c r="CC203" i="2" s="1"/>
  <c r="BZ202" i="2"/>
  <c r="CA202" i="2" s="1"/>
  <c r="CB202" i="2" s="1"/>
  <c r="CC202" i="2" s="1"/>
  <c r="N203" i="2"/>
  <c r="O203" i="2" s="1"/>
  <c r="P203" i="2" s="1"/>
  <c r="Q203" i="2" s="1"/>
  <c r="R203" i="2" s="1"/>
  <c r="O202" i="2"/>
  <c r="P202" i="2" s="1"/>
  <c r="Q202" i="2" s="1"/>
  <c r="R202" i="2" s="1"/>
  <c r="GA202" i="2"/>
  <c r="GB202" i="2" s="1"/>
  <c r="GC202" i="2" s="1"/>
  <c r="GD202" i="2" s="1"/>
  <c r="GA203" i="2"/>
  <c r="GB203" i="2" s="1"/>
  <c r="GC203" i="2" s="1"/>
  <c r="GD203" i="2" s="1"/>
  <c r="GV203" i="2"/>
  <c r="GW203" i="2" s="1"/>
  <c r="GX203" i="2" s="1"/>
  <c r="GY203" i="2" s="1"/>
  <c r="GV202" i="2"/>
  <c r="GW202" i="2" s="1"/>
  <c r="GX202" i="2" s="1"/>
  <c r="GY202" i="2" s="1"/>
  <c r="AJ202" i="2"/>
  <c r="AK202" i="2" s="1"/>
  <c r="AL202" i="2" s="1"/>
  <c r="AM202" i="2" s="1"/>
  <c r="AJ203" i="2"/>
  <c r="AK203" i="2" s="1"/>
  <c r="AL203" i="2" s="1"/>
  <c r="AM203" i="2" s="1"/>
  <c r="BF115" i="2"/>
  <c r="BG115" i="2" s="1"/>
  <c r="BH115" i="2" s="1"/>
  <c r="BS114" i="2"/>
  <c r="BE116" i="2"/>
  <c r="BF116" i="2" l="1"/>
  <c r="BG116" i="2" s="1"/>
  <c r="BH116" i="2" s="1"/>
  <c r="BE117" i="2"/>
  <c r="BS115" i="2"/>
  <c r="BF117" i="2" l="1"/>
  <c r="BG117" i="2" s="1"/>
  <c r="BH117" i="2" s="1"/>
  <c r="BS116" i="2"/>
  <c r="BE118" i="2"/>
  <c r="BF118" i="2" l="1"/>
  <c r="BG118" i="2" s="1"/>
  <c r="BH118" i="2" s="1"/>
  <c r="BE119" i="2"/>
  <c r="BS117" i="2"/>
  <c r="BF119" i="2" l="1"/>
  <c r="BG119" i="2" s="1"/>
  <c r="BH119" i="2" s="1"/>
  <c r="BS118" i="2"/>
  <c r="BE120" i="2"/>
  <c r="BF120" i="2" l="1"/>
  <c r="BG120" i="2" s="1"/>
  <c r="BH120" i="2" s="1"/>
  <c r="BE121" i="2"/>
  <c r="BS119" i="2"/>
  <c r="BF121" i="2" l="1"/>
  <c r="BG121" i="2" s="1"/>
  <c r="BH121" i="2" s="1"/>
  <c r="BS120" i="2"/>
  <c r="BE122" i="2"/>
  <c r="BF122" i="2" l="1"/>
  <c r="BG122" i="2" s="1"/>
  <c r="BH122" i="2" s="1"/>
  <c r="BE123" i="2"/>
  <c r="BS121" i="2"/>
  <c r="BF123" i="2" l="1"/>
  <c r="BG123" i="2" s="1"/>
  <c r="BH123" i="2" s="1"/>
  <c r="BS122" i="2"/>
  <c r="BE124" i="2"/>
  <c r="BF124" i="2" l="1"/>
  <c r="BG124" i="2" s="1"/>
  <c r="BH124" i="2" s="1"/>
  <c r="BS123" i="2"/>
  <c r="BE125" i="2"/>
  <c r="BF125" i="2" l="1"/>
  <c r="BG125" i="2" s="1"/>
  <c r="BH125" i="2" s="1"/>
  <c r="BE126" i="2"/>
  <c r="BS124" i="2"/>
  <c r="BF126" i="2" l="1"/>
  <c r="BG126" i="2" s="1"/>
  <c r="BH126" i="2" s="1"/>
  <c r="BE127" i="2"/>
  <c r="BS125" i="2"/>
  <c r="BF127" i="2" l="1"/>
  <c r="BG127" i="2" s="1"/>
  <c r="BH127" i="2" s="1"/>
  <c r="BS126" i="2"/>
  <c r="BE128" i="2"/>
  <c r="BF128" i="2" l="1"/>
  <c r="BG128" i="2" s="1"/>
  <c r="BH128" i="2" s="1"/>
  <c r="BS127" i="2"/>
  <c r="BE129" i="2"/>
  <c r="BF129" i="2" l="1"/>
  <c r="BG129" i="2" s="1"/>
  <c r="BH129" i="2" s="1"/>
  <c r="BE130" i="2"/>
  <c r="BS128" i="2"/>
  <c r="BF130" i="2" l="1"/>
  <c r="BG130" i="2" s="1"/>
  <c r="BH130" i="2" s="1"/>
  <c r="BE131" i="2"/>
  <c r="BS129" i="2"/>
  <c r="BF131" i="2" l="1"/>
  <c r="BG131" i="2" s="1"/>
  <c r="BH131" i="2" s="1"/>
  <c r="BS130" i="2"/>
  <c r="BE132" i="2"/>
  <c r="BF132" i="2" l="1"/>
  <c r="BG132" i="2" s="1"/>
  <c r="BH132" i="2" s="1"/>
  <c r="BS131" i="2"/>
  <c r="BE133" i="2"/>
  <c r="BF133" i="2" l="1"/>
  <c r="BG133" i="2" s="1"/>
  <c r="BH133" i="2" s="1"/>
  <c r="BE134" i="2"/>
  <c r="BS132" i="2"/>
  <c r="BF134" i="2" l="1"/>
  <c r="BG134" i="2" s="1"/>
  <c r="BH134" i="2" s="1"/>
  <c r="BE135" i="2"/>
  <c r="BS133" i="2"/>
  <c r="BF135" i="2" l="1"/>
  <c r="BG135" i="2" s="1"/>
  <c r="BH135" i="2" s="1"/>
  <c r="BS134" i="2"/>
  <c r="BE136" i="2"/>
  <c r="BF136" i="2" l="1"/>
  <c r="BG136" i="2" s="1"/>
  <c r="BH136" i="2" s="1"/>
  <c r="BS135" i="2"/>
  <c r="BE137" i="2"/>
  <c r="BF137" i="2" l="1"/>
  <c r="BG137" i="2" s="1"/>
  <c r="BH137" i="2" s="1"/>
  <c r="BE138" i="2"/>
  <c r="BS136" i="2"/>
  <c r="BS137" i="2" l="1"/>
  <c r="BF138" i="2"/>
  <c r="BG138" i="2" s="1"/>
  <c r="BH138" i="2" s="1"/>
  <c r="BE139" i="2"/>
  <c r="BF139" i="2" l="1"/>
  <c r="BG139" i="2" s="1"/>
  <c r="BH139" i="2" s="1"/>
  <c r="BE140" i="2"/>
  <c r="BS138" i="2"/>
  <c r="BF140" i="2" l="1"/>
  <c r="BG140" i="2" s="1"/>
  <c r="BH140" i="2" s="1"/>
  <c r="BE141" i="2"/>
  <c r="BS139" i="2"/>
  <c r="BF141" i="2" l="1"/>
  <c r="BG141" i="2" s="1"/>
  <c r="BH141" i="2" s="1"/>
  <c r="BS140" i="2"/>
  <c r="BE142" i="2"/>
  <c r="BF142" i="2" l="1"/>
  <c r="BG142" i="2" s="1"/>
  <c r="BH142" i="2" s="1"/>
  <c r="BS141" i="2"/>
  <c r="BE143" i="2"/>
  <c r="BF143" i="2" l="1"/>
  <c r="BG143" i="2" s="1"/>
  <c r="BH143" i="2" s="1"/>
  <c r="BE144" i="2"/>
  <c r="BS142" i="2"/>
  <c r="BF144" i="2" l="1"/>
  <c r="BG144" i="2" s="1"/>
  <c r="BH144" i="2" s="1"/>
  <c r="BE145" i="2"/>
  <c r="BS143" i="2"/>
  <c r="BF145" i="2" l="1"/>
  <c r="BG145" i="2" s="1"/>
  <c r="BH145" i="2" s="1"/>
  <c r="BS144" i="2"/>
  <c r="BE146" i="2"/>
  <c r="BF146" i="2" l="1"/>
  <c r="BG146" i="2" s="1"/>
  <c r="BH146" i="2" s="1"/>
  <c r="BS145" i="2"/>
  <c r="BE147" i="2"/>
  <c r="BF147" i="2" l="1"/>
  <c r="BG147" i="2" s="1"/>
  <c r="BH147" i="2" s="1"/>
  <c r="BE148" i="2"/>
  <c r="BS146" i="2"/>
  <c r="BF148" i="2" l="1"/>
  <c r="BG148" i="2" s="1"/>
  <c r="BH148" i="2" s="1"/>
  <c r="BE149" i="2"/>
  <c r="BS147" i="2"/>
  <c r="BF149" i="2" l="1"/>
  <c r="BG149" i="2" s="1"/>
  <c r="BH149" i="2" s="1"/>
  <c r="BS148" i="2"/>
  <c r="BE150" i="2"/>
  <c r="BF150" i="2" l="1"/>
  <c r="BG150" i="2" s="1"/>
  <c r="BH150" i="2" s="1"/>
  <c r="BS149" i="2"/>
  <c r="BE151" i="2"/>
  <c r="BF151" i="2" l="1"/>
  <c r="BG151" i="2" s="1"/>
  <c r="BH151" i="2" s="1"/>
  <c r="BE152" i="2"/>
  <c r="BE153" i="2"/>
  <c r="BS150" i="2"/>
  <c r="BF152" i="2" l="1"/>
  <c r="BG152" i="2" s="1"/>
  <c r="BH152" i="2" s="1"/>
  <c r="BF153" i="2"/>
  <c r="BG153" i="2" s="1"/>
  <c r="BH153" i="2" s="1"/>
  <c r="BS151" i="2"/>
  <c r="BS152" i="2" l="1"/>
  <c r="BS153" i="2" l="1"/>
  <c r="P4" i="2"/>
  <c r="Q4" i="2" s="1"/>
  <c r="R4" i="2" s="1"/>
  <c r="S3" i="2" l="1"/>
  <c r="S7" i="2"/>
  <c r="S155" i="2"/>
  <c r="S28" i="2"/>
  <c r="S185" i="2"/>
  <c r="S82" i="2"/>
  <c r="S59" i="2"/>
  <c r="S161" i="2"/>
  <c r="S165" i="2"/>
  <c r="S34" i="2"/>
  <c r="S110" i="2"/>
  <c r="S65" i="2"/>
  <c r="S143" i="2"/>
  <c r="S183" i="2"/>
  <c r="S73" i="2"/>
  <c r="S198" i="2"/>
  <c r="S6" i="2"/>
  <c r="S109" i="2"/>
  <c r="S94" i="2"/>
  <c r="S37" i="2"/>
  <c r="S146" i="2"/>
  <c r="S55" i="2"/>
  <c r="S176" i="2"/>
  <c r="S128" i="2"/>
  <c r="S199" i="2"/>
  <c r="S74" i="2"/>
  <c r="S203" i="2"/>
  <c r="S121" i="2"/>
  <c r="S187" i="2"/>
  <c r="S158" i="2"/>
  <c r="S141" i="2"/>
  <c r="S84" i="2"/>
  <c r="S150" i="2"/>
  <c r="S132" i="2"/>
  <c r="S142" i="2"/>
  <c r="S114" i="2"/>
  <c r="S104" i="2"/>
  <c r="S171" i="2"/>
  <c r="S40" i="2"/>
  <c r="S76" i="2"/>
  <c r="S70" i="2"/>
  <c r="S111" i="2"/>
  <c r="S153" i="2"/>
  <c r="S147" i="2"/>
  <c r="S60" i="2"/>
  <c r="S202" i="2"/>
  <c r="S8" i="2"/>
  <c r="S134" i="2"/>
  <c r="S24" i="2"/>
  <c r="S75" i="2"/>
  <c r="S129" i="2"/>
  <c r="S31" i="2"/>
  <c r="S115" i="2"/>
  <c r="S184" i="2"/>
  <c r="S52" i="2"/>
  <c r="S138" i="2"/>
  <c r="S9" i="2"/>
  <c r="S46" i="2"/>
  <c r="S44" i="2"/>
  <c r="S156" i="2"/>
  <c r="S95" i="2"/>
  <c r="S57" i="2"/>
  <c r="S26" i="2"/>
  <c r="S140" i="2"/>
  <c r="S195" i="2"/>
  <c r="S169" i="2"/>
  <c r="S5" i="2"/>
  <c r="S21" i="2"/>
  <c r="S174" i="2"/>
  <c r="S63" i="2"/>
  <c r="S18" i="2"/>
  <c r="S163" i="2"/>
  <c r="S181" i="2"/>
  <c r="S53" i="2"/>
  <c r="S154" i="2"/>
  <c r="S33" i="2"/>
  <c r="S69" i="2"/>
  <c r="S71" i="2"/>
  <c r="S47" i="2"/>
  <c r="S12" i="2"/>
  <c r="S78" i="2"/>
  <c r="S14" i="2"/>
  <c r="S144" i="2"/>
  <c r="S32" i="2"/>
  <c r="S103" i="2"/>
  <c r="S125" i="2"/>
  <c r="S50" i="2"/>
  <c r="S98" i="2"/>
  <c r="S193" i="2"/>
  <c r="S148" i="2"/>
  <c r="S101" i="2"/>
  <c r="S182" i="2"/>
  <c r="S127" i="2"/>
  <c r="S81" i="2"/>
  <c r="S64" i="2"/>
  <c r="S29" i="2"/>
  <c r="S139" i="2"/>
  <c r="S83" i="2"/>
  <c r="S11" i="2"/>
  <c r="S88" i="2"/>
  <c r="S58" i="2"/>
  <c r="S92" i="2"/>
  <c r="S61" i="2"/>
  <c r="S131" i="2"/>
  <c r="S170" i="2"/>
  <c r="S4" i="2"/>
  <c r="S79" i="2"/>
  <c r="S160" i="2"/>
  <c r="S113" i="2"/>
  <c r="S168" i="2"/>
  <c r="S96" i="2"/>
  <c r="S137" i="2"/>
  <c r="S62" i="2"/>
  <c r="S164" i="2"/>
  <c r="S191" i="2"/>
  <c r="S27" i="2"/>
  <c r="S188" i="2"/>
  <c r="S105" i="2"/>
  <c r="S186" i="2"/>
  <c r="S93" i="2"/>
  <c r="S56" i="2"/>
  <c r="S10" i="2"/>
  <c r="S51" i="2"/>
  <c r="S35" i="2"/>
  <c r="S19" i="2"/>
  <c r="S20" i="2"/>
  <c r="S173" i="2"/>
  <c r="S68" i="2"/>
  <c r="S178" i="2"/>
  <c r="S99" i="2"/>
  <c r="S189" i="2"/>
  <c r="S200" i="2"/>
  <c r="S123" i="2"/>
  <c r="S54" i="2"/>
  <c r="S100" i="2"/>
  <c r="S122" i="2"/>
  <c r="S190" i="2"/>
  <c r="S15" i="2"/>
  <c r="S133" i="2"/>
  <c r="S25" i="2"/>
  <c r="S116" i="2"/>
  <c r="S91" i="2"/>
  <c r="S16" i="2"/>
  <c r="S119" i="2"/>
  <c r="S97" i="2"/>
  <c r="S30" i="2"/>
  <c r="S87" i="2"/>
  <c r="S166" i="2"/>
  <c r="S145" i="2"/>
  <c r="S90" i="2"/>
  <c r="S120" i="2"/>
  <c r="S118" i="2"/>
  <c r="S66" i="2"/>
  <c r="S196" i="2"/>
  <c r="S117" i="2"/>
  <c r="S67" i="2"/>
  <c r="S180" i="2"/>
  <c r="S39" i="2"/>
  <c r="S112" i="2"/>
  <c r="S106" i="2"/>
  <c r="S124" i="2"/>
  <c r="S36" i="2"/>
  <c r="S77" i="2"/>
  <c r="S89" i="2"/>
  <c r="S48" i="2"/>
  <c r="S177" i="2"/>
  <c r="S136" i="2"/>
  <c r="S194" i="2"/>
  <c r="S38" i="2"/>
  <c r="S41" i="2"/>
  <c r="S107" i="2"/>
  <c r="S80" i="2"/>
  <c r="S172" i="2"/>
  <c r="S45" i="2"/>
  <c r="S102" i="2"/>
  <c r="S197" i="2"/>
  <c r="S152" i="2"/>
  <c r="S43" i="2"/>
  <c r="S149" i="2"/>
  <c r="S192" i="2"/>
  <c r="S175" i="2"/>
  <c r="S126" i="2"/>
  <c r="S85" i="2"/>
  <c r="S157" i="2"/>
  <c r="S22" i="2"/>
  <c r="S108" i="2"/>
  <c r="S49" i="2"/>
  <c r="S72" i="2"/>
  <c r="S130" i="2"/>
  <c r="S86" i="2"/>
  <c r="S13" i="2"/>
  <c r="S42" i="2"/>
  <c r="S23" i="2"/>
  <c r="S201" i="2"/>
  <c r="S151" i="2"/>
  <c r="S135" i="2"/>
  <c r="S167" i="2"/>
  <c r="S179" i="2"/>
  <c r="S162" i="2"/>
  <c r="S17" i="2"/>
  <c r="S159" i="2"/>
  <c r="BS154" i="2"/>
  <c r="BS155" i="2" l="1"/>
  <c r="BS156" i="2" l="1"/>
  <c r="BS157" i="2" l="1"/>
  <c r="D6" i="4"/>
  <c r="BS158" i="2" l="1"/>
  <c r="BS159" i="2" l="1"/>
  <c r="C6" i="4"/>
  <c r="E6" i="4" s="1"/>
  <c r="F6" i="4" s="1"/>
  <c r="BS160" i="2" l="1"/>
  <c r="G6" i="4"/>
  <c r="L6" i="4" s="1"/>
  <c r="F16" i="4"/>
  <c r="BS161" i="2" l="1"/>
  <c r="G16" i="4"/>
  <c r="L16" i="4"/>
  <c r="BS162" i="2" l="1"/>
  <c r="BS163" i="2" l="1"/>
  <c r="BS164" i="2" l="1"/>
  <c r="BS165" i="2" l="1"/>
  <c r="BS166" i="2" l="1"/>
  <c r="BS167" i="2" l="1"/>
  <c r="BS168" i="2" l="1"/>
  <c r="BS169" i="2" l="1"/>
  <c r="BS170" i="2" l="1"/>
  <c r="BS171" i="2" l="1"/>
  <c r="BS172" i="2" l="1"/>
  <c r="BS173" i="2" l="1"/>
  <c r="BS174" i="2" l="1"/>
  <c r="BS175" i="2" l="1"/>
  <c r="BS176" i="2" l="1"/>
  <c r="BS177" i="2" l="1"/>
  <c r="BS178" i="2" l="1"/>
  <c r="BS179" i="2" l="1"/>
  <c r="BS180" i="2" l="1"/>
  <c r="BS181" i="2" l="1"/>
  <c r="BS182" i="2" l="1"/>
  <c r="BS183" i="2" l="1"/>
  <c r="BS184" i="2" l="1"/>
  <c r="BS185" i="2" l="1"/>
  <c r="BS186" i="2" l="1"/>
  <c r="BS187" i="2" l="1"/>
  <c r="BS188" i="2" l="1"/>
  <c r="BS189" i="2" l="1"/>
  <c r="BS190" i="2" l="1"/>
  <c r="BS191" i="2" l="1"/>
  <c r="BS192" i="2" l="1"/>
  <c r="BS193" i="2" l="1"/>
  <c r="BS194" i="2" l="1"/>
  <c r="BS195" i="2" l="1"/>
  <c r="BS196" i="2" l="1"/>
  <c r="BS197" i="2" l="1"/>
  <c r="BS198" i="2" l="1"/>
  <c r="BS199" i="2" l="1"/>
  <c r="BS200" i="2" l="1"/>
  <c r="BS201" i="2" l="1"/>
  <c r="BS202" i="2" l="1"/>
  <c r="BS203" i="2"/>
</calcChain>
</file>

<file path=xl/sharedStrings.xml><?xml version="1.0" encoding="utf-8"?>
<sst xmlns="http://schemas.openxmlformats.org/spreadsheetml/2006/main" count="1180" uniqueCount="326">
  <si>
    <t>Essence</t>
  </si>
  <si>
    <t>Alisier torminal</t>
  </si>
  <si>
    <t>Arbousier</t>
  </si>
  <si>
    <t>Aulne vert</t>
  </si>
  <si>
    <t>Aulne glutineux</t>
  </si>
  <si>
    <t>Bouleau verruqueux</t>
  </si>
  <si>
    <t>Charme</t>
  </si>
  <si>
    <t>Charme-houblon</t>
  </si>
  <si>
    <t>Châtaignier</t>
  </si>
  <si>
    <t>Chêne chevelu</t>
  </si>
  <si>
    <t>Chêne-liège</t>
  </si>
  <si>
    <t>Chêne pédonculé</t>
  </si>
  <si>
    <t>Chêne pubescent</t>
  </si>
  <si>
    <t>Chêne rouge d'Amérique</t>
  </si>
  <si>
    <t>Chêne sessile</t>
  </si>
  <si>
    <t>Chêne tauzin</t>
  </si>
  <si>
    <t>Chêne vert</t>
  </si>
  <si>
    <t>Cyprès de Provence</t>
  </si>
  <si>
    <t>Douglas</t>
  </si>
  <si>
    <t>Epicéa commun</t>
  </si>
  <si>
    <t>Epicéa de Sitka</t>
  </si>
  <si>
    <t>Erable champêtre</t>
  </si>
  <si>
    <t>Erable plane</t>
  </si>
  <si>
    <t>Erable sycomore</t>
  </si>
  <si>
    <t>Eucalyptus</t>
  </si>
  <si>
    <t>Hêtre</t>
  </si>
  <si>
    <t>Frêne</t>
  </si>
  <si>
    <t>Mélèze d'Europe</t>
  </si>
  <si>
    <t>Mélèze du Japon</t>
  </si>
  <si>
    <t>Merisier</t>
  </si>
  <si>
    <t>Noyer</t>
  </si>
  <si>
    <t>Orme</t>
  </si>
  <si>
    <t>Peuplier non cultivé</t>
  </si>
  <si>
    <t>Pin cembro</t>
  </si>
  <si>
    <t>Pin à crochets</t>
  </si>
  <si>
    <t>Pin laricio</t>
  </si>
  <si>
    <t>Pin maritime</t>
  </si>
  <si>
    <t>Pin mugho</t>
  </si>
  <si>
    <t>Pin noir d'Autriche</t>
  </si>
  <si>
    <t>Pin pignon</t>
  </si>
  <si>
    <t>Pin de Salzmann</t>
  </si>
  <si>
    <t>Pin sylvestre</t>
  </si>
  <si>
    <t>Pin de Weymouth</t>
  </si>
  <si>
    <t>Platane</t>
  </si>
  <si>
    <t>Robinier faux-acacia</t>
  </si>
  <si>
    <t>Sapin de Nordmann</t>
  </si>
  <si>
    <t>Sapin pectiné</t>
  </si>
  <si>
    <t>Sapin méditerranéen</t>
  </si>
  <si>
    <t>Sapin de Vancouver</t>
  </si>
  <si>
    <t>Saule</t>
  </si>
  <si>
    <t>Tilleul</t>
  </si>
  <si>
    <t>Tremble</t>
  </si>
  <si>
    <t>Cormier</t>
  </si>
  <si>
    <t>Sorbus torminalis</t>
  </si>
  <si>
    <t>Arbutus unedo</t>
  </si>
  <si>
    <t>Alnus glutinosa</t>
  </si>
  <si>
    <t>Betula pendula</t>
  </si>
  <si>
    <t>Cedrus atlantica</t>
  </si>
  <si>
    <t>Carpinus betulus</t>
  </si>
  <si>
    <t>Ostrya carpinifolia</t>
  </si>
  <si>
    <t>Castanea sativa</t>
  </si>
  <si>
    <t>Quercus cerris</t>
  </si>
  <si>
    <t>Quercus suber</t>
  </si>
  <si>
    <t>Quercus robur</t>
  </si>
  <si>
    <t>Quercus pubescens</t>
  </si>
  <si>
    <t>Quercus rubra</t>
  </si>
  <si>
    <t>Quercus petraea</t>
  </si>
  <si>
    <t>Quercus pyrenaica</t>
  </si>
  <si>
    <t>Quercus ilex</t>
  </si>
  <si>
    <t>Sorbus domestica</t>
  </si>
  <si>
    <t>Cupressus sempervirens</t>
  </si>
  <si>
    <t>Pseudotsuga menziesii</t>
  </si>
  <si>
    <t>Picea abies</t>
  </si>
  <si>
    <t>Picea sitchensis</t>
  </si>
  <si>
    <t>Acer campestre</t>
  </si>
  <si>
    <t>Acer platanoides</t>
  </si>
  <si>
    <t>Acer pseudoplatanus</t>
  </si>
  <si>
    <t>Fagus sylvatica</t>
  </si>
  <si>
    <t>Fraxinus excelsior</t>
  </si>
  <si>
    <t>Larix decidua</t>
  </si>
  <si>
    <t>Larix kaempferi</t>
  </si>
  <si>
    <t>Mélèze hybride</t>
  </si>
  <si>
    <t>Prunus avium</t>
  </si>
  <si>
    <t>Pinus halepensis</t>
  </si>
  <si>
    <t>Pinus laricio</t>
  </si>
  <si>
    <t>Pinus pinaster</t>
  </si>
  <si>
    <t>Pinus nigra</t>
  </si>
  <si>
    <t>Pinus nigra subsp. Salzmannii</t>
  </si>
  <si>
    <t>Pinus sylvestris</t>
  </si>
  <si>
    <t>Robinia pseudacacia</t>
  </si>
  <si>
    <t>Pin d'Alep</t>
  </si>
  <si>
    <t>Populus tremula</t>
  </si>
  <si>
    <t>Thuya géant</t>
  </si>
  <si>
    <t>Thuja plicata</t>
  </si>
  <si>
    <t>Abies grandis</t>
  </si>
  <si>
    <t>Abies alba</t>
  </si>
  <si>
    <t>Abies nordmanniana</t>
  </si>
  <si>
    <t>Alnus viridis</t>
  </si>
  <si>
    <t>Aulne à feuilles en cœur</t>
  </si>
  <si>
    <t>Alnus cordata</t>
  </si>
  <si>
    <t>Source</t>
  </si>
  <si>
    <t>Celtis australis</t>
  </si>
  <si>
    <t>Micocoulier de Provence</t>
  </si>
  <si>
    <t>Mémoire de Léopold Baquet, 2014</t>
  </si>
  <si>
    <t>Juglans sp.</t>
  </si>
  <si>
    <t>Ulmus sp.</t>
  </si>
  <si>
    <t>Nom scientifique</t>
  </si>
  <si>
    <t>Peuplier A4A</t>
  </si>
  <si>
    <t>Peuplier Alcinde</t>
  </si>
  <si>
    <t>Peuplier Brenta</t>
  </si>
  <si>
    <t>Peuplier Dvena</t>
  </si>
  <si>
    <t>Peuplier I-214</t>
  </si>
  <si>
    <t>Peuplier Koster</t>
  </si>
  <si>
    <t>Peuplier Lambro</t>
  </si>
  <si>
    <t>Peuplier Lena</t>
  </si>
  <si>
    <t>Peuplier Mella</t>
  </si>
  <si>
    <t>Peuplier Polargo</t>
  </si>
  <si>
    <t>Peuplier Soligo</t>
  </si>
  <si>
    <t>Peuplier Taro</t>
  </si>
  <si>
    <t>Peuplier Trichobel</t>
  </si>
  <si>
    <t>Peuplier Triplo</t>
  </si>
  <si>
    <t>Peuplier Beaupré</t>
  </si>
  <si>
    <t>Peuplier Blanc du Poitou</t>
  </si>
  <si>
    <t>Peuplier Dorskamp</t>
  </si>
  <si>
    <t>Peuplier Flevo</t>
  </si>
  <si>
    <t>Peuplier Fritzi Pauley</t>
  </si>
  <si>
    <t>Peuplier Ghoy</t>
  </si>
  <si>
    <t>Peuplier I-45/51</t>
  </si>
  <si>
    <t>Peuplier Raspalje</t>
  </si>
  <si>
    <t>Peuplier Robusta</t>
  </si>
  <si>
    <t>CNPF, FCBA, Arts et Métiers ParisTech, 2013</t>
  </si>
  <si>
    <t>Leban, Xylodensmap, 2021</t>
  </si>
  <si>
    <t>-</t>
  </si>
  <si>
    <t>Populus sp.</t>
  </si>
  <si>
    <t>Pinus cembra</t>
  </si>
  <si>
    <t>Pinus uncinata</t>
  </si>
  <si>
    <t>Pinus mugo</t>
  </si>
  <si>
    <t>Pinus pinea</t>
  </si>
  <si>
    <t>Pin taeda</t>
  </si>
  <si>
    <t>Pinus strobus</t>
  </si>
  <si>
    <t>Pinus taeda</t>
  </si>
  <si>
    <t>Abies sp.</t>
  </si>
  <si>
    <t>Salix sp.</t>
  </si>
  <si>
    <t>Tilia sp.</t>
  </si>
  <si>
    <r>
      <t>Infradensité 
(tMS/m</t>
    </r>
    <r>
      <rPr>
        <b/>
        <sz val="11"/>
        <color theme="1"/>
        <rFont val="Calibri"/>
        <family val="2"/>
      </rPr>
      <t>³</t>
    </r>
    <r>
      <rPr>
        <b/>
        <sz val="11"/>
        <color theme="1"/>
        <rFont val="Calibri"/>
        <family val="2"/>
        <scheme val="minor"/>
      </rPr>
      <t>)</t>
    </r>
  </si>
  <si>
    <t>Facteur 
d'expansion 
branches</t>
  </si>
  <si>
    <t>Rendement 
sciages</t>
  </si>
  <si>
    <r>
      <t>Coefficient 
de substitution 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/m</t>
    </r>
    <r>
      <rPr>
        <b/>
        <sz val="11"/>
        <color theme="1"/>
        <rFont val="Calibri"/>
        <family val="2"/>
      </rPr>
      <t>³</t>
    </r>
    <r>
      <rPr>
        <b/>
        <sz val="11"/>
        <color theme="1"/>
        <rFont val="Calibri"/>
        <family val="2"/>
        <scheme val="minor"/>
      </rPr>
      <t>)</t>
    </r>
  </si>
  <si>
    <t>Conifères (moyenne)</t>
  </si>
  <si>
    <t>Feuillus (moyenne)</t>
  </si>
  <si>
    <t>Assimilation à pin noir</t>
  </si>
  <si>
    <t>Assimilation à pin maritime</t>
  </si>
  <si>
    <t>FCBA, 2020</t>
  </si>
  <si>
    <t>Assimilation à épicéa</t>
  </si>
  <si>
    <t>Cryptomère du Japon</t>
  </si>
  <si>
    <t>Cryptomeria japonica</t>
  </si>
  <si>
    <t>Séquoia toujours vert</t>
  </si>
  <si>
    <t>Sequoia sempervirens</t>
  </si>
  <si>
    <t>Séquoia géant</t>
  </si>
  <si>
    <t>Sequoiadendron giganteum</t>
  </si>
  <si>
    <t>FCBA, 2013</t>
  </si>
  <si>
    <t>IGN, d'après Dupouey 2002</t>
  </si>
  <si>
    <t>Platanus sp.</t>
  </si>
  <si>
    <t>Larix eurolepsis</t>
  </si>
  <si>
    <t>Cèdre de l'Atlas</t>
  </si>
  <si>
    <t>Essence 1</t>
  </si>
  <si>
    <t>Essence 2</t>
  </si>
  <si>
    <t>Essence 3</t>
  </si>
  <si>
    <t>Essence 4</t>
  </si>
  <si>
    <t>Essence 5</t>
  </si>
  <si>
    <t>Essence 6</t>
  </si>
  <si>
    <t>Essence 7</t>
  </si>
  <si>
    <t>Essence 8</t>
  </si>
  <si>
    <t>Essence 9</t>
  </si>
  <si>
    <t>Essence 10</t>
  </si>
  <si>
    <t>TOTAL</t>
  </si>
  <si>
    <t>Scénario de référence</t>
  </si>
  <si>
    <t>Poursuite de la culture agricole</t>
  </si>
  <si>
    <t>Année</t>
  </si>
  <si>
    <t>Choisir dans le menu déroulant</t>
  </si>
  <si>
    <t>Age</t>
  </si>
  <si>
    <t>% panneaux</t>
  </si>
  <si>
    <t>% BE</t>
  </si>
  <si>
    <t>% sciages</t>
  </si>
  <si>
    <t>% papier</t>
  </si>
  <si>
    <t>AVANT ECLAIRCIE</t>
  </si>
  <si>
    <t>ECLAIRCIE</t>
  </si>
  <si>
    <t>VENTILATION PRODUITS BOIS</t>
  </si>
  <si>
    <t>Numéro d'éclaircie</t>
  </si>
  <si>
    <r>
      <t>Volume bois fort (m</t>
    </r>
    <r>
      <rPr>
        <b/>
        <sz val="11"/>
        <color theme="1"/>
        <rFont val="Calibri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</si>
  <si>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Seules les cellules en jaune pâle sont à remplir</t>
  </si>
  <si>
    <r>
      <t>SC</t>
    </r>
    <r>
      <rPr>
        <b/>
        <sz val="20"/>
        <color theme="1"/>
        <rFont val="Calibri"/>
        <family val="2"/>
      </rPr>
      <t>É</t>
    </r>
    <r>
      <rPr>
        <b/>
        <sz val="20"/>
        <color theme="1"/>
        <rFont val="Calibri"/>
        <family val="2"/>
        <scheme val="minor"/>
      </rPr>
      <t>NARIO DE RÉFÉRENCE</t>
    </r>
  </si>
  <si>
    <t>SCÉNARIO DE PROJET</t>
  </si>
  <si>
    <t>Volume BF (m³/ha)</t>
  </si>
  <si>
    <t>Biomasse culture
(tC/ha)</t>
  </si>
  <si>
    <t>Biomasse aérienne accrus 
(tMS/ha)</t>
  </si>
  <si>
    <t>Accroissement 
courant 
(m³/ha/an)</t>
  </si>
  <si>
    <t>Volume BF 
linéarisé (m³/ha)</t>
  </si>
  <si>
    <t>Biomasse 
racinaire (tMS/ha)</t>
  </si>
  <si>
    <t>Biomasse 
aérienne 
(tMS/ha)</t>
  </si>
  <si>
    <t>N° coupe</t>
  </si>
  <si>
    <t>Volume BF
éclairci 
(m³/ha)</t>
  </si>
  <si>
    <t>% pâte à papier</t>
  </si>
  <si>
    <t>Stock sciages 
(tCO₂/ha)</t>
  </si>
  <si>
    <t>Stock panneaux 
(tCO₂/ha)</t>
  </si>
  <si>
    <t>Stocks pâte à papier 
(tCO₂/ha)</t>
  </si>
  <si>
    <t>Stock produits 
bois (tCO₂/ha)</t>
  </si>
  <si>
    <t>Essences</t>
  </si>
  <si>
    <t>Culture agricole</t>
  </si>
  <si>
    <t>Prairie</t>
  </si>
  <si>
    <t>Verger ou vigne</t>
  </si>
  <si>
    <t>Récolte d'une forêt dégradée et colonisation par des accrus (hors Méditerranée)</t>
  </si>
  <si>
    <t>Récolte d'une forêt dégradée et colonisation par des accrus en Méditerranée</t>
  </si>
  <si>
    <r>
      <t>Accroissement courant (m</t>
    </r>
    <r>
      <rPr>
        <b/>
        <sz val="11"/>
        <color theme="1"/>
        <rFont val="Calibri"/>
        <family val="2"/>
      </rPr>
      <t>³</t>
    </r>
    <r>
      <rPr>
        <b/>
        <sz val="11"/>
        <color theme="1"/>
        <rFont val="Calibri"/>
        <family val="2"/>
        <scheme val="minor"/>
      </rPr>
      <t>/ha/an)</t>
    </r>
  </si>
  <si>
    <t>Méthode boisement</t>
  </si>
  <si>
    <t>Méthode reconstitution</t>
  </si>
  <si>
    <t>Embroussaillement par colonisation naturelle (hors Méditerranée)</t>
  </si>
  <si>
    <t>Embroussaillement par colonisation naturelle en Méditerranée</t>
  </si>
  <si>
    <t>Rabais 1</t>
  </si>
  <si>
    <t>Risque de non permanence</t>
  </si>
  <si>
    <t>Rabais 2</t>
  </si>
  <si>
    <t>Risque d'incendie</t>
  </si>
  <si>
    <t>Rabais 3</t>
  </si>
  <si>
    <t>Rabais 4</t>
  </si>
  <si>
    <t>Analyse économique (VAN)</t>
  </si>
  <si>
    <t>Classe de fertilité</t>
  </si>
  <si>
    <t>Les essences du projet</t>
  </si>
  <si>
    <t>Les tables de production</t>
  </si>
  <si>
    <t>Stock biomasse 
(tCO₂/ha)</t>
  </si>
  <si>
    <t>Entrer une surface en hectares</t>
  </si>
  <si>
    <t>Vérification</t>
  </si>
  <si>
    <t>La surface du projet</t>
  </si>
  <si>
    <t>Les rabais à appliquer</t>
  </si>
  <si>
    <t>Indiquer 20 % si absence de calcul de VAN, 0 % sinon</t>
  </si>
  <si>
    <t>Indiquer 5 %, 10 %, 15 % selon le risque (cf. méthodes), 0 % sinon</t>
  </si>
  <si>
    <t>Indiquer 10 % si absence de justification de la classe de fertilité, 0 % sinon</t>
  </si>
  <si>
    <t>Rabais Fertilité</t>
  </si>
  <si>
    <t>Rabais incendie</t>
  </si>
  <si>
    <t>Rabais analyse écomique</t>
  </si>
  <si>
    <t>REA forêt avant rabais (tCO₂)</t>
  </si>
  <si>
    <t>REA forêt après rabais (tCO₂)</t>
  </si>
  <si>
    <t>REA produits 
bois avant rabais (tCO₂)</t>
  </si>
  <si>
    <t>REA produits 
bois après rabais (tCO₂)</t>
  </si>
  <si>
    <t>REI substitution avant rabais 
(tCO₂)</t>
  </si>
  <si>
    <t>REI substitution après rabais 
(tCO₂)</t>
  </si>
  <si>
    <t>REE après 
rabais (tCO₂)</t>
  </si>
  <si>
    <t>Prendre les valeurs avant et après rabais dans la dernière ligne du tableau et les reporter 
dans le Document descriptif de projet</t>
  </si>
  <si>
    <t>% pâte à 
papier</t>
  </si>
  <si>
    <t>% pâte 
à papier</t>
  </si>
  <si>
    <t>Surface (ha)</t>
  </si>
  <si>
    <t>Surface 
(ha)</t>
  </si>
  <si>
    <t>Volume bois fort 
prélevé (m³/ha)</t>
  </si>
  <si>
    <t>Recettes</t>
  </si>
  <si>
    <t>Taux d'actualisation</t>
  </si>
  <si>
    <t>Âge de récolte des accrus</t>
  </si>
  <si>
    <t>Prix unitaire (€/m³)</t>
  </si>
  <si>
    <t>Volume bois fort prélevé (m³/ha)</t>
  </si>
  <si>
    <t>Si scénarios 2, 3, 4 ou 5, remplir les cases jaunes</t>
  </si>
  <si>
    <t>Par défaut le calcul économique des recettes nettes du Porteur de projet sera établi sur la durée de révolution la plus courte parmi les essences de projet</t>
  </si>
  <si>
    <t>VAN</t>
  </si>
  <si>
    <t>Si scénario 1, remplir la case jaune</t>
  </si>
  <si>
    <t>VAN scénario de référence</t>
  </si>
  <si>
    <t>VAN (€/ha)</t>
  </si>
  <si>
    <t>VAN (€)</t>
  </si>
  <si>
    <t>VAN scénario de projet</t>
  </si>
  <si>
    <t>Additionnalité économique</t>
  </si>
  <si>
    <t>ΔVAN</t>
  </si>
  <si>
    <t>Reprendre les valeurs du tableau dans le Document descriptif de projet</t>
  </si>
  <si>
    <t>Durée de révolution</t>
  </si>
  <si>
    <t>Proportion</t>
  </si>
  <si>
    <t>Surface de l'essence</t>
  </si>
  <si>
    <r>
      <t>CALCUL DES REA, REI et REE G</t>
    </r>
    <r>
      <rPr>
        <b/>
        <sz val="20"/>
        <color theme="1"/>
        <rFont val="Calibri"/>
        <family val="2"/>
      </rPr>
      <t>É</t>
    </r>
    <r>
      <rPr>
        <b/>
        <sz val="20"/>
        <color theme="1"/>
        <rFont val="Calibri"/>
        <family val="2"/>
        <scheme val="minor"/>
      </rPr>
      <t>NÉRABLES PAR LE PROJET</t>
    </r>
  </si>
  <si>
    <r>
      <t xml:space="preserve">ANALYSE </t>
    </r>
    <r>
      <rPr>
        <b/>
        <sz val="20"/>
        <color theme="1"/>
        <rFont val="Calibri"/>
        <family val="2"/>
      </rPr>
      <t>É</t>
    </r>
    <r>
      <rPr>
        <b/>
        <sz val="20"/>
        <color theme="1"/>
        <rFont val="Calibri"/>
        <family val="2"/>
        <scheme val="minor"/>
      </rPr>
      <t>CONOMIQUE</t>
    </r>
  </si>
  <si>
    <t>→ Si scénario 1 :</t>
  </si>
  <si>
    <t>Inra, 2016</t>
  </si>
  <si>
    <t>Assimilation au hêtre</t>
  </si>
  <si>
    <t>Assimilation au pin maritime</t>
  </si>
  <si>
    <t>Dire d'expert</t>
  </si>
  <si>
    <t>Assimilation au chêne</t>
  </si>
  <si>
    <t>Assimilation au peuplier</t>
  </si>
  <si>
    <t>Bourgeois, 2001 in Forêt méditerranéenne</t>
  </si>
  <si>
    <r>
      <t xml:space="preserve">Bourgeois, 2001 in </t>
    </r>
    <r>
      <rPr>
        <i/>
        <sz val="11"/>
        <color theme="1"/>
        <rFont val="Calibri"/>
        <family val="2"/>
        <scheme val="minor"/>
      </rPr>
      <t>Forêt méditerranéenne</t>
    </r>
  </si>
  <si>
    <t>Assimilation à chêne</t>
  </si>
  <si>
    <t>Thèse El Haouzali, 2010</t>
  </si>
  <si>
    <t>Correia, 2010</t>
  </si>
  <si>
    <t>Recettes nettes déclarées par le Porteur de projet (€/ha)</t>
  </si>
  <si>
    <t>Biomasse 
racinaire accrus
(tMS/ha)</t>
  </si>
  <si>
    <t>Coût du boisement/reboisement (€/ha)</t>
  </si>
  <si>
    <t>Recettes (€/ha)</t>
  </si>
  <si>
    <t>Volume (m³/ha)</t>
  </si>
  <si>
    <t>Aide publique (€/ha)</t>
  </si>
  <si>
    <r>
      <t xml:space="preserve">Ce calculateur a été développé par le </t>
    </r>
    <r>
      <rPr>
        <b/>
        <sz val="14"/>
        <color theme="1"/>
        <rFont val="Calibri"/>
        <family val="2"/>
        <scheme val="minor"/>
      </rPr>
      <t>Centre national de la propriété forestière (CNPF)</t>
    </r>
    <r>
      <rPr>
        <sz val="14"/>
        <color theme="1"/>
        <rFont val="Calibri"/>
        <family val="2"/>
        <scheme val="minor"/>
      </rPr>
      <t xml:space="preserve"> dans le cadre d'un financement de l'interprofession </t>
    </r>
    <r>
      <rPr>
        <b/>
        <sz val="14"/>
        <color theme="1"/>
        <rFont val="Calibri"/>
        <family val="2"/>
        <scheme val="minor"/>
      </rPr>
      <t>France Bois Forêt</t>
    </r>
    <r>
      <rPr>
        <sz val="14"/>
        <color theme="1"/>
        <rFont val="Calibri"/>
        <family val="2"/>
        <scheme val="minor"/>
      </rPr>
      <t xml:space="preserve"> pour l'accompagnement du label Bas-Carbone en 2020 et 2021.
Il s'agit du calculateur pour les méthodes "</t>
    </r>
    <r>
      <rPr>
        <b/>
        <sz val="14"/>
        <color theme="1"/>
        <rFont val="Calibri"/>
        <family val="2"/>
        <scheme val="minor"/>
      </rPr>
      <t>boisement"</t>
    </r>
    <r>
      <rPr>
        <sz val="14"/>
        <color theme="1"/>
        <rFont val="Calibri"/>
        <family val="2"/>
        <scheme val="minor"/>
      </rPr>
      <t xml:space="preserve"> et "</t>
    </r>
    <r>
      <rPr>
        <b/>
        <sz val="14"/>
        <color theme="1"/>
        <rFont val="Calibri"/>
        <family val="2"/>
        <scheme val="minor"/>
      </rPr>
      <t>reconstitution de peuplements forestiers dégradés</t>
    </r>
    <r>
      <rPr>
        <sz val="14"/>
        <color theme="1"/>
        <rFont val="Calibri"/>
        <family val="2"/>
        <scheme val="minor"/>
      </rPr>
      <t>" rédigées par le CNPF, dans leur version 2.</t>
    </r>
  </si>
  <si>
    <r>
      <rPr>
        <sz val="14"/>
        <color theme="1"/>
        <rFont val="Calibri"/>
        <family val="2"/>
      </rPr>
      <t>T</t>
    </r>
    <r>
      <rPr>
        <sz val="14"/>
        <color theme="1"/>
        <rFont val="Calibri"/>
        <family val="2"/>
        <scheme val="minor"/>
      </rPr>
      <t>out projet demandant le label Bas-Carbone au titre des deux méthodes susmentionnées devra utiliser ce calculateur. Il se compose de 6 onglets :
→ un onglet "</t>
    </r>
    <r>
      <rPr>
        <b/>
        <sz val="14"/>
        <color theme="1"/>
        <rFont val="Calibri"/>
        <family val="2"/>
        <scheme val="minor"/>
      </rPr>
      <t xml:space="preserve">Données </t>
    </r>
    <r>
      <rPr>
        <b/>
        <sz val="14"/>
        <rFont val="Calibri"/>
        <family val="2"/>
        <scheme val="minor"/>
      </rPr>
      <t>projet</t>
    </r>
    <r>
      <rPr>
        <sz val="14"/>
        <color theme="1"/>
        <rFont val="Calibri"/>
        <family val="2"/>
        <scheme val="minor"/>
      </rPr>
      <t>" qui est le seul onglet dans lequel le Porteur de projet doit renseigner les données inhérentes à son projet.
→ un onglet "</t>
    </r>
    <r>
      <rPr>
        <b/>
        <sz val="14"/>
        <color theme="1"/>
        <rFont val="Calibri"/>
        <family val="2"/>
        <scheme val="minor"/>
      </rPr>
      <t>Scénario référence</t>
    </r>
    <r>
      <rPr>
        <sz val="14"/>
        <color theme="1"/>
        <rFont val="Calibri"/>
        <family val="2"/>
        <scheme val="minor"/>
      </rPr>
      <t>" dans lequel le Porteur de projet choisit la méthode et le scénario de référence utilisés.
→ un onglet "</t>
    </r>
    <r>
      <rPr>
        <b/>
        <sz val="14"/>
        <color theme="1"/>
        <rFont val="Calibri"/>
        <family val="2"/>
        <scheme val="minor"/>
      </rPr>
      <t>Calculateur</t>
    </r>
    <r>
      <rPr>
        <sz val="14"/>
        <color theme="1"/>
        <rFont val="Calibri"/>
        <family val="2"/>
        <scheme val="minor"/>
      </rPr>
      <t>" que le Porteur de projet n'a pas à modifier.
→ un onglet "</t>
    </r>
    <r>
      <rPr>
        <b/>
        <sz val="14"/>
        <color theme="1"/>
        <rFont val="Calibri"/>
        <family val="2"/>
        <scheme val="minor"/>
      </rPr>
      <t>Paramètres</t>
    </r>
    <r>
      <rPr>
        <sz val="14"/>
        <color theme="1"/>
        <rFont val="Calibri"/>
        <family val="2"/>
        <scheme val="minor"/>
      </rPr>
      <t>" que le Porteur de projet n'a pas à modifier (cet onglet sera actualisé au fur et à mesure  que des données sourcées permettront de l'améliorer).
→ un onglet "</t>
    </r>
    <r>
      <rPr>
        <b/>
        <sz val="14"/>
        <color theme="1"/>
        <rFont val="Calibri"/>
        <family val="2"/>
        <scheme val="minor"/>
      </rPr>
      <t>REE</t>
    </r>
    <r>
      <rPr>
        <sz val="14"/>
        <color theme="1"/>
        <rFont val="Calibri"/>
        <family val="2"/>
        <scheme val="minor"/>
      </rPr>
      <t>" dans lequel le Porteur de projet doit puiser les résultats des calculs pour les renseigner au Document descriptif de projet.
→ un onglet "</t>
    </r>
    <r>
      <rPr>
        <b/>
        <sz val="14"/>
        <color theme="1"/>
        <rFont val="Calibri"/>
        <family val="2"/>
        <scheme val="minor"/>
      </rPr>
      <t>VAN</t>
    </r>
    <r>
      <rPr>
        <sz val="14"/>
        <color theme="1"/>
        <rFont val="Calibri"/>
        <family val="2"/>
        <scheme val="minor"/>
      </rPr>
      <t>" servant à faire le calcul économique et dont les résultats peuvent être renseignés dans le Document descriptif de projet si le Porteur de projet choisit de démontrer l'additionnalité économique de son projet.</t>
    </r>
  </si>
  <si>
    <t>a</t>
  </si>
  <si>
    <t>Choisir l'essence de colonisation</t>
  </si>
  <si>
    <t>% de surface</t>
  </si>
  <si>
    <t>Renseignez les surfaces concernées par le ou les scénarios puis choisissez la nature de culture et/ou l'essence de colonisation</t>
  </si>
  <si>
    <t>Litière (tC/ha)</t>
  </si>
  <si>
    <t>Sol (tC/ha)</t>
  </si>
  <si>
    <r>
      <t>Biomasse 
totale + sol + litière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</si>
  <si>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Biomasse totale + sol + litière (tCO₂/ha)</t>
  </si>
  <si>
    <t>→ Si scénarios 2, 3, 4 ou 5 :</t>
  </si>
  <si>
    <t>Biomasse totale (tCO₂/ha)</t>
  </si>
  <si>
    <t>Δstock CO₂ 30 ans (tCO₂/ha)</t>
  </si>
  <si>
    <t xml:space="preserve">* Des corrections ont été apportées pour répondre aux problèmes soulevés pour les essences à durée de révolution courte, ou à première éclaircie tardive, </t>
  </si>
  <si>
    <t>à la VAN, ainsi que pour laisser la possibilité de noter des commentaires dans les cellules non verrouillées.</t>
  </si>
  <si>
    <t>NB : La durée de révolution doit être identique à la dernière année indiquée dans la table de production renseignée en dessous</t>
  </si>
  <si>
    <t>NB : Ne remplir qu'avec les années d'éclaircies de la table de production utilisée, ne pas simuler les premières années</t>
  </si>
  <si>
    <t>ΔStock moyen de long terme (tCO₂/ha)</t>
  </si>
  <si>
    <t>Renseignez les % de surfaces de culture à l'année 0 (en % de la surface totale du projet)</t>
  </si>
  <si>
    <t>VAN TOTALE</t>
  </si>
  <si>
    <t xml:space="preserve">Remplir pour les essences concernées par le projet, les recettes et les coûts du projets imputables aux essences, </t>
  </si>
  <si>
    <t>NB : coûts imputables à l'essence = achats des plants, opération de plantation, éclaircies, etc.</t>
  </si>
  <si>
    <t>NB : coûts non imputables aux essences = préparation de la parcelle, protections, assurance, etc.</t>
  </si>
  <si>
    <t xml:space="preserve">Remplir pour les essences concernées par le projet, les recettes et les coûts du projets non imputables </t>
  </si>
  <si>
    <t>Seules les cellules en jaune doivent être remplies</t>
  </si>
  <si>
    <t>aux essences, pour les différentes années.</t>
  </si>
  <si>
    <t>pour les différentes années.</t>
  </si>
  <si>
    <t>NB : Indiquer le numéro de l'année à partir du début du projet et non l'année réelle (ex: année 1 et non année 2022)</t>
  </si>
  <si>
    <t>V15/10/2021</t>
  </si>
  <si>
    <t>Coûts (€/ha)</t>
  </si>
  <si>
    <t>Tulipier de Virginie</t>
  </si>
  <si>
    <t>Liriodendron tulipifera</t>
  </si>
  <si>
    <t>Xinhao Feng et al., 2021</t>
  </si>
  <si>
    <t>Alisier blanc</t>
  </si>
  <si>
    <t>Sorbier des oiseleurs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</si>
</sst>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%"/>
    <numFmt numFmtId="166" formatCode="#,##0.00\ &quot;€&quot;"/>
    <numFmt numFmtId="167" formatCode="#,##0.0\ &quot;€&quot;"/>
    <numFmt numFmtId="168" formatCode="#,##0\ &quot;€&quot;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sz val="11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u/>
      <sz val="11"/>
      <color theme="8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1"/>
      <color theme="8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8" tint="-0.249977111117893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ashed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dashed">
        <color indexed="64"/>
      </left>
      <right style="thin">
        <color auto="1"/>
      </right>
      <top/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304">
    <xf numFmtId="0" fontId="0" fillId="0" borderId="0" xfId="0"/>
    <xf numFmtId="0" fontId="0" fillId="0" borderId="0" xfId="0" applyProtection="1">
      <protection locked="0"/>
    </xf>
    <xf numFmtId="0" fontId="0" fillId="14" borderId="1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hidden="1"/>
    </xf>
    <xf numFmtId="0" fontId="1" fillId="6" borderId="2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5" borderId="2" xfId="0" applyFont="1" applyFill="1" applyBorder="1" applyAlignment="1" applyProtection="1">
      <alignment horizontal="center" vertical="center"/>
      <protection hidden="1"/>
    </xf>
    <xf numFmtId="0" fontId="1" fillId="5" borderId="2" xfId="0" applyFont="1" applyFill="1" applyBorder="1" applyAlignment="1" applyProtection="1">
      <alignment horizontal="center" vertical="center" wrapText="1"/>
      <protection hidden="1"/>
    </xf>
    <xf numFmtId="0" fontId="1" fillId="5" borderId="35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hidden="1"/>
    </xf>
    <xf numFmtId="164" fontId="0" fillId="6" borderId="0" xfId="0" applyNumberFormat="1" applyFill="1" applyAlignment="1" applyProtection="1">
      <alignment horizont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164" fontId="0" fillId="2" borderId="0" xfId="0" applyNumberForma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5" borderId="0" xfId="0" applyFill="1" applyAlignment="1" applyProtection="1">
      <alignment horizontal="center" vertical="center"/>
      <protection hidden="1"/>
    </xf>
    <xf numFmtId="9" fontId="0" fillId="5" borderId="0" xfId="1" applyFont="1" applyFill="1" applyBorder="1" applyAlignment="1" applyProtection="1">
      <alignment horizontal="center" vertical="center"/>
      <protection hidden="1"/>
    </xf>
    <xf numFmtId="1" fontId="0" fillId="2" borderId="0" xfId="0" applyNumberFormat="1" applyFill="1" applyAlignment="1" applyProtection="1">
      <alignment horizontal="center" vertical="center"/>
      <protection hidden="1"/>
    </xf>
    <xf numFmtId="0" fontId="0" fillId="5" borderId="34" xfId="0" applyFill="1" applyBorder="1" applyAlignment="1" applyProtection="1">
      <alignment horizontal="center" vertical="center"/>
      <protection hidden="1"/>
    </xf>
    <xf numFmtId="164" fontId="0" fillId="6" borderId="0" xfId="0" applyNumberFormat="1" applyFill="1" applyAlignment="1" applyProtection="1">
      <alignment horizontal="center" vertical="center"/>
      <protection hidden="1"/>
    </xf>
    <xf numFmtId="164" fontId="0" fillId="2" borderId="0" xfId="0" applyNumberFormat="1" applyFill="1" applyAlignment="1" applyProtection="1">
      <alignment horizontal="center"/>
      <protection hidden="1"/>
    </xf>
    <xf numFmtId="164" fontId="0" fillId="5" borderId="0" xfId="0" applyNumberFormat="1" applyFill="1" applyAlignment="1" applyProtection="1">
      <alignment horizontal="center" vertical="center"/>
      <protection hidden="1"/>
    </xf>
    <xf numFmtId="164" fontId="0" fillId="5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Protection="1">
      <protection locked="0" hidden="1"/>
    </xf>
    <xf numFmtId="0" fontId="22" fillId="14" borderId="1" xfId="0" applyFont="1" applyFill="1" applyBorder="1" applyAlignment="1" applyProtection="1">
      <alignment horizontal="center" vertical="center"/>
      <protection locked="0" hidden="1"/>
    </xf>
    <xf numFmtId="0" fontId="26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25" fillId="4" borderId="1" xfId="2" applyFill="1" applyBorder="1" applyAlignment="1" applyProtection="1">
      <alignment horizontal="center" vertical="center"/>
      <protection hidden="1"/>
    </xf>
    <xf numFmtId="0" fontId="0" fillId="14" borderId="1" xfId="0" applyFill="1" applyBorder="1" applyAlignment="1" applyProtection="1">
      <alignment horizontal="center" vertical="center"/>
      <protection locked="0" hidden="1"/>
    </xf>
    <xf numFmtId="9" fontId="0" fillId="14" borderId="1" xfId="1" applyFont="1" applyFill="1" applyBorder="1" applyAlignment="1" applyProtection="1">
      <alignment horizontal="center" vertical="center"/>
      <protection locked="0" hidden="1"/>
    </xf>
    <xf numFmtId="2" fontId="0" fillId="4" borderId="1" xfId="1" applyNumberFormat="1" applyFont="1" applyFill="1" applyBorder="1" applyAlignment="1" applyProtection="1">
      <alignment horizontal="center" vertical="center"/>
      <protection hidden="1"/>
    </xf>
    <xf numFmtId="1" fontId="0" fillId="14" borderId="1" xfId="1" applyNumberFormat="1" applyFont="1" applyFill="1" applyBorder="1" applyAlignment="1" applyProtection="1">
      <alignment horizontal="center" vertical="center"/>
      <protection locked="0" hidden="1"/>
    </xf>
    <xf numFmtId="1" fontId="9" fillId="3" borderId="1" xfId="1" applyNumberFormat="1" applyFont="1" applyFill="1" applyBorder="1" applyAlignment="1" applyProtection="1">
      <alignment horizontal="center" vertical="center"/>
      <protection hidden="1"/>
    </xf>
    <xf numFmtId="0" fontId="1" fillId="4" borderId="1" xfId="0" applyFont="1" applyFill="1" applyBorder="1" applyAlignment="1" applyProtection="1">
      <alignment horizontal="center" vertical="center"/>
      <protection hidden="1"/>
    </xf>
    <xf numFmtId="9" fontId="1" fillId="4" borderId="1" xfId="0" applyNumberFormat="1" applyFont="1" applyFill="1" applyBorder="1" applyAlignment="1" applyProtection="1">
      <alignment horizontal="center" vertical="center"/>
      <protection hidden="1"/>
    </xf>
    <xf numFmtId="2" fontId="1" fillId="4" borderId="1" xfId="0" applyNumberFormat="1" applyFont="1" applyFill="1" applyBorder="1" applyAlignment="1" applyProtection="1">
      <alignment horizontal="center" vertical="center"/>
      <protection hidden="1"/>
    </xf>
    <xf numFmtId="0" fontId="1" fillId="3" borderId="1" xfId="0" applyFont="1" applyFill="1" applyBorder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vertical="center"/>
      <protection hidden="1"/>
    </xf>
    <xf numFmtId="0" fontId="10" fillId="12" borderId="1" xfId="0" applyFont="1" applyFill="1" applyBorder="1" applyAlignment="1" applyProtection="1">
      <alignment horizontal="center" vertical="center"/>
      <protection hidden="1"/>
    </xf>
    <xf numFmtId="0" fontId="11" fillId="4" borderId="1" xfId="0" applyFont="1" applyFill="1" applyBorder="1" applyAlignment="1" applyProtection="1">
      <alignment horizontal="center" vertical="center"/>
      <protection hidden="1"/>
    </xf>
    <xf numFmtId="9" fontId="11" fillId="14" borderId="1" xfId="0" applyNumberFormat="1" applyFont="1" applyFill="1" applyBorder="1" applyAlignment="1" applyProtection="1">
      <alignment horizontal="center" vertical="center"/>
      <protection locked="0" hidden="1"/>
    </xf>
    <xf numFmtId="0" fontId="15" fillId="0" borderId="7" xfId="0" applyFont="1" applyBorder="1" applyProtection="1">
      <protection hidden="1"/>
    </xf>
    <xf numFmtId="9" fontId="12" fillId="4" borderId="1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15" fillId="4" borderId="1" xfId="0" applyFont="1" applyFill="1" applyBorder="1" applyAlignment="1" applyProtection="1">
      <alignment horizontal="center"/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9" fillId="14" borderId="1" xfId="0" applyFont="1" applyFill="1" applyBorder="1" applyAlignment="1" applyProtection="1">
      <alignment horizontal="center"/>
      <protection locked="0" hidden="1"/>
    </xf>
    <xf numFmtId="9" fontId="9" fillId="14" borderId="1" xfId="1" applyFont="1" applyFill="1" applyBorder="1" applyAlignment="1" applyProtection="1">
      <alignment horizontal="center"/>
      <protection locked="0" hidden="1"/>
    </xf>
    <xf numFmtId="0" fontId="15" fillId="4" borderId="1" xfId="0" applyFont="1" applyFill="1" applyBorder="1" applyAlignment="1" applyProtection="1">
      <alignment horizontal="center" vertical="center"/>
      <protection hidden="1"/>
    </xf>
    <xf numFmtId="164" fontId="0" fillId="4" borderId="1" xfId="0" applyNumberFormat="1" applyFill="1" applyBorder="1" applyAlignment="1" applyProtection="1">
      <alignment horizontal="center" vertical="center"/>
      <protection hidden="1"/>
    </xf>
    <xf numFmtId="9" fontId="9" fillId="14" borderId="1" xfId="0" applyNumberFormat="1" applyFont="1" applyFill="1" applyBorder="1" applyAlignment="1" applyProtection="1">
      <alignment horizontal="center"/>
      <protection locked="0" hidden="1"/>
    </xf>
    <xf numFmtId="0" fontId="9" fillId="14" borderId="1" xfId="0" applyFont="1" applyFill="1" applyBorder="1" applyAlignment="1" applyProtection="1">
      <alignment horizontal="center" vertical="center"/>
      <protection locked="0" hidden="1"/>
    </xf>
    <xf numFmtId="1" fontId="9" fillId="14" borderId="1" xfId="0" applyNumberFormat="1" applyFont="1" applyFill="1" applyBorder="1" applyAlignment="1" applyProtection="1">
      <alignment horizontal="center" vertical="center"/>
      <protection locked="0" hidden="1"/>
    </xf>
    <xf numFmtId="164" fontId="11" fillId="4" borderId="1" xfId="0" applyNumberFormat="1" applyFont="1" applyFill="1" applyBorder="1" applyAlignment="1" applyProtection="1">
      <alignment horizontal="center" vertical="center"/>
      <protection hidden="1"/>
    </xf>
    <xf numFmtId="1" fontId="9" fillId="14" borderId="1" xfId="0" applyNumberFormat="1" applyFont="1" applyFill="1" applyBorder="1" applyAlignment="1" applyProtection="1">
      <alignment horizontal="center"/>
      <protection locked="0" hidden="1"/>
    </xf>
    <xf numFmtId="1" fontId="0" fillId="2" borderId="0" xfId="0" applyNumberFormat="1" applyFill="1" applyAlignment="1" applyProtection="1">
      <alignment horizontal="center"/>
      <protection hidden="1"/>
    </xf>
    <xf numFmtId="0" fontId="9" fillId="14" borderId="1" xfId="0" applyFont="1" applyFill="1" applyBorder="1" applyAlignment="1" applyProtection="1">
      <alignment horizontal="center"/>
      <protection locked="0"/>
    </xf>
    <xf numFmtId="9" fontId="0" fillId="14" borderId="1" xfId="1" applyFont="1" applyFill="1" applyBorder="1" applyAlignment="1" applyProtection="1">
      <alignment horizontal="center" vertical="center"/>
      <protection locked="0"/>
    </xf>
    <xf numFmtId="0" fontId="0" fillId="18" borderId="0" xfId="0" applyFill="1" applyProtection="1">
      <protection locked="0"/>
    </xf>
    <xf numFmtId="9" fontId="9" fillId="14" borderId="1" xfId="1" applyFont="1" applyFill="1" applyBorder="1" applyAlignment="1" applyProtection="1">
      <alignment horizontal="center" vertical="center"/>
      <protection locked="0" hidden="1"/>
    </xf>
    <xf numFmtId="9" fontId="9" fillId="14" borderId="1" xfId="0" applyNumberFormat="1" applyFont="1" applyFill="1" applyBorder="1" applyAlignment="1" applyProtection="1">
      <alignment horizontal="center" vertical="center"/>
      <protection locked="0" hidden="1"/>
    </xf>
    <xf numFmtId="9" fontId="9" fillId="14" borderId="1" xfId="0" applyNumberFormat="1" applyFont="1" applyFill="1" applyBorder="1" applyAlignment="1" applyProtection="1">
      <alignment horizontal="center"/>
      <protection locked="0"/>
    </xf>
    <xf numFmtId="0" fontId="1" fillId="6" borderId="35" xfId="0" applyFont="1" applyFill="1" applyBorder="1" applyAlignment="1" applyProtection="1">
      <alignment horizontal="center" vertical="center" wrapText="1"/>
      <protection hidden="1"/>
    </xf>
    <xf numFmtId="164" fontId="0" fillId="6" borderId="34" xfId="0" applyNumberFormat="1" applyFill="1" applyBorder="1" applyAlignment="1" applyProtection="1">
      <alignment horizontal="center" vertical="center"/>
      <protection hidden="1"/>
    </xf>
    <xf numFmtId="0" fontId="1" fillId="2" borderId="42" xfId="0" applyFont="1" applyFill="1" applyBorder="1" applyAlignment="1" applyProtection="1">
      <alignment horizontal="center" vertical="center" wrapText="1"/>
      <protection hidden="1"/>
    </xf>
    <xf numFmtId="0" fontId="1" fillId="2" borderId="43" xfId="0" applyFont="1" applyFill="1" applyBorder="1" applyAlignment="1" applyProtection="1">
      <alignment horizontal="center" vertical="center" wrapText="1"/>
      <protection hidden="1"/>
    </xf>
    <xf numFmtId="164" fontId="0" fillId="2" borderId="36" xfId="0" applyNumberFormat="1" applyFill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1" fillId="6" borderId="37" xfId="0" applyFont="1" applyFill="1" applyBorder="1" applyAlignment="1" applyProtection="1">
      <alignment horizontal="center" vertical="center" wrapText="1"/>
      <protection hidden="1"/>
    </xf>
    <xf numFmtId="0" fontId="0" fillId="6" borderId="36" xfId="0" applyFill="1" applyBorder="1" applyAlignment="1" applyProtection="1">
      <alignment horizontal="center"/>
      <protection hidden="1"/>
    </xf>
    <xf numFmtId="1" fontId="0" fillId="2" borderId="36" xfId="0" applyNumberFormat="1" applyFill="1" applyBorder="1" applyAlignment="1" applyProtection="1">
      <alignment horizontal="center" vertical="center"/>
      <protection hidden="1"/>
    </xf>
    <xf numFmtId="0" fontId="0" fillId="2" borderId="36" xfId="0" applyFill="1" applyBorder="1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9" fontId="0" fillId="0" borderId="0" xfId="1" applyFont="1" applyFill="1" applyBorder="1" applyAlignment="1" applyProtection="1">
      <alignment horizontal="center" vertical="center"/>
      <protection hidden="1"/>
    </xf>
    <xf numFmtId="0" fontId="1" fillId="10" borderId="9" xfId="0" applyFont="1" applyFill="1" applyBorder="1" applyAlignment="1" applyProtection="1">
      <alignment horizontal="center" vertical="center"/>
      <protection hidden="1"/>
    </xf>
    <xf numFmtId="0" fontId="0" fillId="10" borderId="33" xfId="0" applyFill="1" applyBorder="1" applyAlignment="1" applyProtection="1">
      <alignment horizontal="center" vertical="center"/>
      <protection hidden="1"/>
    </xf>
    <xf numFmtId="0" fontId="0" fillId="10" borderId="9" xfId="0" applyFill="1" applyBorder="1" applyAlignment="1" applyProtection="1">
      <alignment horizontal="center" vertical="center"/>
      <protection hidden="1"/>
    </xf>
    <xf numFmtId="0" fontId="1" fillId="10" borderId="9" xfId="0" applyFont="1" applyFill="1" applyBorder="1" applyAlignment="1" applyProtection="1">
      <alignment horizontal="center" vertical="center" wrapText="1"/>
      <protection hidden="1"/>
    </xf>
    <xf numFmtId="0" fontId="1" fillId="4" borderId="1" xfId="0" applyFont="1" applyFill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9" fontId="9" fillId="14" borderId="1" xfId="1" applyFont="1" applyFill="1" applyBorder="1" applyAlignment="1" applyProtection="1">
      <alignment horizontal="center"/>
      <protection locked="0"/>
    </xf>
    <xf numFmtId="0" fontId="29" fillId="14" borderId="1" xfId="0" applyFont="1" applyFill="1" applyBorder="1" applyAlignment="1" applyProtection="1">
      <alignment horizontal="center"/>
      <protection locked="0" hidden="1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9" fontId="1" fillId="0" borderId="0" xfId="0" applyNumberFormat="1" applyFont="1" applyAlignment="1" applyProtection="1">
      <alignment horizontal="center" vertical="center"/>
      <protection hidden="1"/>
    </xf>
    <xf numFmtId="0" fontId="15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27" fillId="0" borderId="0" xfId="0" applyFont="1" applyProtection="1">
      <protection hidden="1"/>
    </xf>
    <xf numFmtId="0" fontId="15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0" fillId="8" borderId="1" xfId="0" applyFill="1" applyBorder="1" applyAlignment="1" applyProtection="1">
      <alignment horizontal="center" vertical="center"/>
      <protection hidden="1"/>
    </xf>
    <xf numFmtId="0" fontId="0" fillId="7" borderId="1" xfId="0" applyFill="1" applyBorder="1" applyAlignment="1" applyProtection="1">
      <alignment horizontal="center" vertical="center"/>
      <protection hidden="1"/>
    </xf>
    <xf numFmtId="0" fontId="27" fillId="3" borderId="1" xfId="0" applyFont="1" applyFill="1" applyBorder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9" fontId="27" fillId="3" borderId="1" xfId="1" applyFont="1" applyFill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0" fillId="5" borderId="1" xfId="0" applyFill="1" applyBorder="1" applyAlignment="1" applyProtection="1">
      <alignment horizontal="center" vertical="center"/>
      <protection hidden="1"/>
    </xf>
    <xf numFmtId="0" fontId="0" fillId="11" borderId="1" xfId="0" applyFill="1" applyBorder="1" applyAlignment="1" applyProtection="1">
      <alignment horizontal="center" vertical="center"/>
      <protection hidden="1"/>
    </xf>
    <xf numFmtId="0" fontId="0" fillId="16" borderId="1" xfId="0" applyFill="1" applyBorder="1" applyAlignment="1" applyProtection="1">
      <alignment horizontal="center" vertical="center"/>
      <protection hidden="1"/>
    </xf>
    <xf numFmtId="0" fontId="1" fillId="4" borderId="11" xfId="0" applyFont="1" applyFill="1" applyBorder="1" applyAlignment="1" applyProtection="1">
      <alignment horizontal="center" vertical="center"/>
      <protection hidden="1"/>
    </xf>
    <xf numFmtId="0" fontId="1" fillId="4" borderId="12" xfId="0" applyFont="1" applyFill="1" applyBorder="1" applyAlignment="1" applyProtection="1">
      <alignment horizontal="center" vertical="center"/>
      <protection hidden="1"/>
    </xf>
    <xf numFmtId="0" fontId="1" fillId="4" borderId="12" xfId="0" applyFont="1" applyFill="1" applyBorder="1" applyAlignment="1" applyProtection="1">
      <alignment horizontal="center" vertical="center" wrapText="1"/>
      <protection hidden="1"/>
    </xf>
    <xf numFmtId="0" fontId="1" fillId="4" borderId="13" xfId="0" applyFont="1" applyFill="1" applyBorder="1" applyAlignment="1" applyProtection="1">
      <alignment horizontal="center" vertical="center" wrapText="1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9" fontId="0" fillId="0" borderId="45" xfId="0" applyNumberFormat="1" applyBorder="1" applyAlignment="1" applyProtection="1">
      <alignment horizontal="center" vertical="center"/>
      <protection hidden="1"/>
    </xf>
    <xf numFmtId="0" fontId="0" fillId="0" borderId="45" xfId="0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9" fontId="0" fillId="8" borderId="16" xfId="0" applyNumberFormat="1" applyFill="1" applyBorder="1" applyAlignment="1" applyProtection="1">
      <alignment horizontal="center" vertical="center"/>
      <protection hidden="1"/>
    </xf>
    <xf numFmtId="0" fontId="0" fillId="0" borderId="17" xfId="0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9" fontId="0" fillId="0" borderId="1" xfId="0" applyNumberFormat="1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/>
      <protection hidden="1"/>
    </xf>
    <xf numFmtId="9" fontId="0" fillId="8" borderId="21" xfId="0" applyNumberFormat="1" applyFill="1" applyBorder="1" applyAlignment="1" applyProtection="1">
      <alignment horizontal="center" vertical="center"/>
      <protection hidden="1"/>
    </xf>
    <xf numFmtId="9" fontId="0" fillId="8" borderId="18" xfId="0" applyNumberFormat="1" applyFill="1" applyBorder="1" applyAlignment="1" applyProtection="1">
      <alignment horizontal="center" vertical="center"/>
      <protection hidden="1"/>
    </xf>
    <xf numFmtId="0" fontId="0" fillId="0" borderId="1" xfId="0" applyBorder="1" applyProtection="1">
      <protection hidden="1"/>
    </xf>
    <xf numFmtId="9" fontId="0" fillId="0" borderId="1" xfId="0" applyNumberFormat="1" applyBorder="1" applyProtection="1">
      <protection hidden="1"/>
    </xf>
    <xf numFmtId="0" fontId="0" fillId="0" borderId="18" xfId="0" applyBorder="1" applyProtection="1">
      <protection hidden="1"/>
    </xf>
    <xf numFmtId="0" fontId="0" fillId="0" borderId="19" xfId="0" applyBorder="1" applyAlignment="1" applyProtection="1">
      <alignment horizontal="center" vertical="center"/>
      <protection hidden="1"/>
    </xf>
    <xf numFmtId="0" fontId="0" fillId="0" borderId="20" xfId="0" applyBorder="1" applyProtection="1">
      <protection hidden="1"/>
    </xf>
    <xf numFmtId="0" fontId="0" fillId="0" borderId="20" xfId="0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center"/>
      <protection hidden="1"/>
    </xf>
    <xf numFmtId="0" fontId="0" fillId="0" borderId="21" xfId="0" applyBorder="1" applyProtection="1">
      <protection hidden="1"/>
    </xf>
    <xf numFmtId="0" fontId="1" fillId="15" borderId="11" xfId="0" applyFont="1" applyFill="1" applyBorder="1" applyAlignment="1" applyProtection="1">
      <alignment horizontal="center" vertical="center"/>
      <protection hidden="1"/>
    </xf>
    <xf numFmtId="0" fontId="1" fillId="15" borderId="28" xfId="0" applyFont="1" applyFill="1" applyBorder="1" applyAlignment="1" applyProtection="1">
      <alignment horizontal="center" vertical="center" wrapText="1"/>
      <protection hidden="1"/>
    </xf>
    <xf numFmtId="0" fontId="1" fillId="13" borderId="12" xfId="0" applyFont="1" applyFill="1" applyBorder="1" applyAlignment="1" applyProtection="1">
      <alignment horizontal="center" vertical="center" wrapText="1"/>
      <protection hidden="1"/>
    </xf>
    <xf numFmtId="0" fontId="1" fillId="9" borderId="11" xfId="0" applyFont="1" applyFill="1" applyBorder="1" applyAlignment="1" applyProtection="1">
      <alignment horizontal="center" vertical="center" wrapText="1"/>
      <protection hidden="1"/>
    </xf>
    <xf numFmtId="0" fontId="1" fillId="9" borderId="13" xfId="0" applyFont="1" applyFill="1" applyBorder="1" applyAlignment="1" applyProtection="1">
      <alignment horizontal="center" vertical="center" wrapText="1"/>
      <protection hidden="1"/>
    </xf>
    <xf numFmtId="0" fontId="1" fillId="17" borderId="30" xfId="0" applyFont="1" applyFill="1" applyBorder="1" applyAlignment="1" applyProtection="1">
      <alignment horizontal="center" vertical="center" wrapText="1"/>
      <protection hidden="1"/>
    </xf>
    <xf numFmtId="0" fontId="1" fillId="17" borderId="28" xfId="0" applyFont="1" applyFill="1" applyBorder="1" applyAlignment="1" applyProtection="1">
      <alignment horizontal="center" vertical="center" wrapText="1"/>
      <protection hidden="1"/>
    </xf>
    <xf numFmtId="0" fontId="1" fillId="15" borderId="26" xfId="0" applyFont="1" applyFill="1" applyBorder="1" applyAlignment="1" applyProtection="1">
      <alignment horizontal="center"/>
      <protection hidden="1"/>
    </xf>
    <xf numFmtId="2" fontId="1" fillId="15" borderId="3" xfId="0" applyNumberFormat="1" applyFont="1" applyFill="1" applyBorder="1" applyAlignment="1" applyProtection="1">
      <alignment horizontal="center"/>
      <protection hidden="1"/>
    </xf>
    <xf numFmtId="1" fontId="0" fillId="4" borderId="10" xfId="0" applyNumberFormat="1" applyFill="1" applyBorder="1" applyAlignment="1" applyProtection="1">
      <alignment horizontal="center"/>
      <protection hidden="1"/>
    </xf>
    <xf numFmtId="1" fontId="0" fillId="3" borderId="26" xfId="0" applyNumberFormat="1" applyFill="1" applyBorder="1" applyAlignment="1" applyProtection="1">
      <alignment horizontal="center"/>
      <protection hidden="1"/>
    </xf>
    <xf numFmtId="1" fontId="0" fillId="3" borderId="27" xfId="0" applyNumberFormat="1" applyFill="1" applyBorder="1" applyAlignment="1" applyProtection="1">
      <alignment horizontal="center"/>
      <protection hidden="1"/>
    </xf>
    <xf numFmtId="1" fontId="0" fillId="16" borderId="31" xfId="0" applyNumberFormat="1" applyFill="1" applyBorder="1" applyAlignment="1" applyProtection="1">
      <alignment horizontal="center"/>
      <protection hidden="1"/>
    </xf>
    <xf numFmtId="1" fontId="0" fillId="16" borderId="3" xfId="0" applyNumberFormat="1" applyFill="1" applyBorder="1" applyAlignment="1" applyProtection="1">
      <alignment horizontal="center"/>
      <protection hidden="1"/>
    </xf>
    <xf numFmtId="1" fontId="0" fillId="10" borderId="32" xfId="0" applyNumberFormat="1" applyFill="1" applyBorder="1" applyAlignment="1" applyProtection="1">
      <alignment horizontal="center"/>
      <protection hidden="1"/>
    </xf>
    <xf numFmtId="0" fontId="1" fillId="15" borderId="17" xfId="0" applyFont="1" applyFill="1" applyBorder="1" applyAlignment="1" applyProtection="1">
      <alignment horizontal="center"/>
      <protection hidden="1"/>
    </xf>
    <xf numFmtId="2" fontId="1" fillId="15" borderId="4" xfId="0" applyNumberFormat="1" applyFont="1" applyFill="1" applyBorder="1" applyAlignment="1" applyProtection="1">
      <alignment horizontal="center"/>
      <protection hidden="1"/>
    </xf>
    <xf numFmtId="1" fontId="0" fillId="3" borderId="17" xfId="0" applyNumberFormat="1" applyFill="1" applyBorder="1" applyAlignment="1" applyProtection="1">
      <alignment horizontal="center"/>
      <protection hidden="1"/>
    </xf>
    <xf numFmtId="0" fontId="1" fillId="15" borderId="19" xfId="0" applyFont="1" applyFill="1" applyBorder="1" applyAlignment="1" applyProtection="1">
      <alignment horizontal="center"/>
      <protection hidden="1"/>
    </xf>
    <xf numFmtId="2" fontId="1" fillId="15" borderId="29" xfId="0" applyNumberFormat="1" applyFont="1" applyFill="1" applyBorder="1" applyAlignment="1" applyProtection="1">
      <alignment horizontal="center"/>
      <protection hidden="1"/>
    </xf>
    <xf numFmtId="1" fontId="0" fillId="4" borderId="20" xfId="0" applyNumberFormat="1" applyFill="1" applyBorder="1" applyAlignment="1" applyProtection="1">
      <alignment horizontal="center"/>
      <protection hidden="1"/>
    </xf>
    <xf numFmtId="1" fontId="0" fillId="4" borderId="47" xfId="0" applyNumberFormat="1" applyFill="1" applyBorder="1" applyAlignment="1" applyProtection="1">
      <alignment horizontal="center"/>
      <protection hidden="1"/>
    </xf>
    <xf numFmtId="1" fontId="0" fillId="3" borderId="48" xfId="0" applyNumberFormat="1" applyFill="1" applyBorder="1" applyAlignment="1" applyProtection="1">
      <alignment horizontal="center"/>
      <protection hidden="1"/>
    </xf>
    <xf numFmtId="1" fontId="0" fillId="3" borderId="49" xfId="0" applyNumberFormat="1" applyFill="1" applyBorder="1" applyAlignment="1" applyProtection="1">
      <alignment horizontal="center"/>
      <protection hidden="1"/>
    </xf>
    <xf numFmtId="1" fontId="0" fillId="16" borderId="50" xfId="0" applyNumberFormat="1" applyFill="1" applyBorder="1" applyAlignment="1" applyProtection="1">
      <alignment horizontal="center"/>
      <protection hidden="1"/>
    </xf>
    <xf numFmtId="1" fontId="0" fillId="16" borderId="38" xfId="0" applyNumberFormat="1" applyFill="1" applyBorder="1" applyAlignment="1" applyProtection="1">
      <alignment horizontal="center"/>
      <protection hidden="1"/>
    </xf>
    <xf numFmtId="1" fontId="0" fillId="10" borderId="46" xfId="0" applyNumberFormat="1" applyFill="1" applyBorder="1" applyAlignment="1" applyProtection="1">
      <alignment horizontal="center"/>
      <protection hidden="1"/>
    </xf>
    <xf numFmtId="1" fontId="1" fillId="13" borderId="11" xfId="0" applyNumberFormat="1" applyFont="1" applyFill="1" applyBorder="1" applyAlignment="1" applyProtection="1">
      <alignment horizontal="center"/>
      <protection hidden="1"/>
    </xf>
    <xf numFmtId="1" fontId="1" fillId="13" borderId="12" xfId="0" applyNumberFormat="1" applyFont="1" applyFill="1" applyBorder="1" applyAlignment="1" applyProtection="1">
      <alignment horizontal="center"/>
      <protection hidden="1"/>
    </xf>
    <xf numFmtId="1" fontId="1" fillId="9" borderId="12" xfId="0" applyNumberFormat="1" applyFont="1" applyFill="1" applyBorder="1" applyAlignment="1" applyProtection="1">
      <alignment horizontal="center"/>
      <protection hidden="1"/>
    </xf>
    <xf numFmtId="1" fontId="1" fillId="17" borderId="12" xfId="0" applyNumberFormat="1" applyFont="1" applyFill="1" applyBorder="1" applyAlignment="1" applyProtection="1">
      <alignment horizontal="center"/>
      <protection hidden="1"/>
    </xf>
    <xf numFmtId="1" fontId="1" fillId="10" borderId="13" xfId="0" applyNumberFormat="1" applyFont="1" applyFill="1" applyBorder="1" applyAlignment="1" applyProtection="1">
      <alignment horizontal="center"/>
      <protection hidden="1"/>
    </xf>
    <xf numFmtId="0" fontId="1" fillId="15" borderId="9" xfId="0" applyFont="1" applyFill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0" fillId="0" borderId="41" xfId="0" applyBorder="1" applyProtection="1">
      <protection hidden="1"/>
    </xf>
    <xf numFmtId="0" fontId="21" fillId="4" borderId="1" xfId="0" applyFont="1" applyFill="1" applyBorder="1" applyAlignment="1" applyProtection="1">
      <alignment horizontal="center"/>
      <protection hidden="1"/>
    </xf>
    <xf numFmtId="1" fontId="0" fillId="4" borderId="1" xfId="0" applyNumberFormat="1" applyFill="1" applyBorder="1" applyAlignment="1" applyProtection="1">
      <alignment horizontal="center"/>
      <protection hidden="1"/>
    </xf>
    <xf numFmtId="168" fontId="1" fillId="4" borderId="1" xfId="0" applyNumberFormat="1" applyFont="1" applyFill="1" applyBorder="1" applyAlignment="1" applyProtection="1">
      <alignment horizontal="center" vertical="center"/>
      <protection hidden="1"/>
    </xf>
    <xf numFmtId="167" fontId="0" fillId="11" borderId="1" xfId="0" applyNumberFormat="1" applyFill="1" applyBorder="1" applyAlignment="1" applyProtection="1">
      <alignment horizontal="center" vertical="center"/>
      <protection hidden="1"/>
    </xf>
    <xf numFmtId="2" fontId="0" fillId="11" borderId="1" xfId="0" applyNumberFormat="1" applyFill="1" applyBorder="1" applyAlignment="1" applyProtection="1">
      <alignment horizontal="center" vertical="center"/>
      <protection hidden="1"/>
    </xf>
    <xf numFmtId="168" fontId="0" fillId="4" borderId="1" xfId="0" applyNumberFormat="1" applyFill="1" applyBorder="1" applyAlignment="1" applyProtection="1">
      <alignment horizontal="center"/>
      <protection hidden="1"/>
    </xf>
    <xf numFmtId="0" fontId="11" fillId="4" borderId="1" xfId="0" applyFont="1" applyFill="1" applyBorder="1" applyAlignment="1" applyProtection="1">
      <alignment horizontal="center"/>
      <protection hidden="1"/>
    </xf>
    <xf numFmtId="0" fontId="0" fillId="4" borderId="1" xfId="0" applyFill="1" applyBorder="1" applyAlignment="1" applyProtection="1">
      <alignment horizontal="center"/>
      <protection hidden="1"/>
    </xf>
    <xf numFmtId="168" fontId="0" fillId="4" borderId="1" xfId="0" applyNumberFormat="1" applyFill="1" applyBorder="1" applyAlignment="1" applyProtection="1">
      <alignment horizontal="center" vertical="center"/>
      <protection hidden="1"/>
    </xf>
    <xf numFmtId="0" fontId="15" fillId="0" borderId="41" xfId="0" applyFont="1" applyBorder="1" applyProtection="1">
      <protection hidden="1"/>
    </xf>
    <xf numFmtId="166" fontId="1" fillId="4" borderId="1" xfId="0" applyNumberFormat="1" applyFont="1" applyFill="1" applyBorder="1" applyAlignment="1" applyProtection="1">
      <alignment horizontal="center" vertical="center"/>
      <protection hidden="1"/>
    </xf>
    <xf numFmtId="168" fontId="0" fillId="0" borderId="1" xfId="0" applyNumberFormat="1" applyBorder="1" applyAlignment="1" applyProtection="1">
      <alignment horizontal="center" vertical="center"/>
      <protection hidden="1"/>
    </xf>
    <xf numFmtId="0" fontId="3" fillId="4" borderId="1" xfId="0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wrapText="1"/>
      <protection hidden="1"/>
    </xf>
    <xf numFmtId="168" fontId="0" fillId="0" borderId="1" xfId="0" applyNumberFormat="1" applyBorder="1" applyAlignment="1" applyProtection="1">
      <alignment horizontal="center" vertical="center" wrapText="1"/>
      <protection hidden="1"/>
    </xf>
    <xf numFmtId="167" fontId="0" fillId="0" borderId="0" xfId="0" applyNumberFormat="1" applyAlignment="1" applyProtection="1">
      <alignment horizontal="center" vertical="center"/>
      <protection hidden="1"/>
    </xf>
    <xf numFmtId="1" fontId="0" fillId="14" borderId="1" xfId="0" applyNumberFormat="1" applyFill="1" applyBorder="1" applyAlignment="1" applyProtection="1">
      <alignment horizontal="center" vertical="center"/>
      <protection locked="0"/>
    </xf>
    <xf numFmtId="168" fontId="0" fillId="14" borderId="1" xfId="0" applyNumberFormat="1" applyFill="1" applyBorder="1" applyAlignment="1" applyProtection="1">
      <alignment horizontal="center" vertical="center"/>
      <protection locked="0"/>
    </xf>
    <xf numFmtId="0" fontId="0" fillId="14" borderId="1" xfId="0" applyFill="1" applyBorder="1" applyAlignment="1" applyProtection="1">
      <alignment horizontal="center"/>
      <protection locked="0"/>
    </xf>
    <xf numFmtId="168" fontId="0" fillId="1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0" fontId="0" fillId="14" borderId="1" xfId="0" applyFill="1" applyBorder="1" applyProtection="1">
      <protection locked="0"/>
    </xf>
    <xf numFmtId="168" fontId="0" fillId="4" borderId="1" xfId="0" quotePrefix="1" applyNumberFormat="1" applyFill="1" applyBorder="1" applyAlignment="1" applyProtection="1">
      <alignment horizontal="center" vertical="center"/>
      <protection hidden="1"/>
    </xf>
    <xf numFmtId="168" fontId="0" fillId="14" borderId="1" xfId="0" quotePrefix="1" applyNumberFormat="1" applyFill="1" applyBorder="1" applyAlignment="1" applyProtection="1">
      <alignment horizontal="center"/>
      <protection locked="0"/>
    </xf>
    <xf numFmtId="0" fontId="0" fillId="4" borderId="1" xfId="0" quotePrefix="1" applyFill="1" applyBorder="1" applyAlignment="1" applyProtection="1">
      <alignment horizontal="center" vertical="center" wrapText="1"/>
      <protection hidden="1"/>
    </xf>
    <xf numFmtId="165" fontId="1" fillId="0" borderId="0" xfId="0" applyNumberFormat="1" applyFont="1" applyAlignment="1" applyProtection="1">
      <alignment horizontal="center" vertical="center"/>
      <protection locked="0" hidden="1"/>
    </xf>
    <xf numFmtId="0" fontId="15" fillId="0" borderId="7" xfId="0" applyFont="1" applyBorder="1" applyProtection="1">
      <protection locked="0" hidden="1"/>
    </xf>
    <xf numFmtId="0" fontId="15" fillId="0" borderId="0" xfId="0" applyFont="1" applyProtection="1">
      <protection locked="0" hidden="1"/>
    </xf>
    <xf numFmtId="168" fontId="0" fillId="0" borderId="0" xfId="0" applyNumberFormat="1" applyAlignment="1" applyProtection="1">
      <alignment horizontal="center" vertical="center"/>
      <protection locked="0" hidden="1"/>
    </xf>
    <xf numFmtId="0" fontId="0" fillId="0" borderId="0" xfId="0" applyAlignment="1" applyProtection="1">
      <alignment wrapText="1"/>
      <protection locked="0" hidden="1"/>
    </xf>
    <xf numFmtId="0" fontId="1" fillId="0" borderId="0" xfId="0" applyFont="1" applyAlignment="1" applyProtection="1">
      <alignment horizontal="center" vertical="center"/>
      <protection locked="0" hidden="1"/>
    </xf>
    <xf numFmtId="168" fontId="0" fillId="0" borderId="0" xfId="0" applyNumberFormat="1" applyAlignment="1" applyProtection="1">
      <alignment horizontal="center"/>
      <protection locked="0" hidden="1"/>
    </xf>
    <xf numFmtId="167" fontId="0" fillId="0" borderId="0" xfId="0" applyNumberFormat="1" applyAlignment="1" applyProtection="1">
      <alignment horizontal="center" vertical="center"/>
      <protection locked="0" hidden="1"/>
    </xf>
    <xf numFmtId="0" fontId="0" fillId="0" borderId="41" xfId="0" applyBorder="1" applyProtection="1">
      <protection locked="0" hidden="1"/>
    </xf>
    <xf numFmtId="0" fontId="1" fillId="0" borderId="0" xfId="0" applyFont="1" applyAlignment="1" applyProtection="1">
      <alignment horizontal="center"/>
      <protection locked="0" hidden="1"/>
    </xf>
    <xf numFmtId="0" fontId="0" fillId="0" borderId="41" xfId="0" applyBorder="1" applyAlignment="1" applyProtection="1">
      <alignment wrapText="1"/>
      <protection locked="0" hidden="1"/>
    </xf>
    <xf numFmtId="0" fontId="30" fillId="0" borderId="0" xfId="0" applyFont="1" applyAlignment="1" applyProtection="1">
      <alignment horizontal="left" vertical="center"/>
      <protection hidden="1"/>
    </xf>
    <xf numFmtId="0" fontId="1" fillId="4" borderId="1" xfId="0" applyFont="1" applyFill="1" applyBorder="1" applyAlignment="1">
      <alignment horizontal="center" vertical="center"/>
    </xf>
    <xf numFmtId="2" fontId="1" fillId="0" borderId="0" xfId="0" applyNumberFormat="1" applyFont="1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23" fillId="0" borderId="0" xfId="0" applyFont="1" applyAlignment="1" applyProtection="1">
      <alignment vertical="center"/>
      <protection locked="0" hidden="1"/>
    </xf>
    <xf numFmtId="0" fontId="0" fillId="0" borderId="0" xfId="0" applyAlignment="1" applyProtection="1">
      <alignment vertical="center"/>
      <protection locked="0" hidden="1"/>
    </xf>
    <xf numFmtId="0" fontId="15" fillId="0" borderId="0" xfId="0" applyFont="1" applyAlignment="1" applyProtection="1">
      <alignment vertical="center"/>
      <protection locked="0" hidden="1"/>
    </xf>
    <xf numFmtId="0" fontId="7" fillId="0" borderId="0" xfId="0" applyFont="1" applyAlignment="1" applyProtection="1">
      <alignment horizontal="center" vertical="center"/>
      <protection locked="0" hidden="1"/>
    </xf>
    <xf numFmtId="9" fontId="1" fillId="0" borderId="0" xfId="0" applyNumberFormat="1" applyFont="1" applyAlignment="1" applyProtection="1">
      <alignment horizontal="center" vertical="center"/>
      <protection locked="0" hidden="1"/>
    </xf>
    <xf numFmtId="9" fontId="0" fillId="0" borderId="0" xfId="0" applyNumberFormat="1" applyProtection="1">
      <protection locked="0" hidden="1"/>
    </xf>
    <xf numFmtId="0" fontId="16" fillId="0" borderId="0" xfId="0" applyFont="1" applyProtection="1">
      <protection locked="0" hidden="1"/>
    </xf>
    <xf numFmtId="0" fontId="9" fillId="0" borderId="38" xfId="0" applyFont="1" applyBorder="1" applyAlignment="1" applyProtection="1">
      <alignment horizontal="center" vertical="center"/>
      <protection locked="0" hidden="1"/>
    </xf>
    <xf numFmtId="0" fontId="1" fillId="0" borderId="0" xfId="0" applyFont="1" applyProtection="1">
      <protection locked="0" hidden="1"/>
    </xf>
    <xf numFmtId="0" fontId="0" fillId="0" borderId="7" xfId="0" applyBorder="1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1" fontId="0" fillId="0" borderId="0" xfId="1" applyNumberFormat="1" applyFont="1" applyFill="1" applyBorder="1" applyAlignment="1" applyProtection="1">
      <alignment horizontal="center" vertical="center"/>
      <protection locked="0" hidden="1"/>
    </xf>
    <xf numFmtId="0" fontId="15" fillId="0" borderId="0" xfId="0" applyFont="1" applyAlignment="1" applyProtection="1">
      <alignment horizontal="center"/>
      <protection hidden="1"/>
    </xf>
    <xf numFmtId="0" fontId="31" fillId="0" borderId="7" xfId="0" applyFont="1" applyBorder="1" applyProtection="1">
      <protection hidden="1"/>
    </xf>
    <xf numFmtId="0" fontId="31" fillId="0" borderId="0" xfId="0" applyFont="1" applyProtection="1">
      <protection hidden="1"/>
    </xf>
    <xf numFmtId="0" fontId="0" fillId="0" borderId="51" xfId="0" applyBorder="1" applyProtection="1">
      <protection locked="0" hidden="1"/>
    </xf>
    <xf numFmtId="0" fontId="1" fillId="0" borderId="51" xfId="0" applyFont="1" applyBorder="1" applyAlignment="1" applyProtection="1">
      <alignment horizontal="center" vertical="center"/>
      <protection locked="0" hidden="1"/>
    </xf>
    <xf numFmtId="168" fontId="0" fillId="0" borderId="51" xfId="0" applyNumberFormat="1" applyBorder="1" applyAlignment="1" applyProtection="1">
      <alignment horizontal="center"/>
      <protection locked="0" hidden="1"/>
    </xf>
    <xf numFmtId="168" fontId="0" fillId="0" borderId="51" xfId="0" applyNumberFormat="1" applyBorder="1" applyAlignment="1" applyProtection="1">
      <alignment horizontal="center" vertical="center"/>
      <protection locked="0" hidden="1"/>
    </xf>
    <xf numFmtId="0" fontId="0" fillId="0" borderId="8" xfId="0" applyBorder="1" applyProtection="1">
      <protection locked="0" hidden="1"/>
    </xf>
    <xf numFmtId="0" fontId="0" fillId="0" borderId="8" xfId="0" applyBorder="1" applyProtection="1">
      <protection hidden="1"/>
    </xf>
    <xf numFmtId="0" fontId="0" fillId="0" borderId="8" xfId="0" applyBorder="1" applyAlignment="1" applyProtection="1">
      <alignment wrapText="1"/>
      <protection hidden="1"/>
    </xf>
    <xf numFmtId="165" fontId="1" fillId="4" borderId="6" xfId="0" applyNumberFormat="1" applyFont="1" applyFill="1" applyBorder="1" applyAlignment="1" applyProtection="1">
      <alignment horizontal="center" vertical="center"/>
      <protection hidden="1"/>
    </xf>
    <xf numFmtId="0" fontId="15" fillId="0" borderId="51" xfId="0" applyFont="1" applyBorder="1" applyAlignment="1" applyProtection="1">
      <alignment horizontal="center"/>
      <protection hidden="1"/>
    </xf>
    <xf numFmtId="167" fontId="11" fillId="11" borderId="1" xfId="0" applyNumberFormat="1" applyFont="1" applyFill="1" applyBorder="1" applyAlignment="1" applyProtection="1">
      <alignment horizontal="center" vertical="center"/>
      <protection hidden="1"/>
    </xf>
    <xf numFmtId="0" fontId="0" fillId="19" borderId="42" xfId="0" applyFill="1" applyBorder="1" applyProtection="1">
      <protection hidden="1"/>
    </xf>
    <xf numFmtId="0" fontId="0" fillId="19" borderId="43" xfId="0" applyFill="1" applyBorder="1" applyProtection="1">
      <protection locked="0"/>
    </xf>
    <xf numFmtId="0" fontId="0" fillId="20" borderId="42" xfId="0" applyFill="1" applyBorder="1" applyProtection="1">
      <protection hidden="1"/>
    </xf>
    <xf numFmtId="0" fontId="0" fillId="20" borderId="43" xfId="0" applyFill="1" applyBorder="1" applyProtection="1">
      <protection locked="0"/>
    </xf>
    <xf numFmtId="0" fontId="7" fillId="20" borderId="43" xfId="0" applyFont="1" applyFill="1" applyBorder="1" applyProtection="1">
      <protection hidden="1"/>
    </xf>
    <xf numFmtId="0" fontId="0" fillId="20" borderId="43" xfId="0" applyFill="1" applyBorder="1" applyProtection="1">
      <protection locked="0" hidden="1"/>
    </xf>
    <xf numFmtId="0" fontId="0" fillId="20" borderId="44" xfId="0" applyFill="1" applyBorder="1" applyProtection="1">
      <protection locked="0" hidden="1"/>
    </xf>
    <xf numFmtId="0" fontId="7" fillId="19" borderId="43" xfId="0" applyFont="1" applyFill="1" applyBorder="1" applyAlignment="1" applyProtection="1">
      <alignment horizontal="center"/>
      <protection hidden="1"/>
    </xf>
    <xf numFmtId="0" fontId="0" fillId="19" borderId="43" xfId="0" applyFill="1" applyBorder="1" applyProtection="1">
      <protection hidden="1"/>
    </xf>
    <xf numFmtId="0" fontId="0" fillId="19" borderId="44" xfId="0" applyFill="1" applyBorder="1" applyProtection="1">
      <protection hidden="1"/>
    </xf>
    <xf numFmtId="0" fontId="15" fillId="0" borderId="39" xfId="0" applyFont="1" applyBorder="1" applyAlignment="1" applyProtection="1">
      <alignment vertical="center"/>
      <protection hidden="1"/>
    </xf>
    <xf numFmtId="0" fontId="0" fillId="0" borderId="17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14" borderId="0" xfId="0" applyFont="1" applyFill="1" applyAlignment="1" applyProtection="1">
      <alignment horizontal="center"/>
      <protection hidden="1"/>
    </xf>
    <xf numFmtId="0" fontId="1" fillId="4" borderId="1" xfId="0" applyFont="1" applyFill="1" applyBorder="1" applyAlignment="1" applyProtection="1">
      <alignment horizontal="center"/>
      <protection hidden="1"/>
    </xf>
    <xf numFmtId="0" fontId="1" fillId="4" borderId="4" xfId="0" applyFont="1" applyFill="1" applyBorder="1" applyAlignment="1" applyProtection="1">
      <alignment horizontal="center"/>
      <protection hidden="1"/>
    </xf>
    <xf numFmtId="0" fontId="1" fillId="4" borderId="5" xfId="0" applyFont="1" applyFill="1" applyBorder="1" applyAlignment="1" applyProtection="1">
      <alignment horizontal="center"/>
      <protection hidden="1"/>
    </xf>
    <xf numFmtId="0" fontId="1" fillId="4" borderId="6" xfId="0" applyFont="1" applyFill="1" applyBorder="1" applyAlignment="1" applyProtection="1">
      <alignment horizontal="center"/>
      <protection hidden="1"/>
    </xf>
    <xf numFmtId="0" fontId="7" fillId="4" borderId="42" xfId="0" applyFont="1" applyFill="1" applyBorder="1" applyAlignment="1" applyProtection="1">
      <alignment horizontal="center" vertical="center"/>
      <protection hidden="1"/>
    </xf>
    <xf numFmtId="0" fontId="7" fillId="4" borderId="43" xfId="0" applyFont="1" applyFill="1" applyBorder="1" applyAlignment="1" applyProtection="1">
      <alignment horizontal="center" vertical="center"/>
      <protection hidden="1"/>
    </xf>
    <xf numFmtId="0" fontId="7" fillId="4" borderId="44" xfId="0" applyFont="1" applyFill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left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5" fillId="0" borderId="7" xfId="0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8" fillId="4" borderId="0" xfId="0" applyFont="1" applyFill="1" applyAlignment="1">
      <alignment horizontal="left" vertical="center" wrapText="1"/>
    </xf>
    <xf numFmtId="0" fontId="15" fillId="0" borderId="0" xfId="0" applyFont="1" applyAlignment="1" applyProtection="1">
      <alignment horizontal="center"/>
      <protection hidden="1"/>
    </xf>
    <xf numFmtId="0" fontId="7" fillId="4" borderId="42" xfId="0" applyFont="1" applyFill="1" applyBorder="1" applyAlignment="1" applyProtection="1">
      <alignment horizontal="center"/>
      <protection hidden="1"/>
    </xf>
    <xf numFmtId="0" fontId="7" fillId="4" borderId="43" xfId="0" applyFont="1" applyFill="1" applyBorder="1" applyAlignment="1" applyProtection="1">
      <alignment horizontal="center"/>
      <protection hidden="1"/>
    </xf>
    <xf numFmtId="0" fontId="7" fillId="4" borderId="44" xfId="0" applyFont="1" applyFill="1" applyBorder="1" applyAlignment="1" applyProtection="1">
      <alignment horizontal="center"/>
      <protection hidden="1"/>
    </xf>
    <xf numFmtId="0" fontId="7" fillId="2" borderId="37" xfId="0" applyFont="1" applyFill="1" applyBorder="1" applyAlignment="1" applyProtection="1">
      <alignment horizontal="center"/>
      <protection hidden="1"/>
    </xf>
    <xf numFmtId="0" fontId="7" fillId="2" borderId="2" xfId="0" applyFont="1" applyFill="1" applyBorder="1" applyAlignment="1" applyProtection="1">
      <alignment horizontal="center"/>
      <protection hidden="1"/>
    </xf>
    <xf numFmtId="0" fontId="7" fillId="2" borderId="35" xfId="0" applyFont="1" applyFill="1" applyBorder="1" applyAlignment="1" applyProtection="1">
      <alignment horizontal="center"/>
      <protection hidden="1"/>
    </xf>
    <xf numFmtId="0" fontId="7" fillId="6" borderId="37" xfId="0" applyFont="1" applyFill="1" applyBorder="1" applyAlignment="1" applyProtection="1">
      <alignment horizontal="center"/>
      <protection hidden="1"/>
    </xf>
    <xf numFmtId="0" fontId="7" fillId="6" borderId="2" xfId="0" applyFont="1" applyFill="1" applyBorder="1" applyAlignment="1" applyProtection="1">
      <alignment horizontal="center"/>
      <protection hidden="1"/>
    </xf>
    <xf numFmtId="0" fontId="7" fillId="6" borderId="35" xfId="0" applyFont="1" applyFill="1" applyBorder="1" applyAlignment="1" applyProtection="1">
      <alignment horizontal="center"/>
      <protection hidden="1"/>
    </xf>
    <xf numFmtId="0" fontId="1" fillId="9" borderId="22" xfId="0" applyFont="1" applyFill="1" applyBorder="1" applyAlignment="1" applyProtection="1">
      <alignment horizontal="center" vertical="center"/>
      <protection hidden="1"/>
    </xf>
    <xf numFmtId="0" fontId="1" fillId="9" borderId="24" xfId="0" applyFont="1" applyFill="1" applyBorder="1" applyAlignment="1" applyProtection="1">
      <alignment horizontal="center" vertical="center"/>
      <protection hidden="1"/>
    </xf>
    <xf numFmtId="0" fontId="1" fillId="9" borderId="23" xfId="0" applyFont="1" applyFill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wrapText="1"/>
      <protection hidden="1"/>
    </xf>
    <xf numFmtId="0" fontId="15" fillId="0" borderId="25" xfId="0" applyFont="1" applyBorder="1" applyAlignment="1" applyProtection="1">
      <alignment horizontal="center"/>
      <protection hidden="1"/>
    </xf>
    <xf numFmtId="0" fontId="15" fillId="0" borderId="38" xfId="0" applyFont="1" applyBorder="1" applyAlignment="1" applyProtection="1">
      <alignment horizontal="center" wrapText="1"/>
      <protection hidden="1"/>
    </xf>
    <xf numFmtId="0" fontId="15" fillId="0" borderId="40" xfId="0" applyFont="1" applyBorder="1" applyAlignment="1" applyProtection="1">
      <alignment horizontal="center" wrapText="1"/>
      <protection hidden="1"/>
    </xf>
    <xf numFmtId="0" fontId="15" fillId="0" borderId="50" xfId="0" applyFont="1" applyBorder="1" applyAlignment="1" applyProtection="1">
      <alignment horizontal="center" wrapText="1"/>
      <protection hidden="1"/>
    </xf>
    <xf numFmtId="0" fontId="15" fillId="0" borderId="3" xfId="0" applyFont="1" applyBorder="1" applyAlignment="1" applyProtection="1">
      <alignment horizontal="center" wrapText="1"/>
      <protection hidden="1"/>
    </xf>
    <xf numFmtId="0" fontId="15" fillId="0" borderId="52" xfId="0" applyFont="1" applyBorder="1" applyAlignment="1" applyProtection="1">
      <alignment horizontal="center" wrapText="1"/>
      <protection hidden="1"/>
    </xf>
    <xf numFmtId="0" fontId="15" fillId="0" borderId="31" xfId="0" applyFont="1" applyBorder="1" applyAlignment="1" applyProtection="1">
      <alignment horizontal="center" wrapText="1"/>
      <protection hidden="1"/>
    </xf>
    <xf numFmtId="0" fontId="7" fillId="20" borderId="42" xfId="0" applyFont="1" applyFill="1" applyBorder="1" applyAlignment="1" applyProtection="1">
      <alignment horizontal="center"/>
      <protection hidden="1"/>
    </xf>
    <xf numFmtId="0" fontId="7" fillId="20" borderId="43" xfId="0" applyFont="1" applyFill="1" applyBorder="1" applyAlignment="1" applyProtection="1">
      <alignment horizontal="center"/>
      <protection hidden="1"/>
    </xf>
    <xf numFmtId="0" fontId="7" fillId="20" borderId="44" xfId="0" applyFont="1" applyFill="1" applyBorder="1" applyAlignment="1" applyProtection="1">
      <alignment horizontal="center"/>
      <protection hidden="1"/>
    </xf>
    <xf numFmtId="0" fontId="15" fillId="0" borderId="40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167" fontId="11" fillId="0" borderId="1" xfId="0" applyNumberFormat="1" applyFont="1" applyBorder="1" applyAlignment="1" applyProtection="1">
      <alignment horizontal="center" vertical="center"/>
      <protection hidden="1"/>
    </xf>
    <xf numFmtId="166" fontId="0" fillId="0" borderId="1" xfId="0" applyNumberFormat="1" applyBorder="1" applyAlignment="1" applyProtection="1">
      <alignment horizontal="center" vertical="center"/>
      <protection hidden="1"/>
    </xf>
    <xf numFmtId="167" fontId="0" fillId="0" borderId="1" xfId="0" applyNumberFormat="1" applyBorder="1" applyAlignment="1" applyProtection="1">
      <alignment horizontal="center"/>
      <protection hidden="1"/>
    </xf>
    <xf numFmtId="0" fontId="1" fillId="4" borderId="4" xfId="0" applyFont="1" applyFill="1" applyBorder="1" applyAlignment="1" applyProtection="1">
      <alignment horizontal="center" vertical="center"/>
      <protection hidden="1"/>
    </xf>
    <xf numFmtId="0" fontId="1" fillId="4" borderId="6" xfId="0" applyFont="1" applyFill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/>
      <protection hidden="1"/>
    </xf>
    <xf numFmtId="0" fontId="31" fillId="0" borderId="53" xfId="0" applyFont="1" applyBorder="1" applyAlignment="1" applyProtection="1">
      <alignment horizontal="center" vertical="center" wrapText="1"/>
      <protection hidden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 du stockage du CO₂ pour l'essence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Calculateur!$Q$2</c:f>
              <c:strCache>
                <c:ptCount val="1"/>
                <c:pt idx="0">
                  <c:v>Biomasse totale (tCO₂/ha)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Calculateur!$A$3:$A$203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Calculateur!$Q$3:$Q$203</c:f>
              <c:numCache>
                <c:formatCode>0.0</c:formatCode>
                <c:ptCount val="201"/>
                <c:pt idx="0" formatCode="General">
                  <c:v>0</c:v>
                </c:pt>
                <c:pt idx="1">
                  <c:v>1.9371373631158919</c:v>
                </c:pt>
                <c:pt idx="2">
                  <c:v>2.582043612011879</c:v>
                </c:pt>
                <c:pt idx="3">
                  <c:v>3.4425466249226413</c:v>
                </c:pt>
                <c:pt idx="4">
                  <c:v>4.591004491739012</c:v>
                </c:pt>
                <c:pt idx="5">
                  <c:v>6.124148648935722</c:v>
                </c:pt>
                <c:pt idx="6">
                  <c:v>8.1713216117174081</c:v>
                </c:pt>
                <c:pt idx="7">
                  <c:v>10.905507543402789</c:v>
                </c:pt>
                <c:pt idx="8">
                  <c:v>14.558105199493902</c:v>
                </c:pt>
                <c:pt idx="9">
                  <c:v>19.438716447552824</c:v>
                </c:pt>
                <c:pt idx="10">
                  <c:v>25.96165780940046</c:v>
                </c:pt>
                <c:pt idx="11">
                  <c:v>34.681485159077681</c:v>
                </c:pt>
                <c:pt idx="12">
                  <c:v>46.340603684565174</c:v>
                </c:pt>
                <c:pt idx="13">
                  <c:v>61.933084777661577</c:v>
                </c:pt>
                <c:pt idx="14">
                  <c:v>82.790220394132618</c:v>
                </c:pt>
                <c:pt idx="15">
                  <c:v>110.69523687133828</c:v>
                </c:pt>
                <c:pt idx="16">
                  <c:v>148.03712979275406</c:v>
                </c:pt>
                <c:pt idx="17">
                  <c:v>198.01699175113845</c:v>
                </c:pt>
                <c:pt idx="18">
                  <c:v>225.9481518705777</c:v>
                </c:pt>
                <c:pt idx="19">
                  <c:v>167.1629650420995</c:v>
                </c:pt>
                <c:pt idx="20">
                  <c:v>192.18884671776516</c:v>
                </c:pt>
                <c:pt idx="21">
                  <c:v>217.13883006272945</c:v>
                </c:pt>
                <c:pt idx="22">
                  <c:v>242.02286551975575</c:v>
                </c:pt>
                <c:pt idx="23">
                  <c:v>266.84868654930165</c:v>
                </c:pt>
                <c:pt idx="24">
                  <c:v>291.62246862735793</c:v>
                </c:pt>
                <c:pt idx="25">
                  <c:v>267.83973843136442</c:v>
                </c:pt>
                <c:pt idx="26">
                  <c:v>295.20984437767919</c:v>
                </c:pt>
                <c:pt idx="27">
                  <c:v>322.52334410117277</c:v>
                </c:pt>
                <c:pt idx="28">
                  <c:v>349.785701644997</c:v>
                </c:pt>
                <c:pt idx="29">
                  <c:v>377.00145984165829</c:v>
                </c:pt>
                <c:pt idx="30">
                  <c:v>404.17445231612891</c:v>
                </c:pt>
                <c:pt idx="31">
                  <c:v>353.2119291038573</c:v>
                </c:pt>
                <c:pt idx="32">
                  <c:v>380.4892939371228</c:v>
                </c:pt>
                <c:pt idx="33">
                  <c:v>407.72413216850492</c:v>
                </c:pt>
                <c:pt idx="34">
                  <c:v>434.91968079517761</c:v>
                </c:pt>
                <c:pt idx="35">
                  <c:v>462.07873925701455</c:v>
                </c:pt>
                <c:pt idx="36">
                  <c:v>489.20375134717227</c:v>
                </c:pt>
                <c:pt idx="37">
                  <c:v>433.59961838636008</c:v>
                </c:pt>
                <c:pt idx="38">
                  <c:v>460.20839311111894</c:v>
                </c:pt>
                <c:pt idx="39">
                  <c:v>486.78434108389047</c:v>
                </c:pt>
                <c:pt idx="40">
                  <c:v>513.32950438861201</c:v>
                </c:pt>
                <c:pt idx="41">
                  <c:v>539.84569689767909</c:v>
                </c:pt>
                <c:pt idx="42">
                  <c:v>566.33453995655486</c:v>
                </c:pt>
                <c:pt idx="43">
                  <c:v>505.12943761341859</c:v>
                </c:pt>
                <c:pt idx="44">
                  <c:v>530.71596265986329</c:v>
                </c:pt>
                <c:pt idx="45">
                  <c:v>556.27653997817106</c:v>
                </c:pt>
                <c:pt idx="46">
                  <c:v>581.81252811346212</c:v>
                </c:pt>
                <c:pt idx="47">
                  <c:v>607.32515676835726</c:v>
                </c:pt>
                <c:pt idx="48">
                  <c:v>632.81554402908341</c:v>
                </c:pt>
                <c:pt idx="49">
                  <c:v>561.06523629540231</c:v>
                </c:pt>
                <c:pt idx="50">
                  <c:v>585.27746751979441</c:v>
                </c:pt>
                <c:pt idx="51">
                  <c:v>609.46883490395442</c:v>
                </c:pt>
                <c:pt idx="52">
                  <c:v>633.64028211551329</c:v>
                </c:pt>
                <c:pt idx="53">
                  <c:v>657.79267504043685</c:v>
                </c:pt>
                <c:pt idx="54">
                  <c:v>681.92681087155916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AE-4BD7-B548-9F9B41B05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3454800"/>
        <c:axId val="2093449904"/>
      </c:scatterChart>
      <c:valAx>
        <c:axId val="2093454800"/>
        <c:scaling>
          <c:orientation val="minMax"/>
          <c:max val="1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Age (années)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49904"/>
        <c:crosses val="autoZero"/>
        <c:crossBetween val="midCat"/>
      </c:valAx>
      <c:valAx>
        <c:axId val="2093449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Stockage de CO₂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548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 du stockage du CO₂ pour l'essence 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3"/>
          <c:order val="0"/>
          <c:tx>
            <c:strRef>
              <c:f>Calculateur!$AL$2</c:f>
              <c:strCache>
                <c:ptCount val="1"/>
                <c:pt idx="0">
                  <c:v>Biomasse totale (tCO₂/ha)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Calculateur!$A$3:$A$203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Calculateur!$AL$3:$AL$203</c:f>
              <c:numCache>
                <c:formatCode>0.0</c:formatCode>
                <c:ptCount val="201"/>
                <c:pt idx="0" formatCode="General">
                  <c:v>0</c:v>
                </c:pt>
                <c:pt idx="1">
                  <c:v>2.2110002058468745</c:v>
                </c:pt>
                <c:pt idx="2">
                  <c:v>3.0261980573149021</c:v>
                </c:pt>
                <c:pt idx="3">
                  <c:v>4.1432366715717004</c:v>
                </c:pt>
                <c:pt idx="4">
                  <c:v>5.6743225491651232</c:v>
                </c:pt>
                <c:pt idx="5">
                  <c:v>7.773528289867877</c:v>
                </c:pt>
                <c:pt idx="6">
                  <c:v>10.652466884004044</c:v>
                </c:pt>
                <c:pt idx="7">
                  <c:v>14.601852692227887</c:v>
                </c:pt>
                <c:pt idx="8">
                  <c:v>20.021166243893362</c:v>
                </c:pt>
                <c:pt idx="9">
                  <c:v>27.459477189354104</c:v>
                </c:pt>
                <c:pt idx="10">
                  <c:v>37.671633817791609</c:v>
                </c:pt>
                <c:pt idx="11">
                  <c:v>56.134802667691815</c:v>
                </c:pt>
                <c:pt idx="12">
                  <c:v>74.436448411842733</c:v>
                </c:pt>
                <c:pt idx="13">
                  <c:v>92.622488044171291</c:v>
                </c:pt>
                <c:pt idx="14">
                  <c:v>110.7189877566932</c:v>
                </c:pt>
                <c:pt idx="15">
                  <c:v>128.74270297836009</c:v>
                </c:pt>
                <c:pt idx="16">
                  <c:v>146.70528200471392</c:v>
                </c:pt>
                <c:pt idx="17">
                  <c:v>164.61527459906242</c:v>
                </c:pt>
                <c:pt idx="18">
                  <c:v>182.47921226336265</c:v>
                </c:pt>
                <c:pt idx="19">
                  <c:v>200.30224038157857</c:v>
                </c:pt>
                <c:pt idx="20">
                  <c:v>218.08851241049035</c:v>
                </c:pt>
                <c:pt idx="21">
                  <c:v>159.32874195250244</c:v>
                </c:pt>
                <c:pt idx="22">
                  <c:v>181.66813736078151</c:v>
                </c:pt>
                <c:pt idx="23">
                  <c:v>203.94321057745549</c:v>
                </c:pt>
                <c:pt idx="24">
                  <c:v>226.16197789995076</c:v>
                </c:pt>
                <c:pt idx="25">
                  <c:v>248.33074918569818</c:v>
                </c:pt>
                <c:pt idx="26">
                  <c:v>270.45461449361864</c:v>
                </c:pt>
                <c:pt idx="27">
                  <c:v>292.53776259751828</c:v>
                </c:pt>
                <c:pt idx="28">
                  <c:v>314.583698040076</c:v>
                </c:pt>
                <c:pt idx="29">
                  <c:v>336.59539404232538</c:v>
                </c:pt>
                <c:pt idx="30">
                  <c:v>358.57540326704753</c:v>
                </c:pt>
                <c:pt idx="31">
                  <c:v>266.56923588073727</c:v>
                </c:pt>
                <c:pt idx="32">
                  <c:v>286.78647711903716</c:v>
                </c:pt>
                <c:pt idx="33">
                  <c:v>306.97184146318881</c:v>
                </c:pt>
                <c:pt idx="34">
                  <c:v>327.1277190437109</c:v>
                </c:pt>
                <c:pt idx="35">
                  <c:v>347.25618143588719</c:v>
                </c:pt>
                <c:pt idx="36">
                  <c:v>367.3590405061089</c:v>
                </c:pt>
                <c:pt idx="37">
                  <c:v>387.43789369626415</c:v>
                </c:pt>
                <c:pt idx="38">
                  <c:v>407.49415942665138</c:v>
                </c:pt>
                <c:pt idx="39">
                  <c:v>427.5291051635549</c:v>
                </c:pt>
                <c:pt idx="40">
                  <c:v>447.54386995067108</c:v>
                </c:pt>
                <c:pt idx="41">
                  <c:v>355.11389600890448</c:v>
                </c:pt>
                <c:pt idx="42">
                  <c:v>371.6161159842477</c:v>
                </c:pt>
                <c:pt idx="43">
                  <c:v>388.10236266830719</c:v>
                </c:pt>
                <c:pt idx="44">
                  <c:v>404.57340992986133</c:v>
                </c:pt>
                <c:pt idx="45">
                  <c:v>421.02996350009448</c:v>
                </c:pt>
                <c:pt idx="46">
                  <c:v>437.47266945596533</c:v>
                </c:pt>
                <c:pt idx="47">
                  <c:v>453.90212136173136</c:v>
                </c:pt>
                <c:pt idx="48">
                  <c:v>470.31886632272807</c:v>
                </c:pt>
                <c:pt idx="49">
                  <c:v>486.72341015001916</c:v>
                </c:pt>
                <c:pt idx="50">
                  <c:v>503.11622179266834</c:v>
                </c:pt>
                <c:pt idx="51">
                  <c:v>426.33554561113533</c:v>
                </c:pt>
                <c:pt idx="52">
                  <c:v>439.59333149267508</c:v>
                </c:pt>
                <c:pt idx="53">
                  <c:v>452.84254581303099</c:v>
                </c:pt>
                <c:pt idx="54">
                  <c:v>466.08347466593301</c:v>
                </c:pt>
                <c:pt idx="55">
                  <c:v>479.31638656594276</c:v>
                </c:pt>
                <c:pt idx="56">
                  <c:v>492.54153399430987</c:v>
                </c:pt>
                <c:pt idx="57">
                  <c:v>505.75915477017423</c:v>
                </c:pt>
                <c:pt idx="58">
                  <c:v>518.96947327099519</c:v>
                </c:pt>
                <c:pt idx="59">
                  <c:v>532.17270152227172</c:v>
                </c:pt>
                <c:pt idx="60">
                  <c:v>545.36904017352083</c:v>
                </c:pt>
                <c:pt idx="61">
                  <c:v>483.02020001617831</c:v>
                </c:pt>
                <c:pt idx="62">
                  <c:v>493.33480119409711</c:v>
                </c:pt>
                <c:pt idx="63">
                  <c:v>503.64483183617267</c:v>
                </c:pt>
                <c:pt idx="64">
                  <c:v>513.9503987019458</c:v>
                </c:pt>
                <c:pt idx="65">
                  <c:v>524.2516039201148</c:v>
                </c:pt>
                <c:pt idx="66">
                  <c:v>534.54854527839552</c:v>
                </c:pt>
                <c:pt idx="67">
                  <c:v>544.84131648988216</c:v>
                </c:pt>
                <c:pt idx="68">
                  <c:v>555.13000743824</c:v>
                </c:pt>
                <c:pt idx="69">
                  <c:v>565.4147044037735</c:v>
                </c:pt>
                <c:pt idx="70">
                  <c:v>575.69549027219523</c:v>
                </c:pt>
                <c:pt idx="71">
                  <c:v>524.25160392011492</c:v>
                </c:pt>
                <c:pt idx="72">
                  <c:v>532.17270152227195</c:v>
                </c:pt>
                <c:pt idx="73">
                  <c:v>540.0913190698044</c:v>
                </c:pt>
                <c:pt idx="74">
                  <c:v>548.00749806060492</c:v>
                </c:pt>
                <c:pt idx="75">
                  <c:v>555.92127869561818</c:v>
                </c:pt>
                <c:pt idx="76">
                  <c:v>563.83269993765953</c:v>
                </c:pt>
                <c:pt idx="77">
                  <c:v>571.74179956676232</c:v>
                </c:pt>
                <c:pt idx="78">
                  <c:v>579.64861423230275</c:v>
                </c:pt>
                <c:pt idx="79">
                  <c:v>587.55317950213146</c:v>
                </c:pt>
                <c:pt idx="80">
                  <c:v>595.45552990892566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ADC-461F-98F9-FE0178CC1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3453712"/>
        <c:axId val="2093442832"/>
      </c:scatterChart>
      <c:valAx>
        <c:axId val="2093453712"/>
        <c:scaling>
          <c:orientation val="minMax"/>
          <c:max val="1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Age (années)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42832"/>
        <c:crosses val="autoZero"/>
        <c:crossBetween val="midCat"/>
      </c:valAx>
      <c:valAx>
        <c:axId val="2093442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Stockage de CO₂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537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 du stockage du CO₂ pour l'essence 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Calculateur!$BG$2</c:f>
              <c:strCache>
                <c:ptCount val="1"/>
                <c:pt idx="0">
                  <c:v>Biomasse totale (tCO₂/ha)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Calculateur!$A$3:$A$203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Calculateur!$BG$3:$BG$203</c:f>
              <c:numCache>
                <c:formatCode>0.0</c:formatCode>
                <c:ptCount val="201"/>
                <c:pt idx="0" formatCode="General">
                  <c:v>0</c:v>
                </c:pt>
                <c:pt idx="1">
                  <c:v>1.9411817270446112</c:v>
                </c:pt>
                <c:pt idx="2">
                  <c:v>2.4297641653807944</c:v>
                </c:pt>
                <c:pt idx="3">
                  <c:v>3.0418043526627723</c:v>
                </c:pt>
                <c:pt idx="4">
                  <c:v>3.8086140137352733</c:v>
                </c:pt>
                <c:pt idx="5">
                  <c:v>4.7694737635358386</c:v>
                </c:pt>
                <c:pt idx="6">
                  <c:v>5.9736677222174537</c:v>
                </c:pt>
                <c:pt idx="7">
                  <c:v>7.4830391464966226</c:v>
                </c:pt>
                <c:pt idx="8">
                  <c:v>9.375200859104206</c:v>
                </c:pt>
                <c:pt idx="9">
                  <c:v>11.747568694482132</c:v>
                </c:pt>
                <c:pt idx="10">
                  <c:v>14.722429499116059</c:v>
                </c:pt>
                <c:pt idx="11">
                  <c:v>18.453309725680967</c:v>
                </c:pt>
                <c:pt idx="12">
                  <c:v>23.132979232814776</c:v>
                </c:pt>
                <c:pt idx="13">
                  <c:v>29.003511187168854</c:v>
                </c:pt>
                <c:pt idx="14">
                  <c:v>36.368927545143769</c:v>
                </c:pt>
                <c:pt idx="15">
                  <c:v>45.611096240380732</c:v>
                </c:pt>
                <c:pt idx="16">
                  <c:v>57.209718188365294</c:v>
                </c:pt>
                <c:pt idx="17">
                  <c:v>71.76745869558242</c:v>
                </c:pt>
                <c:pt idx="18">
                  <c:v>90.041550356942707</c:v>
                </c:pt>
                <c:pt idx="19">
                  <c:v>112.98353756349984</c:v>
                </c:pt>
                <c:pt idx="20">
                  <c:v>141.78926461478019</c:v>
                </c:pt>
                <c:pt idx="21">
                  <c:v>123.90752725067647</c:v>
                </c:pt>
                <c:pt idx="22">
                  <c:v>143.87396520954266</c:v>
                </c:pt>
                <c:pt idx="23">
                  <c:v>163.77399413433875</c:v>
                </c:pt>
                <c:pt idx="24">
                  <c:v>183.61682804539444</c:v>
                </c:pt>
                <c:pt idx="25">
                  <c:v>203.40952119107328</c:v>
                </c:pt>
                <c:pt idx="26">
                  <c:v>223.15764021827397</c:v>
                </c:pt>
                <c:pt idx="27">
                  <c:v>242.86568478783872</c:v>
                </c:pt>
                <c:pt idx="28">
                  <c:v>262.53736401160751</c:v>
                </c:pt>
                <c:pt idx="29">
                  <c:v>282.17578546861114</c:v>
                </c:pt>
                <c:pt idx="30">
                  <c:v>301.78358873635585</c:v>
                </c:pt>
                <c:pt idx="31">
                  <c:v>233.98245141380619</c:v>
                </c:pt>
                <c:pt idx="32">
                  <c:v>257.39776916516081</c:v>
                </c:pt>
                <c:pt idx="33">
                  <c:v>280.76492347284267</c:v>
                </c:pt>
                <c:pt idx="34">
                  <c:v>304.08848473578604</c:v>
                </c:pt>
                <c:pt idx="35">
                  <c:v>327.3722648494786</c:v>
                </c:pt>
                <c:pt idx="36">
                  <c:v>350.61948923031804</c:v>
                </c:pt>
                <c:pt idx="37">
                  <c:v>373.83292076812228</c:v>
                </c:pt>
                <c:pt idx="38">
                  <c:v>397.01495135221603</c:v>
                </c:pt>
                <c:pt idx="39">
                  <c:v>420.16767089021386</c:v>
                </c:pt>
                <c:pt idx="40">
                  <c:v>443.29292031429776</c:v>
                </c:pt>
                <c:pt idx="41">
                  <c:v>346.40691666299762</c:v>
                </c:pt>
                <c:pt idx="42">
                  <c:v>370.51869100778345</c:v>
                </c:pt>
                <c:pt idx="43">
                  <c:v>394.59625328405656</c:v>
                </c:pt>
                <c:pt idx="44">
                  <c:v>418.64198281510261</c:v>
                </c:pt>
                <c:pt idx="45">
                  <c:v>442.65796346687102</c:v>
                </c:pt>
                <c:pt idx="46">
                  <c:v>466.64603470301768</c:v>
                </c:pt>
                <c:pt idx="47">
                  <c:v>490.60783159413654</c:v>
                </c:pt>
                <c:pt idx="48">
                  <c:v>514.54481660428598</c:v>
                </c:pt>
                <c:pt idx="49">
                  <c:v>538.45830515610044</c:v>
                </c:pt>
                <c:pt idx="50">
                  <c:v>562.34948641975632</c:v>
                </c:pt>
                <c:pt idx="51">
                  <c:v>449.6414221106092</c:v>
                </c:pt>
                <c:pt idx="52">
                  <c:v>472.48036714392589</c:v>
                </c:pt>
                <c:pt idx="53">
                  <c:v>495.29581803158686</c:v>
                </c:pt>
                <c:pt idx="54">
                  <c:v>518.08900823898523</c:v>
                </c:pt>
                <c:pt idx="55">
                  <c:v>540.86105394398044</c:v>
                </c:pt>
                <c:pt idx="56">
                  <c:v>563.61296975757841</c:v>
                </c:pt>
                <c:pt idx="57">
                  <c:v>586.3456817754037</c:v>
                </c:pt>
                <c:pt idx="58">
                  <c:v>609.06003850108198</c:v>
                </c:pt>
                <c:pt idx="59">
                  <c:v>631.75682005648241</c:v>
                </c:pt>
                <c:pt idx="60">
                  <c:v>654.43674600057705</c:v>
                </c:pt>
                <c:pt idx="61">
                  <c:v>538.83770149584484</c:v>
                </c:pt>
                <c:pt idx="62">
                  <c:v>559.56961376197262</c:v>
                </c:pt>
                <c:pt idx="63">
                  <c:v>580.28545371418193</c:v>
                </c:pt>
                <c:pt idx="64">
                  <c:v>600.9858753500979</c:v>
                </c:pt>
                <c:pt idx="65">
                  <c:v>621.67148398309314</c:v>
                </c:pt>
                <c:pt idx="66">
                  <c:v>642.3428413983936</c:v>
                </c:pt>
                <c:pt idx="67">
                  <c:v>663.00047031146926</c:v>
                </c:pt>
                <c:pt idx="68">
                  <c:v>683.64485824233805</c:v>
                </c:pt>
                <c:pt idx="69">
                  <c:v>704.27646089797838</c:v>
                </c:pt>
                <c:pt idx="70">
                  <c:v>724.8957051381575</c:v>
                </c:pt>
                <c:pt idx="71">
                  <c:v>613.47465478619222</c:v>
                </c:pt>
                <c:pt idx="72">
                  <c:v>631.75682005648218</c:v>
                </c:pt>
                <c:pt idx="73">
                  <c:v>650.02804840865338</c:v>
                </c:pt>
                <c:pt idx="74">
                  <c:v>668.28869028503095</c:v>
                </c:pt>
                <c:pt idx="75">
                  <c:v>686.53907543225387</c:v>
                </c:pt>
                <c:pt idx="76">
                  <c:v>704.77951465231456</c:v>
                </c:pt>
                <c:pt idx="77">
                  <c:v>723.01030136305792</c:v>
                </c:pt>
                <c:pt idx="78">
                  <c:v>741.23171299324815</c:v>
                </c:pt>
                <c:pt idx="79">
                  <c:v>759.4440122334571</c:v>
                </c:pt>
                <c:pt idx="80">
                  <c:v>777.64744816083942</c:v>
                </c:pt>
                <c:pt idx="81">
                  <c:v>675.21244034007634</c:v>
                </c:pt>
                <c:pt idx="82">
                  <c:v>690.94283930246672</c:v>
                </c:pt>
                <c:pt idx="83">
                  <c:v>706.66590086759163</c:v>
                </c:pt>
                <c:pt idx="84">
                  <c:v>722.38181116058729</c:v>
                </c:pt>
                <c:pt idx="85">
                  <c:v>738.09074755429128</c:v>
                </c:pt>
                <c:pt idx="86">
                  <c:v>753.79287926214727</c:v>
                </c:pt>
                <c:pt idx="87">
                  <c:v>769.48836787917628</c:v>
                </c:pt>
                <c:pt idx="88">
                  <c:v>785.17736787656031</c:v>
                </c:pt>
                <c:pt idx="89">
                  <c:v>800.86002705467661</c:v>
                </c:pt>
                <c:pt idx="90">
                  <c:v>816.53648695883328</c:v>
                </c:pt>
                <c:pt idx="91">
                  <c:v>712.32444295533423</c:v>
                </c:pt>
                <c:pt idx="92">
                  <c:v>712.32444295533423</c:v>
                </c:pt>
                <c:pt idx="93">
                  <c:v>712.32444295533423</c:v>
                </c:pt>
                <c:pt idx="94">
                  <c:v>712.32444295533423</c:v>
                </c:pt>
                <c:pt idx="95">
                  <c:v>712.32444295533423</c:v>
                </c:pt>
                <c:pt idx="96">
                  <c:v>712.32444295533423</c:v>
                </c:pt>
                <c:pt idx="97">
                  <c:v>712.32444295533423</c:v>
                </c:pt>
                <c:pt idx="98">
                  <c:v>712.32444295533423</c:v>
                </c:pt>
                <c:pt idx="99">
                  <c:v>712.32444295533423</c:v>
                </c:pt>
                <c:pt idx="100">
                  <c:v>712.32444295533423</c:v>
                </c:pt>
                <c:pt idx="101">
                  <c:v>712.32444295533423</c:v>
                </c:pt>
                <c:pt idx="102">
                  <c:v>712.32444295533423</c:v>
                </c:pt>
                <c:pt idx="103">
                  <c:v>712.32444295533423</c:v>
                </c:pt>
                <c:pt idx="104">
                  <c:v>712.32444295533423</c:v>
                </c:pt>
                <c:pt idx="105">
                  <c:v>712.32444295533423</c:v>
                </c:pt>
                <c:pt idx="106">
                  <c:v>712.32444295533423</c:v>
                </c:pt>
                <c:pt idx="107">
                  <c:v>712.32444295533423</c:v>
                </c:pt>
                <c:pt idx="108">
                  <c:v>712.32444295533423</c:v>
                </c:pt>
                <c:pt idx="109">
                  <c:v>712.32444295533423</c:v>
                </c:pt>
                <c:pt idx="110">
                  <c:v>712.32444295533423</c:v>
                </c:pt>
                <c:pt idx="111">
                  <c:v>712.32444295533423</c:v>
                </c:pt>
                <c:pt idx="112">
                  <c:v>712.32444295533423</c:v>
                </c:pt>
                <c:pt idx="113">
                  <c:v>712.32444295533423</c:v>
                </c:pt>
                <c:pt idx="114">
                  <c:v>712.32444295533423</c:v>
                </c:pt>
                <c:pt idx="115">
                  <c:v>712.32444295533423</c:v>
                </c:pt>
                <c:pt idx="116">
                  <c:v>712.32444295533423</c:v>
                </c:pt>
                <c:pt idx="117">
                  <c:v>712.32444295533423</c:v>
                </c:pt>
                <c:pt idx="118">
                  <c:v>712.32444295533423</c:v>
                </c:pt>
                <c:pt idx="119">
                  <c:v>712.32444295533423</c:v>
                </c:pt>
                <c:pt idx="120">
                  <c:v>712.32444295533423</c:v>
                </c:pt>
                <c:pt idx="121">
                  <c:v>712.32444295533423</c:v>
                </c:pt>
                <c:pt idx="122">
                  <c:v>712.32444295533423</c:v>
                </c:pt>
                <c:pt idx="123">
                  <c:v>712.32444295533423</c:v>
                </c:pt>
                <c:pt idx="124">
                  <c:v>712.32444295533423</c:v>
                </c:pt>
                <c:pt idx="125">
                  <c:v>712.32444295533423</c:v>
                </c:pt>
                <c:pt idx="126">
                  <c:v>712.32444295533423</c:v>
                </c:pt>
                <c:pt idx="127">
                  <c:v>712.32444295533423</c:v>
                </c:pt>
                <c:pt idx="128">
                  <c:v>712.32444295533423</c:v>
                </c:pt>
                <c:pt idx="129">
                  <c:v>712.32444295533423</c:v>
                </c:pt>
                <c:pt idx="130">
                  <c:v>712.32444295533423</c:v>
                </c:pt>
                <c:pt idx="131">
                  <c:v>712.32444295533423</c:v>
                </c:pt>
                <c:pt idx="132">
                  <c:v>712.32444295533423</c:v>
                </c:pt>
                <c:pt idx="133">
                  <c:v>712.32444295533423</c:v>
                </c:pt>
                <c:pt idx="134">
                  <c:v>712.32444295533423</c:v>
                </c:pt>
                <c:pt idx="135">
                  <c:v>712.32444295533423</c:v>
                </c:pt>
                <c:pt idx="136">
                  <c:v>712.32444295533423</c:v>
                </c:pt>
                <c:pt idx="137">
                  <c:v>712.32444295533423</c:v>
                </c:pt>
                <c:pt idx="138">
                  <c:v>712.32444295533423</c:v>
                </c:pt>
                <c:pt idx="139">
                  <c:v>712.32444295533423</c:v>
                </c:pt>
                <c:pt idx="140">
                  <c:v>712.32444295533423</c:v>
                </c:pt>
                <c:pt idx="141">
                  <c:v>712.32444295533423</c:v>
                </c:pt>
                <c:pt idx="142">
                  <c:v>712.32444295533423</c:v>
                </c:pt>
                <c:pt idx="143">
                  <c:v>712.32444295533423</c:v>
                </c:pt>
                <c:pt idx="144">
                  <c:v>712.32444295533423</c:v>
                </c:pt>
                <c:pt idx="145">
                  <c:v>712.32444295533423</c:v>
                </c:pt>
                <c:pt idx="146">
                  <c:v>712.32444295533423</c:v>
                </c:pt>
                <c:pt idx="147">
                  <c:v>712.32444295533423</c:v>
                </c:pt>
                <c:pt idx="148">
                  <c:v>712.32444295533423</c:v>
                </c:pt>
                <c:pt idx="149">
                  <c:v>712.32444295533423</c:v>
                </c:pt>
                <c:pt idx="150">
                  <c:v>712.32444295533423</c:v>
                </c:pt>
                <c:pt idx="151">
                  <c:v>712.32444295533423</c:v>
                </c:pt>
                <c:pt idx="152">
                  <c:v>712.32444295533423</c:v>
                </c:pt>
                <c:pt idx="153">
                  <c:v>712.32444295533423</c:v>
                </c:pt>
                <c:pt idx="154">
                  <c:v>712.32444295533423</c:v>
                </c:pt>
                <c:pt idx="155">
                  <c:v>712.32444295533423</c:v>
                </c:pt>
                <c:pt idx="156">
                  <c:v>712.32444295533423</c:v>
                </c:pt>
                <c:pt idx="157">
                  <c:v>712.32444295533423</c:v>
                </c:pt>
                <c:pt idx="158">
                  <c:v>712.32444295533423</c:v>
                </c:pt>
                <c:pt idx="159">
                  <c:v>712.32444295533423</c:v>
                </c:pt>
                <c:pt idx="160">
                  <c:v>712.32444295533423</c:v>
                </c:pt>
                <c:pt idx="161">
                  <c:v>712.32444295533423</c:v>
                </c:pt>
                <c:pt idx="162">
                  <c:v>712.32444295533423</c:v>
                </c:pt>
                <c:pt idx="163">
                  <c:v>712.32444295533423</c:v>
                </c:pt>
                <c:pt idx="164">
                  <c:v>712.32444295533423</c:v>
                </c:pt>
                <c:pt idx="165">
                  <c:v>712.32444295533423</c:v>
                </c:pt>
                <c:pt idx="166">
                  <c:v>712.32444295533423</c:v>
                </c:pt>
                <c:pt idx="167">
                  <c:v>712.32444295533423</c:v>
                </c:pt>
                <c:pt idx="168">
                  <c:v>712.32444295533423</c:v>
                </c:pt>
                <c:pt idx="169">
                  <c:v>712.32444295533423</c:v>
                </c:pt>
                <c:pt idx="170">
                  <c:v>712.32444295533423</c:v>
                </c:pt>
                <c:pt idx="171">
                  <c:v>712.32444295533423</c:v>
                </c:pt>
                <c:pt idx="172">
                  <c:v>712.32444295533423</c:v>
                </c:pt>
                <c:pt idx="173">
                  <c:v>712.32444295533423</c:v>
                </c:pt>
                <c:pt idx="174">
                  <c:v>712.32444295533423</c:v>
                </c:pt>
                <c:pt idx="175">
                  <c:v>712.32444295533423</c:v>
                </c:pt>
                <c:pt idx="176">
                  <c:v>712.32444295533423</c:v>
                </c:pt>
                <c:pt idx="177">
                  <c:v>712.32444295533423</c:v>
                </c:pt>
                <c:pt idx="178">
                  <c:v>712.32444295533423</c:v>
                </c:pt>
                <c:pt idx="179">
                  <c:v>712.32444295533423</c:v>
                </c:pt>
                <c:pt idx="180">
                  <c:v>712.32444295533423</c:v>
                </c:pt>
                <c:pt idx="181">
                  <c:v>712.32444295533423</c:v>
                </c:pt>
                <c:pt idx="182">
                  <c:v>712.32444295533423</c:v>
                </c:pt>
                <c:pt idx="183">
                  <c:v>712.32444295533423</c:v>
                </c:pt>
                <c:pt idx="184">
                  <c:v>712.32444295533423</c:v>
                </c:pt>
                <c:pt idx="185">
                  <c:v>712.32444295533423</c:v>
                </c:pt>
                <c:pt idx="186">
                  <c:v>712.32444295533423</c:v>
                </c:pt>
                <c:pt idx="187">
                  <c:v>712.32444295533423</c:v>
                </c:pt>
                <c:pt idx="188">
                  <c:v>712.32444295533423</c:v>
                </c:pt>
                <c:pt idx="189">
                  <c:v>712.32444295533423</c:v>
                </c:pt>
                <c:pt idx="190">
                  <c:v>712.32444295533423</c:v>
                </c:pt>
                <c:pt idx="191">
                  <c:v>712.32444295533423</c:v>
                </c:pt>
                <c:pt idx="192">
                  <c:v>712.32444295533423</c:v>
                </c:pt>
                <c:pt idx="193">
                  <c:v>712.32444295533423</c:v>
                </c:pt>
                <c:pt idx="194">
                  <c:v>712.32444295533423</c:v>
                </c:pt>
                <c:pt idx="195">
                  <c:v>712.32444295533423</c:v>
                </c:pt>
                <c:pt idx="196">
                  <c:v>712.32444295533423</c:v>
                </c:pt>
                <c:pt idx="197">
                  <c:v>712.32444295533423</c:v>
                </c:pt>
                <c:pt idx="198">
                  <c:v>712.32444295533423</c:v>
                </c:pt>
                <c:pt idx="199">
                  <c:v>712.32444295533423</c:v>
                </c:pt>
                <c:pt idx="200">
                  <c:v>712.32444295533423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28D-4A56-AD00-DE3976397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3444464"/>
        <c:axId val="2093450448"/>
      </c:scatterChart>
      <c:valAx>
        <c:axId val="2093444464"/>
        <c:scaling>
          <c:orientation val="minMax"/>
          <c:max val="1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Age (années)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50448"/>
        <c:crosses val="autoZero"/>
        <c:crossBetween val="midCat"/>
      </c:valAx>
      <c:valAx>
        <c:axId val="209345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Stockage de CO₂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444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 du stockage du CO₂ pour l'essence 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Calculateur!$CB$2</c:f>
              <c:strCache>
                <c:ptCount val="1"/>
                <c:pt idx="0">
                  <c:v>Biomasse totale (tCO₂/ha)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Calculateur!$A$3:$A$203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Calculateur!$CB$3:$CB$203</c:f>
              <c:numCache>
                <c:formatCode>0.0</c:formatCode>
                <c:ptCount val="201"/>
                <c:pt idx="0" formatCode="General">
                  <c:v>0</c:v>
                </c:pt>
                <c:pt idx="1">
                  <c:v>1.9050107395134865</c:v>
                </c:pt>
                <c:pt idx="2">
                  <c:v>2.4423506881720964</c:v>
                </c:pt>
                <c:pt idx="3">
                  <c:v>3.13186766866672</c:v>
                </c:pt>
                <c:pt idx="4">
                  <c:v>4.0168223472229263</c:v>
                </c:pt>
                <c:pt idx="5">
                  <c:v>5.152816999603723</c:v>
                </c:pt>
                <c:pt idx="6">
                  <c:v>6.6113279326287708</c:v>
                </c:pt>
                <c:pt idx="7">
                  <c:v>8.4842520099530194</c:v>
                </c:pt>
                <c:pt idx="8">
                  <c:v>10.889759220349179</c:v>
                </c:pt>
                <c:pt idx="9">
                  <c:v>13.979827480634695</c:v>
                </c:pt>
                <c:pt idx="10">
                  <c:v>17.949944490464095</c:v>
                </c:pt>
                <c:pt idx="11">
                  <c:v>23.051601516518478</c:v>
                </c:pt>
                <c:pt idx="12">
                  <c:v>29.608384594515144</c:v>
                </c:pt>
                <c:pt idx="13">
                  <c:v>38.036701562236296</c:v>
                </c:pt>
                <c:pt idx="14">
                  <c:v>48.872483757146973</c:v>
                </c:pt>
                <c:pt idx="15">
                  <c:v>62.805588723200408</c:v>
                </c:pt>
                <c:pt idx="16">
                  <c:v>77.520626098206534</c:v>
                </c:pt>
                <c:pt idx="17">
                  <c:v>92.164431920136678</c:v>
                </c:pt>
                <c:pt idx="18">
                  <c:v>106.74996598904643</c:v>
                </c:pt>
                <c:pt idx="19">
                  <c:v>121.28633267290662</c:v>
                </c:pt>
                <c:pt idx="20">
                  <c:v>135.78026517499768</c:v>
                </c:pt>
                <c:pt idx="21">
                  <c:v>120.41039989444089</c:v>
                </c:pt>
                <c:pt idx="22">
                  <c:v>137.52692326444313</c:v>
                </c:pt>
                <c:pt idx="23">
                  <c:v>154.59218554914693</c:v>
                </c:pt>
                <c:pt idx="24">
                  <c:v>171.61264773517541</c:v>
                </c:pt>
                <c:pt idx="25">
                  <c:v>188.59338138830182</c:v>
                </c:pt>
                <c:pt idx="26">
                  <c:v>205.53846857483623</c:v>
                </c:pt>
                <c:pt idx="27">
                  <c:v>222.45126243593026</c:v>
                </c:pt>
                <c:pt idx="28">
                  <c:v>239.33456410654892</c:v>
                </c:pt>
                <c:pt idx="29">
                  <c:v>256.19074697051059</c:v>
                </c:pt>
                <c:pt idx="30">
                  <c:v>273.02184643540642</c:v>
                </c:pt>
                <c:pt idx="31">
                  <c:v>201.08899867827259</c:v>
                </c:pt>
                <c:pt idx="32">
                  <c:v>217.88658883714618</c:v>
                </c:pt>
                <c:pt idx="33">
                  <c:v>234.65441674277224</c:v>
                </c:pt>
                <c:pt idx="34">
                  <c:v>251.39490864187141</c:v>
                </c:pt>
                <c:pt idx="35">
                  <c:v>268.11014108610431</c:v>
                </c:pt>
                <c:pt idx="36">
                  <c:v>284.80191046071667</c:v>
                </c:pt>
                <c:pt idx="37">
                  <c:v>301.47178533857345</c:v>
                </c:pt>
                <c:pt idx="38">
                  <c:v>318.12114663655655</c:v>
                </c:pt>
                <c:pt idx="39">
                  <c:v>334.75121891883833</c:v>
                </c:pt>
                <c:pt idx="40">
                  <c:v>351.36309515060788</c:v>
                </c:pt>
                <c:pt idx="41">
                  <c:v>267.98732264333523</c:v>
                </c:pt>
                <c:pt idx="42">
                  <c:v>282.59399476816571</c:v>
                </c:pt>
                <c:pt idx="43">
                  <c:v>297.18375667174149</c:v>
                </c:pt>
                <c:pt idx="44">
                  <c:v>311.75755551250023</c:v>
                </c:pt>
                <c:pt idx="45">
                  <c:v>326.31624264800934</c:v>
                </c:pt>
                <c:pt idx="46">
                  <c:v>340.86058725689622</c:v>
                </c:pt>
                <c:pt idx="47">
                  <c:v>355.39128751326507</c:v>
                </c:pt>
                <c:pt idx="48">
                  <c:v>369.90897983746737</c:v>
                </c:pt>
                <c:pt idx="49">
                  <c:v>384.41424661840296</c:v>
                </c:pt>
                <c:pt idx="50">
                  <c:v>398.90762270920141</c:v>
                </c:pt>
                <c:pt idx="51">
                  <c:v>318.97756723536349</c:v>
                </c:pt>
                <c:pt idx="52">
                  <c:v>330.59544737418997</c:v>
                </c:pt>
                <c:pt idx="53">
                  <c:v>342.20432341350721</c:v>
                </c:pt>
                <c:pt idx="54">
                  <c:v>353.80454395241918</c:v>
                </c:pt>
                <c:pt idx="55">
                  <c:v>365.39643285792175</c:v>
                </c:pt>
                <c:pt idx="56">
                  <c:v>376.98029176526614</c:v>
                </c:pt>
                <c:pt idx="57">
                  <c:v>388.55640225486968</c:v>
                </c:pt>
                <c:pt idx="58">
                  <c:v>400.12502775620322</c:v>
                </c:pt>
                <c:pt idx="59">
                  <c:v>411.68641521996148</c:v>
                </c:pt>
                <c:pt idx="60">
                  <c:v>423.24079659257114</c:v>
                </c:pt>
                <c:pt idx="61">
                  <c:v>355.39128751326501</c:v>
                </c:pt>
                <c:pt idx="62">
                  <c:v>364.29860280650661</c:v>
                </c:pt>
                <c:pt idx="63">
                  <c:v>373.2011606801338</c:v>
                </c:pt>
                <c:pt idx="64">
                  <c:v>382.09909069040424</c:v>
                </c:pt>
                <c:pt idx="65">
                  <c:v>390.9925158638448</c:v>
                </c:pt>
                <c:pt idx="66">
                  <c:v>399.88155317062456</c:v>
                </c:pt>
                <c:pt idx="67">
                  <c:v>408.76631395362557</c:v>
                </c:pt>
                <c:pt idx="68">
                  <c:v>417.64690431825005</c:v>
                </c:pt>
                <c:pt idx="69">
                  <c:v>426.52342548733554</c:v>
                </c:pt>
                <c:pt idx="70">
                  <c:v>435.39597412497295</c:v>
                </c:pt>
                <c:pt idx="71">
                  <c:v>381.12419702901485</c:v>
                </c:pt>
                <c:pt idx="72">
                  <c:v>387.70368425262296</c:v>
                </c:pt>
                <c:pt idx="73">
                  <c:v>394.28074727616104</c:v>
                </c:pt>
                <c:pt idx="74">
                  <c:v>400.85543227720638</c:v>
                </c:pt>
                <c:pt idx="75">
                  <c:v>407.42778379371651</c:v>
                </c:pt>
                <c:pt idx="76">
                  <c:v>413.99784480834256</c:v>
                </c:pt>
                <c:pt idx="77">
                  <c:v>420.56565682711147</c:v>
                </c:pt>
                <c:pt idx="78">
                  <c:v>427.13125995293109</c:v>
                </c:pt>
                <c:pt idx="79">
                  <c:v>433.69469295434061</c:v>
                </c:pt>
                <c:pt idx="80">
                  <c:v>440.25599332987855</c:v>
                </c:pt>
                <c:pt idx="81">
                  <c:v>398.66413205286909</c:v>
                </c:pt>
                <c:pt idx="82">
                  <c:v>403.28990630018876</c:v>
                </c:pt>
                <c:pt idx="83">
                  <c:v>407.91453301128081</c:v>
                </c:pt>
                <c:pt idx="84">
                  <c:v>412.53802704609819</c:v>
                </c:pt>
                <c:pt idx="85">
                  <c:v>417.16040290397586</c:v>
                </c:pt>
                <c:pt idx="86">
                  <c:v>421.78167473637205</c:v>
                </c:pt>
                <c:pt idx="87">
                  <c:v>426.40185635902048</c:v>
                </c:pt>
                <c:pt idx="88">
                  <c:v>431.02096126352882</c:v>
                </c:pt>
                <c:pt idx="89">
                  <c:v>435.6390026284534</c:v>
                </c:pt>
                <c:pt idx="90">
                  <c:v>440.25599332987878</c:v>
                </c:pt>
                <c:pt idx="91">
                  <c:v>410.46976089992</c:v>
                </c:pt>
                <c:pt idx="92">
                  <c:v>414.7277120155029</c:v>
                </c:pt>
                <c:pt idx="93">
                  <c:v>418.98472026564718</c:v>
                </c:pt>
                <c:pt idx="94">
                  <c:v>423.24079659257114</c:v>
                </c:pt>
                <c:pt idx="95">
                  <c:v>427.49595170023144</c:v>
                </c:pt>
                <c:pt idx="96">
                  <c:v>431.75019606188397</c:v>
                </c:pt>
                <c:pt idx="97">
                  <c:v>436.00353992733261</c:v>
                </c:pt>
                <c:pt idx="98">
                  <c:v>440.25599332987878</c:v>
                </c:pt>
                <c:pt idx="99">
                  <c:v>444.50756609298901</c:v>
                </c:pt>
                <c:pt idx="100">
                  <c:v>448.7582678366943</c:v>
                </c:pt>
                <c:pt idx="101">
                  <c:v>415.94409581466454</c:v>
                </c:pt>
                <c:pt idx="102">
                  <c:v>415.94409581466454</c:v>
                </c:pt>
                <c:pt idx="103">
                  <c:v>415.94409581466454</c:v>
                </c:pt>
                <c:pt idx="104">
                  <c:v>415.94409581466454</c:v>
                </c:pt>
                <c:pt idx="105">
                  <c:v>415.94409581466454</c:v>
                </c:pt>
                <c:pt idx="106">
                  <c:v>415.94409581466454</c:v>
                </c:pt>
                <c:pt idx="107">
                  <c:v>415.94409581466454</c:v>
                </c:pt>
                <c:pt idx="108">
                  <c:v>415.94409581466454</c:v>
                </c:pt>
                <c:pt idx="109">
                  <c:v>415.94409581466454</c:v>
                </c:pt>
                <c:pt idx="110">
                  <c:v>415.94409581466454</c:v>
                </c:pt>
                <c:pt idx="111">
                  <c:v>415.94409581466454</c:v>
                </c:pt>
                <c:pt idx="112">
                  <c:v>415.94409581466454</c:v>
                </c:pt>
                <c:pt idx="113">
                  <c:v>415.94409581466454</c:v>
                </c:pt>
                <c:pt idx="114">
                  <c:v>415.94409581466454</c:v>
                </c:pt>
                <c:pt idx="115">
                  <c:v>415.94409581466454</c:v>
                </c:pt>
                <c:pt idx="116">
                  <c:v>415.94409581466454</c:v>
                </c:pt>
                <c:pt idx="117">
                  <c:v>415.94409581466454</c:v>
                </c:pt>
                <c:pt idx="118">
                  <c:v>415.94409581466454</c:v>
                </c:pt>
                <c:pt idx="119">
                  <c:v>415.94409581466454</c:v>
                </c:pt>
                <c:pt idx="120">
                  <c:v>415.94409581466454</c:v>
                </c:pt>
                <c:pt idx="121">
                  <c:v>415.94409581466454</c:v>
                </c:pt>
                <c:pt idx="122">
                  <c:v>415.94409581466454</c:v>
                </c:pt>
                <c:pt idx="123">
                  <c:v>415.94409581466454</c:v>
                </c:pt>
                <c:pt idx="124">
                  <c:v>415.94409581466454</c:v>
                </c:pt>
                <c:pt idx="125">
                  <c:v>415.94409581466454</c:v>
                </c:pt>
                <c:pt idx="126">
                  <c:v>415.94409581466454</c:v>
                </c:pt>
                <c:pt idx="127">
                  <c:v>415.94409581466454</c:v>
                </c:pt>
                <c:pt idx="128">
                  <c:v>415.94409581466454</c:v>
                </c:pt>
                <c:pt idx="129">
                  <c:v>415.94409581466454</c:v>
                </c:pt>
                <c:pt idx="130">
                  <c:v>415.94409581466454</c:v>
                </c:pt>
                <c:pt idx="131">
                  <c:v>415.94409581466454</c:v>
                </c:pt>
                <c:pt idx="132">
                  <c:v>415.94409581466454</c:v>
                </c:pt>
                <c:pt idx="133">
                  <c:v>415.94409581466454</c:v>
                </c:pt>
                <c:pt idx="134">
                  <c:v>415.94409581466454</c:v>
                </c:pt>
                <c:pt idx="135">
                  <c:v>415.94409581466454</c:v>
                </c:pt>
                <c:pt idx="136">
                  <c:v>415.94409581466454</c:v>
                </c:pt>
                <c:pt idx="137">
                  <c:v>415.94409581466454</c:v>
                </c:pt>
                <c:pt idx="138">
                  <c:v>415.94409581466454</c:v>
                </c:pt>
                <c:pt idx="139">
                  <c:v>415.94409581466454</c:v>
                </c:pt>
                <c:pt idx="140">
                  <c:v>415.94409581466454</c:v>
                </c:pt>
                <c:pt idx="141">
                  <c:v>415.94409581466454</c:v>
                </c:pt>
                <c:pt idx="142">
                  <c:v>415.94409581466454</c:v>
                </c:pt>
                <c:pt idx="143">
                  <c:v>415.94409581466454</c:v>
                </c:pt>
                <c:pt idx="144">
                  <c:v>415.94409581466454</c:v>
                </c:pt>
                <c:pt idx="145">
                  <c:v>415.94409581466454</c:v>
                </c:pt>
                <c:pt idx="146">
                  <c:v>415.94409581466454</c:v>
                </c:pt>
                <c:pt idx="147">
                  <c:v>415.94409581466454</c:v>
                </c:pt>
                <c:pt idx="148">
                  <c:v>415.94409581466454</c:v>
                </c:pt>
                <c:pt idx="149">
                  <c:v>415.94409581466454</c:v>
                </c:pt>
                <c:pt idx="150">
                  <c:v>415.94409581466454</c:v>
                </c:pt>
                <c:pt idx="151">
                  <c:v>415.94409581466454</c:v>
                </c:pt>
                <c:pt idx="152">
                  <c:v>415.94409581466454</c:v>
                </c:pt>
                <c:pt idx="153">
                  <c:v>415.94409581466454</c:v>
                </c:pt>
                <c:pt idx="154">
                  <c:v>415.94409581466454</c:v>
                </c:pt>
                <c:pt idx="155">
                  <c:v>415.94409581466454</c:v>
                </c:pt>
                <c:pt idx="156">
                  <c:v>415.94409581466454</c:v>
                </c:pt>
                <c:pt idx="157">
                  <c:v>415.94409581466454</c:v>
                </c:pt>
                <c:pt idx="158">
                  <c:v>415.94409581466454</c:v>
                </c:pt>
                <c:pt idx="159">
                  <c:v>415.94409581466454</c:v>
                </c:pt>
                <c:pt idx="160">
                  <c:v>415.94409581466454</c:v>
                </c:pt>
                <c:pt idx="161">
                  <c:v>415.94409581466454</c:v>
                </c:pt>
                <c:pt idx="162">
                  <c:v>415.94409581466454</c:v>
                </c:pt>
                <c:pt idx="163">
                  <c:v>415.94409581466454</c:v>
                </c:pt>
                <c:pt idx="164">
                  <c:v>415.94409581466454</c:v>
                </c:pt>
                <c:pt idx="165">
                  <c:v>415.94409581466454</c:v>
                </c:pt>
                <c:pt idx="166">
                  <c:v>415.94409581466454</c:v>
                </c:pt>
                <c:pt idx="167">
                  <c:v>415.94409581466454</c:v>
                </c:pt>
                <c:pt idx="168">
                  <c:v>415.94409581466454</c:v>
                </c:pt>
                <c:pt idx="169">
                  <c:v>415.94409581466454</c:v>
                </c:pt>
                <c:pt idx="170">
                  <c:v>415.94409581466454</c:v>
                </c:pt>
                <c:pt idx="171">
                  <c:v>415.94409581466454</c:v>
                </c:pt>
                <c:pt idx="172">
                  <c:v>415.94409581466454</c:v>
                </c:pt>
                <c:pt idx="173">
                  <c:v>415.94409581466454</c:v>
                </c:pt>
                <c:pt idx="174">
                  <c:v>415.94409581466454</c:v>
                </c:pt>
                <c:pt idx="175">
                  <c:v>415.94409581466454</c:v>
                </c:pt>
                <c:pt idx="176">
                  <c:v>415.94409581466454</c:v>
                </c:pt>
                <c:pt idx="177">
                  <c:v>415.94409581466454</c:v>
                </c:pt>
                <c:pt idx="178">
                  <c:v>415.94409581466454</c:v>
                </c:pt>
                <c:pt idx="179">
                  <c:v>415.94409581466454</c:v>
                </c:pt>
                <c:pt idx="180">
                  <c:v>415.94409581466454</c:v>
                </c:pt>
                <c:pt idx="181">
                  <c:v>415.94409581466454</c:v>
                </c:pt>
                <c:pt idx="182">
                  <c:v>415.94409581466454</c:v>
                </c:pt>
                <c:pt idx="183">
                  <c:v>415.94409581466454</c:v>
                </c:pt>
                <c:pt idx="184">
                  <c:v>415.94409581466454</c:v>
                </c:pt>
                <c:pt idx="185">
                  <c:v>415.94409581466454</c:v>
                </c:pt>
                <c:pt idx="186">
                  <c:v>415.94409581466454</c:v>
                </c:pt>
                <c:pt idx="187">
                  <c:v>415.94409581466454</c:v>
                </c:pt>
                <c:pt idx="188">
                  <c:v>415.94409581466454</c:v>
                </c:pt>
                <c:pt idx="189">
                  <c:v>415.94409581466454</c:v>
                </c:pt>
                <c:pt idx="190">
                  <c:v>415.94409581466454</c:v>
                </c:pt>
                <c:pt idx="191">
                  <c:v>415.94409581466454</c:v>
                </c:pt>
                <c:pt idx="192">
                  <c:v>415.94409581466454</c:v>
                </c:pt>
                <c:pt idx="193">
                  <c:v>415.94409581466454</c:v>
                </c:pt>
                <c:pt idx="194">
                  <c:v>415.94409581466454</c:v>
                </c:pt>
                <c:pt idx="195">
                  <c:v>415.94409581466454</c:v>
                </c:pt>
                <c:pt idx="196">
                  <c:v>415.94409581466454</c:v>
                </c:pt>
                <c:pt idx="197">
                  <c:v>415.94409581466454</c:v>
                </c:pt>
                <c:pt idx="198">
                  <c:v>415.94409581466454</c:v>
                </c:pt>
                <c:pt idx="199">
                  <c:v>415.94409581466454</c:v>
                </c:pt>
                <c:pt idx="200">
                  <c:v>415.94409581466454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C2B-4E58-8D3B-0F7429D63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3452624"/>
        <c:axId val="2093452080"/>
      </c:scatterChart>
      <c:valAx>
        <c:axId val="2093452624"/>
        <c:scaling>
          <c:orientation val="minMax"/>
          <c:max val="1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Age (années)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52080"/>
        <c:crosses val="autoZero"/>
        <c:crossBetween val="midCat"/>
      </c:valAx>
      <c:valAx>
        <c:axId val="2093452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Stockage de CO₂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526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 du stockage du CO₂ pour l'essence 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Calculateur!$CW$2</c:f>
              <c:strCache>
                <c:ptCount val="1"/>
                <c:pt idx="0">
                  <c:v>Biomasse totale (tCO₂/ha)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Calculateur!$A$3:$A$203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Calculateur!$CW$3:$CW$203</c:f>
              <c:numCache>
                <c:formatCode>0.0</c:formatCode>
                <c:ptCount val="201"/>
                <c:pt idx="0" formatCode="General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F7-4223-B03E-25BBF5A7B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3453168"/>
        <c:axId val="2093443376"/>
      </c:scatterChart>
      <c:valAx>
        <c:axId val="2093453168"/>
        <c:scaling>
          <c:orientation val="minMax"/>
          <c:max val="1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Age (années)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43376"/>
        <c:crosses val="autoZero"/>
        <c:crossBetween val="midCat"/>
      </c:valAx>
      <c:valAx>
        <c:axId val="2093443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Stockage de CO₂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531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 du stockage du CO₂ pour l'essence 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Calculateur!$DR$2</c:f>
              <c:strCache>
                <c:ptCount val="1"/>
                <c:pt idx="0">
                  <c:v>Biomasse totale (tCO₂/ha)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Calculateur!$A$3:$A$203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Calculateur!$DR$3:$DR$203</c:f>
              <c:numCache>
                <c:formatCode>0.0</c:formatCode>
                <c:ptCount val="201"/>
                <c:pt idx="0" formatCode="General">
                  <c:v>0</c:v>
                </c:pt>
                <c:pt idx="1">
                  <c:v>2.1677364315202223</c:v>
                </c:pt>
                <c:pt idx="2">
                  <c:v>2.7752234914058782</c:v>
                </c:pt>
                <c:pt idx="3">
                  <c:v>3.5536341932549398</c:v>
                </c:pt>
                <c:pt idx="4">
                  <c:v>4.5512407394903773</c:v>
                </c:pt>
                <c:pt idx="5">
                  <c:v>5.8299961532543838</c:v>
                </c:pt>
                <c:pt idx="6">
                  <c:v>7.4694241472343696</c:v>
                </c:pt>
                <c:pt idx="7">
                  <c:v>9.571618302938413</c:v>
                </c:pt>
                <c:pt idx="8">
                  <c:v>12.267667777130862</c:v>
                </c:pt>
                <c:pt idx="9">
                  <c:v>15.725917688340758</c:v>
                </c:pt>
                <c:pt idx="10">
                  <c:v>20.162589399775339</c:v>
                </c:pt>
                <c:pt idx="11">
                  <c:v>36.545762498237757</c:v>
                </c:pt>
                <c:pt idx="12">
                  <c:v>52.722040796159952</c:v>
                </c:pt>
                <c:pt idx="13">
                  <c:v>68.765824771249541</c:v>
                </c:pt>
                <c:pt idx="14">
                  <c:v>84.712794136987995</c:v>
                </c:pt>
                <c:pt idx="15">
                  <c:v>100.5838664607631</c:v>
                </c:pt>
                <c:pt idx="16">
                  <c:v>116.39275124914901</c:v>
                </c:pt>
                <c:pt idx="17">
                  <c:v>132.14910489975802</c:v>
                </c:pt>
                <c:pt idx="18">
                  <c:v>147.86008251943295</c:v>
                </c:pt>
                <c:pt idx="19">
                  <c:v>163.53118951571193</c:v>
                </c:pt>
                <c:pt idx="20">
                  <c:v>179.16678741707778</c:v>
                </c:pt>
                <c:pt idx="21">
                  <c:v>168.50982140403696</c:v>
                </c:pt>
                <c:pt idx="22">
                  <c:v>183.42535972935536</c:v>
                </c:pt>
                <c:pt idx="23">
                  <c:v>198.31254539082451</c:v>
                </c:pt>
                <c:pt idx="24">
                  <c:v>213.17380733743667</c:v>
                </c:pt>
                <c:pt idx="25">
                  <c:v>228.01120786322747</c:v>
                </c:pt>
                <c:pt idx="26">
                  <c:v>242.8265187332286</c:v>
                </c:pt>
                <c:pt idx="27">
                  <c:v>257.62127772428227</c:v>
                </c:pt>
                <c:pt idx="28">
                  <c:v>272.39683147829231</c:v>
                </c:pt>
                <c:pt idx="29">
                  <c:v>287.15436855951606</c:v>
                </c:pt>
                <c:pt idx="30">
                  <c:v>301.89494535388934</c:v>
                </c:pt>
                <c:pt idx="31">
                  <c:v>244.51836163877581</c:v>
                </c:pt>
                <c:pt idx="32">
                  <c:v>257.48046784349401</c:v>
                </c:pt>
                <c:pt idx="33">
                  <c:v>270.42782310427435</c:v>
                </c:pt>
                <c:pt idx="34">
                  <c:v>283.36123337871345</c:v>
                </c:pt>
                <c:pt idx="35">
                  <c:v>296.28142501216263</c:v>
                </c:pt>
                <c:pt idx="36">
                  <c:v>309.18905580466077</c:v>
                </c:pt>
                <c:pt idx="37">
                  <c:v>322.08472413201116</c:v>
                </c:pt>
                <c:pt idx="38">
                  <c:v>334.96897652893739</c:v>
                </c:pt>
                <c:pt idx="39">
                  <c:v>347.84231404401606</c:v>
                </c:pt>
                <c:pt idx="40">
                  <c:v>360.70519760433893</c:v>
                </c:pt>
                <c:pt idx="41">
                  <c:v>293.19298034625757</c:v>
                </c:pt>
                <c:pt idx="42">
                  <c:v>304.13970022013865</c:v>
                </c:pt>
                <c:pt idx="43">
                  <c:v>315.07765869370593</c:v>
                </c:pt>
                <c:pt idx="44">
                  <c:v>326.00720293449416</c:v>
                </c:pt>
                <c:pt idx="45">
                  <c:v>336.92865492077641</c:v>
                </c:pt>
                <c:pt idx="46">
                  <c:v>347.84231404401612</c:v>
                </c:pt>
                <c:pt idx="47">
                  <c:v>358.748459367507</c:v>
                </c:pt>
                <c:pt idx="48">
                  <c:v>369.64735159591163</c:v>
                </c:pt>
                <c:pt idx="49">
                  <c:v>380.53923480030829</c:v>
                </c:pt>
                <c:pt idx="50">
                  <c:v>391.42433793537316</c:v>
                </c:pt>
                <c:pt idx="51">
                  <c:v>323.76591506204619</c:v>
                </c:pt>
                <c:pt idx="52">
                  <c:v>333.00904545770453</c:v>
                </c:pt>
                <c:pt idx="53">
                  <c:v>342.24652151025947</c:v>
                </c:pt>
                <c:pt idx="54">
                  <c:v>351.47851745062457</c:v>
                </c:pt>
                <c:pt idx="55">
                  <c:v>360.70519760433905</c:v>
                </c:pt>
                <c:pt idx="56">
                  <c:v>369.9267171991865</c:v>
                </c:pt>
                <c:pt idx="57">
                  <c:v>379.14322308804412</c:v>
                </c:pt>
                <c:pt idx="58">
                  <c:v>388.35485439775078</c:v>
                </c:pt>
                <c:pt idx="59">
                  <c:v>397.56174311317324</c:v>
                </c:pt>
                <c:pt idx="60">
                  <c:v>406.76401460432822</c:v>
                </c:pt>
                <c:pt idx="61">
                  <c:v>346.16378539221347</c:v>
                </c:pt>
                <c:pt idx="62">
                  <c:v>353.99540526070876</c:v>
                </c:pt>
                <c:pt idx="63">
                  <c:v>361.8232294072007</c:v>
                </c:pt>
                <c:pt idx="64">
                  <c:v>369.64735159591191</c:v>
                </c:pt>
                <c:pt idx="65">
                  <c:v>377.46786129486048</c:v>
                </c:pt>
                <c:pt idx="66">
                  <c:v>385.28484395959794</c:v>
                </c:pt>
                <c:pt idx="67">
                  <c:v>393.09838129270634</c:v>
                </c:pt>
                <c:pt idx="68">
                  <c:v>400.90855148157783</c:v>
                </c:pt>
                <c:pt idx="69">
                  <c:v>408.71542941668878</c:v>
                </c:pt>
                <c:pt idx="70">
                  <c:v>416.5190868923217</c:v>
                </c:pt>
                <c:pt idx="71">
                  <c:v>363.08092490118628</c:v>
                </c:pt>
                <c:pt idx="72">
                  <c:v>369.64735159591197</c:v>
                </c:pt>
                <c:pt idx="73">
                  <c:v>376.21123372058287</c:v>
                </c:pt>
                <c:pt idx="74">
                  <c:v>382.77262197501415</c:v>
                </c:pt>
                <c:pt idx="75">
                  <c:v>389.3315651774754</c:v>
                </c:pt>
                <c:pt idx="76">
                  <c:v>395.88811036574526</c:v>
                </c:pt>
                <c:pt idx="77">
                  <c:v>402.44230289111488</c:v>
                </c:pt>
                <c:pt idx="78">
                  <c:v>408.99418650594743</c:v>
                </c:pt>
                <c:pt idx="79">
                  <c:v>415.5438034453295</c:v>
                </c:pt>
                <c:pt idx="80">
                  <c:v>422.09119450330428</c:v>
                </c:pt>
                <c:pt idx="81">
                  <c:v>376.07160279648741</c:v>
                </c:pt>
                <c:pt idx="82">
                  <c:v>381.65596392356247</c:v>
                </c:pt>
                <c:pt idx="83">
                  <c:v>387.23854818019021</c:v>
                </c:pt>
                <c:pt idx="84">
                  <c:v>392.81938482304889</c:v>
                </c:pt>
                <c:pt idx="85">
                  <c:v>398.39850220884665</c:v>
                </c:pt>
                <c:pt idx="86">
                  <c:v>403.97592783450415</c:v>
                </c:pt>
                <c:pt idx="87">
                  <c:v>409.55168837499906</c:v>
                </c:pt>
                <c:pt idx="88">
                  <c:v>415.12580971904339</c:v>
                </c:pt>
                <c:pt idx="89">
                  <c:v>420.69831700274108</c:v>
                </c:pt>
                <c:pt idx="90">
                  <c:v>426.2692346413703</c:v>
                </c:pt>
                <c:pt idx="91">
                  <c:v>383.05177541071242</c:v>
                </c:pt>
                <c:pt idx="92">
                  <c:v>383.05177541071242</c:v>
                </c:pt>
                <c:pt idx="93">
                  <c:v>383.05177541071242</c:v>
                </c:pt>
                <c:pt idx="94">
                  <c:v>383.05177541071242</c:v>
                </c:pt>
                <c:pt idx="95">
                  <c:v>383.05177541071242</c:v>
                </c:pt>
                <c:pt idx="96">
                  <c:v>383.05177541071242</c:v>
                </c:pt>
                <c:pt idx="97">
                  <c:v>383.05177541071242</c:v>
                </c:pt>
                <c:pt idx="98">
                  <c:v>383.05177541071242</c:v>
                </c:pt>
                <c:pt idx="99">
                  <c:v>383.05177541071242</c:v>
                </c:pt>
                <c:pt idx="100">
                  <c:v>383.05177541071242</c:v>
                </c:pt>
                <c:pt idx="101">
                  <c:v>383.05177541071242</c:v>
                </c:pt>
                <c:pt idx="102">
                  <c:v>383.05177541071242</c:v>
                </c:pt>
                <c:pt idx="103">
                  <c:v>383.05177541071242</c:v>
                </c:pt>
                <c:pt idx="104">
                  <c:v>383.05177541071242</c:v>
                </c:pt>
                <c:pt idx="105">
                  <c:v>383.05177541071242</c:v>
                </c:pt>
                <c:pt idx="106">
                  <c:v>383.05177541071242</c:v>
                </c:pt>
                <c:pt idx="107">
                  <c:v>383.05177541071242</c:v>
                </c:pt>
                <c:pt idx="108">
                  <c:v>383.05177541071242</c:v>
                </c:pt>
                <c:pt idx="109">
                  <c:v>383.05177541071242</c:v>
                </c:pt>
                <c:pt idx="110">
                  <c:v>383.05177541071242</c:v>
                </c:pt>
                <c:pt idx="111">
                  <c:v>383.05177541071242</c:v>
                </c:pt>
                <c:pt idx="112">
                  <c:v>383.05177541071242</c:v>
                </c:pt>
                <c:pt idx="113">
                  <c:v>383.05177541071242</c:v>
                </c:pt>
                <c:pt idx="114">
                  <c:v>383.05177541071242</c:v>
                </c:pt>
                <c:pt idx="115">
                  <c:v>383.05177541071242</c:v>
                </c:pt>
                <c:pt idx="116">
                  <c:v>383.05177541071242</c:v>
                </c:pt>
                <c:pt idx="117">
                  <c:v>383.05177541071242</c:v>
                </c:pt>
                <c:pt idx="118">
                  <c:v>383.05177541071242</c:v>
                </c:pt>
                <c:pt idx="119">
                  <c:v>383.05177541071242</c:v>
                </c:pt>
                <c:pt idx="120">
                  <c:v>383.05177541071242</c:v>
                </c:pt>
                <c:pt idx="121">
                  <c:v>383.05177541071242</c:v>
                </c:pt>
                <c:pt idx="122">
                  <c:v>383.05177541071242</c:v>
                </c:pt>
                <c:pt idx="123">
                  <c:v>383.05177541071242</c:v>
                </c:pt>
                <c:pt idx="124">
                  <c:v>383.05177541071242</c:v>
                </c:pt>
                <c:pt idx="125">
                  <c:v>383.05177541071242</c:v>
                </c:pt>
                <c:pt idx="126">
                  <c:v>383.05177541071242</c:v>
                </c:pt>
                <c:pt idx="127">
                  <c:v>383.05177541071242</c:v>
                </c:pt>
                <c:pt idx="128">
                  <c:v>383.05177541071242</c:v>
                </c:pt>
                <c:pt idx="129">
                  <c:v>383.05177541071242</c:v>
                </c:pt>
                <c:pt idx="130">
                  <c:v>383.05177541071242</c:v>
                </c:pt>
                <c:pt idx="131">
                  <c:v>383.05177541071242</c:v>
                </c:pt>
                <c:pt idx="132">
                  <c:v>383.05177541071242</c:v>
                </c:pt>
                <c:pt idx="133">
                  <c:v>383.05177541071242</c:v>
                </c:pt>
                <c:pt idx="134">
                  <c:v>383.05177541071242</c:v>
                </c:pt>
                <c:pt idx="135">
                  <c:v>383.05177541071242</c:v>
                </c:pt>
                <c:pt idx="136">
                  <c:v>383.05177541071242</c:v>
                </c:pt>
                <c:pt idx="137">
                  <c:v>383.05177541071242</c:v>
                </c:pt>
                <c:pt idx="138">
                  <c:v>383.05177541071242</c:v>
                </c:pt>
                <c:pt idx="139">
                  <c:v>383.05177541071242</c:v>
                </c:pt>
                <c:pt idx="140">
                  <c:v>383.05177541071242</c:v>
                </c:pt>
                <c:pt idx="141">
                  <c:v>383.05177541071242</c:v>
                </c:pt>
                <c:pt idx="142">
                  <c:v>383.05177541071242</c:v>
                </c:pt>
                <c:pt idx="143">
                  <c:v>383.05177541071242</c:v>
                </c:pt>
                <c:pt idx="144">
                  <c:v>383.05177541071242</c:v>
                </c:pt>
                <c:pt idx="145">
                  <c:v>383.05177541071242</c:v>
                </c:pt>
                <c:pt idx="146">
                  <c:v>383.05177541071242</c:v>
                </c:pt>
                <c:pt idx="147">
                  <c:v>383.05177541071242</c:v>
                </c:pt>
                <c:pt idx="148">
                  <c:v>383.05177541071242</c:v>
                </c:pt>
                <c:pt idx="149">
                  <c:v>383.05177541071242</c:v>
                </c:pt>
                <c:pt idx="150">
                  <c:v>383.05177541071242</c:v>
                </c:pt>
                <c:pt idx="151">
                  <c:v>383.05177541071242</c:v>
                </c:pt>
                <c:pt idx="152">
                  <c:v>383.05177541071242</c:v>
                </c:pt>
                <c:pt idx="153">
                  <c:v>383.05177541071242</c:v>
                </c:pt>
                <c:pt idx="154">
                  <c:v>383.05177541071242</c:v>
                </c:pt>
                <c:pt idx="155">
                  <c:v>383.05177541071242</c:v>
                </c:pt>
                <c:pt idx="156">
                  <c:v>383.05177541071242</c:v>
                </c:pt>
                <c:pt idx="157">
                  <c:v>383.05177541071242</c:v>
                </c:pt>
                <c:pt idx="158">
                  <c:v>383.05177541071242</c:v>
                </c:pt>
                <c:pt idx="159">
                  <c:v>383.05177541071242</c:v>
                </c:pt>
                <c:pt idx="160">
                  <c:v>383.05177541071242</c:v>
                </c:pt>
                <c:pt idx="161">
                  <c:v>383.05177541071242</c:v>
                </c:pt>
                <c:pt idx="162">
                  <c:v>383.05177541071242</c:v>
                </c:pt>
                <c:pt idx="163">
                  <c:v>383.05177541071242</c:v>
                </c:pt>
                <c:pt idx="164">
                  <c:v>383.05177541071242</c:v>
                </c:pt>
                <c:pt idx="165">
                  <c:v>383.05177541071242</c:v>
                </c:pt>
                <c:pt idx="166">
                  <c:v>383.05177541071242</c:v>
                </c:pt>
                <c:pt idx="167">
                  <c:v>383.05177541071242</c:v>
                </c:pt>
                <c:pt idx="168">
                  <c:v>383.05177541071242</c:v>
                </c:pt>
                <c:pt idx="169">
                  <c:v>383.05177541071242</c:v>
                </c:pt>
                <c:pt idx="170">
                  <c:v>383.05177541071242</c:v>
                </c:pt>
                <c:pt idx="171">
                  <c:v>383.05177541071242</c:v>
                </c:pt>
                <c:pt idx="172">
                  <c:v>383.05177541071242</c:v>
                </c:pt>
                <c:pt idx="173">
                  <c:v>383.05177541071242</c:v>
                </c:pt>
                <c:pt idx="174">
                  <c:v>383.05177541071242</c:v>
                </c:pt>
                <c:pt idx="175">
                  <c:v>383.05177541071242</c:v>
                </c:pt>
                <c:pt idx="176">
                  <c:v>383.05177541071242</c:v>
                </c:pt>
                <c:pt idx="177">
                  <c:v>383.05177541071242</c:v>
                </c:pt>
                <c:pt idx="178">
                  <c:v>383.05177541071242</c:v>
                </c:pt>
                <c:pt idx="179">
                  <c:v>383.05177541071242</c:v>
                </c:pt>
                <c:pt idx="180">
                  <c:v>383.05177541071242</c:v>
                </c:pt>
                <c:pt idx="181">
                  <c:v>383.05177541071242</c:v>
                </c:pt>
                <c:pt idx="182">
                  <c:v>383.05177541071242</c:v>
                </c:pt>
                <c:pt idx="183">
                  <c:v>383.05177541071242</c:v>
                </c:pt>
                <c:pt idx="184">
                  <c:v>383.05177541071242</c:v>
                </c:pt>
                <c:pt idx="185">
                  <c:v>383.05177541071242</c:v>
                </c:pt>
                <c:pt idx="186">
                  <c:v>383.05177541071242</c:v>
                </c:pt>
                <c:pt idx="187">
                  <c:v>383.05177541071242</c:v>
                </c:pt>
                <c:pt idx="188">
                  <c:v>383.05177541071242</c:v>
                </c:pt>
                <c:pt idx="189">
                  <c:v>383.05177541071242</c:v>
                </c:pt>
                <c:pt idx="190">
                  <c:v>383.05177541071242</c:v>
                </c:pt>
                <c:pt idx="191">
                  <c:v>383.05177541071242</c:v>
                </c:pt>
                <c:pt idx="192">
                  <c:v>383.05177541071242</c:v>
                </c:pt>
                <c:pt idx="193">
                  <c:v>383.05177541071242</c:v>
                </c:pt>
                <c:pt idx="194">
                  <c:v>383.05177541071242</c:v>
                </c:pt>
                <c:pt idx="195">
                  <c:v>383.05177541071242</c:v>
                </c:pt>
                <c:pt idx="196">
                  <c:v>383.05177541071242</c:v>
                </c:pt>
                <c:pt idx="197">
                  <c:v>383.05177541071242</c:v>
                </c:pt>
                <c:pt idx="198">
                  <c:v>383.05177541071242</c:v>
                </c:pt>
                <c:pt idx="199">
                  <c:v>383.05177541071242</c:v>
                </c:pt>
                <c:pt idx="200">
                  <c:v>383.05177541071242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F74-4767-88A9-0278894F3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3454256"/>
        <c:axId val="2093455344"/>
      </c:scatterChart>
      <c:valAx>
        <c:axId val="2093454256"/>
        <c:scaling>
          <c:orientation val="minMax"/>
          <c:max val="1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Age (années)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55344"/>
        <c:crosses val="autoZero"/>
        <c:crossBetween val="midCat"/>
      </c:valAx>
      <c:valAx>
        <c:axId val="209345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Stockage de CO₂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542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 du stockage du CO₂ pour l'essence 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Calculateur!$EM$2</c:f>
              <c:strCache>
                <c:ptCount val="1"/>
                <c:pt idx="0">
                  <c:v>Biomasse totale (tCO₂/ha)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Calculateur!$A$3:$A$203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Calculateur!$EM$3:$EM$203</c:f>
              <c:numCache>
                <c:formatCode>0.0</c:formatCode>
                <c:ptCount val="201"/>
                <c:pt idx="0" formatCode="General">
                  <c:v>0</c:v>
                </c:pt>
                <c:pt idx="1">
                  <c:v>2.6520064228877711</c:v>
                </c:pt>
                <c:pt idx="2">
                  <c:v>3.381963506066374</c:v>
                </c:pt>
                <c:pt idx="3">
                  <c:v>4.3136320075964552</c:v>
                </c:pt>
                <c:pt idx="4">
                  <c:v>5.5029579065985139</c:v>
                </c:pt>
                <c:pt idx="5">
                  <c:v>7.021457688372557</c:v>
                </c:pt>
                <c:pt idx="6">
                  <c:v>8.9605656503592659</c:v>
                </c:pt>
                <c:pt idx="7">
                  <c:v>11.437198541966</c:v>
                </c:pt>
                <c:pt idx="8">
                  <c:v>14.600879330175678</c:v>
                </c:pt>
                <c:pt idx="9">
                  <c:v>18.642858081902926</c:v>
                </c:pt>
                <c:pt idx="10">
                  <c:v>23.807791288486314</c:v>
                </c:pt>
                <c:pt idx="11">
                  <c:v>30.40869909692162</c:v>
                </c:pt>
                <c:pt idx="12">
                  <c:v>38.84612269736899</c:v>
                </c:pt>
                <c:pt idx="13">
                  <c:v>49.63266417534652</c:v>
                </c:pt>
                <c:pt idx="14">
                  <c:v>63.424424676119621</c:v>
                </c:pt>
                <c:pt idx="15">
                  <c:v>81.061284547709775</c:v>
                </c:pt>
                <c:pt idx="16">
                  <c:v>95.012628751236775</c:v>
                </c:pt>
                <c:pt idx="17">
                  <c:v>108.91284054963758</c:v>
                </c:pt>
                <c:pt idx="18">
                  <c:v>122.76937980845283</c:v>
                </c:pt>
                <c:pt idx="19">
                  <c:v>136.58787781146998</c:v>
                </c:pt>
                <c:pt idx="20">
                  <c:v>150.37272976362615</c:v>
                </c:pt>
                <c:pt idx="21">
                  <c:v>130.92304770905506</c:v>
                </c:pt>
                <c:pt idx="22">
                  <c:v>143.30754256422117</c:v>
                </c:pt>
                <c:pt idx="23">
                  <c:v>155.66640500294659</c:v>
                </c:pt>
                <c:pt idx="24">
                  <c:v>168.00195858256848</c:v>
                </c:pt>
                <c:pt idx="25">
                  <c:v>180.3161572241163</c:v>
                </c:pt>
                <c:pt idx="26">
                  <c:v>192.61066580735996</c:v>
                </c:pt>
                <c:pt idx="27">
                  <c:v>204.88691905747837</c:v>
                </c:pt>
                <c:pt idx="28">
                  <c:v>217.1461655486612</c:v>
                </c:pt>
                <c:pt idx="29">
                  <c:v>229.38950123185131</c:v>
                </c:pt>
                <c:pt idx="30">
                  <c:v>241.61789541835174</c:v>
                </c:pt>
                <c:pt idx="31">
                  <c:v>208.74160315550134</c:v>
                </c:pt>
                <c:pt idx="32">
                  <c:v>221.34562173829318</c:v>
                </c:pt>
                <c:pt idx="33">
                  <c:v>233.93317222371613</c:v>
                </c:pt>
                <c:pt idx="34">
                  <c:v>246.50526598598449</c:v>
                </c:pt>
                <c:pt idx="35">
                  <c:v>259.06280274212457</c:v>
                </c:pt>
                <c:pt idx="36">
                  <c:v>271.60658781037904</c:v>
                </c:pt>
                <c:pt idx="37">
                  <c:v>284.13734601040034</c:v>
                </c:pt>
                <c:pt idx="38">
                  <c:v>296.65573298101759</c:v>
                </c:pt>
                <c:pt idx="39">
                  <c:v>309.16234448631593</c:v>
                </c:pt>
                <c:pt idx="40">
                  <c:v>321.65772413618168</c:v>
                </c:pt>
                <c:pt idx="41">
                  <c:v>279.9618322548356</c:v>
                </c:pt>
                <c:pt idx="42">
                  <c:v>292.13659270097298</c:v>
                </c:pt>
                <c:pt idx="43">
                  <c:v>304.30002571338775</c:v>
                </c:pt>
                <c:pt idx="44">
                  <c:v>316.45264802528953</c:v>
                </c:pt>
                <c:pt idx="45">
                  <c:v>328.5949334270008</c:v>
                </c:pt>
                <c:pt idx="46">
                  <c:v>340.72731782352452</c:v>
                </c:pt>
                <c:pt idx="47">
                  <c:v>352.85020353381998</c:v>
                </c:pt>
                <c:pt idx="48">
                  <c:v>364.96396296815789</c:v>
                </c:pt>
                <c:pt idx="49">
                  <c:v>377.06894179159917</c:v>
                </c:pt>
                <c:pt idx="50">
                  <c:v>389.16546165993594</c:v>
                </c:pt>
                <c:pt idx="51">
                  <c:v>341.42030636615885</c:v>
                </c:pt>
                <c:pt idx="52">
                  <c:v>352.5039637274528</c:v>
                </c:pt>
                <c:pt idx="53">
                  <c:v>363.5799840007133</c:v>
                </c:pt>
                <c:pt idx="54">
                  <c:v>374.64863271070755</c:v>
                </c:pt>
                <c:pt idx="55">
                  <c:v>385.71015840744514</c:v>
                </c:pt>
                <c:pt idx="56">
                  <c:v>396.76479421746416</c:v>
                </c:pt>
                <c:pt idx="57">
                  <c:v>407.81275921316882</c:v>
                </c:pt>
                <c:pt idx="58">
                  <c:v>418.85425962601227</c:v>
                </c:pt>
                <c:pt idx="59">
                  <c:v>429.8894899250642</c:v>
                </c:pt>
                <c:pt idx="60">
                  <c:v>440.91863377904156</c:v>
                </c:pt>
                <c:pt idx="61">
                  <c:v>392.4473828438467</c:v>
                </c:pt>
                <c:pt idx="62">
                  <c:v>402.63484282308474</c:v>
                </c:pt>
                <c:pt idx="63">
                  <c:v>412.81672812587334</c:v>
                </c:pt>
                <c:pt idx="64">
                  <c:v>422.9931956757834</c:v>
                </c:pt>
                <c:pt idx="65">
                  <c:v>433.164394227532</c:v>
                </c:pt>
                <c:pt idx="66">
                  <c:v>443.33046497817014</c:v>
                </c:pt>
                <c:pt idx="67">
                  <c:v>453.49154211928294</c:v>
                </c:pt>
                <c:pt idx="68">
                  <c:v>463.6477533371106</c:v>
                </c:pt>
                <c:pt idx="69">
                  <c:v>473.79922026656277</c:v>
                </c:pt>
                <c:pt idx="70">
                  <c:v>483.94605890429233</c:v>
                </c:pt>
                <c:pt idx="71">
                  <c:v>434.37080363760305</c:v>
                </c:pt>
                <c:pt idx="72">
                  <c:v>443.33046497816991</c:v>
                </c:pt>
                <c:pt idx="73">
                  <c:v>452.28624743531105</c:v>
                </c:pt>
                <c:pt idx="74">
                  <c:v>461.23823867299643</c:v>
                </c:pt>
                <c:pt idx="75">
                  <c:v>470.18652267359909</c:v>
                </c:pt>
                <c:pt idx="76">
                  <c:v>479.13117996114812</c:v>
                </c:pt>
                <c:pt idx="77">
                  <c:v>488.07228780704162</c:v>
                </c:pt>
                <c:pt idx="78">
                  <c:v>497.00992041989667</c:v>
                </c:pt>
                <c:pt idx="79">
                  <c:v>505.94414912103213</c:v>
                </c:pt>
                <c:pt idx="80">
                  <c:v>514.87504250690938</c:v>
                </c:pt>
                <c:pt idx="81">
                  <c:v>466.22907982813996</c:v>
                </c:pt>
                <c:pt idx="82">
                  <c:v>474.31527194246542</c:v>
                </c:pt>
                <c:pt idx="83">
                  <c:v>482.39853075250858</c:v>
                </c:pt>
                <c:pt idx="84">
                  <c:v>490.47891235987981</c:v>
                </c:pt>
                <c:pt idx="85">
                  <c:v>498.55647086626499</c:v>
                </c:pt>
                <c:pt idx="86">
                  <c:v>506.63125847667089</c:v>
                </c:pt>
                <c:pt idx="87">
                  <c:v>514.70332559574456</c:v>
                </c:pt>
                <c:pt idx="88">
                  <c:v>522.77272091773648</c:v>
                </c:pt>
                <c:pt idx="89">
                  <c:v>530.83949151061745</c:v>
                </c:pt>
                <c:pt idx="90">
                  <c:v>538.9036828948166</c:v>
                </c:pt>
                <c:pt idx="91">
                  <c:v>485.66541136738346</c:v>
                </c:pt>
                <c:pt idx="92">
                  <c:v>485.66541136738346</c:v>
                </c:pt>
                <c:pt idx="93">
                  <c:v>485.66541136738346</c:v>
                </c:pt>
                <c:pt idx="94">
                  <c:v>485.66541136738346</c:v>
                </c:pt>
                <c:pt idx="95">
                  <c:v>485.66541136738346</c:v>
                </c:pt>
                <c:pt idx="96">
                  <c:v>485.66541136738346</c:v>
                </c:pt>
                <c:pt idx="97">
                  <c:v>485.66541136738346</c:v>
                </c:pt>
                <c:pt idx="98">
                  <c:v>485.66541136738346</c:v>
                </c:pt>
                <c:pt idx="99">
                  <c:v>485.66541136738346</c:v>
                </c:pt>
                <c:pt idx="100">
                  <c:v>485.66541136738346</c:v>
                </c:pt>
                <c:pt idx="101">
                  <c:v>485.66541136738346</c:v>
                </c:pt>
                <c:pt idx="102">
                  <c:v>485.66541136738346</c:v>
                </c:pt>
                <c:pt idx="103">
                  <c:v>485.66541136738346</c:v>
                </c:pt>
                <c:pt idx="104">
                  <c:v>485.66541136738346</c:v>
                </c:pt>
                <c:pt idx="105">
                  <c:v>485.66541136738346</c:v>
                </c:pt>
                <c:pt idx="106">
                  <c:v>485.66541136738346</c:v>
                </c:pt>
                <c:pt idx="107">
                  <c:v>485.66541136738346</c:v>
                </c:pt>
                <c:pt idx="108">
                  <c:v>485.66541136738346</c:v>
                </c:pt>
                <c:pt idx="109">
                  <c:v>485.66541136738346</c:v>
                </c:pt>
                <c:pt idx="110">
                  <c:v>485.66541136738346</c:v>
                </c:pt>
                <c:pt idx="111">
                  <c:v>485.66541136738346</c:v>
                </c:pt>
                <c:pt idx="112">
                  <c:v>485.66541136738346</c:v>
                </c:pt>
                <c:pt idx="113">
                  <c:v>485.66541136738346</c:v>
                </c:pt>
                <c:pt idx="114">
                  <c:v>485.66541136738346</c:v>
                </c:pt>
                <c:pt idx="115">
                  <c:v>485.66541136738346</c:v>
                </c:pt>
                <c:pt idx="116">
                  <c:v>485.66541136738346</c:v>
                </c:pt>
                <c:pt idx="117">
                  <c:v>485.66541136738346</c:v>
                </c:pt>
                <c:pt idx="118">
                  <c:v>485.66541136738346</c:v>
                </c:pt>
                <c:pt idx="119">
                  <c:v>485.66541136738346</c:v>
                </c:pt>
                <c:pt idx="120">
                  <c:v>485.66541136738346</c:v>
                </c:pt>
                <c:pt idx="121">
                  <c:v>485.66541136738346</c:v>
                </c:pt>
                <c:pt idx="122">
                  <c:v>485.66541136738346</c:v>
                </c:pt>
                <c:pt idx="123">
                  <c:v>485.66541136738346</c:v>
                </c:pt>
                <c:pt idx="124">
                  <c:v>485.66541136738346</c:v>
                </c:pt>
                <c:pt idx="125">
                  <c:v>485.66541136738346</c:v>
                </c:pt>
                <c:pt idx="126">
                  <c:v>485.66541136738346</c:v>
                </c:pt>
                <c:pt idx="127">
                  <c:v>485.66541136738346</c:v>
                </c:pt>
                <c:pt idx="128">
                  <c:v>485.66541136738346</c:v>
                </c:pt>
                <c:pt idx="129">
                  <c:v>485.66541136738346</c:v>
                </c:pt>
                <c:pt idx="130">
                  <c:v>485.66541136738346</c:v>
                </c:pt>
                <c:pt idx="131">
                  <c:v>485.66541136738346</c:v>
                </c:pt>
                <c:pt idx="132">
                  <c:v>485.66541136738346</c:v>
                </c:pt>
                <c:pt idx="133">
                  <c:v>485.66541136738346</c:v>
                </c:pt>
                <c:pt idx="134">
                  <c:v>485.66541136738346</c:v>
                </c:pt>
                <c:pt idx="135">
                  <c:v>485.66541136738346</c:v>
                </c:pt>
                <c:pt idx="136">
                  <c:v>485.66541136738346</c:v>
                </c:pt>
                <c:pt idx="137">
                  <c:v>485.66541136738346</c:v>
                </c:pt>
                <c:pt idx="138">
                  <c:v>485.66541136738346</c:v>
                </c:pt>
                <c:pt idx="139">
                  <c:v>485.66541136738346</c:v>
                </c:pt>
                <c:pt idx="140">
                  <c:v>485.66541136738346</c:v>
                </c:pt>
                <c:pt idx="141">
                  <c:v>485.66541136738346</c:v>
                </c:pt>
                <c:pt idx="142">
                  <c:v>485.66541136738346</c:v>
                </c:pt>
                <c:pt idx="143">
                  <c:v>485.66541136738346</c:v>
                </c:pt>
                <c:pt idx="144">
                  <c:v>485.66541136738346</c:v>
                </c:pt>
                <c:pt idx="145">
                  <c:v>485.66541136738346</c:v>
                </c:pt>
                <c:pt idx="146">
                  <c:v>485.66541136738346</c:v>
                </c:pt>
                <c:pt idx="147">
                  <c:v>485.66541136738346</c:v>
                </c:pt>
                <c:pt idx="148">
                  <c:v>485.66541136738346</c:v>
                </c:pt>
                <c:pt idx="149">
                  <c:v>485.66541136738346</c:v>
                </c:pt>
                <c:pt idx="150">
                  <c:v>485.66541136738346</c:v>
                </c:pt>
                <c:pt idx="151">
                  <c:v>485.66541136738346</c:v>
                </c:pt>
                <c:pt idx="152">
                  <c:v>485.66541136738346</c:v>
                </c:pt>
                <c:pt idx="153">
                  <c:v>485.66541136738346</c:v>
                </c:pt>
                <c:pt idx="154">
                  <c:v>485.66541136738346</c:v>
                </c:pt>
                <c:pt idx="155">
                  <c:v>485.66541136738346</c:v>
                </c:pt>
                <c:pt idx="156">
                  <c:v>485.66541136738346</c:v>
                </c:pt>
                <c:pt idx="157">
                  <c:v>485.66541136738346</c:v>
                </c:pt>
                <c:pt idx="158">
                  <c:v>485.66541136738346</c:v>
                </c:pt>
                <c:pt idx="159">
                  <c:v>485.66541136738346</c:v>
                </c:pt>
                <c:pt idx="160">
                  <c:v>485.66541136738346</c:v>
                </c:pt>
                <c:pt idx="161">
                  <c:v>485.66541136738346</c:v>
                </c:pt>
                <c:pt idx="162">
                  <c:v>485.66541136738346</c:v>
                </c:pt>
                <c:pt idx="163">
                  <c:v>485.66541136738346</c:v>
                </c:pt>
                <c:pt idx="164">
                  <c:v>485.66541136738346</c:v>
                </c:pt>
                <c:pt idx="165">
                  <c:v>485.66541136738346</c:v>
                </c:pt>
                <c:pt idx="166">
                  <c:v>485.66541136738346</c:v>
                </c:pt>
                <c:pt idx="167">
                  <c:v>485.66541136738346</c:v>
                </c:pt>
                <c:pt idx="168">
                  <c:v>485.66541136738346</c:v>
                </c:pt>
                <c:pt idx="169">
                  <c:v>485.66541136738346</c:v>
                </c:pt>
                <c:pt idx="170">
                  <c:v>485.66541136738346</c:v>
                </c:pt>
                <c:pt idx="171">
                  <c:v>485.66541136738346</c:v>
                </c:pt>
                <c:pt idx="172">
                  <c:v>485.66541136738346</c:v>
                </c:pt>
                <c:pt idx="173">
                  <c:v>485.66541136738346</c:v>
                </c:pt>
                <c:pt idx="174">
                  <c:v>485.66541136738346</c:v>
                </c:pt>
                <c:pt idx="175">
                  <c:v>485.66541136738346</c:v>
                </c:pt>
                <c:pt idx="176">
                  <c:v>485.66541136738346</c:v>
                </c:pt>
                <c:pt idx="177">
                  <c:v>485.66541136738346</c:v>
                </c:pt>
                <c:pt idx="178">
                  <c:v>485.66541136738346</c:v>
                </c:pt>
                <c:pt idx="179">
                  <c:v>485.66541136738346</c:v>
                </c:pt>
                <c:pt idx="180">
                  <c:v>485.66541136738346</c:v>
                </c:pt>
                <c:pt idx="181">
                  <c:v>485.66541136738346</c:v>
                </c:pt>
                <c:pt idx="182">
                  <c:v>485.66541136738346</c:v>
                </c:pt>
                <c:pt idx="183">
                  <c:v>485.66541136738346</c:v>
                </c:pt>
                <c:pt idx="184">
                  <c:v>485.66541136738346</c:v>
                </c:pt>
                <c:pt idx="185">
                  <c:v>485.66541136738346</c:v>
                </c:pt>
                <c:pt idx="186">
                  <c:v>485.66541136738346</c:v>
                </c:pt>
                <c:pt idx="187">
                  <c:v>485.66541136738346</c:v>
                </c:pt>
                <c:pt idx="188">
                  <c:v>485.66541136738346</c:v>
                </c:pt>
                <c:pt idx="189">
                  <c:v>485.66541136738346</c:v>
                </c:pt>
                <c:pt idx="190">
                  <c:v>485.66541136738346</c:v>
                </c:pt>
                <c:pt idx="191">
                  <c:v>485.66541136738346</c:v>
                </c:pt>
                <c:pt idx="192">
                  <c:v>485.66541136738346</c:v>
                </c:pt>
                <c:pt idx="193">
                  <c:v>485.66541136738346</c:v>
                </c:pt>
                <c:pt idx="194">
                  <c:v>485.66541136738346</c:v>
                </c:pt>
                <c:pt idx="195">
                  <c:v>485.66541136738346</c:v>
                </c:pt>
                <c:pt idx="196">
                  <c:v>485.66541136738346</c:v>
                </c:pt>
                <c:pt idx="197">
                  <c:v>485.66541136738346</c:v>
                </c:pt>
                <c:pt idx="198">
                  <c:v>485.66541136738346</c:v>
                </c:pt>
                <c:pt idx="199">
                  <c:v>485.66541136738346</c:v>
                </c:pt>
                <c:pt idx="200">
                  <c:v>485.66541136738346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2F5-48C5-B758-1DFDC1EE1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3456432"/>
        <c:axId val="2093441200"/>
      </c:scatterChart>
      <c:valAx>
        <c:axId val="2093456432"/>
        <c:scaling>
          <c:orientation val="minMax"/>
          <c:max val="1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Age (années)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41200"/>
        <c:crosses val="autoZero"/>
        <c:crossBetween val="midCat"/>
      </c:valAx>
      <c:valAx>
        <c:axId val="209344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Stockage de CO₂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34564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 du stockage du CO₂ pour l'essence 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Calculateur!$FH$2</c:f>
              <c:strCache>
                <c:ptCount val="1"/>
                <c:pt idx="0">
                  <c:v>Biomasse totale (tCO₂/ha)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Calculateur!$A$3:$A$203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Calculateur!$FH$3:$FH$203</c:f>
              <c:numCache>
                <c:formatCode>0.0</c:formatCode>
                <c:ptCount val="201"/>
                <c:pt idx="0" formatCode="General">
                  <c:v>0</c:v>
                </c:pt>
                <c:pt idx="1">
                  <c:v>2.7062519921277914</c:v>
                </c:pt>
                <c:pt idx="2">
                  <c:v>3.3364405781861532</c:v>
                </c:pt>
                <c:pt idx="3">
                  <c:v>4.1139382622190412</c:v>
                </c:pt>
                <c:pt idx="4">
                  <c:v>5.0733027659886449</c:v>
                </c:pt>
                <c:pt idx="5">
                  <c:v>6.2572259676860424</c:v>
                </c:pt>
                <c:pt idx="6">
                  <c:v>7.7184544501515253</c:v>
                </c:pt>
                <c:pt idx="7">
                  <c:v>9.5221648032911528</c:v>
                </c:pt>
                <c:pt idx="8">
                  <c:v>11.748901640590811</c:v>
                </c:pt>
                <c:pt idx="9">
                  <c:v>14.498211980650503</c:v>
                </c:pt>
                <c:pt idx="10">
                  <c:v>17.893141462527087</c:v>
                </c:pt>
                <c:pt idx="11">
                  <c:v>22.085797272371096</c:v>
                </c:pt>
                <c:pt idx="12">
                  <c:v>27.264231472788541</c:v>
                </c:pt>
                <c:pt idx="13">
                  <c:v>33.660958894407322</c:v>
                </c:pt>
                <c:pt idx="14">
                  <c:v>41.563498658755343</c:v>
                </c:pt>
                <c:pt idx="15">
                  <c:v>51.327421208058347</c:v>
                </c:pt>
                <c:pt idx="16">
                  <c:v>63.187191019914216</c:v>
                </c:pt>
                <c:pt idx="17">
                  <c:v>74.989074247928315</c:v>
                </c:pt>
                <c:pt idx="18">
                  <c:v>86.743507094474069</c:v>
                </c:pt>
                <c:pt idx="19">
                  <c:v>98.457845497370258</c:v>
                </c:pt>
                <c:pt idx="20">
                  <c:v>110.13754274945023</c:v>
                </c:pt>
                <c:pt idx="21">
                  <c:v>112.20646234542276</c:v>
                </c:pt>
                <c:pt idx="22">
                  <c:v>129.28787235572034</c:v>
                </c:pt>
                <c:pt idx="23">
                  <c:v>146.3146386141465</c:v>
                </c:pt>
                <c:pt idx="24">
                  <c:v>163.29402328311821</c:v>
                </c:pt>
                <c:pt idx="25">
                  <c:v>180.23165059944344</c:v>
                </c:pt>
                <c:pt idx="26">
                  <c:v>197.13199917409858</c:v>
                </c:pt>
                <c:pt idx="27">
                  <c:v>213.99871582167259</c:v>
                </c:pt>
                <c:pt idx="28">
                  <c:v>230.83482490294071</c:v>
                </c:pt>
                <c:pt idx="29">
                  <c:v>247.64287321895426</c:v>
                </c:pt>
                <c:pt idx="30">
                  <c:v>264.42503341914323</c:v>
                </c:pt>
                <c:pt idx="31">
                  <c:v>211.40589813558861</c:v>
                </c:pt>
                <c:pt idx="32">
                  <c:v>234.16164647127167</c:v>
                </c:pt>
                <c:pt idx="33">
                  <c:v>256.86691873368665</c:v>
                </c:pt>
                <c:pt idx="34">
                  <c:v>279.52680294324563</c:v>
                </c:pt>
                <c:pt idx="35">
                  <c:v>302.1454944001066</c:v>
                </c:pt>
                <c:pt idx="36">
                  <c:v>324.72650886432575</c:v>
                </c:pt>
                <c:pt idx="37">
                  <c:v>347.27283323005571</c:v>
                </c:pt>
                <c:pt idx="38">
                  <c:v>369.78703497321811</c:v>
                </c:pt>
                <c:pt idx="39">
                  <c:v>392.27134352720986</c:v>
                </c:pt>
                <c:pt idx="40">
                  <c:v>414.7277120155033</c:v>
                </c:pt>
                <c:pt idx="41">
                  <c:v>307.47274922302063</c:v>
                </c:pt>
                <c:pt idx="42">
                  <c:v>332.06232108561727</c:v>
                </c:pt>
                <c:pt idx="43">
                  <c:v>356.61175384172037</c:v>
                </c:pt>
                <c:pt idx="44">
                  <c:v>381.12419702901519</c:v>
                </c:pt>
                <c:pt idx="45">
                  <c:v>405.60236216041113</c:v>
                </c:pt>
                <c:pt idx="46">
                  <c:v>430.04860694583391</c:v>
                </c:pt>
                <c:pt idx="47">
                  <c:v>454.4649993562137</c:v>
                </c:pt>
                <c:pt idx="48">
                  <c:v>478.85336719949123</c:v>
                </c:pt>
                <c:pt idx="49">
                  <c:v>503.21533707058285</c:v>
                </c:pt>
                <c:pt idx="50">
                  <c:v>527.55236536708924</c:v>
                </c:pt>
                <c:pt idx="51">
                  <c:v>397.20312039751872</c:v>
                </c:pt>
                <c:pt idx="52">
                  <c:v>421.66007634694159</c:v>
                </c:pt>
                <c:pt idx="53">
                  <c:v>446.08649934034253</c:v>
                </c:pt>
                <c:pt idx="54">
                  <c:v>470.48429476856495</c:v>
                </c:pt>
                <c:pt idx="55">
                  <c:v>494.85515444943576</c:v>
                </c:pt>
                <c:pt idx="56">
                  <c:v>519.20059011843182</c:v>
                </c:pt>
                <c:pt idx="57">
                  <c:v>543.52196031239771</c:v>
                </c:pt>
                <c:pt idx="58">
                  <c:v>567.82049219276712</c:v>
                </c:pt>
                <c:pt idx="59">
                  <c:v>592.09729944083642</c:v>
                </c:pt>
                <c:pt idx="60">
                  <c:v>616.35339706724176</c:v>
                </c:pt>
                <c:pt idx="61">
                  <c:v>474.85115911139559</c:v>
                </c:pt>
                <c:pt idx="62">
                  <c:v>498.49038104754027</c:v>
                </c:pt>
                <c:pt idx="63">
                  <c:v>522.10587430578664</c:v>
                </c:pt>
                <c:pt idx="64">
                  <c:v>545.69886203239594</c:v>
                </c:pt>
                <c:pt idx="65">
                  <c:v>569.27045308826928</c:v>
                </c:pt>
                <c:pt idx="66">
                  <c:v>592.82165711216931</c:v>
                </c:pt>
                <c:pt idx="67">
                  <c:v>616.35339706724176</c:v>
                </c:pt>
                <c:pt idx="68">
                  <c:v>639.86651977319627</c:v>
                </c:pt>
                <c:pt idx="69">
                  <c:v>663.36180481111364</c:v>
                </c:pt>
                <c:pt idx="70">
                  <c:v>686.83997210216705</c:v>
                </c:pt>
                <c:pt idx="71">
                  <c:v>542.25201648250902</c:v>
                </c:pt>
                <c:pt idx="72">
                  <c:v>564.19525081895085</c:v>
                </c:pt>
                <c:pt idx="73">
                  <c:v>586.1206423835697</c:v>
                </c:pt>
                <c:pt idx="74">
                  <c:v>608.02895188349919</c:v>
                </c:pt>
                <c:pt idx="75">
                  <c:v>629.92088079249436</c:v>
                </c:pt>
                <c:pt idx="76">
                  <c:v>651.79707790279917</c:v>
                </c:pt>
                <c:pt idx="77">
                  <c:v>673.65814495240068</c:v>
                </c:pt>
                <c:pt idx="78">
                  <c:v>695.50464148450385</c:v>
                </c:pt>
                <c:pt idx="79">
                  <c:v>717.33708906526738</c:v>
                </c:pt>
                <c:pt idx="80">
                  <c:v>739.155974961884</c:v>
                </c:pt>
                <c:pt idx="81">
                  <c:v>598.07270090431678</c:v>
                </c:pt>
                <c:pt idx="82">
                  <c:v>617.80088776969069</c:v>
                </c:pt>
                <c:pt idx="83">
                  <c:v>637.51602257009972</c:v>
                </c:pt>
                <c:pt idx="84">
                  <c:v>657.21856538427744</c:v>
                </c:pt>
                <c:pt idx="85">
                  <c:v>676.90894648339895</c:v>
                </c:pt>
                <c:pt idx="86">
                  <c:v>696.58756909064925</c:v>
                </c:pt>
                <c:pt idx="87">
                  <c:v>716.25481181302337</c:v>
                </c:pt>
                <c:pt idx="88">
                  <c:v>735.91103079239929</c:v>
                </c:pt>
                <c:pt idx="89">
                  <c:v>755.55656161506749</c:v>
                </c:pt>
                <c:pt idx="90">
                  <c:v>775.19172101253719</c:v>
                </c:pt>
                <c:pt idx="91">
                  <c:v>644.74775270690475</c:v>
                </c:pt>
                <c:pt idx="92">
                  <c:v>662.27778915062117</c:v>
                </c:pt>
                <c:pt idx="93">
                  <c:v>679.79827864003175</c:v>
                </c:pt>
                <c:pt idx="94">
                  <c:v>697.30950167099888</c:v>
                </c:pt>
                <c:pt idx="95">
                  <c:v>714.81172351537043</c:v>
                </c:pt>
                <c:pt idx="96">
                  <c:v>732.3051954073859</c:v>
                </c:pt>
                <c:pt idx="97">
                  <c:v>749.7901556109241</c:v>
                </c:pt>
                <c:pt idx="98">
                  <c:v>767.26683038211888</c:v>
                </c:pt>
                <c:pt idx="99">
                  <c:v>784.73543483979358</c:v>
                </c:pt>
                <c:pt idx="100">
                  <c:v>802.19617375444113</c:v>
                </c:pt>
                <c:pt idx="101">
                  <c:v>680.70114318375647</c:v>
                </c:pt>
                <c:pt idx="102">
                  <c:v>696.22659705561739</c:v>
                </c:pt>
                <c:pt idx="103">
                  <c:v>711.74496312033227</c:v>
                </c:pt>
                <c:pt idx="104">
                  <c:v>727.25641756629955</c:v>
                </c:pt>
                <c:pt idx="105">
                  <c:v>742.76112845943226</c:v>
                </c:pt>
                <c:pt idx="106">
                  <c:v>758.25925628282687</c:v>
                </c:pt>
                <c:pt idx="107">
                  <c:v>773.75095443005739</c:v>
                </c:pt>
                <c:pt idx="108">
                  <c:v>789.23636965694379</c:v>
                </c:pt>
                <c:pt idx="109">
                  <c:v>804.71564249605626</c:v>
                </c:pt>
                <c:pt idx="110">
                  <c:v>820.1889076376965</c:v>
                </c:pt>
                <c:pt idx="111">
                  <c:v>711.02333324275412</c:v>
                </c:pt>
                <c:pt idx="112">
                  <c:v>724.37108110022939</c:v>
                </c:pt>
                <c:pt idx="113">
                  <c:v>737.71381343832911</c:v>
                </c:pt>
                <c:pt idx="114">
                  <c:v>751.05163369335958</c:v>
                </c:pt>
                <c:pt idx="115">
                  <c:v>764.38464133080049</c:v>
                </c:pt>
                <c:pt idx="116">
                  <c:v>777.71293206577968</c:v>
                </c:pt>
                <c:pt idx="117">
                  <c:v>791.03659806766075</c:v>
                </c:pt>
                <c:pt idx="118">
                  <c:v>804.35572815014041</c:v>
                </c:pt>
                <c:pt idx="119">
                  <c:v>817.67040794811464</c:v>
                </c:pt>
                <c:pt idx="120">
                  <c:v>830.98072008242946</c:v>
                </c:pt>
                <c:pt idx="121">
                  <c:v>734.28844951357223</c:v>
                </c:pt>
                <c:pt idx="122">
                  <c:v>745.64499484021553</c:v>
                </c:pt>
                <c:pt idx="123">
                  <c:v>756.99802315929537</c:v>
                </c:pt>
                <c:pt idx="124">
                  <c:v>768.34759462201612</c:v>
                </c:pt>
                <c:pt idx="125">
                  <c:v>779.69376745867714</c:v>
                </c:pt>
                <c:pt idx="126">
                  <c:v>791.03659806766075</c:v>
                </c:pt>
                <c:pt idx="127">
                  <c:v>802.37614109905473</c:v>
                </c:pt>
                <c:pt idx="128">
                  <c:v>813.71244953330654</c:v>
                </c:pt>
                <c:pt idx="129">
                  <c:v>825.04557475526872</c:v>
                </c:pt>
                <c:pt idx="130">
                  <c:v>836.37556662396719</c:v>
                </c:pt>
                <c:pt idx="131">
                  <c:v>752.67347082301194</c:v>
                </c:pt>
                <c:pt idx="132">
                  <c:v>762.58316126167267</c:v>
                </c:pt>
                <c:pt idx="133">
                  <c:v>772.49023907910703</c:v>
                </c:pt>
                <c:pt idx="134">
                  <c:v>782.39474248915565</c:v>
                </c:pt>
                <c:pt idx="135">
                  <c:v>792.2967086597323</c:v>
                </c:pt>
                <c:pt idx="136">
                  <c:v>802.19617375444147</c:v>
                </c:pt>
                <c:pt idx="137">
                  <c:v>812.09317297203359</c:v>
                </c:pt>
                <c:pt idx="138">
                  <c:v>821.98774058384163</c:v>
                </c:pt>
                <c:pt idx="139">
                  <c:v>831.87990996932024</c:v>
                </c:pt>
                <c:pt idx="140">
                  <c:v>841.76971364980875</c:v>
                </c:pt>
                <c:pt idx="141">
                  <c:v>767.44695989817376</c:v>
                </c:pt>
                <c:pt idx="142">
                  <c:v>775.91208395343892</c:v>
                </c:pt>
                <c:pt idx="143">
                  <c:v>784.37533753098739</c:v>
                </c:pt>
                <c:pt idx="144">
                  <c:v>792.83674365041099</c:v>
                </c:pt>
                <c:pt idx="145">
                  <c:v>801.29632480008979</c:v>
                </c:pt>
                <c:pt idx="146">
                  <c:v>809.75410295504969</c:v>
                </c:pt>
                <c:pt idx="147">
                  <c:v>818.21009959403239</c:v>
                </c:pt>
                <c:pt idx="148">
                  <c:v>826.66433571582672</c:v>
                </c:pt>
                <c:pt idx="149">
                  <c:v>835.11683185489528</c:v>
                </c:pt>
                <c:pt idx="150">
                  <c:v>843.56760809633727</c:v>
                </c:pt>
                <c:pt idx="151">
                  <c:v>771.58970258821194</c:v>
                </c:pt>
                <c:pt idx="152">
                  <c:v>771.58970258821194</c:v>
                </c:pt>
                <c:pt idx="153">
                  <c:v>771.58970258821194</c:v>
                </c:pt>
                <c:pt idx="154">
                  <c:v>771.58970258821194</c:v>
                </c:pt>
                <c:pt idx="155">
                  <c:v>771.58970258821194</c:v>
                </c:pt>
                <c:pt idx="156">
                  <c:v>771.58970258821194</c:v>
                </c:pt>
                <c:pt idx="157">
                  <c:v>771.58970258821194</c:v>
                </c:pt>
                <c:pt idx="158">
                  <c:v>771.58970258821194</c:v>
                </c:pt>
                <c:pt idx="159">
                  <c:v>771.58970258821194</c:v>
                </c:pt>
                <c:pt idx="160">
                  <c:v>771.58970258821194</c:v>
                </c:pt>
                <c:pt idx="161">
                  <c:v>771.58970258821194</c:v>
                </c:pt>
                <c:pt idx="162">
                  <c:v>771.58970258821194</c:v>
                </c:pt>
                <c:pt idx="163">
                  <c:v>771.58970258821194</c:v>
                </c:pt>
                <c:pt idx="164">
                  <c:v>771.58970258821194</c:v>
                </c:pt>
                <c:pt idx="165">
                  <c:v>771.58970258821194</c:v>
                </c:pt>
                <c:pt idx="166">
                  <c:v>771.58970258821194</c:v>
                </c:pt>
                <c:pt idx="167">
                  <c:v>771.58970258821194</c:v>
                </c:pt>
                <c:pt idx="168">
                  <c:v>771.58970258821194</c:v>
                </c:pt>
                <c:pt idx="169">
                  <c:v>771.58970258821194</c:v>
                </c:pt>
                <c:pt idx="170">
                  <c:v>771.58970258821194</c:v>
                </c:pt>
                <c:pt idx="171">
                  <c:v>771.58970258821194</c:v>
                </c:pt>
                <c:pt idx="172">
                  <c:v>771.58970258821194</c:v>
                </c:pt>
                <c:pt idx="173">
                  <c:v>771.58970258821194</c:v>
                </c:pt>
                <c:pt idx="174">
                  <c:v>771.58970258821194</c:v>
                </c:pt>
                <c:pt idx="175">
                  <c:v>771.58970258821194</c:v>
                </c:pt>
                <c:pt idx="176">
                  <c:v>771.58970258821194</c:v>
                </c:pt>
                <c:pt idx="177">
                  <c:v>771.58970258821194</c:v>
                </c:pt>
                <c:pt idx="178">
                  <c:v>771.58970258821194</c:v>
                </c:pt>
                <c:pt idx="179">
                  <c:v>771.58970258821194</c:v>
                </c:pt>
                <c:pt idx="180">
                  <c:v>771.58970258821194</c:v>
                </c:pt>
                <c:pt idx="181">
                  <c:v>771.58970258821194</c:v>
                </c:pt>
                <c:pt idx="182">
                  <c:v>771.58970258821194</c:v>
                </c:pt>
                <c:pt idx="183">
                  <c:v>771.58970258821194</c:v>
                </c:pt>
                <c:pt idx="184">
                  <c:v>771.58970258821194</c:v>
                </c:pt>
                <c:pt idx="185">
                  <c:v>771.58970258821194</c:v>
                </c:pt>
                <c:pt idx="186">
                  <c:v>771.58970258821194</c:v>
                </c:pt>
                <c:pt idx="187">
                  <c:v>771.58970258821194</c:v>
                </c:pt>
                <c:pt idx="188">
                  <c:v>771.58970258821194</c:v>
                </c:pt>
                <c:pt idx="189">
                  <c:v>771.58970258821194</c:v>
                </c:pt>
                <c:pt idx="190">
                  <c:v>771.58970258821194</c:v>
                </c:pt>
                <c:pt idx="191">
                  <c:v>771.58970258821194</c:v>
                </c:pt>
                <c:pt idx="192">
                  <c:v>771.58970258821194</c:v>
                </c:pt>
                <c:pt idx="193">
                  <c:v>771.58970258821194</c:v>
                </c:pt>
                <c:pt idx="194">
                  <c:v>771.58970258821194</c:v>
                </c:pt>
                <c:pt idx="195">
                  <c:v>771.58970258821194</c:v>
                </c:pt>
                <c:pt idx="196">
                  <c:v>771.58970258821194</c:v>
                </c:pt>
                <c:pt idx="197">
                  <c:v>771.58970258821194</c:v>
                </c:pt>
                <c:pt idx="198">
                  <c:v>771.58970258821194</c:v>
                </c:pt>
                <c:pt idx="199">
                  <c:v>771.58970258821194</c:v>
                </c:pt>
                <c:pt idx="200">
                  <c:v>771.58970258821194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34-4D7D-AECE-A4029E578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2861632"/>
        <c:axId val="1982859456"/>
      </c:scatterChart>
      <c:valAx>
        <c:axId val="1982861632"/>
        <c:scaling>
          <c:orientation val="minMax"/>
          <c:max val="1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Age (années)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82859456"/>
        <c:crosses val="autoZero"/>
        <c:crossBetween val="midCat"/>
      </c:valAx>
      <c:valAx>
        <c:axId val="1982859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Stockage de CO₂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828616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 du stockage du CO₂ pour l'essence 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Calculateur!$GC$2</c:f>
              <c:strCache>
                <c:ptCount val="1"/>
                <c:pt idx="0">
                  <c:v>Biomasse totale (tCO₂/ha)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Calculateur!$A$3:$A$203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Calculateur!$GC$3:$GC$203</c:f>
              <c:numCache>
                <c:formatCode>0.0</c:formatCode>
                <c:ptCount val="201"/>
                <c:pt idx="0" formatCode="General">
                  <c:v>0</c:v>
                </c:pt>
                <c:pt idx="1">
                  <c:v>3.1869916933335189</c:v>
                </c:pt>
                <c:pt idx="2">
                  <c:v>3.7189706865056689</c:v>
                </c:pt>
                <c:pt idx="3">
                  <c:v>4.3400685470721152</c:v>
                </c:pt>
                <c:pt idx="4">
                  <c:v>5.0652653229643461</c:v>
                </c:pt>
                <c:pt idx="5">
                  <c:v>5.9120670317881361</c:v>
                </c:pt>
                <c:pt idx="6">
                  <c:v>6.9009328456386783</c:v>
                </c:pt>
                <c:pt idx="7">
                  <c:v>8.0557747158050663</c:v>
                </c:pt>
                <c:pt idx="8">
                  <c:v>9.4045417518806484</c:v>
                </c:pt>
                <c:pt idx="9">
                  <c:v>10.979903767967294</c:v>
                </c:pt>
                <c:pt idx="10">
                  <c:v>12.820050865060374</c:v>
                </c:pt>
                <c:pt idx="11">
                  <c:v>14.969628794603414</c:v>
                </c:pt>
                <c:pt idx="12">
                  <c:v>17.480833215380692</c:v>
                </c:pt>
                <c:pt idx="13">
                  <c:v>20.414689898447865</c:v>
                </c:pt>
                <c:pt idx="14">
                  <c:v>23.842552551171647</c:v>
                </c:pt>
                <c:pt idx="15">
                  <c:v>27.847855337031476</c:v>
                </c:pt>
                <c:pt idx="16">
                  <c:v>32.528163497787233</c:v>
                </c:pt>
                <c:pt idx="17">
                  <c:v>37.997572897276264</c:v>
                </c:pt>
                <c:pt idx="18">
                  <c:v>44.389517986975818</c:v>
                </c:pt>
                <c:pt idx="19">
                  <c:v>51.860057859889174</c:v>
                </c:pt>
                <c:pt idx="20">
                  <c:v>60.591721965921806</c:v>
                </c:pt>
                <c:pt idx="21">
                  <c:v>70.798011007057156</c:v>
                </c:pt>
                <c:pt idx="22">
                  <c:v>82.728664863891794</c:v>
                </c:pt>
                <c:pt idx="23">
                  <c:v>96.67582853605127</c:v>
                </c:pt>
                <c:pt idx="24">
                  <c:v>112.98126948764094</c:v>
                </c:pt>
                <c:pt idx="25">
                  <c:v>132.04482603759354</c:v>
                </c:pt>
                <c:pt idx="26">
                  <c:v>154.33429718261061</c:v>
                </c:pt>
                <c:pt idx="27">
                  <c:v>180.39702025965281</c:v>
                </c:pt>
                <c:pt idx="28">
                  <c:v>210.87342505066601</c:v>
                </c:pt>
                <c:pt idx="29">
                  <c:v>246.51290236507396</c:v>
                </c:pt>
                <c:pt idx="30">
                  <c:v>288.19238304852763</c:v>
                </c:pt>
                <c:pt idx="31">
                  <c:v>306.76916131601587</c:v>
                </c:pt>
                <c:pt idx="32">
                  <c:v>325.32094743122781</c:v>
                </c:pt>
                <c:pt idx="33">
                  <c:v>343.84936666988773</c:v>
                </c:pt>
                <c:pt idx="34">
                  <c:v>362.35585487881235</c:v>
                </c:pt>
                <c:pt idx="35">
                  <c:v>380.84168930245914</c:v>
                </c:pt>
                <c:pt idx="36">
                  <c:v>262.76958015332485</c:v>
                </c:pt>
                <c:pt idx="37">
                  <c:v>284.28685031210659</c:v>
                </c:pt>
                <c:pt idx="38">
                  <c:v>305.76766187103027</c:v>
                </c:pt>
                <c:pt idx="39">
                  <c:v>327.21493514382536</c:v>
                </c:pt>
                <c:pt idx="40">
                  <c:v>348.63117639699902</c:v>
                </c:pt>
                <c:pt idx="41">
                  <c:v>370.01855891476197</c:v>
                </c:pt>
                <c:pt idx="42">
                  <c:v>302.943824797697</c:v>
                </c:pt>
                <c:pt idx="43">
                  <c:v>324.46701399217875</c:v>
                </c:pt>
                <c:pt idx="44">
                  <c:v>345.95865990901842</c:v>
                </c:pt>
                <c:pt idx="45">
                  <c:v>367.4209965395487</c:v>
                </c:pt>
                <c:pt idx="46">
                  <c:v>388.8559756704139</c:v>
                </c:pt>
                <c:pt idx="47">
                  <c:v>410.26531644463176</c:v>
                </c:pt>
                <c:pt idx="48">
                  <c:v>431.65054403421846</c:v>
                </c:pt>
                <c:pt idx="49">
                  <c:v>341.88798658068822</c:v>
                </c:pt>
                <c:pt idx="50">
                  <c:v>362.27302062186294</c:v>
                </c:pt>
                <c:pt idx="51">
                  <c:v>382.63298881740661</c:v>
                </c:pt>
                <c:pt idx="52">
                  <c:v>402.96941178483758</c:v>
                </c:pt>
                <c:pt idx="53">
                  <c:v>423.283644207414</c:v>
                </c:pt>
                <c:pt idx="54">
                  <c:v>443.57690019926093</c:v>
                </c:pt>
                <c:pt idx="55">
                  <c:v>463.85027378673567</c:v>
                </c:pt>
                <c:pt idx="56">
                  <c:v>379.7005065853723</c:v>
                </c:pt>
                <c:pt idx="57">
                  <c:v>398.89607613147399</c:v>
                </c:pt>
                <c:pt idx="58">
                  <c:v>418.07165280217856</c:v>
                </c:pt>
                <c:pt idx="59">
                  <c:v>437.22828213923009</c:v>
                </c:pt>
                <c:pt idx="60">
                  <c:v>456.36691063760514</c:v>
                </c:pt>
                <c:pt idx="61">
                  <c:v>475.48839897377138</c:v>
                </c:pt>
                <c:pt idx="62">
                  <c:v>494.59353299564032</c:v>
                </c:pt>
                <c:pt idx="63">
                  <c:v>513.68303292647488</c:v>
                </c:pt>
                <c:pt idx="64">
                  <c:v>436.93697308885839</c:v>
                </c:pt>
                <c:pt idx="65">
                  <c:v>455.4498408259139</c:v>
                </c:pt>
                <c:pt idx="66">
                  <c:v>473.94663528674664</c:v>
                </c:pt>
                <c:pt idx="67">
                  <c:v>492.42807168861947</c:v>
                </c:pt>
                <c:pt idx="68">
                  <c:v>510.89480721570732</c:v>
                </c:pt>
                <c:pt idx="69">
                  <c:v>529.34744769826659</c:v>
                </c:pt>
                <c:pt idx="70">
                  <c:v>547.78655331238531</c:v>
                </c:pt>
                <c:pt idx="71">
                  <c:v>566.21264347271074</c:v>
                </c:pt>
                <c:pt idx="72">
                  <c:v>493.12900067600816</c:v>
                </c:pt>
                <c:pt idx="73">
                  <c:v>511.00822526100939</c:v>
                </c:pt>
                <c:pt idx="74">
                  <c:v>528.87424050875768</c:v>
                </c:pt>
                <c:pt idx="75">
                  <c:v>546.72755518631664</c:v>
                </c:pt>
                <c:pt idx="76">
                  <c:v>564.56864214538984</c:v>
                </c:pt>
                <c:pt idx="77">
                  <c:v>582.39794193573846</c:v>
                </c:pt>
                <c:pt idx="78">
                  <c:v>600.2158659533485</c:v>
                </c:pt>
                <c:pt idx="79">
                  <c:v>618.02279919555451</c:v>
                </c:pt>
                <c:pt idx="80">
                  <c:v>635.81910268232502</c:v>
                </c:pt>
                <c:pt idx="81">
                  <c:v>549.22839927019811</c:v>
                </c:pt>
                <c:pt idx="82">
                  <c:v>566.27742965606353</c:v>
                </c:pt>
                <c:pt idx="83">
                  <c:v>583.3157318213639</c:v>
                </c:pt>
                <c:pt idx="84">
                  <c:v>600.34366305102446</c:v>
                </c:pt>
                <c:pt idx="85">
                  <c:v>617.36155872357722</c:v>
                </c:pt>
                <c:pt idx="86">
                  <c:v>634.3697342335164</c:v>
                </c:pt>
                <c:pt idx="87">
                  <c:v>651.36848669690528</c:v>
                </c:pt>
                <c:pt idx="88">
                  <c:v>668.3580964698092</c:v>
                </c:pt>
                <c:pt idx="89">
                  <c:v>685.33882850441751</c:v>
                </c:pt>
                <c:pt idx="90">
                  <c:v>589.58115277308787</c:v>
                </c:pt>
                <c:pt idx="91">
                  <c:v>605.88595587112718</c:v>
                </c:pt>
                <c:pt idx="92">
                  <c:v>622.1816501268504</c:v>
                </c:pt>
                <c:pt idx="93">
                  <c:v>638.46850755238074</c:v>
                </c:pt>
                <c:pt idx="94">
                  <c:v>654.7467851604614</c:v>
                </c:pt>
                <c:pt idx="95">
                  <c:v>671.01672615155564</c:v>
                </c:pt>
                <c:pt idx="96">
                  <c:v>687.27856097990991</c:v>
                </c:pt>
                <c:pt idx="97">
                  <c:v>703.53250831355035</c:v>
                </c:pt>
                <c:pt idx="98">
                  <c:v>719.77877590102037</c:v>
                </c:pt>
                <c:pt idx="99">
                  <c:v>736.01756135586174</c:v>
                </c:pt>
                <c:pt idx="100">
                  <c:v>643.10369331547565</c:v>
                </c:pt>
                <c:pt idx="101">
                  <c:v>658.9610805818287</c:v>
                </c:pt>
                <c:pt idx="102">
                  <c:v>674.81061235785273</c:v>
                </c:pt>
                <c:pt idx="103">
                  <c:v>690.65249900310573</c:v>
                </c:pt>
                <c:pt idx="104">
                  <c:v>706.48694044743434</c:v>
                </c:pt>
                <c:pt idx="105">
                  <c:v>722.31412693505047</c:v>
                </c:pt>
                <c:pt idx="106">
                  <c:v>738.13423970005181</c:v>
                </c:pt>
                <c:pt idx="107">
                  <c:v>753.94745158106855</c:v>
                </c:pt>
                <c:pt idx="108">
                  <c:v>769.75392758170949</c:v>
                </c:pt>
                <c:pt idx="109">
                  <c:v>785.55382538262154</c:v>
                </c:pt>
                <c:pt idx="110">
                  <c:v>685.03392020239414</c:v>
                </c:pt>
                <c:pt idx="111">
                  <c:v>700.5371863671254</c:v>
                </c:pt>
                <c:pt idx="112">
                  <c:v>716.03343280811612</c:v>
                </c:pt>
                <c:pt idx="113">
                  <c:v>731.52283272830607</c:v>
                </c:pt>
                <c:pt idx="114">
                  <c:v>747.00555140367942</c:v>
                </c:pt>
                <c:pt idx="115">
                  <c:v>762.48174670620631</c:v>
                </c:pt>
                <c:pt idx="116">
                  <c:v>777.95156958215478</c:v>
                </c:pt>
                <c:pt idx="117">
                  <c:v>793.41516449041671</c:v>
                </c:pt>
                <c:pt idx="118">
                  <c:v>808.87266980491552</c:v>
                </c:pt>
                <c:pt idx="119">
                  <c:v>824.32421818468595</c:v>
                </c:pt>
                <c:pt idx="120">
                  <c:v>492.83742328263929</c:v>
                </c:pt>
                <c:pt idx="121">
                  <c:v>501.57098653770277</c:v>
                </c:pt>
                <c:pt idx="122">
                  <c:v>510.30133202243286</c:v>
                </c:pt>
                <c:pt idx="123">
                  <c:v>519.02852256208939</c:v>
                </c:pt>
                <c:pt idx="124">
                  <c:v>347.85419402060182</c:v>
                </c:pt>
                <c:pt idx="125">
                  <c:v>353.21865136057613</c:v>
                </c:pt>
                <c:pt idx="126">
                  <c:v>358.58132330067798</c:v>
                </c:pt>
                <c:pt idx="127">
                  <c:v>363.94224034116149</c:v>
                </c:pt>
                <c:pt idx="128">
                  <c:v>252.38937355642543</c:v>
                </c:pt>
                <c:pt idx="129">
                  <c:v>255.87521499156858</c:v>
                </c:pt>
                <c:pt idx="130">
                  <c:v>259.35998187499553</c:v>
                </c:pt>
                <c:pt idx="131">
                  <c:v>262.8436907125398</c:v>
                </c:pt>
                <c:pt idx="132">
                  <c:v>1.1498242284038591E-11</c:v>
                </c:pt>
                <c:pt idx="133">
                  <c:v>1.1498242284038591E-11</c:v>
                </c:pt>
                <c:pt idx="134">
                  <c:v>1.1498242284038591E-11</c:v>
                </c:pt>
                <c:pt idx="135">
                  <c:v>1.1498242284038591E-11</c:v>
                </c:pt>
                <c:pt idx="136">
                  <c:v>1.1498242284038591E-11</c:v>
                </c:pt>
                <c:pt idx="137">
                  <c:v>1.1498242284038591E-11</c:v>
                </c:pt>
                <c:pt idx="138">
                  <c:v>1.1498242284038591E-11</c:v>
                </c:pt>
                <c:pt idx="139">
                  <c:v>1.1498242284038591E-11</c:v>
                </c:pt>
                <c:pt idx="140">
                  <c:v>1.1498242284038591E-11</c:v>
                </c:pt>
                <c:pt idx="141">
                  <c:v>1.1498242284038591E-11</c:v>
                </c:pt>
                <c:pt idx="142">
                  <c:v>1.1498242284038591E-11</c:v>
                </c:pt>
                <c:pt idx="143">
                  <c:v>1.1498242284038591E-11</c:v>
                </c:pt>
                <c:pt idx="144">
                  <c:v>1.1498242284038591E-11</c:v>
                </c:pt>
                <c:pt idx="145">
                  <c:v>1.1498242284038591E-11</c:v>
                </c:pt>
                <c:pt idx="146">
                  <c:v>1.1498242284038591E-11</c:v>
                </c:pt>
                <c:pt idx="147">
                  <c:v>1.1498242284038591E-11</c:v>
                </c:pt>
                <c:pt idx="148">
                  <c:v>1.1498242284038591E-11</c:v>
                </c:pt>
                <c:pt idx="149">
                  <c:v>1.1498242284038591E-11</c:v>
                </c:pt>
                <c:pt idx="150">
                  <c:v>1.1498242284038591E-11</c:v>
                </c:pt>
                <c:pt idx="151">
                  <c:v>1.1498242284038591E-11</c:v>
                </c:pt>
                <c:pt idx="152">
                  <c:v>1.1498242284038591E-11</c:v>
                </c:pt>
                <c:pt idx="153">
                  <c:v>1.1498242284038591E-11</c:v>
                </c:pt>
                <c:pt idx="154">
                  <c:v>1.1498242284038591E-11</c:v>
                </c:pt>
                <c:pt idx="155">
                  <c:v>1.1498242284038591E-11</c:v>
                </c:pt>
                <c:pt idx="156">
                  <c:v>1.1498242284038591E-11</c:v>
                </c:pt>
                <c:pt idx="157">
                  <c:v>1.1498242284038591E-11</c:v>
                </c:pt>
                <c:pt idx="158">
                  <c:v>1.1498242284038591E-11</c:v>
                </c:pt>
                <c:pt idx="159">
                  <c:v>1.1498242284038591E-11</c:v>
                </c:pt>
                <c:pt idx="160">
                  <c:v>1.1498242284038591E-11</c:v>
                </c:pt>
                <c:pt idx="161">
                  <c:v>1.1498242284038591E-11</c:v>
                </c:pt>
                <c:pt idx="162">
                  <c:v>1.1498242284038591E-11</c:v>
                </c:pt>
                <c:pt idx="163">
                  <c:v>1.1498242284038591E-11</c:v>
                </c:pt>
                <c:pt idx="164">
                  <c:v>1.1498242284038591E-11</c:v>
                </c:pt>
                <c:pt idx="165">
                  <c:v>1.1498242284038591E-11</c:v>
                </c:pt>
                <c:pt idx="166">
                  <c:v>1.1498242284038591E-11</c:v>
                </c:pt>
                <c:pt idx="167">
                  <c:v>1.1498242284038591E-11</c:v>
                </c:pt>
                <c:pt idx="168">
                  <c:v>1.1498242284038591E-11</c:v>
                </c:pt>
                <c:pt idx="169">
                  <c:v>1.1498242284038591E-11</c:v>
                </c:pt>
                <c:pt idx="170">
                  <c:v>1.1498242284038591E-11</c:v>
                </c:pt>
                <c:pt idx="171">
                  <c:v>1.1498242284038591E-11</c:v>
                </c:pt>
                <c:pt idx="172">
                  <c:v>1.1498242284038591E-11</c:v>
                </c:pt>
                <c:pt idx="173">
                  <c:v>1.1498242284038591E-11</c:v>
                </c:pt>
                <c:pt idx="174">
                  <c:v>1.1498242284038591E-11</c:v>
                </c:pt>
                <c:pt idx="175">
                  <c:v>1.1498242284038591E-11</c:v>
                </c:pt>
                <c:pt idx="176">
                  <c:v>1.1498242284038591E-11</c:v>
                </c:pt>
                <c:pt idx="177">
                  <c:v>1.1498242284038591E-11</c:v>
                </c:pt>
                <c:pt idx="178">
                  <c:v>1.1498242284038591E-11</c:v>
                </c:pt>
                <c:pt idx="179">
                  <c:v>1.1498242284038591E-11</c:v>
                </c:pt>
                <c:pt idx="180">
                  <c:v>1.1498242284038591E-11</c:v>
                </c:pt>
                <c:pt idx="181">
                  <c:v>1.1498242284038591E-11</c:v>
                </c:pt>
                <c:pt idx="182">
                  <c:v>1.1498242284038591E-11</c:v>
                </c:pt>
                <c:pt idx="183">
                  <c:v>1.1498242284038591E-11</c:v>
                </c:pt>
                <c:pt idx="184">
                  <c:v>1.1498242284038591E-11</c:v>
                </c:pt>
                <c:pt idx="185">
                  <c:v>1.1498242284038591E-11</c:v>
                </c:pt>
                <c:pt idx="186">
                  <c:v>1.1498242284038591E-11</c:v>
                </c:pt>
                <c:pt idx="187">
                  <c:v>1.1498242284038591E-11</c:v>
                </c:pt>
                <c:pt idx="188">
                  <c:v>1.1498242284038591E-11</c:v>
                </c:pt>
                <c:pt idx="189">
                  <c:v>1.1498242284038591E-11</c:v>
                </c:pt>
                <c:pt idx="190">
                  <c:v>1.1498242284038591E-11</c:v>
                </c:pt>
                <c:pt idx="191">
                  <c:v>1.1498242284038591E-11</c:v>
                </c:pt>
                <c:pt idx="192">
                  <c:v>1.1498242284038591E-11</c:v>
                </c:pt>
                <c:pt idx="193">
                  <c:v>1.1498242284038591E-11</c:v>
                </c:pt>
                <c:pt idx="194">
                  <c:v>1.1498242284038591E-11</c:v>
                </c:pt>
                <c:pt idx="195">
                  <c:v>1.1498242284038591E-11</c:v>
                </c:pt>
                <c:pt idx="196">
                  <c:v>1.1498242284038591E-11</c:v>
                </c:pt>
                <c:pt idx="197">
                  <c:v>1.1498242284038591E-11</c:v>
                </c:pt>
                <c:pt idx="198">
                  <c:v>1.1498242284038591E-11</c:v>
                </c:pt>
                <c:pt idx="199">
                  <c:v>1.1498242284038591E-11</c:v>
                </c:pt>
                <c:pt idx="200">
                  <c:v>1.1498242284038591E-11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F1-4188-BD25-401B49395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2868160"/>
        <c:axId val="1982858912"/>
      </c:scatterChart>
      <c:valAx>
        <c:axId val="1982868160"/>
        <c:scaling>
          <c:orientation val="minMax"/>
          <c:max val="1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Age (années)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82858912"/>
        <c:crosses val="autoZero"/>
        <c:crossBetween val="midCat"/>
      </c:valAx>
      <c:valAx>
        <c:axId val="1982858912"/>
        <c:scaling>
          <c:orientation val="minMax"/>
        </c:scaling>
        <c:delete val="0"/>
        <c:axPos val="l"/>
        <c:majorGridlines>
          <c:spPr>
            <a:ln w="19050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Stockage de CO₂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828681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 du stockage du CO₂ pour l'essence 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Calculateur!$GX$2</c:f>
              <c:strCache>
                <c:ptCount val="1"/>
                <c:pt idx="0">
                  <c:v>Biomasse totale (tCO₂/ha)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Calculateur!$A$3:$A$203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Calculateur!$GX$3:$GX$203</c:f>
              <c:numCache>
                <c:formatCode>0.0</c:formatCode>
                <c:ptCount val="201"/>
                <c:pt idx="0" formatCode="General">
                  <c:v>0</c:v>
                </c:pt>
                <c:pt idx="1">
                  <c:v>3.1869916933335189</c:v>
                </c:pt>
                <c:pt idx="2">
                  <c:v>3.7189706865056689</c:v>
                </c:pt>
                <c:pt idx="3">
                  <c:v>4.3400685470721152</c:v>
                </c:pt>
                <c:pt idx="4">
                  <c:v>5.0652653229643461</c:v>
                </c:pt>
                <c:pt idx="5">
                  <c:v>5.9120670317881361</c:v>
                </c:pt>
                <c:pt idx="6">
                  <c:v>6.9009328456386783</c:v>
                </c:pt>
                <c:pt idx="7">
                  <c:v>8.0557747158050663</c:v>
                </c:pt>
                <c:pt idx="8">
                  <c:v>9.4045417518806484</c:v>
                </c:pt>
                <c:pt idx="9">
                  <c:v>10.979903767967294</c:v>
                </c:pt>
                <c:pt idx="10">
                  <c:v>12.820050865060374</c:v>
                </c:pt>
                <c:pt idx="11">
                  <c:v>14.969628794603414</c:v>
                </c:pt>
                <c:pt idx="12">
                  <c:v>17.480833215380692</c:v>
                </c:pt>
                <c:pt idx="13">
                  <c:v>20.414689898447865</c:v>
                </c:pt>
                <c:pt idx="14">
                  <c:v>23.842552551171647</c:v>
                </c:pt>
                <c:pt idx="15">
                  <c:v>27.847855337031476</c:v>
                </c:pt>
                <c:pt idx="16">
                  <c:v>32.528163497787233</c:v>
                </c:pt>
                <c:pt idx="17">
                  <c:v>37.997572897276264</c:v>
                </c:pt>
                <c:pt idx="18">
                  <c:v>44.389517986975818</c:v>
                </c:pt>
                <c:pt idx="19">
                  <c:v>51.860057859889174</c:v>
                </c:pt>
                <c:pt idx="20">
                  <c:v>60.591721965921806</c:v>
                </c:pt>
                <c:pt idx="21">
                  <c:v>70.798011007057156</c:v>
                </c:pt>
                <c:pt idx="22">
                  <c:v>82.728664863891794</c:v>
                </c:pt>
                <c:pt idx="23">
                  <c:v>96.67582853605127</c:v>
                </c:pt>
                <c:pt idx="24">
                  <c:v>112.98126948764094</c:v>
                </c:pt>
                <c:pt idx="25">
                  <c:v>132.04482603759354</c:v>
                </c:pt>
                <c:pt idx="26">
                  <c:v>154.33429718261061</c:v>
                </c:pt>
                <c:pt idx="27">
                  <c:v>180.39702025965281</c:v>
                </c:pt>
                <c:pt idx="28">
                  <c:v>210.87342505066601</c:v>
                </c:pt>
                <c:pt idx="29">
                  <c:v>246.51290236507396</c:v>
                </c:pt>
                <c:pt idx="30">
                  <c:v>288.19238304852763</c:v>
                </c:pt>
                <c:pt idx="31">
                  <c:v>306.76916131601587</c:v>
                </c:pt>
                <c:pt idx="32">
                  <c:v>325.32094743122781</c:v>
                </c:pt>
                <c:pt idx="33">
                  <c:v>343.84936666988773</c:v>
                </c:pt>
                <c:pt idx="34">
                  <c:v>362.35585487881235</c:v>
                </c:pt>
                <c:pt idx="35">
                  <c:v>380.84168930245914</c:v>
                </c:pt>
                <c:pt idx="36">
                  <c:v>262.76958015332485</c:v>
                </c:pt>
                <c:pt idx="37">
                  <c:v>284.28685031210659</c:v>
                </c:pt>
                <c:pt idx="38">
                  <c:v>305.76766187103027</c:v>
                </c:pt>
                <c:pt idx="39">
                  <c:v>327.21493514382536</c:v>
                </c:pt>
                <c:pt idx="40">
                  <c:v>348.63117639699902</c:v>
                </c:pt>
                <c:pt idx="41">
                  <c:v>370.01855891476197</c:v>
                </c:pt>
                <c:pt idx="42">
                  <c:v>302.943824797697</c:v>
                </c:pt>
                <c:pt idx="43">
                  <c:v>324.46701399217875</c:v>
                </c:pt>
                <c:pt idx="44">
                  <c:v>345.95865990901842</c:v>
                </c:pt>
                <c:pt idx="45">
                  <c:v>367.4209965395487</c:v>
                </c:pt>
                <c:pt idx="46">
                  <c:v>388.8559756704139</c:v>
                </c:pt>
                <c:pt idx="47">
                  <c:v>410.26531644463176</c:v>
                </c:pt>
                <c:pt idx="48">
                  <c:v>431.65054403421846</c:v>
                </c:pt>
                <c:pt idx="49">
                  <c:v>341.88798658068822</c:v>
                </c:pt>
                <c:pt idx="50">
                  <c:v>362.27302062186294</c:v>
                </c:pt>
                <c:pt idx="51">
                  <c:v>382.63298881740661</c:v>
                </c:pt>
                <c:pt idx="52">
                  <c:v>402.96941178483758</c:v>
                </c:pt>
                <c:pt idx="53">
                  <c:v>423.283644207414</c:v>
                </c:pt>
                <c:pt idx="54">
                  <c:v>443.57690019926093</c:v>
                </c:pt>
                <c:pt idx="55">
                  <c:v>463.85027378673567</c:v>
                </c:pt>
                <c:pt idx="56">
                  <c:v>379.7005065853723</c:v>
                </c:pt>
                <c:pt idx="57">
                  <c:v>398.89607613147399</c:v>
                </c:pt>
                <c:pt idx="58">
                  <c:v>418.07165280217856</c:v>
                </c:pt>
                <c:pt idx="59">
                  <c:v>437.22828213923009</c:v>
                </c:pt>
                <c:pt idx="60">
                  <c:v>456.36691063760514</c:v>
                </c:pt>
                <c:pt idx="61">
                  <c:v>475.48839897377138</c:v>
                </c:pt>
                <c:pt idx="62">
                  <c:v>494.59353299564032</c:v>
                </c:pt>
                <c:pt idx="63">
                  <c:v>513.68303292647488</c:v>
                </c:pt>
                <c:pt idx="64">
                  <c:v>436.93697308885839</c:v>
                </c:pt>
                <c:pt idx="65">
                  <c:v>455.4498408259139</c:v>
                </c:pt>
                <c:pt idx="66">
                  <c:v>473.94663528674664</c:v>
                </c:pt>
                <c:pt idx="67">
                  <c:v>492.42807168861947</c:v>
                </c:pt>
                <c:pt idx="68">
                  <c:v>510.89480721570732</c:v>
                </c:pt>
                <c:pt idx="69">
                  <c:v>529.34744769826659</c:v>
                </c:pt>
                <c:pt idx="70">
                  <c:v>547.78655331238531</c:v>
                </c:pt>
                <c:pt idx="71">
                  <c:v>566.21264347271074</c:v>
                </c:pt>
                <c:pt idx="72">
                  <c:v>493.12900067600816</c:v>
                </c:pt>
                <c:pt idx="73">
                  <c:v>511.00822526100939</c:v>
                </c:pt>
                <c:pt idx="74">
                  <c:v>528.87424050875768</c:v>
                </c:pt>
                <c:pt idx="75">
                  <c:v>546.72755518631664</c:v>
                </c:pt>
                <c:pt idx="76">
                  <c:v>564.56864214538984</c:v>
                </c:pt>
                <c:pt idx="77">
                  <c:v>582.39794193573846</c:v>
                </c:pt>
                <c:pt idx="78">
                  <c:v>600.2158659533485</c:v>
                </c:pt>
                <c:pt idx="79">
                  <c:v>618.02279919555451</c:v>
                </c:pt>
                <c:pt idx="80">
                  <c:v>635.81910268232502</c:v>
                </c:pt>
                <c:pt idx="81">
                  <c:v>549.22839927019811</c:v>
                </c:pt>
                <c:pt idx="82">
                  <c:v>566.27742965606353</c:v>
                </c:pt>
                <c:pt idx="83">
                  <c:v>583.3157318213639</c:v>
                </c:pt>
                <c:pt idx="84">
                  <c:v>600.34366305102446</c:v>
                </c:pt>
                <c:pt idx="85">
                  <c:v>617.36155872357722</c:v>
                </c:pt>
                <c:pt idx="86">
                  <c:v>634.3697342335164</c:v>
                </c:pt>
                <c:pt idx="87">
                  <c:v>651.36848669690528</c:v>
                </c:pt>
                <c:pt idx="88">
                  <c:v>668.3580964698092</c:v>
                </c:pt>
                <c:pt idx="89">
                  <c:v>685.33882850441751</c:v>
                </c:pt>
                <c:pt idx="90">
                  <c:v>589.58115277308787</c:v>
                </c:pt>
                <c:pt idx="91">
                  <c:v>605.88595587112718</c:v>
                </c:pt>
                <c:pt idx="92">
                  <c:v>622.1816501268504</c:v>
                </c:pt>
                <c:pt idx="93">
                  <c:v>638.46850755238074</c:v>
                </c:pt>
                <c:pt idx="94">
                  <c:v>654.7467851604614</c:v>
                </c:pt>
                <c:pt idx="95">
                  <c:v>671.01672615155564</c:v>
                </c:pt>
                <c:pt idx="96">
                  <c:v>687.27856097990991</c:v>
                </c:pt>
                <c:pt idx="97">
                  <c:v>703.53250831355035</c:v>
                </c:pt>
                <c:pt idx="98">
                  <c:v>719.77877590102037</c:v>
                </c:pt>
                <c:pt idx="99">
                  <c:v>736.01756135586174</c:v>
                </c:pt>
                <c:pt idx="100">
                  <c:v>643.10369331547565</c:v>
                </c:pt>
                <c:pt idx="101">
                  <c:v>658.9610805818287</c:v>
                </c:pt>
                <c:pt idx="102">
                  <c:v>674.81061235785273</c:v>
                </c:pt>
                <c:pt idx="103">
                  <c:v>690.65249900310573</c:v>
                </c:pt>
                <c:pt idx="104">
                  <c:v>706.48694044743434</c:v>
                </c:pt>
                <c:pt idx="105">
                  <c:v>722.31412693505047</c:v>
                </c:pt>
                <c:pt idx="106">
                  <c:v>738.13423970005181</c:v>
                </c:pt>
                <c:pt idx="107">
                  <c:v>753.94745158106855</c:v>
                </c:pt>
                <c:pt idx="108">
                  <c:v>769.75392758170949</c:v>
                </c:pt>
                <c:pt idx="109">
                  <c:v>785.55382538262154</c:v>
                </c:pt>
                <c:pt idx="110">
                  <c:v>685.03392020239414</c:v>
                </c:pt>
                <c:pt idx="111">
                  <c:v>700.5371863671254</c:v>
                </c:pt>
                <c:pt idx="112">
                  <c:v>716.03343280811612</c:v>
                </c:pt>
                <c:pt idx="113">
                  <c:v>731.52283272830607</c:v>
                </c:pt>
                <c:pt idx="114">
                  <c:v>747.00555140367942</c:v>
                </c:pt>
                <c:pt idx="115">
                  <c:v>762.48174670620631</c:v>
                </c:pt>
                <c:pt idx="116">
                  <c:v>777.95156958215478</c:v>
                </c:pt>
                <c:pt idx="117">
                  <c:v>793.41516449041671</c:v>
                </c:pt>
                <c:pt idx="118">
                  <c:v>808.87266980491552</c:v>
                </c:pt>
                <c:pt idx="119">
                  <c:v>824.32421818468595</c:v>
                </c:pt>
                <c:pt idx="120">
                  <c:v>492.83742328263929</c:v>
                </c:pt>
                <c:pt idx="121">
                  <c:v>501.57098653770277</c:v>
                </c:pt>
                <c:pt idx="122">
                  <c:v>510.30133202243286</c:v>
                </c:pt>
                <c:pt idx="123">
                  <c:v>519.02852256208939</c:v>
                </c:pt>
                <c:pt idx="124">
                  <c:v>347.85419402060182</c:v>
                </c:pt>
                <c:pt idx="125">
                  <c:v>353.21865136057613</c:v>
                </c:pt>
                <c:pt idx="126">
                  <c:v>358.58132330067798</c:v>
                </c:pt>
                <c:pt idx="127">
                  <c:v>363.94224034116149</c:v>
                </c:pt>
                <c:pt idx="128">
                  <c:v>252.38937355642543</c:v>
                </c:pt>
                <c:pt idx="129">
                  <c:v>255.87521499156858</c:v>
                </c:pt>
                <c:pt idx="130">
                  <c:v>259.35998187499553</c:v>
                </c:pt>
                <c:pt idx="131">
                  <c:v>262.8436907125398</c:v>
                </c:pt>
                <c:pt idx="132">
                  <c:v>1.1498242284038591E-11</c:v>
                </c:pt>
                <c:pt idx="133">
                  <c:v>1.1498242284038591E-11</c:v>
                </c:pt>
                <c:pt idx="134">
                  <c:v>1.1498242284038591E-11</c:v>
                </c:pt>
                <c:pt idx="135">
                  <c:v>1.1498242284038591E-11</c:v>
                </c:pt>
                <c:pt idx="136">
                  <c:v>1.1498242284038591E-11</c:v>
                </c:pt>
                <c:pt idx="137">
                  <c:v>1.1498242284038591E-11</c:v>
                </c:pt>
                <c:pt idx="138">
                  <c:v>1.1498242284038591E-11</c:v>
                </c:pt>
                <c:pt idx="139">
                  <c:v>1.1498242284038591E-11</c:v>
                </c:pt>
                <c:pt idx="140">
                  <c:v>1.1498242284038591E-11</c:v>
                </c:pt>
                <c:pt idx="141">
                  <c:v>1.1498242284038591E-11</c:v>
                </c:pt>
                <c:pt idx="142">
                  <c:v>1.1498242284038591E-11</c:v>
                </c:pt>
                <c:pt idx="143">
                  <c:v>1.1498242284038591E-11</c:v>
                </c:pt>
                <c:pt idx="144">
                  <c:v>1.1498242284038591E-11</c:v>
                </c:pt>
                <c:pt idx="145">
                  <c:v>1.1498242284038591E-11</c:v>
                </c:pt>
                <c:pt idx="146">
                  <c:v>1.1498242284038591E-11</c:v>
                </c:pt>
                <c:pt idx="147">
                  <c:v>1.1498242284038591E-11</c:v>
                </c:pt>
                <c:pt idx="148">
                  <c:v>1.1498242284038591E-11</c:v>
                </c:pt>
                <c:pt idx="149">
                  <c:v>1.1498242284038591E-11</c:v>
                </c:pt>
                <c:pt idx="150">
                  <c:v>1.1498242284038591E-11</c:v>
                </c:pt>
                <c:pt idx="151">
                  <c:v>1.1498242284038591E-11</c:v>
                </c:pt>
                <c:pt idx="152">
                  <c:v>1.1498242284038591E-11</c:v>
                </c:pt>
                <c:pt idx="153">
                  <c:v>1.1498242284038591E-11</c:v>
                </c:pt>
                <c:pt idx="154">
                  <c:v>1.1498242284038591E-11</c:v>
                </c:pt>
                <c:pt idx="155">
                  <c:v>1.1498242284038591E-11</c:v>
                </c:pt>
                <c:pt idx="156">
                  <c:v>1.1498242284038591E-11</c:v>
                </c:pt>
                <c:pt idx="157">
                  <c:v>1.1498242284038591E-11</c:v>
                </c:pt>
                <c:pt idx="158">
                  <c:v>1.1498242284038591E-11</c:v>
                </c:pt>
                <c:pt idx="159">
                  <c:v>1.1498242284038591E-11</c:v>
                </c:pt>
                <c:pt idx="160">
                  <c:v>1.1498242284038591E-11</c:v>
                </c:pt>
                <c:pt idx="161">
                  <c:v>1.1498242284038591E-11</c:v>
                </c:pt>
                <c:pt idx="162">
                  <c:v>1.1498242284038591E-11</c:v>
                </c:pt>
                <c:pt idx="163">
                  <c:v>1.1498242284038591E-11</c:v>
                </c:pt>
                <c:pt idx="164">
                  <c:v>1.1498242284038591E-11</c:v>
                </c:pt>
                <c:pt idx="165">
                  <c:v>1.1498242284038591E-11</c:v>
                </c:pt>
                <c:pt idx="166">
                  <c:v>1.1498242284038591E-11</c:v>
                </c:pt>
                <c:pt idx="167">
                  <c:v>1.1498242284038591E-11</c:v>
                </c:pt>
                <c:pt idx="168">
                  <c:v>1.1498242284038591E-11</c:v>
                </c:pt>
                <c:pt idx="169">
                  <c:v>1.1498242284038591E-11</c:v>
                </c:pt>
                <c:pt idx="170">
                  <c:v>1.1498242284038591E-11</c:v>
                </c:pt>
                <c:pt idx="171">
                  <c:v>1.1498242284038591E-11</c:v>
                </c:pt>
                <c:pt idx="172">
                  <c:v>1.1498242284038591E-11</c:v>
                </c:pt>
                <c:pt idx="173">
                  <c:v>1.1498242284038591E-11</c:v>
                </c:pt>
                <c:pt idx="174">
                  <c:v>1.1498242284038591E-11</c:v>
                </c:pt>
                <c:pt idx="175">
                  <c:v>1.1498242284038591E-11</c:v>
                </c:pt>
                <c:pt idx="176">
                  <c:v>1.1498242284038591E-11</c:v>
                </c:pt>
                <c:pt idx="177">
                  <c:v>1.1498242284038591E-11</c:v>
                </c:pt>
                <c:pt idx="178">
                  <c:v>1.1498242284038591E-11</c:v>
                </c:pt>
                <c:pt idx="179">
                  <c:v>1.1498242284038591E-11</c:v>
                </c:pt>
                <c:pt idx="180">
                  <c:v>1.1498242284038591E-11</c:v>
                </c:pt>
                <c:pt idx="181">
                  <c:v>1.1498242284038591E-11</c:v>
                </c:pt>
                <c:pt idx="182">
                  <c:v>1.1498242284038591E-11</c:v>
                </c:pt>
                <c:pt idx="183">
                  <c:v>1.1498242284038591E-11</c:v>
                </c:pt>
                <c:pt idx="184">
                  <c:v>1.1498242284038591E-11</c:v>
                </c:pt>
                <c:pt idx="185">
                  <c:v>1.1498242284038591E-11</c:v>
                </c:pt>
                <c:pt idx="186">
                  <c:v>1.1498242284038591E-11</c:v>
                </c:pt>
                <c:pt idx="187">
                  <c:v>1.1498242284038591E-11</c:v>
                </c:pt>
                <c:pt idx="188">
                  <c:v>1.1498242284038591E-11</c:v>
                </c:pt>
                <c:pt idx="189">
                  <c:v>1.1498242284038591E-11</c:v>
                </c:pt>
                <c:pt idx="190">
                  <c:v>1.1498242284038591E-11</c:v>
                </c:pt>
                <c:pt idx="191">
                  <c:v>1.1498242284038591E-11</c:v>
                </c:pt>
                <c:pt idx="192">
                  <c:v>1.1498242284038591E-11</c:v>
                </c:pt>
                <c:pt idx="193">
                  <c:v>1.1498242284038591E-11</c:v>
                </c:pt>
                <c:pt idx="194">
                  <c:v>1.1498242284038591E-11</c:v>
                </c:pt>
                <c:pt idx="195">
                  <c:v>1.1498242284038591E-11</c:v>
                </c:pt>
                <c:pt idx="196">
                  <c:v>1.1498242284038591E-11</c:v>
                </c:pt>
                <c:pt idx="197">
                  <c:v>1.1498242284038591E-11</c:v>
                </c:pt>
                <c:pt idx="198">
                  <c:v>1.1498242284038591E-11</c:v>
                </c:pt>
                <c:pt idx="199">
                  <c:v>1.1498242284038591E-11</c:v>
                </c:pt>
                <c:pt idx="200">
                  <c:v>1.1498242284038591E-11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61-4757-82C1-EC23A2C02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2873056"/>
        <c:axId val="1982865440"/>
      </c:scatterChart>
      <c:valAx>
        <c:axId val="1982873056"/>
        <c:scaling>
          <c:orientation val="minMax"/>
          <c:max val="1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Age (années)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82865440"/>
        <c:crosses val="autoZero"/>
        <c:crossBetween val="midCat"/>
      </c:valAx>
      <c:valAx>
        <c:axId val="1982865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Stockage de CO₂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828730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560443</xdr:colOff>
      <xdr:row>0</xdr:row>
      <xdr:rowOff>114300</xdr:rowOff>
    </xdr:from>
    <xdr:to>
      <xdr:col>12</xdr:col>
      <xdr:colOff>984622</xdr:colOff>
      <xdr:row>10</xdr:row>
      <xdr:rowOff>47065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1143" y="114300"/>
          <a:ext cx="4640579" cy="1837765"/>
        </a:xfrm>
        <a:prstGeom prst="rect">
          <a:avLst/>
        </a:prstGeom>
      </xdr:spPr>
    </xdr:pic>
    <xdr:clientData/>
  </xdr:twoCellAnchor>
  <xdr:twoCellAnchor editAs="oneCell">
    <xdr:from>
      <xdr:col>1</xdr:col>
      <xdr:colOff>328706</xdr:colOff>
      <xdr:row>0</xdr:row>
      <xdr:rowOff>125506</xdr:rowOff>
    </xdr:from>
    <xdr:to>
      <xdr:col>3</xdr:col>
      <xdr:colOff>304800</xdr:colOff>
      <xdr:row>10</xdr:row>
      <xdr:rowOff>64446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706" y="125506"/>
          <a:ext cx="2084294" cy="1843940"/>
        </a:xfrm>
        <a:prstGeom prst="rect">
          <a:avLst/>
        </a:prstGeom>
      </xdr:spPr>
    </xdr:pic>
    <xdr:clientData/>
  </xdr:twoCellAnchor>
  <xdr:twoCellAnchor editAs="oneCell">
    <xdr:from>
      <xdr:col>4</xdr:col>
      <xdr:colOff>629771</xdr:colOff>
      <xdr:row>0</xdr:row>
      <xdr:rowOff>126812</xdr:rowOff>
    </xdr:from>
    <xdr:to>
      <xdr:col>7</xdr:col>
      <xdr:colOff>224117</xdr:colOff>
      <xdr:row>10</xdr:row>
      <xdr:rowOff>87421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9021" t="16354" r="11259" b="14062"/>
        <a:stretch/>
      </xdr:blipFill>
      <xdr:spPr>
        <a:xfrm>
          <a:off x="4554071" y="126812"/>
          <a:ext cx="2756646" cy="18656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20</xdr:row>
      <xdr:rowOff>0</xdr:rowOff>
    </xdr:from>
    <xdr:to>
      <xdr:col>7</xdr:col>
      <xdr:colOff>590550</xdr:colOff>
      <xdr:row>37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38</xdr:row>
      <xdr:rowOff>12700</xdr:rowOff>
    </xdr:from>
    <xdr:to>
      <xdr:col>7</xdr:col>
      <xdr:colOff>590550</xdr:colOff>
      <xdr:row>55</xdr:row>
      <xdr:rowOff>127000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6350</xdr:colOff>
      <xdr:row>56</xdr:row>
      <xdr:rowOff>12700</xdr:rowOff>
    </xdr:from>
    <xdr:to>
      <xdr:col>7</xdr:col>
      <xdr:colOff>584200</xdr:colOff>
      <xdr:row>73</xdr:row>
      <xdr:rowOff>127000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75</xdr:row>
      <xdr:rowOff>0</xdr:rowOff>
    </xdr:from>
    <xdr:to>
      <xdr:col>7</xdr:col>
      <xdr:colOff>577850</xdr:colOff>
      <xdr:row>92</xdr:row>
      <xdr:rowOff>114300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93</xdr:row>
      <xdr:rowOff>0</xdr:rowOff>
    </xdr:from>
    <xdr:to>
      <xdr:col>7</xdr:col>
      <xdr:colOff>577850</xdr:colOff>
      <xdr:row>110</xdr:row>
      <xdr:rowOff>114300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111</xdr:row>
      <xdr:rowOff>0</xdr:rowOff>
    </xdr:from>
    <xdr:to>
      <xdr:col>7</xdr:col>
      <xdr:colOff>577850</xdr:colOff>
      <xdr:row>128</xdr:row>
      <xdr:rowOff>114300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129</xdr:row>
      <xdr:rowOff>0</xdr:rowOff>
    </xdr:from>
    <xdr:to>
      <xdr:col>7</xdr:col>
      <xdr:colOff>577850</xdr:colOff>
      <xdr:row>146</xdr:row>
      <xdr:rowOff>114300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147</xdr:row>
      <xdr:rowOff>0</xdr:rowOff>
    </xdr:from>
    <xdr:to>
      <xdr:col>7</xdr:col>
      <xdr:colOff>577850</xdr:colOff>
      <xdr:row>164</xdr:row>
      <xdr:rowOff>114300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165</xdr:row>
      <xdr:rowOff>0</xdr:rowOff>
    </xdr:from>
    <xdr:to>
      <xdr:col>7</xdr:col>
      <xdr:colOff>577850</xdr:colOff>
      <xdr:row>182</xdr:row>
      <xdr:rowOff>114300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183</xdr:row>
      <xdr:rowOff>0</xdr:rowOff>
    </xdr:from>
    <xdr:to>
      <xdr:col>7</xdr:col>
      <xdr:colOff>577850</xdr:colOff>
      <xdr:row>200</xdr:row>
      <xdr:rowOff>114300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1"/>
  <dimension ref="B12:M31"/>
  <sheetViews>
    <sheetView showGridLines="0" showRowColHeaders="0" zoomScale="80" zoomScaleNormal="80" workbookViewId="0">
      <selection activeCell="B12" sqref="B12:M16"/>
    </sheetView>
  </sheetViews>
  <sheetFormatPr baseColWidth="10" defaultRowHeight="15" x14ac:dyDescent="0.25"/>
  <cols>
    <col min="1" max="1" width="6.7109375" customWidth="1"/>
    <col min="2" max="13" width="15.85546875" customWidth="1"/>
  </cols>
  <sheetData>
    <row r="12" spans="2:13" ht="15" customHeight="1" x14ac:dyDescent="0.25">
      <c r="B12" s="270" t="s">
        <v>291</v>
      </c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</row>
    <row r="13" spans="2:13" ht="15" customHeight="1" x14ac:dyDescent="0.25"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</row>
    <row r="14" spans="2:13" ht="15" customHeight="1" x14ac:dyDescent="0.25"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</row>
    <row r="15" spans="2:13" ht="18.75" customHeight="1" x14ac:dyDescent="0.25"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</row>
    <row r="16" spans="2:13" ht="18.75" customHeight="1" x14ac:dyDescent="0.25"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</row>
    <row r="18" spans="2:13" ht="12" customHeight="1" x14ac:dyDescent="0.25">
      <c r="B18" s="270" t="s">
        <v>292</v>
      </c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</row>
    <row r="19" spans="2:13" ht="12" customHeight="1" x14ac:dyDescent="0.25"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</row>
    <row r="20" spans="2:13" ht="12" customHeight="1" x14ac:dyDescent="0.25"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</row>
    <row r="21" spans="2:13" ht="12" customHeight="1" x14ac:dyDescent="0.25"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</row>
    <row r="22" spans="2:13" ht="12" customHeight="1" x14ac:dyDescent="0.25"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</row>
    <row r="23" spans="2:13" ht="12" customHeight="1" x14ac:dyDescent="0.25"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</row>
    <row r="24" spans="2:13" ht="12" customHeight="1" x14ac:dyDescent="0.25"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</row>
    <row r="25" spans="2:13" ht="12" customHeight="1" x14ac:dyDescent="0.25"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</row>
    <row r="26" spans="2:13" ht="12" customHeight="1" x14ac:dyDescent="0.25"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</row>
    <row r="27" spans="2:13" ht="12" customHeight="1" x14ac:dyDescent="0.25"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</row>
    <row r="28" spans="2:13" ht="12" customHeight="1" x14ac:dyDescent="0.25"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</row>
    <row r="29" spans="2:13" ht="12" customHeight="1" x14ac:dyDescent="0.25"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</row>
    <row r="30" spans="2:13" ht="12" customHeight="1" x14ac:dyDescent="0.25"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</row>
    <row r="31" spans="2:13" ht="12" customHeight="1" x14ac:dyDescent="0.25"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</row>
  </sheetData>
  <sheetProtection algorithmName="SHA-512" hashValue="rv/mgFCDiodwcl0knWLrg7loCzgGEygNNmKEdCWpMqN2bXcz9xpOtTcPqDdaaYLcZIcH/pXkKS+Trz0iKeeMdg==" saltValue="tAUGi0gCBtJPKAExQ7EHoA==" spinCount="100000" sheet="1" objects="1" scenarios="1"/>
  <mergeCells count="2">
    <mergeCell ref="B12:M16"/>
    <mergeCell ref="B18:M3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S427"/>
  <sheetViews>
    <sheetView tabSelected="1" topLeftCell="A166" zoomScale="85" zoomScaleNormal="85" workbookViewId="0">
      <selection activeCell="D192" sqref="D192"/>
    </sheetView>
  </sheetViews>
  <sheetFormatPr baseColWidth="10" defaultColWidth="11.42578125" defaultRowHeight="15" x14ac:dyDescent="0.25"/>
  <cols>
    <col min="1" max="1" width="13.7109375" style="23" customWidth="1"/>
    <col min="2" max="2" width="36.140625" style="23" customWidth="1"/>
    <col min="3" max="3" width="14.85546875" style="23" bestFit="1" customWidth="1"/>
    <col min="4" max="4" width="16.42578125" style="23" customWidth="1"/>
    <col min="5" max="5" width="23.28515625" style="23" customWidth="1"/>
    <col min="6" max="6" width="28.85546875" style="23" bestFit="1" customWidth="1"/>
    <col min="7" max="8" width="14.7109375" style="23" customWidth="1"/>
    <col min="9" max="9" width="17" style="23" customWidth="1"/>
    <col min="10" max="10" width="13.85546875" style="23" customWidth="1"/>
    <col min="11" max="16384" width="11.42578125" style="23"/>
  </cols>
  <sheetData>
    <row r="1" spans="1:38" x14ac:dyDescent="0.25">
      <c r="A1" s="4"/>
      <c r="B1" s="4"/>
      <c r="C1" s="257" t="s">
        <v>190</v>
      </c>
      <c r="D1" s="257"/>
      <c r="E1" s="25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8" ht="15.75" thickBot="1" x14ac:dyDescent="0.3">
      <c r="A2" s="4"/>
      <c r="B2" s="4"/>
      <c r="C2" s="4"/>
      <c r="D2" s="4"/>
      <c r="E2" s="4"/>
      <c r="F2" s="4"/>
      <c r="G2" s="4"/>
      <c r="H2" s="4"/>
      <c r="I2" s="211" t="s">
        <v>319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8" ht="27" thickBot="1" x14ac:dyDescent="0.3">
      <c r="A3" s="4"/>
      <c r="B3" s="262" t="s">
        <v>192</v>
      </c>
      <c r="C3" s="263"/>
      <c r="D3" s="263"/>
      <c r="E3" s="263"/>
      <c r="F3" s="264"/>
      <c r="G3" s="89"/>
      <c r="I3" s="211" t="s">
        <v>304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8" ht="26.25" x14ac:dyDescent="0.25">
      <c r="A4" s="90"/>
      <c r="B4" s="90"/>
      <c r="C4" s="90"/>
      <c r="D4" s="90"/>
      <c r="E4" s="90"/>
      <c r="F4" s="90"/>
      <c r="G4" s="218"/>
      <c r="I4" s="211" t="s">
        <v>305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8" ht="26.25" x14ac:dyDescent="0.25">
      <c r="A5" s="267" t="s">
        <v>231</v>
      </c>
      <c r="B5" s="267"/>
      <c r="C5" s="24">
        <v>22.7</v>
      </c>
      <c r="D5" s="268" t="s">
        <v>229</v>
      </c>
      <c r="E5" s="269"/>
      <c r="F5" s="90"/>
      <c r="G5" s="218"/>
      <c r="H5" s="218"/>
      <c r="I5" s="218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38" x14ac:dyDescent="0.25">
      <c r="A6" s="91"/>
      <c r="B6" s="91"/>
      <c r="C6" s="4"/>
      <c r="D6" s="86"/>
      <c r="E6" s="86"/>
      <c r="F6" s="26"/>
      <c r="G6" s="205"/>
      <c r="H6" s="205"/>
      <c r="I6" s="205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38" ht="26.25" x14ac:dyDescent="0.25">
      <c r="A7" s="266" t="s">
        <v>226</v>
      </c>
      <c r="B7" s="266"/>
      <c r="C7" s="90"/>
      <c r="D7" s="90"/>
      <c r="E7" s="4"/>
      <c r="F7" s="90"/>
      <c r="G7" s="218"/>
      <c r="H7" s="218"/>
      <c r="I7" s="21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38" ht="28.5" customHeight="1" x14ac:dyDescent="0.25">
      <c r="A8" s="4"/>
      <c r="B8" s="25" t="s">
        <v>179</v>
      </c>
      <c r="C8" s="26" t="s">
        <v>269</v>
      </c>
      <c r="D8" s="27" t="s">
        <v>270</v>
      </c>
      <c r="E8" s="28" t="s">
        <v>268</v>
      </c>
      <c r="F8" s="29" t="s">
        <v>230</v>
      </c>
      <c r="I8" s="225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38" x14ac:dyDescent="0.25">
      <c r="A9" s="30" t="s">
        <v>165</v>
      </c>
      <c r="B9" s="31" t="s">
        <v>18</v>
      </c>
      <c r="C9" s="32">
        <v>0.59</v>
      </c>
      <c r="D9" s="33">
        <f t="shared" ref="D9:D18" si="0">C9*$C$5</f>
        <v>13.392999999999999</v>
      </c>
      <c r="E9" s="34">
        <v>54</v>
      </c>
      <c r="F9" s="35" t="str">
        <f t="array" ref="F9">IF(E9="","",IF(INDEX(A:A,MAX(IF(ISNUMBER($A$36:$A$55),ROW($A$36:$A$55),"")))&lt;&gt;E9,"Corrigez : révolution incorrecte","OK"))</f>
        <v>OK</v>
      </c>
      <c r="G9" s="228" t="s">
        <v>306</v>
      </c>
      <c r="I9" s="226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 x14ac:dyDescent="0.25">
      <c r="A10" s="30" t="s">
        <v>166</v>
      </c>
      <c r="B10" s="31" t="s">
        <v>27</v>
      </c>
      <c r="C10" s="32">
        <v>0.26</v>
      </c>
      <c r="D10" s="33">
        <f t="shared" si="0"/>
        <v>5.9020000000000001</v>
      </c>
      <c r="E10" s="34">
        <v>80</v>
      </c>
      <c r="F10" s="35" t="str">
        <f t="array" ref="F10">IF(E10="","",IF(INDEX(A:A,MAX(IF(ISNUMBER($A$62:$A$81),ROW($A$62:$A$81),"")))&lt;&gt;E10,"Corrigez : révolution incorrecte","OK"))</f>
        <v>OK</v>
      </c>
      <c r="I10" s="226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x14ac:dyDescent="0.25">
      <c r="A11" s="30" t="s">
        <v>167</v>
      </c>
      <c r="B11" s="31" t="s">
        <v>35</v>
      </c>
      <c r="C11" s="32">
        <v>0.04</v>
      </c>
      <c r="D11" s="33">
        <f t="shared" si="0"/>
        <v>0.90800000000000003</v>
      </c>
      <c r="E11" s="34">
        <v>90</v>
      </c>
      <c r="F11" s="35" t="str">
        <f t="array" ref="F11">IF(E11="","",IF(INDEX(A:A,MAX(IF(ISNUMBER($A$88:$A$107),ROW($A$88:$A$107),"")))&lt;&gt;E11,"Corrigez : révolution incorrecte","OK"))</f>
        <v>OK</v>
      </c>
      <c r="I11" s="226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38" x14ac:dyDescent="0.25">
      <c r="A12" s="30" t="s">
        <v>168</v>
      </c>
      <c r="B12" s="31" t="s">
        <v>41</v>
      </c>
      <c r="C12" s="32">
        <v>0.03</v>
      </c>
      <c r="D12" s="33">
        <f t="shared" si="0"/>
        <v>0.68099999999999994</v>
      </c>
      <c r="E12" s="34">
        <v>100</v>
      </c>
      <c r="F12" s="35" t="str">
        <f t="array" ref="F12">IF(E12="","",IF(INDEX(A:A,MAX(IF(ISNUMBER($A$114:$A$133),ROW($A$114:$A$133),"")))&lt;&gt;E12,"Corrigez : révolution incorrecte","OK"))</f>
        <v>OK</v>
      </c>
      <c r="I12" s="226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38" x14ac:dyDescent="0.25">
      <c r="A13" s="30" t="s">
        <v>169</v>
      </c>
      <c r="B13" s="31"/>
      <c r="C13" s="32">
        <v>0</v>
      </c>
      <c r="D13" s="33">
        <f t="shared" si="0"/>
        <v>0</v>
      </c>
      <c r="E13" s="34"/>
      <c r="F13" s="35" t="str">
        <f t="array" ref="F13">IF(E13="","",IF(INDEX(A:A,MAX(IF(ISNUMBER($A$140:$A$159),ROW($A$140:$A$159),"")))&lt;&gt;E13,"Corrigez : révolution incorrecte","OK"))</f>
        <v/>
      </c>
      <c r="I13" s="22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x14ac:dyDescent="0.25">
      <c r="A14" s="30" t="s">
        <v>170</v>
      </c>
      <c r="B14" s="31" t="s">
        <v>4</v>
      </c>
      <c r="C14" s="32">
        <v>0.02</v>
      </c>
      <c r="D14" s="33">
        <f t="shared" si="0"/>
        <v>0.45400000000000001</v>
      </c>
      <c r="E14" s="34">
        <v>90</v>
      </c>
      <c r="F14" s="35" t="str">
        <f t="array" ref="F14">IF(E14="","",IF(INDEX(A:A,MAX(IF(ISNUMBER($A$166:$A$185),ROW($A$166:$A$185),"")))&lt;&gt;E14,"Corrigez : révolution incorrecte","OK"))</f>
        <v>OK</v>
      </c>
      <c r="I14" s="22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38" x14ac:dyDescent="0.25">
      <c r="A15" s="30" t="s">
        <v>171</v>
      </c>
      <c r="B15" s="31" t="s">
        <v>5</v>
      </c>
      <c r="C15" s="32">
        <v>0.02</v>
      </c>
      <c r="D15" s="33">
        <f t="shared" si="0"/>
        <v>0.45400000000000001</v>
      </c>
      <c r="E15" s="34">
        <v>90</v>
      </c>
      <c r="F15" s="35" t="str">
        <f t="array" ref="F15">IF(E15="","",IF(INDEX(A:A,MAX(IF(ISNUMBER($A$192:$A$211),ROW($A$192:$A$211),"")))&lt;&gt;E15,"Corrigez : révolution incorrecte","OK"))</f>
        <v>OK</v>
      </c>
      <c r="I15" s="2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 x14ac:dyDescent="0.25">
      <c r="A16" s="30" t="s">
        <v>172</v>
      </c>
      <c r="B16" s="31" t="s">
        <v>25</v>
      </c>
      <c r="C16" s="32">
        <v>0.02</v>
      </c>
      <c r="D16" s="33">
        <f t="shared" si="0"/>
        <v>0.45400000000000001</v>
      </c>
      <c r="E16" s="34">
        <v>150</v>
      </c>
      <c r="F16" s="35" t="str">
        <f t="array" ref="F16">IF(E16="","",IF(INDEX(A:A,MAX(IF(ISNUMBER($A$218:$A$237),ROW($A$218:$A$237),"")))&lt;&gt;E16,"Corrigez : révolution incorrecte","OK"))</f>
        <v>OK</v>
      </c>
      <c r="I16" s="22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1:45" x14ac:dyDescent="0.25">
      <c r="A17" s="30" t="s">
        <v>173</v>
      </c>
      <c r="B17" s="31" t="s">
        <v>52</v>
      </c>
      <c r="C17" s="32">
        <v>0.01</v>
      </c>
      <c r="D17" s="33">
        <f t="shared" si="0"/>
        <v>0.22700000000000001</v>
      </c>
      <c r="E17" s="34">
        <v>131</v>
      </c>
      <c r="F17" s="35" t="str">
        <f t="array" ref="F17">IF(E17="","",IF(INDEX(A:A,MAX(IF(ISNUMBER($A$244:$A$263),ROW($A$244:$A$263),"")))&lt;&gt;E17,"Corrigez : révolution incorrecte","OK"))</f>
        <v>OK</v>
      </c>
      <c r="G17" s="23" t="s">
        <v>324</v>
      </c>
      <c r="I17" s="22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1:45" x14ac:dyDescent="0.25">
      <c r="A18" s="30" t="s">
        <v>174</v>
      </c>
      <c r="B18" s="31" t="s">
        <v>52</v>
      </c>
      <c r="C18" s="32">
        <v>0.01</v>
      </c>
      <c r="D18" s="33">
        <f t="shared" si="0"/>
        <v>0.22700000000000001</v>
      </c>
      <c r="E18" s="34">
        <v>131</v>
      </c>
      <c r="F18" s="35" t="str">
        <f t="array" ref="F18">IF(E18="","",IF(INDEX(A:A,MAX(IF(ISNUMBER($A$270:$A$289),ROW($A$270:$A$289),"")))&lt;&gt;E18,"Corrigez : révolution incorrecte","OK"))</f>
        <v>OK</v>
      </c>
      <c r="G18" s="23" t="s">
        <v>325</v>
      </c>
      <c r="I18" s="226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1:45" x14ac:dyDescent="0.25">
      <c r="A19" s="78"/>
      <c r="B19" s="36" t="s">
        <v>175</v>
      </c>
      <c r="C19" s="37">
        <f>SUM(C9:C18)</f>
        <v>1</v>
      </c>
      <c r="D19" s="38">
        <f>SUM(D9:D18)</f>
        <v>22.700000000000003</v>
      </c>
      <c r="E19" s="4"/>
      <c r="F19" s="92"/>
      <c r="G19" s="219"/>
      <c r="H19" s="219"/>
      <c r="I19" s="219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45" x14ac:dyDescent="0.25">
      <c r="A20" s="78"/>
      <c r="B20" s="39" t="s">
        <v>230</v>
      </c>
      <c r="C20" s="40" t="str">
        <f>IF(C19&gt;100%,"Erreur : corrigez","OK")</f>
        <v>OK</v>
      </c>
      <c r="D20" s="222"/>
      <c r="F20" s="205"/>
      <c r="G20" s="205"/>
      <c r="H20" s="219"/>
      <c r="I20" s="219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45" x14ac:dyDescent="0.25">
      <c r="A21" s="4"/>
      <c r="B21" s="4"/>
      <c r="C21" s="4"/>
      <c r="H21" s="220"/>
      <c r="I21" s="220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45" ht="21" x14ac:dyDescent="0.35">
      <c r="A22" s="265" t="s">
        <v>232</v>
      </c>
      <c r="B22" s="265"/>
      <c r="C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45" x14ac:dyDescent="0.25">
      <c r="A23" s="4"/>
      <c r="B23" s="4"/>
      <c r="C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45" x14ac:dyDescent="0.25">
      <c r="A24" s="41" t="s">
        <v>218</v>
      </c>
      <c r="B24" s="42" t="s">
        <v>224</v>
      </c>
      <c r="C24" s="43">
        <v>0</v>
      </c>
      <c r="D24" s="44" t="s">
        <v>233</v>
      </c>
      <c r="E24" s="93"/>
      <c r="F24" s="93"/>
      <c r="G24" s="202"/>
      <c r="I24" s="202"/>
      <c r="J24" s="221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</row>
    <row r="25" spans="1:45" x14ac:dyDescent="0.25">
      <c r="A25" s="41" t="s">
        <v>220</v>
      </c>
      <c r="B25" s="42" t="s">
        <v>219</v>
      </c>
      <c r="C25" s="45">
        <v>0.1</v>
      </c>
      <c r="D25" s="94"/>
      <c r="E25" s="4"/>
      <c r="F25" s="94"/>
      <c r="G25" s="221"/>
      <c r="I25" s="221"/>
      <c r="J25" s="221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</row>
    <row r="26" spans="1:45" x14ac:dyDescent="0.25">
      <c r="A26" s="41" t="s">
        <v>222</v>
      </c>
      <c r="B26" s="42" t="s">
        <v>221</v>
      </c>
      <c r="C26" s="43">
        <v>0.05</v>
      </c>
      <c r="D26" s="44" t="s">
        <v>234</v>
      </c>
      <c r="E26" s="93"/>
      <c r="F26" s="93"/>
      <c r="G26" s="202"/>
      <c r="I26" s="202"/>
      <c r="J26" s="202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</row>
    <row r="27" spans="1:45" x14ac:dyDescent="0.25">
      <c r="A27" s="41" t="s">
        <v>223</v>
      </c>
      <c r="B27" s="42" t="s">
        <v>225</v>
      </c>
      <c r="C27" s="43">
        <v>0</v>
      </c>
      <c r="D27" s="44" t="s">
        <v>235</v>
      </c>
      <c r="E27" s="93"/>
      <c r="F27" s="93"/>
      <c r="G27" s="202"/>
      <c r="I27" s="202"/>
      <c r="J27" s="202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1:45" x14ac:dyDescent="0.25">
      <c r="A28" s="4"/>
      <c r="B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spans="1:45" x14ac:dyDescent="0.25">
      <c r="A29" s="4"/>
      <c r="B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</row>
    <row r="30" spans="1:45" ht="21" x14ac:dyDescent="0.25">
      <c r="A30" s="266" t="s">
        <v>227</v>
      </c>
      <c r="B30" s="266"/>
      <c r="D30" s="223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</row>
    <row r="31" spans="1:45" x14ac:dyDescent="0.25">
      <c r="A31" s="4"/>
      <c r="B31" s="4"/>
      <c r="K31" s="223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</row>
    <row r="32" spans="1:45" x14ac:dyDescent="0.25">
      <c r="A32" s="46" t="s">
        <v>165</v>
      </c>
      <c r="B32" s="47" t="str">
        <f>IF(B9="","",B9)</f>
        <v>Douglas</v>
      </c>
      <c r="D32" s="229" t="s">
        <v>307</v>
      </c>
      <c r="K32" s="22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</row>
    <row r="33" spans="1:45" x14ac:dyDescent="0.25">
      <c r="A33" s="46"/>
      <c r="B33" s="4"/>
      <c r="K33" s="22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</row>
    <row r="34" spans="1:45" x14ac:dyDescent="0.25">
      <c r="A34" s="4"/>
      <c r="B34" s="85" t="s">
        <v>185</v>
      </c>
      <c r="C34" s="258" t="s">
        <v>186</v>
      </c>
      <c r="D34" s="258"/>
      <c r="E34" s="259" t="s">
        <v>187</v>
      </c>
      <c r="F34" s="260"/>
      <c r="G34" s="260"/>
      <c r="H34" s="261"/>
      <c r="I34" s="95"/>
      <c r="J34" s="223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45" ht="45" x14ac:dyDescent="0.25">
      <c r="A35" s="36" t="s">
        <v>180</v>
      </c>
      <c r="B35" s="36" t="s">
        <v>189</v>
      </c>
      <c r="C35" s="48" t="s">
        <v>188</v>
      </c>
      <c r="D35" s="48" t="s">
        <v>251</v>
      </c>
      <c r="E35" s="36" t="s">
        <v>183</v>
      </c>
      <c r="F35" s="36" t="s">
        <v>181</v>
      </c>
      <c r="G35" s="36" t="s">
        <v>184</v>
      </c>
      <c r="H35" s="36" t="s">
        <v>182</v>
      </c>
      <c r="I35" s="48" t="s">
        <v>213</v>
      </c>
      <c r="J35" s="22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</row>
    <row r="36" spans="1:45" x14ac:dyDescent="0.25">
      <c r="A36" s="50">
        <v>17</v>
      </c>
      <c r="B36" s="60">
        <f>207.67/1.3</f>
        <v>159.74615384615385</v>
      </c>
      <c r="C36" s="60"/>
      <c r="D36" s="60"/>
      <c r="E36" s="51"/>
      <c r="F36" s="51"/>
      <c r="G36" s="51"/>
      <c r="H36" s="51"/>
      <c r="I36" s="49">
        <f>IFERROR(B36/A36,"")</f>
        <v>9.3968325791855207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</row>
    <row r="37" spans="1:45" x14ac:dyDescent="0.25">
      <c r="A37" s="50">
        <v>18</v>
      </c>
      <c r="B37" s="60">
        <f>237.76/1.3</f>
        <v>182.89230769230767</v>
      </c>
      <c r="C37" s="60">
        <v>1</v>
      </c>
      <c r="D37" s="60">
        <f>90.07/1.3</f>
        <v>69.284615384615378</v>
      </c>
      <c r="E37" s="51"/>
      <c r="F37" s="51">
        <v>0.5</v>
      </c>
      <c r="G37" s="51">
        <v>0.5</v>
      </c>
      <c r="H37" s="51"/>
      <c r="I37" s="53">
        <f t="shared" ref="I37:I55" si="1">IF(A37&lt;&gt;0,(B37-(B36-D36))/(A37-A36),"")</f>
        <v>23.146153846153823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</row>
    <row r="38" spans="1:45" x14ac:dyDescent="0.25">
      <c r="A38" s="50">
        <v>24</v>
      </c>
      <c r="B38" s="60">
        <f>308.83/1.3</f>
        <v>237.56153846153845</v>
      </c>
      <c r="C38" s="60">
        <v>2</v>
      </c>
      <c r="D38" s="60">
        <f>55.46/1.3</f>
        <v>42.661538461538463</v>
      </c>
      <c r="E38" s="51">
        <v>0.2</v>
      </c>
      <c r="F38" s="51">
        <v>0.4</v>
      </c>
      <c r="G38" s="51">
        <v>0.4</v>
      </c>
      <c r="H38" s="51"/>
      <c r="I38" s="53">
        <f t="shared" si="1"/>
        <v>20.658974358974358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</row>
    <row r="39" spans="1:45" x14ac:dyDescent="0.25">
      <c r="A39" s="50">
        <v>30</v>
      </c>
      <c r="B39" s="60">
        <f>431.43/1.3</f>
        <v>331.86923076923074</v>
      </c>
      <c r="C39" s="60">
        <v>3</v>
      </c>
      <c r="D39" s="60">
        <f>85.37/1.3</f>
        <v>65.669230769230765</v>
      </c>
      <c r="E39" s="51"/>
      <c r="F39" s="51"/>
      <c r="G39" s="51"/>
      <c r="H39" s="51"/>
      <c r="I39" s="49">
        <f t="shared" si="1"/>
        <v>22.828205128205127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</row>
    <row r="40" spans="1:45" x14ac:dyDescent="0.25">
      <c r="A40" s="50">
        <v>36</v>
      </c>
      <c r="B40" s="60">
        <f>524.56/1.3</f>
        <v>403.50769230769225</v>
      </c>
      <c r="C40" s="60">
        <v>4</v>
      </c>
      <c r="D40" s="60">
        <f>90.09/1.3</f>
        <v>69.3</v>
      </c>
      <c r="E40" s="51"/>
      <c r="F40" s="51"/>
      <c r="G40" s="51"/>
      <c r="H40" s="51"/>
      <c r="I40" s="49">
        <f t="shared" si="1"/>
        <v>22.884615384615376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</row>
    <row r="41" spans="1:45" x14ac:dyDescent="0.25">
      <c r="A41" s="50">
        <v>42</v>
      </c>
      <c r="B41" s="60">
        <f>609.34/1.3</f>
        <v>468.72307692307692</v>
      </c>
      <c r="C41" s="60">
        <v>5</v>
      </c>
      <c r="D41" s="60">
        <f>95.41/1.3</f>
        <v>73.392307692307682</v>
      </c>
      <c r="E41" s="51"/>
      <c r="F41" s="51"/>
      <c r="G41" s="51"/>
      <c r="H41" s="51"/>
      <c r="I41" s="53">
        <f t="shared" si="1"/>
        <v>22.419230769230779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1:45" x14ac:dyDescent="0.25">
      <c r="A42" s="50">
        <v>48</v>
      </c>
      <c r="B42" s="60">
        <f>682.61/1.3</f>
        <v>525.0846153846154</v>
      </c>
      <c r="C42" s="60">
        <v>6</v>
      </c>
      <c r="D42" s="60">
        <f>105.73/1.3</f>
        <v>81.330769230769235</v>
      </c>
      <c r="E42" s="51"/>
      <c r="F42" s="51"/>
      <c r="G42" s="51"/>
      <c r="H42" s="51"/>
      <c r="I42" s="53">
        <f t="shared" si="1"/>
        <v>21.625641025641027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</row>
    <row r="43" spans="1:45" x14ac:dyDescent="0.25">
      <c r="A43" s="50">
        <v>54</v>
      </c>
      <c r="B43" s="60">
        <f>736.84/1.3</f>
        <v>566.79999999999995</v>
      </c>
      <c r="C43" s="60">
        <v>7</v>
      </c>
      <c r="D43" s="60">
        <f>736.84/1.3</f>
        <v>566.79999999999995</v>
      </c>
      <c r="E43" s="51"/>
      <c r="F43" s="51"/>
      <c r="G43" s="51"/>
      <c r="H43" s="51"/>
      <c r="I43" s="49">
        <f t="shared" si="1"/>
        <v>20.507692307692299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</row>
    <row r="44" spans="1:45" x14ac:dyDescent="0.25">
      <c r="A44" s="50"/>
      <c r="B44" s="60"/>
      <c r="C44" s="60"/>
      <c r="D44" s="60"/>
      <c r="E44" s="51"/>
      <c r="F44" s="51"/>
      <c r="G44" s="51"/>
      <c r="H44" s="51"/>
      <c r="I44" s="49" t="str">
        <f t="shared" si="1"/>
        <v/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</row>
    <row r="45" spans="1:45" x14ac:dyDescent="0.25">
      <c r="A45" s="50"/>
      <c r="B45" s="60"/>
      <c r="C45" s="60"/>
      <c r="D45" s="60"/>
      <c r="E45" s="51"/>
      <c r="F45" s="51"/>
      <c r="G45" s="51"/>
      <c r="H45" s="51"/>
      <c r="I45" s="49" t="str">
        <f t="shared" si="1"/>
        <v/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</row>
    <row r="46" spans="1:45" x14ac:dyDescent="0.25">
      <c r="A46" s="50"/>
      <c r="B46" s="60"/>
      <c r="C46" s="60"/>
      <c r="D46" s="60"/>
      <c r="E46" s="51"/>
      <c r="F46" s="51"/>
      <c r="G46" s="51"/>
      <c r="H46" s="51"/>
      <c r="I46" s="49" t="str">
        <f t="shared" si="1"/>
        <v/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</row>
    <row r="47" spans="1:45" x14ac:dyDescent="0.25">
      <c r="A47" s="50"/>
      <c r="B47" s="60"/>
      <c r="C47" s="60"/>
      <c r="D47" s="60"/>
      <c r="E47" s="51"/>
      <c r="F47" s="51"/>
      <c r="G47" s="51"/>
      <c r="H47" s="51"/>
      <c r="I47" s="49" t="str">
        <f t="shared" si="1"/>
        <v/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</row>
    <row r="48" spans="1:45" x14ac:dyDescent="0.25">
      <c r="A48" s="50"/>
      <c r="B48" s="60"/>
      <c r="C48" s="60"/>
      <c r="D48" s="60"/>
      <c r="E48" s="51"/>
      <c r="F48" s="51"/>
      <c r="G48" s="51"/>
      <c r="H48" s="51"/>
      <c r="I48" s="49" t="str">
        <f t="shared" si="1"/>
        <v/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</row>
    <row r="49" spans="1:41" x14ac:dyDescent="0.25">
      <c r="A49" s="50"/>
      <c r="B49" s="60"/>
      <c r="C49" s="60"/>
      <c r="D49" s="60"/>
      <c r="E49" s="51"/>
      <c r="F49" s="51"/>
      <c r="G49" s="51"/>
      <c r="H49" s="51"/>
      <c r="I49" s="49" t="str">
        <f t="shared" si="1"/>
        <v/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</row>
    <row r="50" spans="1:41" x14ac:dyDescent="0.25">
      <c r="A50" s="50"/>
      <c r="B50" s="50"/>
      <c r="C50" s="50"/>
      <c r="D50" s="50"/>
      <c r="E50" s="51"/>
      <c r="F50" s="51"/>
      <c r="G50" s="51"/>
      <c r="H50" s="51"/>
      <c r="I50" s="49" t="str">
        <f t="shared" si="1"/>
        <v/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</row>
    <row r="51" spans="1:41" x14ac:dyDescent="0.25">
      <c r="A51" s="50"/>
      <c r="B51" s="50"/>
      <c r="C51" s="50"/>
      <c r="D51" s="50"/>
      <c r="E51" s="51"/>
      <c r="F51" s="51"/>
      <c r="G51" s="51"/>
      <c r="H51" s="51"/>
      <c r="I51" s="49" t="str">
        <f t="shared" si="1"/>
        <v/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</row>
    <row r="52" spans="1:41" x14ac:dyDescent="0.25">
      <c r="A52" s="50"/>
      <c r="B52" s="50"/>
      <c r="C52" s="50"/>
      <c r="D52" s="50"/>
      <c r="E52" s="51"/>
      <c r="F52" s="51"/>
      <c r="G52" s="51"/>
      <c r="H52" s="51"/>
      <c r="I52" s="49" t="str">
        <f t="shared" si="1"/>
        <v/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</row>
    <row r="53" spans="1:41" x14ac:dyDescent="0.25">
      <c r="A53" s="50"/>
      <c r="B53" s="50"/>
      <c r="C53" s="50"/>
      <c r="D53" s="50"/>
      <c r="E53" s="51"/>
      <c r="F53" s="51"/>
      <c r="G53" s="51"/>
      <c r="H53" s="51"/>
      <c r="I53" s="49" t="str">
        <f t="shared" si="1"/>
        <v/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</row>
    <row r="54" spans="1:41" x14ac:dyDescent="0.25">
      <c r="A54" s="50"/>
      <c r="B54" s="50"/>
      <c r="C54" s="50"/>
      <c r="D54" s="50"/>
      <c r="E54" s="51"/>
      <c r="F54" s="51"/>
      <c r="G54" s="51"/>
      <c r="H54" s="51"/>
      <c r="I54" s="49" t="str">
        <f t="shared" si="1"/>
        <v/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 x14ac:dyDescent="0.25">
      <c r="A55" s="50"/>
      <c r="B55" s="50"/>
      <c r="C55" s="50"/>
      <c r="D55" s="50"/>
      <c r="E55" s="51"/>
      <c r="F55" s="51"/>
      <c r="G55" s="51"/>
      <c r="H55" s="51"/>
      <c r="I55" s="49" t="str">
        <f t="shared" si="1"/>
        <v/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x14ac:dyDescent="0.25">
      <c r="A56" s="4"/>
      <c r="B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x14ac:dyDescent="0.25">
      <c r="A57" s="4"/>
      <c r="B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x14ac:dyDescent="0.25">
      <c r="A58" s="46" t="s">
        <v>166</v>
      </c>
      <c r="B58" s="52" t="str">
        <f>IF(B10="","",B10)</f>
        <v>Mélèze d'Europe</v>
      </c>
      <c r="D58" s="229" t="s">
        <v>307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x14ac:dyDescent="0.25">
      <c r="A59" s="46"/>
      <c r="B59" s="96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x14ac:dyDescent="0.25">
      <c r="A60" s="4"/>
      <c r="B60" s="85" t="s">
        <v>185</v>
      </c>
      <c r="C60" s="258" t="s">
        <v>186</v>
      </c>
      <c r="D60" s="258"/>
      <c r="E60" s="259" t="s">
        <v>187</v>
      </c>
      <c r="F60" s="260"/>
      <c r="G60" s="260"/>
      <c r="H60" s="261"/>
      <c r="I60" s="95"/>
      <c r="J60" s="223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45" x14ac:dyDescent="0.25">
      <c r="A61" s="36" t="s">
        <v>180</v>
      </c>
      <c r="B61" s="36" t="s">
        <v>189</v>
      </c>
      <c r="C61" s="48" t="s">
        <v>188</v>
      </c>
      <c r="D61" s="48" t="s">
        <v>251</v>
      </c>
      <c r="E61" s="36" t="s">
        <v>183</v>
      </c>
      <c r="F61" s="36" t="s">
        <v>181</v>
      </c>
      <c r="G61" s="36" t="s">
        <v>184</v>
      </c>
      <c r="H61" s="36" t="s">
        <v>182</v>
      </c>
      <c r="I61" s="48" t="s">
        <v>213</v>
      </c>
      <c r="J61" s="22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x14ac:dyDescent="0.25">
      <c r="A62" s="50">
        <v>10</v>
      </c>
      <c r="B62" s="60">
        <v>26</v>
      </c>
      <c r="C62" s="60">
        <v>0</v>
      </c>
      <c r="D62" s="60">
        <v>0</v>
      </c>
      <c r="E62" s="51"/>
      <c r="F62" s="51"/>
      <c r="G62" s="51"/>
      <c r="H62" s="51"/>
      <c r="I62" s="53">
        <f>IFERROR(B62/A62,"")</f>
        <v>2.6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x14ac:dyDescent="0.25">
      <c r="A63" s="50">
        <v>20</v>
      </c>
      <c r="B63" s="60">
        <v>158</v>
      </c>
      <c r="C63" s="60">
        <v>1</v>
      </c>
      <c r="D63" s="60">
        <v>60</v>
      </c>
      <c r="E63" s="51"/>
      <c r="F63" s="51">
        <v>0.5</v>
      </c>
      <c r="G63" s="51">
        <v>0.5</v>
      </c>
      <c r="H63" s="51"/>
      <c r="I63" s="49">
        <f>IF(A63&lt;&gt;0,(B63-(B62-D62))/(A63-A62),"")</f>
        <v>13.2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x14ac:dyDescent="0.25">
      <c r="A64" s="50">
        <v>30</v>
      </c>
      <c r="B64" s="60">
        <v>263</v>
      </c>
      <c r="C64" s="60">
        <v>2</v>
      </c>
      <c r="D64" s="60">
        <v>84</v>
      </c>
      <c r="E64" s="51">
        <v>0.2</v>
      </c>
      <c r="F64" s="51">
        <v>0.4</v>
      </c>
      <c r="G64" s="51">
        <v>0.4</v>
      </c>
      <c r="H64" s="51"/>
      <c r="I64" s="49">
        <f>IF(A64&lt;&gt;0,(B64-(B63-D63))/(A64-A63),"")</f>
        <v>16.5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x14ac:dyDescent="0.25">
      <c r="A65" s="50">
        <v>40</v>
      </c>
      <c r="B65" s="60">
        <v>330</v>
      </c>
      <c r="C65" s="60">
        <v>3</v>
      </c>
      <c r="D65" s="60">
        <v>82</v>
      </c>
      <c r="E65" s="51"/>
      <c r="F65" s="51"/>
      <c r="G65" s="51"/>
      <c r="H65" s="51"/>
      <c r="I65" s="49">
        <f>IF(A65&lt;&gt;0,(B65-(B64-D64))/(A65-A64),"")</f>
        <v>15.1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x14ac:dyDescent="0.25">
      <c r="A66" s="50">
        <v>50</v>
      </c>
      <c r="B66" s="60">
        <v>372</v>
      </c>
      <c r="C66" s="60">
        <v>4</v>
      </c>
      <c r="D66" s="60">
        <v>68</v>
      </c>
      <c r="E66" s="51"/>
      <c r="F66" s="51"/>
      <c r="G66" s="51"/>
      <c r="H66" s="51"/>
      <c r="I66" s="49">
        <f t="shared" ref="I66:I81" si="2">IF(A66&lt;&gt;0,(B66-(B65-D65))/(A66-A65),"")</f>
        <v>12.4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x14ac:dyDescent="0.25">
      <c r="A67" s="50">
        <v>60</v>
      </c>
      <c r="B67" s="60">
        <v>404</v>
      </c>
      <c r="C67" s="60">
        <v>5</v>
      </c>
      <c r="D67" s="60">
        <v>55</v>
      </c>
      <c r="E67" s="51"/>
      <c r="F67" s="51"/>
      <c r="G67" s="51"/>
      <c r="H67" s="51"/>
      <c r="I67" s="49">
        <f t="shared" si="2"/>
        <v>10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x14ac:dyDescent="0.25">
      <c r="A68" s="50">
        <v>70</v>
      </c>
      <c r="B68" s="60">
        <v>427</v>
      </c>
      <c r="C68" s="60">
        <v>6</v>
      </c>
      <c r="D68" s="60">
        <v>45</v>
      </c>
      <c r="E68" s="51"/>
      <c r="F68" s="51"/>
      <c r="G68" s="51"/>
      <c r="H68" s="51"/>
      <c r="I68" s="49">
        <f t="shared" si="2"/>
        <v>7.8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x14ac:dyDescent="0.25">
      <c r="A69" s="50">
        <v>80</v>
      </c>
      <c r="B69" s="50">
        <f>406+36</f>
        <v>442</v>
      </c>
      <c r="C69" s="50">
        <v>7</v>
      </c>
      <c r="D69" s="50">
        <f>B69</f>
        <v>442</v>
      </c>
      <c r="E69" s="51"/>
      <c r="F69" s="51"/>
      <c r="G69" s="51"/>
      <c r="H69" s="51"/>
      <c r="I69" s="49">
        <f t="shared" si="2"/>
        <v>6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x14ac:dyDescent="0.25">
      <c r="A70" s="50"/>
      <c r="B70" s="50"/>
      <c r="C70" s="50"/>
      <c r="D70" s="50"/>
      <c r="E70" s="51"/>
      <c r="F70" s="51"/>
      <c r="G70" s="51"/>
      <c r="H70" s="51"/>
      <c r="I70" s="49" t="str">
        <f t="shared" si="2"/>
        <v/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x14ac:dyDescent="0.25">
      <c r="A71" s="50"/>
      <c r="B71" s="50"/>
      <c r="C71" s="50"/>
      <c r="D71" s="50"/>
      <c r="E71" s="51"/>
      <c r="F71" s="51"/>
      <c r="G71" s="51"/>
      <c r="H71" s="51"/>
      <c r="I71" s="49" t="str">
        <f t="shared" si="2"/>
        <v/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x14ac:dyDescent="0.25">
      <c r="A72" s="50"/>
      <c r="B72" s="50"/>
      <c r="C72" s="50"/>
      <c r="D72" s="50"/>
      <c r="E72" s="51"/>
      <c r="F72" s="51"/>
      <c r="G72" s="51"/>
      <c r="H72" s="51"/>
      <c r="I72" s="49" t="str">
        <f t="shared" si="2"/>
        <v/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x14ac:dyDescent="0.25">
      <c r="A73" s="50"/>
      <c r="B73" s="50"/>
      <c r="C73" s="50"/>
      <c r="D73" s="50"/>
      <c r="E73" s="51"/>
      <c r="F73" s="51"/>
      <c r="G73" s="51"/>
      <c r="H73" s="51"/>
      <c r="I73" s="49" t="str">
        <f t="shared" si="2"/>
        <v/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x14ac:dyDescent="0.25">
      <c r="A74" s="50"/>
      <c r="B74" s="50"/>
      <c r="C74" s="50"/>
      <c r="D74" s="50"/>
      <c r="E74" s="51"/>
      <c r="F74" s="51"/>
      <c r="G74" s="51"/>
      <c r="H74" s="51"/>
      <c r="I74" s="49" t="str">
        <f t="shared" si="2"/>
        <v/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x14ac:dyDescent="0.25">
      <c r="A75" s="50"/>
      <c r="B75" s="50"/>
      <c r="C75" s="50"/>
      <c r="D75" s="50"/>
      <c r="E75" s="51"/>
      <c r="F75" s="51"/>
      <c r="G75" s="51"/>
      <c r="H75" s="51"/>
      <c r="I75" s="49" t="str">
        <f t="shared" si="2"/>
        <v/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x14ac:dyDescent="0.25">
      <c r="A76" s="50"/>
      <c r="B76" s="50"/>
      <c r="C76" s="50"/>
      <c r="D76" s="50"/>
      <c r="E76" s="51"/>
      <c r="F76" s="51"/>
      <c r="G76" s="51"/>
      <c r="H76" s="51"/>
      <c r="I76" s="49" t="str">
        <f t="shared" si="2"/>
        <v/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x14ac:dyDescent="0.25">
      <c r="A77" s="50"/>
      <c r="B77" s="50"/>
      <c r="C77" s="50"/>
      <c r="D77" s="50"/>
      <c r="E77" s="51"/>
      <c r="F77" s="51"/>
      <c r="G77" s="51"/>
      <c r="H77" s="51"/>
      <c r="I77" s="49" t="str">
        <f t="shared" si="2"/>
        <v/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x14ac:dyDescent="0.25">
      <c r="A78" s="50"/>
      <c r="B78" s="50"/>
      <c r="C78" s="50"/>
      <c r="D78" s="50"/>
      <c r="E78" s="51"/>
      <c r="F78" s="51"/>
      <c r="G78" s="51"/>
      <c r="H78" s="51"/>
      <c r="I78" s="49" t="str">
        <f t="shared" si="2"/>
        <v/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x14ac:dyDescent="0.25">
      <c r="A79" s="50"/>
      <c r="B79" s="50"/>
      <c r="C79" s="50"/>
      <c r="D79" s="50"/>
      <c r="E79" s="51"/>
      <c r="F79" s="51"/>
      <c r="G79" s="51"/>
      <c r="H79" s="51"/>
      <c r="I79" s="49" t="str">
        <f t="shared" si="2"/>
        <v/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x14ac:dyDescent="0.25">
      <c r="A80" s="50"/>
      <c r="B80" s="50"/>
      <c r="C80" s="50"/>
      <c r="D80" s="50"/>
      <c r="E80" s="51"/>
      <c r="F80" s="51"/>
      <c r="G80" s="51"/>
      <c r="H80" s="51"/>
      <c r="I80" s="49" t="str">
        <f t="shared" si="2"/>
        <v/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x14ac:dyDescent="0.25">
      <c r="A81" s="50"/>
      <c r="B81" s="50"/>
      <c r="C81" s="50"/>
      <c r="D81" s="50"/>
      <c r="E81" s="51"/>
      <c r="F81" s="51"/>
      <c r="G81" s="51"/>
      <c r="H81" s="51"/>
      <c r="I81" s="49" t="str">
        <f t="shared" si="2"/>
        <v/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x14ac:dyDescent="0.25">
      <c r="A82" s="4"/>
      <c r="B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x14ac:dyDescent="0.25">
      <c r="A83" s="4"/>
      <c r="B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x14ac:dyDescent="0.25">
      <c r="A84" s="46" t="s">
        <v>167</v>
      </c>
      <c r="B84" s="52" t="str">
        <f>IF(B11="","",B11)</f>
        <v>Pin laricio</v>
      </c>
      <c r="D84" s="229" t="s">
        <v>307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x14ac:dyDescent="0.25">
      <c r="A85" s="46"/>
      <c r="B85" s="96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x14ac:dyDescent="0.25">
      <c r="A86" s="4"/>
      <c r="B86" s="85" t="s">
        <v>185</v>
      </c>
      <c r="C86" s="258" t="s">
        <v>186</v>
      </c>
      <c r="D86" s="258"/>
      <c r="E86" s="259" t="s">
        <v>187</v>
      </c>
      <c r="F86" s="260"/>
      <c r="G86" s="260"/>
      <c r="H86" s="261"/>
      <c r="I86" s="95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45" x14ac:dyDescent="0.25">
      <c r="A87" s="36" t="s">
        <v>180</v>
      </c>
      <c r="B87" s="36" t="s">
        <v>189</v>
      </c>
      <c r="C87" s="48" t="s">
        <v>188</v>
      </c>
      <c r="D87" s="48" t="s">
        <v>251</v>
      </c>
      <c r="E87" s="36" t="s">
        <v>183</v>
      </c>
      <c r="F87" s="36" t="s">
        <v>181</v>
      </c>
      <c r="G87" s="36" t="s">
        <v>184</v>
      </c>
      <c r="H87" s="36" t="s">
        <v>182</v>
      </c>
      <c r="I87" s="48" t="s">
        <v>213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x14ac:dyDescent="0.25">
      <c r="A88" s="50">
        <v>20</v>
      </c>
      <c r="B88" s="60">
        <f>77+29</f>
        <v>106</v>
      </c>
      <c r="C88" s="60">
        <v>1</v>
      </c>
      <c r="D88" s="60">
        <v>29</v>
      </c>
      <c r="E88" s="51"/>
      <c r="F88" s="51">
        <v>0.5</v>
      </c>
      <c r="G88" s="51">
        <v>0.5</v>
      </c>
      <c r="H88" s="87"/>
      <c r="I88" s="53">
        <f>IFERROR(B88/A88,"")</f>
        <v>5.3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x14ac:dyDescent="0.25">
      <c r="A89" s="50">
        <v>30</v>
      </c>
      <c r="B89" s="60">
        <f>159+71</f>
        <v>230</v>
      </c>
      <c r="C89" s="60">
        <v>2</v>
      </c>
      <c r="D89" s="60">
        <v>71</v>
      </c>
      <c r="E89" s="51">
        <v>0.1</v>
      </c>
      <c r="F89" s="51">
        <v>0.45</v>
      </c>
      <c r="G89" s="51">
        <v>0.45</v>
      </c>
      <c r="H89" s="87"/>
      <c r="I89" s="53">
        <f t="shared" ref="I89:I107" si="3">IF(A89&lt;&gt;0,(B89-(B88-D88))/(A89-A88),"")</f>
        <v>15.3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x14ac:dyDescent="0.25">
      <c r="A90" s="50">
        <v>40</v>
      </c>
      <c r="B90" s="60">
        <f>246+95</f>
        <v>341</v>
      </c>
      <c r="C90" s="60">
        <v>3</v>
      </c>
      <c r="D90" s="60">
        <v>95</v>
      </c>
      <c r="E90" s="87"/>
      <c r="F90" s="87"/>
      <c r="G90" s="87"/>
      <c r="H90" s="87"/>
      <c r="I90" s="53">
        <f t="shared" si="3"/>
        <v>18.2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x14ac:dyDescent="0.25">
      <c r="A91" s="50">
        <v>50</v>
      </c>
      <c r="B91" s="60">
        <f>328+107</f>
        <v>435</v>
      </c>
      <c r="C91" s="60">
        <v>4</v>
      </c>
      <c r="D91" s="60">
        <v>107</v>
      </c>
      <c r="E91" s="87"/>
      <c r="F91" s="87"/>
      <c r="G91" s="87"/>
      <c r="H91" s="87"/>
      <c r="I91" s="53">
        <f t="shared" si="3"/>
        <v>18.899999999999999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x14ac:dyDescent="0.25">
      <c r="A92" s="50">
        <v>60</v>
      </c>
      <c r="B92" s="60">
        <f>400+108</f>
        <v>508</v>
      </c>
      <c r="C92" s="60">
        <v>5</v>
      </c>
      <c r="D92" s="60">
        <v>108</v>
      </c>
      <c r="E92" s="87"/>
      <c r="F92" s="87"/>
      <c r="G92" s="87"/>
      <c r="H92" s="87"/>
      <c r="I92" s="53">
        <f t="shared" si="3"/>
        <v>18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x14ac:dyDescent="0.25">
      <c r="A93" s="50">
        <v>70</v>
      </c>
      <c r="B93" s="60">
        <f>461+103</f>
        <v>564</v>
      </c>
      <c r="C93" s="60">
        <v>6</v>
      </c>
      <c r="D93" s="60">
        <v>103</v>
      </c>
      <c r="E93" s="87"/>
      <c r="F93" s="87"/>
      <c r="G93" s="87"/>
      <c r="H93" s="87"/>
      <c r="I93" s="53">
        <f t="shared" si="3"/>
        <v>16.399999999999999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x14ac:dyDescent="0.25">
      <c r="A94" s="50">
        <v>80</v>
      </c>
      <c r="B94" s="60">
        <f>512+94</f>
        <v>606</v>
      </c>
      <c r="C94" s="60">
        <v>7</v>
      </c>
      <c r="D94" s="60">
        <v>94</v>
      </c>
      <c r="E94" s="87"/>
      <c r="F94" s="87"/>
      <c r="G94" s="87"/>
      <c r="H94" s="87"/>
      <c r="I94" s="53">
        <f t="shared" si="3"/>
        <v>14.5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x14ac:dyDescent="0.25">
      <c r="A95" s="60">
        <v>90</v>
      </c>
      <c r="B95" s="60">
        <f>554+83</f>
        <v>637</v>
      </c>
      <c r="C95" s="60">
        <v>8</v>
      </c>
      <c r="D95" s="60">
        <v>83</v>
      </c>
      <c r="E95" s="87"/>
      <c r="F95" s="87"/>
      <c r="G95" s="87"/>
      <c r="H95" s="87"/>
      <c r="I95" s="53">
        <f t="shared" si="3"/>
        <v>12.5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x14ac:dyDescent="0.25">
      <c r="A96" s="60"/>
      <c r="B96" s="60"/>
      <c r="C96" s="60"/>
      <c r="D96" s="60"/>
      <c r="E96" s="87"/>
      <c r="F96" s="87"/>
      <c r="G96" s="87"/>
      <c r="H96" s="87"/>
      <c r="I96" s="53" t="str">
        <f t="shared" si="3"/>
        <v/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x14ac:dyDescent="0.25">
      <c r="A97" s="60"/>
      <c r="B97" s="60"/>
      <c r="C97" s="60"/>
      <c r="D97" s="60"/>
      <c r="E97" s="87"/>
      <c r="F97" s="87"/>
      <c r="G97" s="87"/>
      <c r="H97" s="87"/>
      <c r="I97" s="53" t="str">
        <f t="shared" si="3"/>
        <v/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x14ac:dyDescent="0.25">
      <c r="A98" s="60"/>
      <c r="B98" s="60"/>
      <c r="C98" s="60"/>
      <c r="D98" s="60"/>
      <c r="E98" s="87"/>
      <c r="F98" s="87"/>
      <c r="G98" s="87"/>
      <c r="H98" s="87"/>
      <c r="I98" s="53" t="str">
        <f t="shared" si="3"/>
        <v/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x14ac:dyDescent="0.25">
      <c r="A99" s="60"/>
      <c r="B99" s="60"/>
      <c r="C99" s="60"/>
      <c r="D99" s="60"/>
      <c r="E99" s="87"/>
      <c r="F99" s="87"/>
      <c r="G99" s="87"/>
      <c r="H99" s="87"/>
      <c r="I99" s="53" t="str">
        <f t="shared" si="3"/>
        <v/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x14ac:dyDescent="0.25">
      <c r="A100" s="60"/>
      <c r="B100" s="60"/>
      <c r="C100" s="60"/>
      <c r="D100" s="60"/>
      <c r="E100" s="65"/>
      <c r="F100" s="65"/>
      <c r="G100" s="65"/>
      <c r="H100" s="65"/>
      <c r="I100" s="53" t="str">
        <f t="shared" si="3"/>
        <v/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x14ac:dyDescent="0.25">
      <c r="A101" s="60"/>
      <c r="B101" s="60"/>
      <c r="C101" s="60"/>
      <c r="D101" s="60"/>
      <c r="E101" s="65"/>
      <c r="F101" s="65"/>
      <c r="G101" s="65"/>
      <c r="H101" s="65"/>
      <c r="I101" s="53" t="str">
        <f t="shared" si="3"/>
        <v/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x14ac:dyDescent="0.25">
      <c r="A102" s="60"/>
      <c r="B102" s="50"/>
      <c r="C102" s="60"/>
      <c r="D102" s="50"/>
      <c r="E102" s="54"/>
      <c r="F102" s="54"/>
      <c r="G102" s="54"/>
      <c r="H102" s="54"/>
      <c r="I102" s="53" t="str">
        <f t="shared" si="3"/>
        <v/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x14ac:dyDescent="0.25">
      <c r="A103" s="60"/>
      <c r="B103" s="50"/>
      <c r="C103" s="60"/>
      <c r="D103" s="50"/>
      <c r="E103" s="54"/>
      <c r="F103" s="54"/>
      <c r="G103" s="54"/>
      <c r="H103" s="54"/>
      <c r="I103" s="53" t="str">
        <f t="shared" si="3"/>
        <v/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x14ac:dyDescent="0.25">
      <c r="A104" s="60"/>
      <c r="B104" s="50"/>
      <c r="C104" s="60"/>
      <c r="D104" s="50"/>
      <c r="E104" s="54"/>
      <c r="F104" s="54"/>
      <c r="G104" s="54"/>
      <c r="H104" s="54"/>
      <c r="I104" s="53" t="str">
        <f t="shared" si="3"/>
        <v/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x14ac:dyDescent="0.25">
      <c r="A105" s="50"/>
      <c r="B105" s="50"/>
      <c r="C105" s="50"/>
      <c r="D105" s="50"/>
      <c r="E105" s="54"/>
      <c r="F105" s="54"/>
      <c r="G105" s="54"/>
      <c r="H105" s="54"/>
      <c r="I105" s="53" t="str">
        <f t="shared" si="3"/>
        <v/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x14ac:dyDescent="0.25">
      <c r="A106" s="50"/>
      <c r="B106" s="50"/>
      <c r="C106" s="50"/>
      <c r="D106" s="50"/>
      <c r="E106" s="54"/>
      <c r="F106" s="54"/>
      <c r="G106" s="54"/>
      <c r="H106" s="54"/>
      <c r="I106" s="53" t="str">
        <f t="shared" si="3"/>
        <v/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x14ac:dyDescent="0.25">
      <c r="A107" s="50"/>
      <c r="B107" s="50"/>
      <c r="C107" s="50"/>
      <c r="D107" s="50"/>
      <c r="E107" s="54"/>
      <c r="F107" s="54"/>
      <c r="G107" s="54"/>
      <c r="H107" s="54"/>
      <c r="I107" s="53" t="str">
        <f t="shared" si="3"/>
        <v/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x14ac:dyDescent="0.25">
      <c r="A108" s="4"/>
      <c r="B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x14ac:dyDescent="0.25">
      <c r="A109" s="4"/>
      <c r="B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x14ac:dyDescent="0.25">
      <c r="A110" s="46" t="s">
        <v>168</v>
      </c>
      <c r="B110" s="52" t="str">
        <f>IF(B12="","",B12)</f>
        <v>Pin sylvestre</v>
      </c>
      <c r="D110" s="229" t="s">
        <v>307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x14ac:dyDescent="0.25">
      <c r="A111" s="46"/>
      <c r="B111" s="96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x14ac:dyDescent="0.25">
      <c r="A112" s="4"/>
      <c r="B112" s="85" t="s">
        <v>185</v>
      </c>
      <c r="C112" s="258" t="s">
        <v>186</v>
      </c>
      <c r="D112" s="258"/>
      <c r="E112" s="259" t="s">
        <v>187</v>
      </c>
      <c r="F112" s="260"/>
      <c r="G112" s="260"/>
      <c r="H112" s="261"/>
      <c r="I112" s="95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45" x14ac:dyDescent="0.25">
      <c r="A113" s="36" t="s">
        <v>180</v>
      </c>
      <c r="B113" s="36" t="s">
        <v>189</v>
      </c>
      <c r="C113" s="48" t="s">
        <v>188</v>
      </c>
      <c r="D113" s="48" t="s">
        <v>251</v>
      </c>
      <c r="E113" s="36" t="s">
        <v>183</v>
      </c>
      <c r="F113" s="36" t="s">
        <v>181</v>
      </c>
      <c r="G113" s="36" t="s">
        <v>184</v>
      </c>
      <c r="H113" s="36" t="s">
        <v>182</v>
      </c>
      <c r="I113" s="48" t="s">
        <v>213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x14ac:dyDescent="0.25">
      <c r="A114" s="50">
        <v>15</v>
      </c>
      <c r="B114" s="60">
        <v>48</v>
      </c>
      <c r="C114" s="50">
        <v>0</v>
      </c>
      <c r="D114" s="60">
        <v>0</v>
      </c>
      <c r="E114" s="51"/>
      <c r="F114" s="51"/>
      <c r="G114" s="51"/>
      <c r="H114" s="51"/>
      <c r="I114" s="53">
        <f>IFERROR(B114/A114,"")</f>
        <v>3.2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x14ac:dyDescent="0.25">
      <c r="A115" s="50">
        <v>20</v>
      </c>
      <c r="B115" s="60">
        <f>80+26</f>
        <v>106</v>
      </c>
      <c r="C115" s="50">
        <v>1</v>
      </c>
      <c r="D115" s="60">
        <v>26</v>
      </c>
      <c r="E115" s="51"/>
      <c r="F115" s="51">
        <v>0.5</v>
      </c>
      <c r="G115" s="51">
        <v>0.5</v>
      </c>
      <c r="H115" s="51"/>
      <c r="I115" s="53">
        <f t="shared" ref="I115:I133" si="4">IF(A115&lt;&gt;0,(B115-(B114-D114))/(A115-A114),"")</f>
        <v>11.6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x14ac:dyDescent="0.25">
      <c r="A116" s="50">
        <v>30</v>
      </c>
      <c r="B116" s="60">
        <f>145+72</f>
        <v>217</v>
      </c>
      <c r="C116" s="50">
        <v>2</v>
      </c>
      <c r="D116" s="60">
        <v>72</v>
      </c>
      <c r="E116" s="51">
        <v>0.1</v>
      </c>
      <c r="F116" s="51">
        <v>0.45</v>
      </c>
      <c r="G116" s="51">
        <v>0.45</v>
      </c>
      <c r="H116" s="51"/>
      <c r="I116" s="53">
        <f t="shared" si="4"/>
        <v>13.7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x14ac:dyDescent="0.25">
      <c r="A117" s="50">
        <v>40</v>
      </c>
      <c r="B117" s="60">
        <f>201+80</f>
        <v>281</v>
      </c>
      <c r="C117" s="50">
        <v>3</v>
      </c>
      <c r="D117" s="60">
        <v>80</v>
      </c>
      <c r="E117" s="51"/>
      <c r="F117" s="51"/>
      <c r="G117" s="51"/>
      <c r="H117" s="51"/>
      <c r="I117" s="53">
        <f t="shared" si="4"/>
        <v>13.6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x14ac:dyDescent="0.25">
      <c r="A118" s="50">
        <v>50</v>
      </c>
      <c r="B118" s="60">
        <f>245+75</f>
        <v>320</v>
      </c>
      <c r="C118" s="50">
        <v>4</v>
      </c>
      <c r="D118" s="60">
        <v>75</v>
      </c>
      <c r="E118" s="51"/>
      <c r="F118" s="51"/>
      <c r="G118" s="51"/>
      <c r="H118" s="51"/>
      <c r="I118" s="53">
        <f t="shared" si="4"/>
        <v>11.9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x14ac:dyDescent="0.25">
      <c r="A119" s="50">
        <v>60</v>
      </c>
      <c r="B119" s="60">
        <f>277+63</f>
        <v>340</v>
      </c>
      <c r="C119" s="50">
        <v>5</v>
      </c>
      <c r="D119" s="60">
        <v>63</v>
      </c>
      <c r="E119" s="51"/>
      <c r="F119" s="51"/>
      <c r="G119" s="51"/>
      <c r="H119" s="51"/>
      <c r="I119" s="53">
        <f t="shared" si="4"/>
        <v>9.5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x14ac:dyDescent="0.25">
      <c r="A120" s="60">
        <v>70</v>
      </c>
      <c r="B120" s="60">
        <f>300+50</f>
        <v>350</v>
      </c>
      <c r="C120" s="60">
        <v>6</v>
      </c>
      <c r="D120" s="60">
        <v>50</v>
      </c>
      <c r="E120" s="87"/>
      <c r="F120" s="87"/>
      <c r="G120" s="87"/>
      <c r="H120" s="87"/>
      <c r="I120" s="53">
        <f t="shared" si="4"/>
        <v>7.3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x14ac:dyDescent="0.25">
      <c r="A121" s="60">
        <v>80</v>
      </c>
      <c r="B121" s="60">
        <f>316+38</f>
        <v>354</v>
      </c>
      <c r="C121" s="60">
        <v>7</v>
      </c>
      <c r="D121" s="60">
        <v>38</v>
      </c>
      <c r="E121" s="87"/>
      <c r="F121" s="87"/>
      <c r="G121" s="87"/>
      <c r="H121" s="87"/>
      <c r="I121" s="53">
        <f t="shared" si="4"/>
        <v>5.4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x14ac:dyDescent="0.25">
      <c r="A122" s="60">
        <v>90</v>
      </c>
      <c r="B122" s="60">
        <f>326+28</f>
        <v>354</v>
      </c>
      <c r="C122" s="60">
        <v>8</v>
      </c>
      <c r="D122" s="60">
        <v>28</v>
      </c>
      <c r="E122" s="87"/>
      <c r="F122" s="87"/>
      <c r="G122" s="87"/>
      <c r="H122" s="87"/>
      <c r="I122" s="53">
        <f t="shared" si="4"/>
        <v>3.8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x14ac:dyDescent="0.25">
      <c r="A123" s="60">
        <v>100</v>
      </c>
      <c r="B123" s="60">
        <f>334+27</f>
        <v>361</v>
      </c>
      <c r="C123" s="60">
        <v>9</v>
      </c>
      <c r="D123" s="60">
        <v>27</v>
      </c>
      <c r="E123" s="87"/>
      <c r="F123" s="87"/>
      <c r="G123" s="87"/>
      <c r="H123" s="87"/>
      <c r="I123" s="53">
        <f t="shared" si="4"/>
        <v>3.5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x14ac:dyDescent="0.25">
      <c r="A124" s="60"/>
      <c r="B124" s="60"/>
      <c r="C124" s="60"/>
      <c r="D124" s="60"/>
      <c r="E124" s="87"/>
      <c r="F124" s="87"/>
      <c r="G124" s="87"/>
      <c r="H124" s="87"/>
      <c r="I124" s="53" t="str">
        <f t="shared" si="4"/>
        <v/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x14ac:dyDescent="0.25">
      <c r="A125" s="60"/>
      <c r="B125" s="60"/>
      <c r="C125" s="60"/>
      <c r="D125" s="60"/>
      <c r="E125" s="87"/>
      <c r="F125" s="87"/>
      <c r="G125" s="87"/>
      <c r="H125" s="87"/>
      <c r="I125" s="53" t="str">
        <f t="shared" si="4"/>
        <v/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x14ac:dyDescent="0.25">
      <c r="A126" s="60"/>
      <c r="B126" s="60"/>
      <c r="C126" s="60"/>
      <c r="D126" s="60"/>
      <c r="E126" s="65"/>
      <c r="F126" s="65"/>
      <c r="G126" s="65"/>
      <c r="H126" s="65"/>
      <c r="I126" s="53" t="str">
        <f t="shared" si="4"/>
        <v/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x14ac:dyDescent="0.25">
      <c r="A127" s="60"/>
      <c r="B127" s="60"/>
      <c r="C127" s="60"/>
      <c r="D127" s="60"/>
      <c r="E127" s="65"/>
      <c r="F127" s="65"/>
      <c r="G127" s="65"/>
      <c r="H127" s="65"/>
      <c r="I127" s="53" t="str">
        <f t="shared" si="4"/>
        <v/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x14ac:dyDescent="0.25">
      <c r="A128" s="50"/>
      <c r="B128" s="50"/>
      <c r="C128" s="50"/>
      <c r="D128" s="50"/>
      <c r="E128" s="54"/>
      <c r="F128" s="54"/>
      <c r="G128" s="54"/>
      <c r="H128" s="54"/>
      <c r="I128" s="53" t="str">
        <f t="shared" si="4"/>
        <v/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x14ac:dyDescent="0.25">
      <c r="A129" s="50"/>
      <c r="B129" s="50"/>
      <c r="C129" s="50"/>
      <c r="D129" s="50"/>
      <c r="E129" s="54"/>
      <c r="F129" s="54"/>
      <c r="G129" s="54"/>
      <c r="H129" s="54"/>
      <c r="I129" s="53" t="str">
        <f t="shared" si="4"/>
        <v/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x14ac:dyDescent="0.25">
      <c r="A130" s="50"/>
      <c r="B130" s="50"/>
      <c r="C130" s="50"/>
      <c r="D130" s="50"/>
      <c r="E130" s="54"/>
      <c r="F130" s="54"/>
      <c r="G130" s="54"/>
      <c r="H130" s="54"/>
      <c r="I130" s="53" t="str">
        <f t="shared" si="4"/>
        <v/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x14ac:dyDescent="0.25">
      <c r="A131" s="50"/>
      <c r="B131" s="50"/>
      <c r="C131" s="50"/>
      <c r="D131" s="50"/>
      <c r="E131" s="54"/>
      <c r="F131" s="54"/>
      <c r="G131" s="54"/>
      <c r="H131" s="54"/>
      <c r="I131" s="53" t="str">
        <f t="shared" si="4"/>
        <v/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x14ac:dyDescent="0.25">
      <c r="A132" s="50"/>
      <c r="B132" s="50"/>
      <c r="C132" s="50"/>
      <c r="D132" s="50"/>
      <c r="E132" s="54"/>
      <c r="F132" s="54"/>
      <c r="G132" s="54"/>
      <c r="H132" s="54"/>
      <c r="I132" s="53" t="str">
        <f t="shared" si="4"/>
        <v/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x14ac:dyDescent="0.25">
      <c r="A133" s="50"/>
      <c r="B133" s="50"/>
      <c r="C133" s="50"/>
      <c r="D133" s="50"/>
      <c r="E133" s="54"/>
      <c r="F133" s="54"/>
      <c r="G133" s="54"/>
      <c r="H133" s="54"/>
      <c r="I133" s="53" t="str">
        <f t="shared" si="4"/>
        <v/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x14ac:dyDescent="0.25">
      <c r="A134" s="4"/>
      <c r="B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x14ac:dyDescent="0.25">
      <c r="A135" s="4"/>
      <c r="B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x14ac:dyDescent="0.25">
      <c r="A136" s="46" t="s">
        <v>169</v>
      </c>
      <c r="B136" s="52" t="str">
        <f>IF(B13="","",B13)</f>
        <v/>
      </c>
      <c r="D136" s="229" t="s">
        <v>307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x14ac:dyDescent="0.25">
      <c r="A137" s="46"/>
      <c r="B137" s="96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x14ac:dyDescent="0.25">
      <c r="A138" s="4"/>
      <c r="B138" s="85" t="s">
        <v>185</v>
      </c>
      <c r="C138" s="258" t="s">
        <v>186</v>
      </c>
      <c r="D138" s="258"/>
      <c r="E138" s="259" t="s">
        <v>187</v>
      </c>
      <c r="F138" s="260"/>
      <c r="G138" s="260"/>
      <c r="H138" s="261"/>
      <c r="I138" s="95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45" x14ac:dyDescent="0.25">
      <c r="A139" s="36" t="s">
        <v>180</v>
      </c>
      <c r="B139" s="36" t="s">
        <v>189</v>
      </c>
      <c r="C139" s="48" t="s">
        <v>188</v>
      </c>
      <c r="D139" s="48" t="s">
        <v>251</v>
      </c>
      <c r="E139" s="36" t="s">
        <v>183</v>
      </c>
      <c r="F139" s="36" t="s">
        <v>181</v>
      </c>
      <c r="G139" s="36" t="s">
        <v>184</v>
      </c>
      <c r="H139" s="36" t="s">
        <v>182</v>
      </c>
      <c r="I139" s="48" t="s">
        <v>213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x14ac:dyDescent="0.25">
      <c r="A140" s="50"/>
      <c r="B140" s="60"/>
      <c r="C140" s="50"/>
      <c r="D140" s="60"/>
      <c r="E140" s="51"/>
      <c r="F140" s="51"/>
      <c r="G140" s="51"/>
      <c r="H140" s="51"/>
      <c r="I140" s="57" t="str">
        <f>IFERROR(B140/A140,"")</f>
        <v/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x14ac:dyDescent="0.25">
      <c r="A141" s="50"/>
      <c r="B141" s="60"/>
      <c r="C141" s="50"/>
      <c r="D141" s="60"/>
      <c r="E141" s="51"/>
      <c r="F141" s="51"/>
      <c r="G141" s="51"/>
      <c r="H141" s="51"/>
      <c r="I141" s="57" t="str">
        <f t="shared" ref="I141:I159" si="5">IF(A141&lt;&gt;0,(B141-(B140-D140))/(A141-A140),"")</f>
        <v/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x14ac:dyDescent="0.25">
      <c r="A142" s="50"/>
      <c r="B142" s="60"/>
      <c r="C142" s="50"/>
      <c r="D142" s="60"/>
      <c r="E142" s="51"/>
      <c r="F142" s="51"/>
      <c r="G142" s="51"/>
      <c r="H142" s="51"/>
      <c r="I142" s="57" t="str">
        <f t="shared" si="5"/>
        <v/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x14ac:dyDescent="0.25">
      <c r="A143" s="50"/>
      <c r="B143" s="60"/>
      <c r="C143" s="50"/>
      <c r="D143" s="60"/>
      <c r="E143" s="51"/>
      <c r="F143" s="51"/>
      <c r="G143" s="51"/>
      <c r="H143" s="51"/>
      <c r="I143" s="57" t="str">
        <f t="shared" si="5"/>
        <v/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x14ac:dyDescent="0.25">
      <c r="A144" s="50"/>
      <c r="B144" s="60"/>
      <c r="C144" s="50"/>
      <c r="D144" s="60"/>
      <c r="E144" s="51"/>
      <c r="F144" s="51"/>
      <c r="G144" s="51"/>
      <c r="H144" s="51"/>
      <c r="I144" s="57" t="str">
        <f t="shared" si="5"/>
        <v/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x14ac:dyDescent="0.25">
      <c r="A145" s="50"/>
      <c r="B145" s="60"/>
      <c r="C145" s="50"/>
      <c r="D145" s="60"/>
      <c r="E145" s="51"/>
      <c r="F145" s="51"/>
      <c r="G145" s="51"/>
      <c r="H145" s="51"/>
      <c r="I145" s="57" t="str">
        <f t="shared" si="5"/>
        <v/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x14ac:dyDescent="0.25">
      <c r="A146" s="50"/>
      <c r="B146" s="60"/>
      <c r="C146" s="50"/>
      <c r="D146" s="60"/>
      <c r="E146" s="51"/>
      <c r="F146" s="51"/>
      <c r="G146" s="51"/>
      <c r="H146" s="51"/>
      <c r="I146" s="57" t="str">
        <f t="shared" si="5"/>
        <v/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x14ac:dyDescent="0.25">
      <c r="A147" s="50"/>
      <c r="B147" s="60"/>
      <c r="C147" s="50"/>
      <c r="D147" s="60"/>
      <c r="E147" s="51"/>
      <c r="F147" s="51"/>
      <c r="G147" s="51"/>
      <c r="H147" s="51"/>
      <c r="I147" s="57" t="str">
        <f>IF(A147&lt;&gt;0,(B147-(B146-D146))/(A147-A146),"")</f>
        <v/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x14ac:dyDescent="0.25">
      <c r="A148" s="50"/>
      <c r="B148" s="60"/>
      <c r="C148" s="50"/>
      <c r="D148" s="60"/>
      <c r="E148" s="51"/>
      <c r="F148" s="51"/>
      <c r="G148" s="51"/>
      <c r="H148" s="51"/>
      <c r="I148" s="57" t="str">
        <f t="shared" si="5"/>
        <v/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x14ac:dyDescent="0.25">
      <c r="A149" s="50"/>
      <c r="B149" s="60"/>
      <c r="C149" s="50"/>
      <c r="D149" s="60"/>
      <c r="E149" s="51"/>
      <c r="F149" s="51"/>
      <c r="G149" s="51"/>
      <c r="H149" s="51"/>
      <c r="I149" s="57" t="str">
        <f t="shared" si="5"/>
        <v/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x14ac:dyDescent="0.25">
      <c r="A150" s="50"/>
      <c r="B150" s="60"/>
      <c r="C150" s="50"/>
      <c r="D150" s="60"/>
      <c r="E150" s="51"/>
      <c r="F150" s="51"/>
      <c r="G150" s="51"/>
      <c r="H150" s="51"/>
      <c r="I150" s="57" t="str">
        <f t="shared" si="5"/>
        <v/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x14ac:dyDescent="0.25">
      <c r="A151" s="50"/>
      <c r="B151" s="60"/>
      <c r="C151" s="50"/>
      <c r="D151" s="60"/>
      <c r="E151" s="51"/>
      <c r="F151" s="51"/>
      <c r="G151" s="51"/>
      <c r="H151" s="51"/>
      <c r="I151" s="57" t="str">
        <f t="shared" si="5"/>
        <v/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x14ac:dyDescent="0.25">
      <c r="A152" s="50"/>
      <c r="B152" s="60"/>
      <c r="C152" s="50"/>
      <c r="D152" s="60"/>
      <c r="E152" s="54"/>
      <c r="F152" s="54"/>
      <c r="G152" s="54"/>
      <c r="H152" s="54"/>
      <c r="I152" s="57" t="str">
        <f t="shared" si="5"/>
        <v/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x14ac:dyDescent="0.25">
      <c r="A153" s="50"/>
      <c r="B153" s="60"/>
      <c r="C153" s="50"/>
      <c r="D153" s="60"/>
      <c r="E153" s="54"/>
      <c r="F153" s="54"/>
      <c r="G153" s="54"/>
      <c r="H153" s="54"/>
      <c r="I153" s="57" t="str">
        <f t="shared" si="5"/>
        <v/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x14ac:dyDescent="0.25">
      <c r="A154" s="55"/>
      <c r="B154" s="56"/>
      <c r="C154" s="50"/>
      <c r="D154" s="50"/>
      <c r="E154" s="54"/>
      <c r="F154" s="54"/>
      <c r="G154" s="54"/>
      <c r="H154" s="54"/>
      <c r="I154" s="57" t="str">
        <f t="shared" si="5"/>
        <v/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x14ac:dyDescent="0.25">
      <c r="A155" s="55"/>
      <c r="B155" s="56"/>
      <c r="C155" s="50"/>
      <c r="D155" s="50"/>
      <c r="E155" s="54"/>
      <c r="F155" s="54"/>
      <c r="G155" s="54"/>
      <c r="H155" s="54"/>
      <c r="I155" s="57" t="str">
        <f t="shared" si="5"/>
        <v/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x14ac:dyDescent="0.25">
      <c r="A156" s="55"/>
      <c r="B156" s="56"/>
      <c r="C156" s="50"/>
      <c r="D156" s="50"/>
      <c r="E156" s="54"/>
      <c r="F156" s="54"/>
      <c r="G156" s="54"/>
      <c r="H156" s="54"/>
      <c r="I156" s="57" t="str">
        <f t="shared" si="5"/>
        <v/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x14ac:dyDescent="0.25">
      <c r="A157" s="55"/>
      <c r="B157" s="56"/>
      <c r="C157" s="50"/>
      <c r="D157" s="50"/>
      <c r="E157" s="54"/>
      <c r="F157" s="54"/>
      <c r="G157" s="54"/>
      <c r="H157" s="54"/>
      <c r="I157" s="57" t="str">
        <f t="shared" si="5"/>
        <v/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x14ac:dyDescent="0.25">
      <c r="A158" s="55"/>
      <c r="B158" s="56"/>
      <c r="C158" s="50"/>
      <c r="D158" s="50"/>
      <c r="E158" s="54"/>
      <c r="F158" s="54"/>
      <c r="G158" s="54"/>
      <c r="H158" s="54"/>
      <c r="I158" s="57" t="str">
        <f t="shared" si="5"/>
        <v/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x14ac:dyDescent="0.25">
      <c r="A159" s="55"/>
      <c r="B159" s="56"/>
      <c r="C159" s="50"/>
      <c r="D159" s="58"/>
      <c r="E159" s="54"/>
      <c r="F159" s="54"/>
      <c r="G159" s="54"/>
      <c r="H159" s="54"/>
      <c r="I159" s="57" t="str">
        <f t="shared" si="5"/>
        <v/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x14ac:dyDescent="0.25">
      <c r="A160" s="4"/>
      <c r="B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x14ac:dyDescent="0.25">
      <c r="A161" s="4"/>
      <c r="B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x14ac:dyDescent="0.25">
      <c r="A162" s="46" t="s">
        <v>170</v>
      </c>
      <c r="B162" s="52" t="str">
        <f>IF(B14="","",B14)</f>
        <v>Aulne glutineux</v>
      </c>
      <c r="D162" s="229" t="s">
        <v>307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x14ac:dyDescent="0.25">
      <c r="A163" s="46"/>
      <c r="B163" s="96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x14ac:dyDescent="0.25">
      <c r="A164" s="4"/>
      <c r="B164" s="85" t="s">
        <v>185</v>
      </c>
      <c r="C164" s="258" t="s">
        <v>186</v>
      </c>
      <c r="D164" s="258"/>
      <c r="E164" s="259" t="s">
        <v>187</v>
      </c>
      <c r="F164" s="260"/>
      <c r="G164" s="260"/>
      <c r="H164" s="261"/>
      <c r="I164" s="95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45" x14ac:dyDescent="0.25">
      <c r="A165" s="36" t="s">
        <v>180</v>
      </c>
      <c r="B165" s="36" t="s">
        <v>189</v>
      </c>
      <c r="C165" s="48" t="s">
        <v>188</v>
      </c>
      <c r="D165" s="48" t="s">
        <v>251</v>
      </c>
      <c r="E165" s="36" t="s">
        <v>183</v>
      </c>
      <c r="F165" s="36" t="s">
        <v>181</v>
      </c>
      <c r="G165" s="36" t="s">
        <v>184</v>
      </c>
      <c r="H165" s="36" t="s">
        <v>182</v>
      </c>
      <c r="I165" s="48" t="s">
        <v>213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x14ac:dyDescent="0.25">
      <c r="A166" s="50">
        <v>10</v>
      </c>
      <c r="B166" s="60">
        <v>13</v>
      </c>
      <c r="C166" s="60">
        <v>0</v>
      </c>
      <c r="D166" s="60">
        <v>0</v>
      </c>
      <c r="E166" s="51"/>
      <c r="F166" s="51"/>
      <c r="G166" s="51"/>
      <c r="H166" s="51"/>
      <c r="I166" s="49">
        <f>IFERROR(B166/A166,"")</f>
        <v>1.3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x14ac:dyDescent="0.25">
      <c r="A167" s="50">
        <v>20</v>
      </c>
      <c r="B167" s="60">
        <f>105+18</f>
        <v>123</v>
      </c>
      <c r="C167" s="60">
        <v>1</v>
      </c>
      <c r="D167" s="60">
        <v>18</v>
      </c>
      <c r="E167" s="51"/>
      <c r="F167" s="51">
        <v>0.25</v>
      </c>
      <c r="G167" s="51">
        <v>0.25</v>
      </c>
      <c r="H167" s="51">
        <v>0.5</v>
      </c>
      <c r="I167" s="49">
        <f t="shared" ref="I167:I185" si="6">IF(A167&lt;&gt;0,(B167-(B166-D166))/(A167-A166),"")</f>
        <v>11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x14ac:dyDescent="0.25">
      <c r="A168" s="50">
        <v>30</v>
      </c>
      <c r="B168" s="60">
        <f>160+50</f>
        <v>210</v>
      </c>
      <c r="C168" s="60">
        <v>2</v>
      </c>
      <c r="D168" s="60">
        <v>50</v>
      </c>
      <c r="E168" s="51">
        <v>0.1</v>
      </c>
      <c r="F168" s="51">
        <v>0.45</v>
      </c>
      <c r="G168" s="51">
        <v>0.45</v>
      </c>
      <c r="H168" s="51"/>
      <c r="I168" s="49">
        <f t="shared" si="6"/>
        <v>10.5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x14ac:dyDescent="0.25">
      <c r="A169" s="50">
        <v>40</v>
      </c>
      <c r="B169" s="60">
        <f>196+56</f>
        <v>252</v>
      </c>
      <c r="C169" s="60">
        <v>3</v>
      </c>
      <c r="D169" s="60">
        <v>56</v>
      </c>
      <c r="E169" s="51"/>
      <c r="F169" s="51"/>
      <c r="G169" s="51"/>
      <c r="H169" s="51"/>
      <c r="I169" s="49">
        <f t="shared" si="6"/>
        <v>9.1999999999999993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x14ac:dyDescent="0.25">
      <c r="A170" s="50">
        <v>50</v>
      </c>
      <c r="B170" s="60">
        <f>219+55</f>
        <v>274</v>
      </c>
      <c r="C170" s="60">
        <v>4</v>
      </c>
      <c r="D170" s="60">
        <v>55</v>
      </c>
      <c r="E170" s="51"/>
      <c r="F170" s="51"/>
      <c r="G170" s="51"/>
      <c r="H170" s="51"/>
      <c r="I170" s="49">
        <f t="shared" si="6"/>
        <v>7.8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x14ac:dyDescent="0.25">
      <c r="A171" s="50">
        <v>60</v>
      </c>
      <c r="B171" s="60">
        <f>236+49</f>
        <v>285</v>
      </c>
      <c r="C171" s="60">
        <v>5</v>
      </c>
      <c r="D171" s="60">
        <v>49</v>
      </c>
      <c r="E171" s="51"/>
      <c r="F171" s="51"/>
      <c r="G171" s="51"/>
      <c r="H171" s="51"/>
      <c r="I171" s="49">
        <f t="shared" si="6"/>
        <v>6.6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x14ac:dyDescent="0.25">
      <c r="A172" s="50">
        <v>70</v>
      </c>
      <c r="B172" s="60">
        <f>249+43</f>
        <v>292</v>
      </c>
      <c r="C172" s="60">
        <v>6</v>
      </c>
      <c r="D172" s="60">
        <v>43</v>
      </c>
      <c r="E172" s="51"/>
      <c r="F172" s="51"/>
      <c r="G172" s="51"/>
      <c r="H172" s="51"/>
      <c r="I172" s="49">
        <f t="shared" si="6"/>
        <v>5.6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x14ac:dyDescent="0.25">
      <c r="A173" s="50">
        <v>80</v>
      </c>
      <c r="B173" s="50">
        <f>259+37</f>
        <v>296</v>
      </c>
      <c r="C173" s="50">
        <v>7</v>
      </c>
      <c r="D173" s="50">
        <v>37</v>
      </c>
      <c r="E173" s="51"/>
      <c r="F173" s="51"/>
      <c r="G173" s="51"/>
      <c r="H173" s="51"/>
      <c r="I173" s="49">
        <f t="shared" si="6"/>
        <v>4.7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x14ac:dyDescent="0.25">
      <c r="A174" s="50">
        <v>90</v>
      </c>
      <c r="B174" s="50">
        <v>299</v>
      </c>
      <c r="C174" s="50">
        <v>8</v>
      </c>
      <c r="D174" s="50">
        <v>31</v>
      </c>
      <c r="E174" s="51"/>
      <c r="F174" s="51"/>
      <c r="G174" s="51"/>
      <c r="H174" s="51"/>
      <c r="I174" s="49">
        <f t="shared" si="6"/>
        <v>4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x14ac:dyDescent="0.25">
      <c r="A175" s="50"/>
      <c r="B175" s="50"/>
      <c r="C175" s="50"/>
      <c r="D175" s="50"/>
      <c r="E175" s="51"/>
      <c r="F175" s="51"/>
      <c r="G175" s="51"/>
      <c r="H175" s="51"/>
      <c r="I175" s="49" t="str">
        <f t="shared" si="6"/>
        <v/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x14ac:dyDescent="0.25">
      <c r="A176" s="50"/>
      <c r="B176" s="50"/>
      <c r="C176" s="50"/>
      <c r="D176" s="50"/>
      <c r="E176" s="51"/>
      <c r="F176" s="51"/>
      <c r="G176" s="51"/>
      <c r="H176" s="51"/>
      <c r="I176" s="49" t="str">
        <f t="shared" si="6"/>
        <v/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x14ac:dyDescent="0.25">
      <c r="A177" s="50"/>
      <c r="B177" s="50"/>
      <c r="C177" s="50"/>
      <c r="D177" s="50"/>
      <c r="E177" s="51"/>
      <c r="F177" s="51"/>
      <c r="G177" s="51"/>
      <c r="H177" s="51"/>
      <c r="I177" s="49" t="str">
        <f t="shared" si="6"/>
        <v/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x14ac:dyDescent="0.25">
      <c r="A178" s="50"/>
      <c r="B178" s="50"/>
      <c r="C178" s="50"/>
      <c r="D178" s="50"/>
      <c r="E178" s="51"/>
      <c r="F178" s="51"/>
      <c r="G178" s="51"/>
      <c r="H178" s="51"/>
      <c r="I178" s="49" t="str">
        <f t="shared" si="6"/>
        <v/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x14ac:dyDescent="0.25">
      <c r="A179" s="50"/>
      <c r="B179" s="50"/>
      <c r="C179" s="50"/>
      <c r="D179" s="50"/>
      <c r="E179" s="51"/>
      <c r="F179" s="51"/>
      <c r="G179" s="51"/>
      <c r="H179" s="51"/>
      <c r="I179" s="49" t="str">
        <f t="shared" si="6"/>
        <v/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x14ac:dyDescent="0.25">
      <c r="A180" s="50"/>
      <c r="B180" s="50"/>
      <c r="C180" s="50"/>
      <c r="D180" s="50"/>
      <c r="E180" s="51"/>
      <c r="F180" s="51"/>
      <c r="G180" s="51"/>
      <c r="H180" s="51"/>
      <c r="I180" s="49" t="str">
        <f t="shared" si="6"/>
        <v/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x14ac:dyDescent="0.25">
      <c r="A181" s="50"/>
      <c r="B181" s="50"/>
      <c r="C181" s="50"/>
      <c r="D181" s="50"/>
      <c r="E181" s="51"/>
      <c r="F181" s="51"/>
      <c r="G181" s="51"/>
      <c r="H181" s="51"/>
      <c r="I181" s="49" t="str">
        <f t="shared" si="6"/>
        <v/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x14ac:dyDescent="0.25">
      <c r="A182" s="50"/>
      <c r="B182" s="50"/>
      <c r="C182" s="50"/>
      <c r="D182" s="50"/>
      <c r="E182" s="51"/>
      <c r="F182" s="51"/>
      <c r="G182" s="51"/>
      <c r="H182" s="51"/>
      <c r="I182" s="49" t="str">
        <f t="shared" si="6"/>
        <v/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x14ac:dyDescent="0.25">
      <c r="A183" s="50"/>
      <c r="B183" s="50"/>
      <c r="C183" s="50"/>
      <c r="D183" s="50"/>
      <c r="E183" s="51"/>
      <c r="F183" s="51"/>
      <c r="G183" s="51"/>
      <c r="H183" s="51"/>
      <c r="I183" s="49" t="str">
        <f t="shared" si="6"/>
        <v/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x14ac:dyDescent="0.25">
      <c r="A184" s="50"/>
      <c r="B184" s="50"/>
      <c r="C184" s="50"/>
      <c r="D184" s="50"/>
      <c r="E184" s="51"/>
      <c r="F184" s="51"/>
      <c r="G184" s="51"/>
      <c r="H184" s="51"/>
      <c r="I184" s="49" t="str">
        <f t="shared" si="6"/>
        <v/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x14ac:dyDescent="0.25">
      <c r="A185" s="50"/>
      <c r="B185" s="50"/>
      <c r="C185" s="50"/>
      <c r="D185" s="50"/>
      <c r="E185" s="51"/>
      <c r="F185" s="51"/>
      <c r="G185" s="51"/>
      <c r="H185" s="51"/>
      <c r="I185" s="49" t="str">
        <f t="shared" si="6"/>
        <v/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x14ac:dyDescent="0.25">
      <c r="A186" s="4"/>
      <c r="B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x14ac:dyDescent="0.25">
      <c r="A187" s="4"/>
      <c r="B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x14ac:dyDescent="0.25">
      <c r="A188" s="46" t="s">
        <v>171</v>
      </c>
      <c r="B188" s="52" t="str">
        <f>IF(B15="","",B15)</f>
        <v>Bouleau verruqueux</v>
      </c>
      <c r="D188" s="229" t="s">
        <v>307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x14ac:dyDescent="0.25">
      <c r="A189" s="46"/>
      <c r="B189" s="96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x14ac:dyDescent="0.25">
      <c r="A190" s="4"/>
      <c r="B190" s="85" t="s">
        <v>185</v>
      </c>
      <c r="C190" s="258" t="s">
        <v>186</v>
      </c>
      <c r="D190" s="258"/>
      <c r="E190" s="259" t="s">
        <v>187</v>
      </c>
      <c r="F190" s="260"/>
      <c r="G190" s="260"/>
      <c r="H190" s="261"/>
      <c r="I190" s="95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45" x14ac:dyDescent="0.25">
      <c r="A191" s="36" t="s">
        <v>180</v>
      </c>
      <c r="B191" s="36" t="s">
        <v>189</v>
      </c>
      <c r="C191" s="48" t="s">
        <v>188</v>
      </c>
      <c r="D191" s="48" t="s">
        <v>251</v>
      </c>
      <c r="E191" s="36" t="s">
        <v>183</v>
      </c>
      <c r="F191" s="36" t="s">
        <v>181</v>
      </c>
      <c r="G191" s="36" t="s">
        <v>184</v>
      </c>
      <c r="H191" s="36" t="s">
        <v>182</v>
      </c>
      <c r="I191" s="48" t="s">
        <v>213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x14ac:dyDescent="0.25">
      <c r="A192" s="50">
        <v>15</v>
      </c>
      <c r="B192" s="60">
        <v>44</v>
      </c>
      <c r="C192" s="60">
        <v>0</v>
      </c>
      <c r="D192" s="60">
        <v>0</v>
      </c>
      <c r="E192" s="51"/>
      <c r="F192" s="51"/>
      <c r="G192" s="51"/>
      <c r="H192" s="51"/>
      <c r="I192" s="49">
        <f>IFERROR(B192/A192,"")</f>
        <v>2.9333333333333331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x14ac:dyDescent="0.25">
      <c r="A193" s="50">
        <v>20</v>
      </c>
      <c r="B193" s="60">
        <f>65+18</f>
        <v>83</v>
      </c>
      <c r="C193" s="60">
        <v>1</v>
      </c>
      <c r="D193" s="60">
        <v>18</v>
      </c>
      <c r="E193" s="51"/>
      <c r="F193" s="51">
        <v>0.25</v>
      </c>
      <c r="G193" s="51">
        <v>0.25</v>
      </c>
      <c r="H193" s="51">
        <v>0.5</v>
      </c>
      <c r="I193" s="49">
        <f t="shared" ref="I193:I211" si="7">IF(A193&lt;&gt;0,(B193-(B192-D192))/(A193-A192),"")</f>
        <v>7.8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x14ac:dyDescent="0.25">
      <c r="A194" s="50">
        <v>30</v>
      </c>
      <c r="B194" s="60">
        <f>109+26</f>
        <v>135</v>
      </c>
      <c r="C194" s="60">
        <v>2</v>
      </c>
      <c r="D194" s="60">
        <v>26</v>
      </c>
      <c r="E194" s="51">
        <v>0.1</v>
      </c>
      <c r="F194" s="51">
        <v>0.45</v>
      </c>
      <c r="G194" s="51">
        <v>0.45</v>
      </c>
      <c r="H194" s="51"/>
      <c r="I194" s="49">
        <f t="shared" si="7"/>
        <v>7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x14ac:dyDescent="0.25">
      <c r="A195" s="50">
        <v>40</v>
      </c>
      <c r="B195" s="60">
        <f>150+31</f>
        <v>181</v>
      </c>
      <c r="C195" s="60">
        <v>3</v>
      </c>
      <c r="D195" s="60">
        <v>31</v>
      </c>
      <c r="E195" s="51"/>
      <c r="F195" s="51"/>
      <c r="G195" s="51"/>
      <c r="H195" s="51"/>
      <c r="I195" s="49">
        <f t="shared" si="7"/>
        <v>7.2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x14ac:dyDescent="0.25">
      <c r="A196" s="50">
        <v>50</v>
      </c>
      <c r="B196" s="60">
        <f>186+34</f>
        <v>220</v>
      </c>
      <c r="C196" s="60">
        <v>4</v>
      </c>
      <c r="D196" s="60">
        <v>34</v>
      </c>
      <c r="E196" s="51"/>
      <c r="F196" s="51"/>
      <c r="G196" s="51"/>
      <c r="H196" s="51"/>
      <c r="I196" s="49">
        <f t="shared" si="7"/>
        <v>7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x14ac:dyDescent="0.25">
      <c r="A197" s="50">
        <v>60</v>
      </c>
      <c r="B197" s="60">
        <f>216+34</f>
        <v>250</v>
      </c>
      <c r="C197" s="60">
        <v>5</v>
      </c>
      <c r="D197" s="60">
        <v>34</v>
      </c>
      <c r="E197" s="51"/>
      <c r="F197" s="51"/>
      <c r="G197" s="51"/>
      <c r="H197" s="51"/>
      <c r="I197" s="49">
        <f t="shared" si="7"/>
        <v>6.4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x14ac:dyDescent="0.25">
      <c r="A198" s="50">
        <v>70</v>
      </c>
      <c r="B198" s="60">
        <f>241+34</f>
        <v>275</v>
      </c>
      <c r="C198" s="60">
        <v>6</v>
      </c>
      <c r="D198" s="60">
        <v>34</v>
      </c>
      <c r="E198" s="51"/>
      <c r="F198" s="51"/>
      <c r="G198" s="51"/>
      <c r="H198" s="51"/>
      <c r="I198" s="49">
        <f t="shared" si="7"/>
        <v>5.9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x14ac:dyDescent="0.25">
      <c r="A199" s="50">
        <v>80</v>
      </c>
      <c r="B199" s="50">
        <f>260+33</f>
        <v>293</v>
      </c>
      <c r="C199" s="50">
        <v>7</v>
      </c>
      <c r="D199" s="50">
        <v>33</v>
      </c>
      <c r="E199" s="51"/>
      <c r="F199" s="51"/>
      <c r="G199" s="51"/>
      <c r="H199" s="51"/>
      <c r="I199" s="49">
        <f t="shared" si="7"/>
        <v>5.2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x14ac:dyDescent="0.25">
      <c r="A200" s="50">
        <v>90</v>
      </c>
      <c r="B200" s="50">
        <v>307</v>
      </c>
      <c r="C200" s="50">
        <v>8</v>
      </c>
      <c r="D200" s="50">
        <v>31</v>
      </c>
      <c r="E200" s="51"/>
      <c r="F200" s="51"/>
      <c r="G200" s="51"/>
      <c r="H200" s="51"/>
      <c r="I200" s="49">
        <f t="shared" si="7"/>
        <v>4.7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x14ac:dyDescent="0.25">
      <c r="A201" s="50"/>
      <c r="B201" s="50"/>
      <c r="C201" s="50"/>
      <c r="D201" s="50"/>
      <c r="E201" s="51"/>
      <c r="F201" s="51"/>
      <c r="G201" s="51"/>
      <c r="H201" s="51"/>
      <c r="I201" s="49" t="str">
        <f t="shared" si="7"/>
        <v/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x14ac:dyDescent="0.25">
      <c r="A202" s="50"/>
      <c r="B202" s="50"/>
      <c r="C202" s="50"/>
      <c r="D202" s="50"/>
      <c r="E202" s="51"/>
      <c r="F202" s="51"/>
      <c r="G202" s="51"/>
      <c r="H202" s="51"/>
      <c r="I202" s="49" t="str">
        <f t="shared" si="7"/>
        <v/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x14ac:dyDescent="0.25">
      <c r="A203" s="50"/>
      <c r="B203" s="50"/>
      <c r="C203" s="50"/>
      <c r="D203" s="50"/>
      <c r="E203" s="51"/>
      <c r="F203" s="51"/>
      <c r="G203" s="51"/>
      <c r="H203" s="51"/>
      <c r="I203" s="49" t="str">
        <f t="shared" si="7"/>
        <v/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x14ac:dyDescent="0.25">
      <c r="A204" s="50"/>
      <c r="B204" s="50"/>
      <c r="C204" s="50"/>
      <c r="D204" s="50"/>
      <c r="E204" s="51"/>
      <c r="F204" s="51"/>
      <c r="G204" s="51"/>
      <c r="H204" s="51"/>
      <c r="I204" s="49" t="str">
        <f t="shared" si="7"/>
        <v/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x14ac:dyDescent="0.25">
      <c r="A205" s="50"/>
      <c r="B205" s="50"/>
      <c r="C205" s="50"/>
      <c r="D205" s="50"/>
      <c r="E205" s="51"/>
      <c r="F205" s="51"/>
      <c r="G205" s="51"/>
      <c r="H205" s="51"/>
      <c r="I205" s="49" t="str">
        <f t="shared" si="7"/>
        <v/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x14ac:dyDescent="0.25">
      <c r="A206" s="50"/>
      <c r="B206" s="50"/>
      <c r="C206" s="50"/>
      <c r="D206" s="50"/>
      <c r="E206" s="51"/>
      <c r="F206" s="51"/>
      <c r="G206" s="51"/>
      <c r="H206" s="51"/>
      <c r="I206" s="49" t="str">
        <f t="shared" si="7"/>
        <v/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x14ac:dyDescent="0.25">
      <c r="A207" s="50"/>
      <c r="B207" s="50"/>
      <c r="C207" s="50"/>
      <c r="D207" s="50"/>
      <c r="E207" s="51"/>
      <c r="F207" s="51"/>
      <c r="G207" s="51"/>
      <c r="H207" s="51"/>
      <c r="I207" s="49" t="str">
        <f t="shared" si="7"/>
        <v/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x14ac:dyDescent="0.25">
      <c r="A208" s="50"/>
      <c r="B208" s="50"/>
      <c r="C208" s="50"/>
      <c r="D208" s="50"/>
      <c r="E208" s="51"/>
      <c r="F208" s="51"/>
      <c r="G208" s="51"/>
      <c r="H208" s="51"/>
      <c r="I208" s="49" t="str">
        <f t="shared" si="7"/>
        <v/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x14ac:dyDescent="0.25">
      <c r="A209" s="50"/>
      <c r="B209" s="50"/>
      <c r="C209" s="50"/>
      <c r="D209" s="50"/>
      <c r="E209" s="51"/>
      <c r="F209" s="51"/>
      <c r="G209" s="51"/>
      <c r="H209" s="51"/>
      <c r="I209" s="49" t="str">
        <f t="shared" si="7"/>
        <v/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x14ac:dyDescent="0.25">
      <c r="A210" s="50"/>
      <c r="B210" s="50"/>
      <c r="C210" s="50"/>
      <c r="D210" s="50"/>
      <c r="E210" s="51"/>
      <c r="F210" s="51"/>
      <c r="G210" s="51"/>
      <c r="H210" s="51"/>
      <c r="I210" s="49" t="str">
        <f t="shared" si="7"/>
        <v/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x14ac:dyDescent="0.25">
      <c r="A211" s="50"/>
      <c r="B211" s="50"/>
      <c r="C211" s="50"/>
      <c r="D211" s="50"/>
      <c r="E211" s="51"/>
      <c r="F211" s="51"/>
      <c r="G211" s="51"/>
      <c r="H211" s="51"/>
      <c r="I211" s="49" t="str">
        <f t="shared" si="7"/>
        <v/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x14ac:dyDescent="0.25">
      <c r="A212" s="4"/>
      <c r="B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x14ac:dyDescent="0.25">
      <c r="A213" s="4"/>
      <c r="B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x14ac:dyDescent="0.25">
      <c r="A214" s="46" t="s">
        <v>172</v>
      </c>
      <c r="B214" s="52" t="str">
        <f>IF(B16="","",B16)</f>
        <v>Hêtre</v>
      </c>
      <c r="D214" s="229" t="s">
        <v>307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x14ac:dyDescent="0.25">
      <c r="A215" s="46"/>
      <c r="B215" s="96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x14ac:dyDescent="0.25">
      <c r="A216" s="4"/>
      <c r="B216" s="85" t="s">
        <v>185</v>
      </c>
      <c r="C216" s="258" t="s">
        <v>186</v>
      </c>
      <c r="D216" s="258"/>
      <c r="E216" s="259" t="s">
        <v>187</v>
      </c>
      <c r="F216" s="260"/>
      <c r="G216" s="260"/>
      <c r="H216" s="261"/>
      <c r="I216" s="95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45" x14ac:dyDescent="0.25">
      <c r="A217" s="36" t="s">
        <v>180</v>
      </c>
      <c r="B217" s="36" t="s">
        <v>189</v>
      </c>
      <c r="C217" s="48" t="s">
        <v>188</v>
      </c>
      <c r="D217" s="48" t="s">
        <v>251</v>
      </c>
      <c r="E217" s="36" t="s">
        <v>183</v>
      </c>
      <c r="F217" s="36" t="s">
        <v>181</v>
      </c>
      <c r="G217" s="36" t="s">
        <v>184</v>
      </c>
      <c r="H217" s="36" t="s">
        <v>182</v>
      </c>
      <c r="I217" s="48" t="s">
        <v>213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x14ac:dyDescent="0.25">
      <c r="A218" s="50">
        <v>15</v>
      </c>
      <c r="B218" s="60">
        <v>26</v>
      </c>
      <c r="C218" s="50">
        <v>0</v>
      </c>
      <c r="D218" s="60">
        <v>0</v>
      </c>
      <c r="E218" s="63"/>
      <c r="F218" s="63"/>
      <c r="G218" s="63"/>
      <c r="H218" s="63"/>
      <c r="I218" s="53">
        <f>IFERROR(B218/A218,"")</f>
        <v>1.7333333333333334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x14ac:dyDescent="0.25">
      <c r="A219" s="50">
        <v>20</v>
      </c>
      <c r="B219" s="60">
        <f>49+8</f>
        <v>57</v>
      </c>
      <c r="C219" s="50">
        <v>1</v>
      </c>
      <c r="D219" s="60">
        <v>8</v>
      </c>
      <c r="E219" s="63"/>
      <c r="F219" s="63">
        <v>0.25</v>
      </c>
      <c r="G219" s="63">
        <v>0.25</v>
      </c>
      <c r="H219" s="63">
        <v>0.5</v>
      </c>
      <c r="I219" s="53">
        <f t="shared" ref="I219:I237" si="8">IF(A219&lt;&gt;0,(B219-(B218-D218))/(A219-A218),"")</f>
        <v>6.2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x14ac:dyDescent="0.25">
      <c r="A220" s="50">
        <v>30</v>
      </c>
      <c r="B220" s="60">
        <f>99+41</f>
        <v>140</v>
      </c>
      <c r="C220" s="50">
        <v>2</v>
      </c>
      <c r="D220" s="60">
        <v>41</v>
      </c>
      <c r="E220" s="63">
        <v>0.25</v>
      </c>
      <c r="F220" s="63">
        <v>0.25</v>
      </c>
      <c r="G220" s="63">
        <v>0.5</v>
      </c>
      <c r="H220" s="63"/>
      <c r="I220" s="53">
        <f t="shared" si="8"/>
        <v>9.1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x14ac:dyDescent="0.25">
      <c r="A221" s="55">
        <v>40</v>
      </c>
      <c r="B221" s="55">
        <f>150+72</f>
        <v>222</v>
      </c>
      <c r="C221" s="55">
        <v>3</v>
      </c>
      <c r="D221" s="55">
        <v>72</v>
      </c>
      <c r="E221" s="63"/>
      <c r="F221" s="63"/>
      <c r="G221" s="63"/>
      <c r="H221" s="63"/>
      <c r="I221" s="53">
        <f t="shared" si="8"/>
        <v>12.3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x14ac:dyDescent="0.25">
      <c r="A222" s="55">
        <v>50</v>
      </c>
      <c r="B222" s="55">
        <v>284</v>
      </c>
      <c r="C222" s="55">
        <v>4</v>
      </c>
      <c r="D222" s="55">
        <v>85</v>
      </c>
      <c r="E222" s="63"/>
      <c r="F222" s="63"/>
      <c r="G222" s="63"/>
      <c r="H222" s="63"/>
      <c r="I222" s="53">
        <f t="shared" si="8"/>
        <v>13.4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x14ac:dyDescent="0.25">
      <c r="A223" s="55">
        <v>60</v>
      </c>
      <c r="B223" s="55">
        <v>333</v>
      </c>
      <c r="C223" s="55">
        <v>5</v>
      </c>
      <c r="D223" s="55">
        <v>91</v>
      </c>
      <c r="E223" s="63"/>
      <c r="F223" s="63"/>
      <c r="G223" s="63"/>
      <c r="H223" s="63"/>
      <c r="I223" s="53">
        <f t="shared" si="8"/>
        <v>13.4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x14ac:dyDescent="0.25">
      <c r="A224" s="55">
        <v>70</v>
      </c>
      <c r="B224" s="55">
        <v>372</v>
      </c>
      <c r="C224" s="55">
        <v>6</v>
      </c>
      <c r="D224" s="55">
        <v>92</v>
      </c>
      <c r="E224" s="63"/>
      <c r="F224" s="63"/>
      <c r="G224" s="63"/>
      <c r="H224" s="63"/>
      <c r="I224" s="53">
        <f t="shared" si="8"/>
        <v>13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x14ac:dyDescent="0.25">
      <c r="A225" s="55">
        <v>80</v>
      </c>
      <c r="B225" s="55">
        <v>401</v>
      </c>
      <c r="C225" s="55">
        <v>7</v>
      </c>
      <c r="D225" s="55">
        <v>89</v>
      </c>
      <c r="E225" s="63"/>
      <c r="F225" s="63"/>
      <c r="G225" s="63"/>
      <c r="H225" s="63"/>
      <c r="I225" s="53">
        <f t="shared" si="8"/>
        <v>12.1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x14ac:dyDescent="0.25">
      <c r="A226" s="55">
        <v>90</v>
      </c>
      <c r="B226" s="55">
        <v>421</v>
      </c>
      <c r="C226" s="55">
        <v>8</v>
      </c>
      <c r="D226" s="55">
        <v>82</v>
      </c>
      <c r="E226" s="63"/>
      <c r="F226" s="63"/>
      <c r="G226" s="63"/>
      <c r="H226" s="63"/>
      <c r="I226" s="53">
        <f t="shared" si="8"/>
        <v>10.9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x14ac:dyDescent="0.25">
      <c r="A227" s="55">
        <v>100</v>
      </c>
      <c r="B227" s="55">
        <v>436</v>
      </c>
      <c r="C227" s="55">
        <v>9</v>
      </c>
      <c r="D227" s="55">
        <v>76</v>
      </c>
      <c r="E227" s="63"/>
      <c r="F227" s="63"/>
      <c r="G227" s="63"/>
      <c r="H227" s="63"/>
      <c r="I227" s="53">
        <f t="shared" si="8"/>
        <v>9.6999999999999993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x14ac:dyDescent="0.25">
      <c r="A228" s="55">
        <v>110</v>
      </c>
      <c r="B228" s="55">
        <v>446</v>
      </c>
      <c r="C228" s="55">
        <v>10</v>
      </c>
      <c r="D228" s="55">
        <v>68</v>
      </c>
      <c r="E228" s="63"/>
      <c r="F228" s="63"/>
      <c r="G228" s="63"/>
      <c r="H228" s="63"/>
      <c r="I228" s="53">
        <f t="shared" si="8"/>
        <v>8.6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x14ac:dyDescent="0.25">
      <c r="A229" s="55">
        <v>120</v>
      </c>
      <c r="B229" s="55">
        <v>452</v>
      </c>
      <c r="C229" s="55">
        <v>11</v>
      </c>
      <c r="D229" s="55">
        <v>60</v>
      </c>
      <c r="E229" s="63"/>
      <c r="F229" s="63"/>
      <c r="G229" s="63"/>
      <c r="H229" s="63"/>
      <c r="I229" s="53">
        <f t="shared" si="8"/>
        <v>7.4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x14ac:dyDescent="0.25">
      <c r="A230" s="55">
        <v>130</v>
      </c>
      <c r="B230" s="55">
        <v>455</v>
      </c>
      <c r="C230" s="55">
        <v>12</v>
      </c>
      <c r="D230" s="55">
        <v>52</v>
      </c>
      <c r="E230" s="64"/>
      <c r="F230" s="64"/>
      <c r="G230" s="64"/>
      <c r="H230" s="64"/>
      <c r="I230" s="53">
        <f t="shared" si="8"/>
        <v>6.3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x14ac:dyDescent="0.25">
      <c r="A231" s="88">
        <v>140</v>
      </c>
      <c r="B231" s="60">
        <v>458</v>
      </c>
      <c r="C231" s="88">
        <v>13</v>
      </c>
      <c r="D231" s="60">
        <v>46</v>
      </c>
      <c r="E231" s="54"/>
      <c r="F231" s="54"/>
      <c r="G231" s="54"/>
      <c r="H231" s="54"/>
      <c r="I231" s="53">
        <f t="shared" si="8"/>
        <v>5.5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x14ac:dyDescent="0.25">
      <c r="A232" s="50">
        <v>150</v>
      </c>
      <c r="B232" s="50">
        <f>419+40</f>
        <v>459</v>
      </c>
      <c r="C232" s="50">
        <v>14</v>
      </c>
      <c r="D232" s="50">
        <v>40</v>
      </c>
      <c r="E232" s="54"/>
      <c r="F232" s="54"/>
      <c r="G232" s="54"/>
      <c r="H232" s="54"/>
      <c r="I232" s="53">
        <f t="shared" si="8"/>
        <v>4.7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x14ac:dyDescent="0.25">
      <c r="A233" s="50"/>
      <c r="B233" s="50"/>
      <c r="C233" s="50"/>
      <c r="D233" s="50"/>
      <c r="E233" s="54"/>
      <c r="F233" s="54"/>
      <c r="G233" s="54"/>
      <c r="H233" s="54"/>
      <c r="I233" s="53" t="str">
        <f t="shared" si="8"/>
        <v/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x14ac:dyDescent="0.25">
      <c r="A234" s="50"/>
      <c r="B234" s="50"/>
      <c r="C234" s="50"/>
      <c r="D234" s="50"/>
      <c r="E234" s="54"/>
      <c r="F234" s="54"/>
      <c r="G234" s="54"/>
      <c r="H234" s="54"/>
      <c r="I234" s="53" t="str">
        <f t="shared" si="8"/>
        <v/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x14ac:dyDescent="0.25">
      <c r="A235" s="50"/>
      <c r="B235" s="50"/>
      <c r="C235" s="50"/>
      <c r="D235" s="50"/>
      <c r="E235" s="54"/>
      <c r="F235" s="54"/>
      <c r="G235" s="54"/>
      <c r="H235" s="54"/>
      <c r="I235" s="53" t="str">
        <f t="shared" si="8"/>
        <v/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x14ac:dyDescent="0.25">
      <c r="A236" s="50"/>
      <c r="B236" s="50"/>
      <c r="C236" s="50"/>
      <c r="D236" s="50"/>
      <c r="E236" s="54"/>
      <c r="F236" s="54"/>
      <c r="G236" s="54"/>
      <c r="H236" s="54"/>
      <c r="I236" s="53" t="str">
        <f t="shared" si="8"/>
        <v/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x14ac:dyDescent="0.25">
      <c r="A237" s="50"/>
      <c r="B237" s="50"/>
      <c r="C237" s="50"/>
      <c r="D237" s="50"/>
      <c r="E237" s="54"/>
      <c r="F237" s="54"/>
      <c r="G237" s="54"/>
      <c r="H237" s="54"/>
      <c r="I237" s="53" t="str">
        <f t="shared" si="8"/>
        <v/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x14ac:dyDescent="0.25">
      <c r="A238" s="4"/>
      <c r="B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x14ac:dyDescent="0.25">
      <c r="A239" s="4"/>
      <c r="B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x14ac:dyDescent="0.25">
      <c r="A240" s="46" t="s">
        <v>173</v>
      </c>
      <c r="B240" s="52" t="str">
        <f>IF(B17="","",B17)</f>
        <v>Cormier</v>
      </c>
      <c r="D240" s="229" t="s">
        <v>307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x14ac:dyDescent="0.25">
      <c r="A241" s="46"/>
      <c r="B241" s="96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x14ac:dyDescent="0.25">
      <c r="A242" s="4"/>
      <c r="B242" s="85" t="s">
        <v>185</v>
      </c>
      <c r="C242" s="258" t="s">
        <v>186</v>
      </c>
      <c r="D242" s="258"/>
      <c r="E242" s="259" t="s">
        <v>187</v>
      </c>
      <c r="F242" s="260"/>
      <c r="G242" s="260"/>
      <c r="H242" s="261"/>
      <c r="I242" s="95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45" x14ac:dyDescent="0.25">
      <c r="A243" s="36" t="s">
        <v>180</v>
      </c>
      <c r="B243" s="36" t="s">
        <v>189</v>
      </c>
      <c r="C243" s="48" t="s">
        <v>188</v>
      </c>
      <c r="D243" s="48" t="s">
        <v>251</v>
      </c>
      <c r="E243" s="36" t="s">
        <v>183</v>
      </c>
      <c r="F243" s="36" t="s">
        <v>181</v>
      </c>
      <c r="G243" s="36" t="s">
        <v>184</v>
      </c>
      <c r="H243" s="36" t="s">
        <v>182</v>
      </c>
      <c r="I243" s="48" t="s">
        <v>213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x14ac:dyDescent="0.25">
      <c r="A244" s="50">
        <v>30</v>
      </c>
      <c r="B244" s="60">
        <f>190.14/1.56</f>
        <v>121.88461538461537</v>
      </c>
      <c r="C244" s="60"/>
      <c r="D244" s="60"/>
      <c r="E244" s="51"/>
      <c r="F244" s="51"/>
      <c r="G244" s="51"/>
      <c r="H244" s="63"/>
      <c r="I244" s="53">
        <f>IFERROR(B244/A244,"")</f>
        <v>4.0628205128205126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x14ac:dyDescent="0.25">
      <c r="A245" s="50">
        <v>35</v>
      </c>
      <c r="B245" s="60">
        <f>252.98/1.56</f>
        <v>162.16666666666666</v>
      </c>
      <c r="C245" s="60">
        <v>1</v>
      </c>
      <c r="D245" s="60">
        <f>94.54/1.56</f>
        <v>60.602564102564102</v>
      </c>
      <c r="E245" s="63"/>
      <c r="F245" s="63"/>
      <c r="G245" s="63"/>
      <c r="H245" s="63"/>
      <c r="I245" s="53">
        <f>IF(A245&lt;&gt;0,(B245-(B244-D244))/(A245-A244),"")</f>
        <v>8.0564102564102562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x14ac:dyDescent="0.25">
      <c r="A246" s="50">
        <v>41</v>
      </c>
      <c r="B246" s="60">
        <f>245.62/1.56</f>
        <v>157.44871794871796</v>
      </c>
      <c r="C246" s="60">
        <v>2</v>
      </c>
      <c r="D246" s="60">
        <f>60.08/1.56</f>
        <v>38.512820512820511</v>
      </c>
      <c r="E246" s="63"/>
      <c r="F246" s="63"/>
      <c r="G246" s="63"/>
      <c r="H246" s="63"/>
      <c r="I246" s="53">
        <f>IF(A246&lt;&gt;0,(B246-(B245-D245))/(A246-A245),"")</f>
        <v>9.3141025641025674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x14ac:dyDescent="0.25">
      <c r="A247" s="50">
        <v>48</v>
      </c>
      <c r="B247" s="60">
        <f>287.59/1.56</f>
        <v>184.35256410256409</v>
      </c>
      <c r="C247" s="60">
        <v>3</v>
      </c>
      <c r="D247" s="60">
        <f>74.92/1.56</f>
        <v>48.025641025641022</v>
      </c>
      <c r="E247" s="63"/>
      <c r="F247" s="63"/>
      <c r="G247" s="63"/>
      <c r="H247" s="63"/>
      <c r="I247" s="53">
        <f t="shared" ref="I247:I263" si="9">IF(A247&lt;&gt;0,(B247-(B246-D246))/(A247-A246),"")</f>
        <v>9.3452380952380913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x14ac:dyDescent="0.25">
      <c r="A248" s="50">
        <v>55</v>
      </c>
      <c r="B248" s="60">
        <f>309.57/1.56</f>
        <v>198.44230769230768</v>
      </c>
      <c r="C248" s="60">
        <v>4</v>
      </c>
      <c r="D248" s="60">
        <f>70.43/1.56</f>
        <v>45.147435897435898</v>
      </c>
      <c r="E248" s="63"/>
      <c r="F248" s="63"/>
      <c r="G248" s="63"/>
      <c r="H248" s="63"/>
      <c r="I248" s="53">
        <f t="shared" si="9"/>
        <v>8.8736263736263741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x14ac:dyDescent="0.25">
      <c r="A249" s="50">
        <v>63</v>
      </c>
      <c r="B249" s="60">
        <f>343.65/1.56</f>
        <v>220.28846153846152</v>
      </c>
      <c r="C249" s="60">
        <v>5</v>
      </c>
      <c r="D249" s="60">
        <f>65.09/1.56</f>
        <v>41.724358974358978</v>
      </c>
      <c r="E249" s="63"/>
      <c r="F249" s="63"/>
      <c r="G249" s="63"/>
      <c r="H249" s="63"/>
      <c r="I249" s="53">
        <f t="shared" si="9"/>
        <v>8.374198717948719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x14ac:dyDescent="0.25">
      <c r="A250" s="50">
        <v>71</v>
      </c>
      <c r="B250" s="60">
        <f>379.65/1.56</f>
        <v>243.36538461538458</v>
      </c>
      <c r="C250" s="60">
        <v>6</v>
      </c>
      <c r="D250" s="60">
        <f>62.3/1.56</f>
        <v>39.935897435897431</v>
      </c>
      <c r="E250" s="63"/>
      <c r="F250" s="63"/>
      <c r="G250" s="63"/>
      <c r="H250" s="63"/>
      <c r="I250" s="53">
        <f t="shared" si="9"/>
        <v>8.1001602564102555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x14ac:dyDescent="0.25">
      <c r="A251" s="55">
        <v>80</v>
      </c>
      <c r="B251" s="55">
        <f>427.46/1.56</f>
        <v>274.0128205128205</v>
      </c>
      <c r="C251" s="55">
        <v>7</v>
      </c>
      <c r="D251" s="55">
        <f>71.15/1.56</f>
        <v>45.608974358974358</v>
      </c>
      <c r="E251" s="63"/>
      <c r="F251" s="63"/>
      <c r="G251" s="63"/>
      <c r="H251" s="63"/>
      <c r="I251" s="53">
        <f t="shared" si="9"/>
        <v>7.8425925925925934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x14ac:dyDescent="0.25">
      <c r="A252" s="55">
        <v>89</v>
      </c>
      <c r="B252" s="55">
        <f>461.54/1.56</f>
        <v>295.85897435897436</v>
      </c>
      <c r="C252" s="55">
        <v>8</v>
      </c>
      <c r="D252" s="55">
        <f>77.05/1.56</f>
        <v>49.391025641025635</v>
      </c>
      <c r="E252" s="63"/>
      <c r="F252" s="63"/>
      <c r="G252" s="63"/>
      <c r="H252" s="63"/>
      <c r="I252" s="53">
        <f t="shared" si="9"/>
        <v>7.4950142450142483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x14ac:dyDescent="0.25">
      <c r="A253" s="55">
        <v>99</v>
      </c>
      <c r="B253" s="55">
        <f>496.47/1.56</f>
        <v>318.25</v>
      </c>
      <c r="C253" s="55">
        <v>9</v>
      </c>
      <c r="D253" s="55">
        <f>74.91/1.56</f>
        <v>48.019230769230766</v>
      </c>
      <c r="E253" s="63"/>
      <c r="F253" s="63"/>
      <c r="G253" s="63"/>
      <c r="H253" s="63"/>
      <c r="I253" s="53">
        <f t="shared" si="9"/>
        <v>7.1782051282051267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x14ac:dyDescent="0.25">
      <c r="A254" s="55">
        <v>109</v>
      </c>
      <c r="B254" s="55">
        <f>530.66/1.56</f>
        <v>340.16666666666663</v>
      </c>
      <c r="C254" s="55">
        <v>10</v>
      </c>
      <c r="D254" s="55">
        <f>80.01/1.56</f>
        <v>51.28846153846154</v>
      </c>
      <c r="E254" s="63"/>
      <c r="F254" s="63"/>
      <c r="G254" s="63"/>
      <c r="H254" s="63"/>
      <c r="I254" s="53">
        <f t="shared" si="9"/>
        <v>6.9935897435897401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x14ac:dyDescent="0.25">
      <c r="A255" s="55">
        <v>119</v>
      </c>
      <c r="B255" s="55">
        <f>557.45/1.56</f>
        <v>357.33974358974359</v>
      </c>
      <c r="C255" s="55">
        <v>11</v>
      </c>
      <c r="D255" s="55">
        <f>234.04/1.56</f>
        <v>150.02564102564102</v>
      </c>
      <c r="E255" s="63"/>
      <c r="F255" s="63"/>
      <c r="G255" s="63"/>
      <c r="H255" s="63"/>
      <c r="I255" s="53">
        <f t="shared" si="9"/>
        <v>6.8461538461538511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x14ac:dyDescent="0.25">
      <c r="A256" s="55">
        <v>123</v>
      </c>
      <c r="B256" s="55">
        <f>347.31/1.56</f>
        <v>222.63461538461539</v>
      </c>
      <c r="C256" s="55">
        <v>12</v>
      </c>
      <c r="D256" s="55">
        <f>120.39/1.56</f>
        <v>77.17307692307692</v>
      </c>
      <c r="E256" s="64"/>
      <c r="F256" s="64"/>
      <c r="G256" s="64"/>
      <c r="H256" s="64"/>
      <c r="I256" s="53">
        <f t="shared" si="9"/>
        <v>3.8301282051282044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x14ac:dyDescent="0.25">
      <c r="A257" s="88">
        <v>127</v>
      </c>
      <c r="B257" s="60">
        <f>241.49/1.56</f>
        <v>154.80128205128204</v>
      </c>
      <c r="C257" s="88">
        <v>13</v>
      </c>
      <c r="D257" s="60">
        <f>77.87/1.56</f>
        <v>49.916666666666671</v>
      </c>
      <c r="E257" s="54"/>
      <c r="F257" s="54"/>
      <c r="G257" s="54"/>
      <c r="H257" s="54"/>
      <c r="I257" s="53">
        <f t="shared" si="9"/>
        <v>2.3349358974358978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x14ac:dyDescent="0.25">
      <c r="A258" s="50">
        <v>131</v>
      </c>
      <c r="B258" s="50">
        <f>173.02/1.56</f>
        <v>110.91025641025641</v>
      </c>
      <c r="C258" s="50">
        <v>14</v>
      </c>
      <c r="D258" s="50">
        <f>173.02/1.56</f>
        <v>110.91025641025641</v>
      </c>
      <c r="E258" s="54"/>
      <c r="F258" s="54"/>
      <c r="G258" s="54"/>
      <c r="H258" s="54"/>
      <c r="I258" s="53">
        <f t="shared" si="9"/>
        <v>1.5064102564102591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x14ac:dyDescent="0.25">
      <c r="A259" s="50"/>
      <c r="B259" s="50"/>
      <c r="C259" s="50"/>
      <c r="D259" s="50"/>
      <c r="E259" s="54"/>
      <c r="F259" s="54"/>
      <c r="G259" s="54"/>
      <c r="H259" s="54"/>
      <c r="I259" s="53" t="str">
        <f t="shared" si="9"/>
        <v/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x14ac:dyDescent="0.25">
      <c r="A260" s="50"/>
      <c r="B260" s="50"/>
      <c r="C260" s="50"/>
      <c r="D260" s="50"/>
      <c r="E260" s="54"/>
      <c r="F260" s="54"/>
      <c r="G260" s="54"/>
      <c r="H260" s="54"/>
      <c r="I260" s="53" t="str">
        <f t="shared" si="9"/>
        <v/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x14ac:dyDescent="0.25">
      <c r="A261" s="50"/>
      <c r="B261" s="50"/>
      <c r="C261" s="50"/>
      <c r="D261" s="50"/>
      <c r="E261" s="54"/>
      <c r="F261" s="54"/>
      <c r="G261" s="54"/>
      <c r="H261" s="54"/>
      <c r="I261" s="53" t="str">
        <f t="shared" si="9"/>
        <v/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x14ac:dyDescent="0.25">
      <c r="A262" s="50"/>
      <c r="B262" s="50"/>
      <c r="C262" s="50"/>
      <c r="D262" s="50"/>
      <c r="E262" s="54"/>
      <c r="F262" s="54"/>
      <c r="G262" s="54"/>
      <c r="H262" s="54"/>
      <c r="I262" s="53" t="str">
        <f t="shared" si="9"/>
        <v/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x14ac:dyDescent="0.25">
      <c r="A263" s="50"/>
      <c r="B263" s="50"/>
      <c r="C263" s="50"/>
      <c r="D263" s="50"/>
      <c r="E263" s="54"/>
      <c r="F263" s="54"/>
      <c r="G263" s="54"/>
      <c r="H263" s="54"/>
      <c r="I263" s="53" t="str">
        <f t="shared" si="9"/>
        <v/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x14ac:dyDescent="0.25">
      <c r="A264" s="4"/>
      <c r="B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x14ac:dyDescent="0.25">
      <c r="A265" s="4"/>
      <c r="B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x14ac:dyDescent="0.25">
      <c r="A266" s="46" t="s">
        <v>174</v>
      </c>
      <c r="B266" s="52" t="str">
        <f>IF(B18="","",B18)</f>
        <v>Cormier</v>
      </c>
      <c r="D266" s="229" t="s">
        <v>307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x14ac:dyDescent="0.25">
      <c r="A267" s="46"/>
      <c r="B267" s="96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x14ac:dyDescent="0.25">
      <c r="A268" s="4"/>
      <c r="B268" s="85" t="s">
        <v>185</v>
      </c>
      <c r="C268" s="258" t="s">
        <v>186</v>
      </c>
      <c r="D268" s="258"/>
      <c r="E268" s="259" t="s">
        <v>187</v>
      </c>
      <c r="F268" s="260"/>
      <c r="G268" s="260"/>
      <c r="H268" s="261"/>
      <c r="I268" s="95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45" x14ac:dyDescent="0.25">
      <c r="A269" s="36" t="s">
        <v>180</v>
      </c>
      <c r="B269" s="36" t="s">
        <v>189</v>
      </c>
      <c r="C269" s="48" t="s">
        <v>188</v>
      </c>
      <c r="D269" s="48" t="s">
        <v>251</v>
      </c>
      <c r="E269" s="36" t="s">
        <v>183</v>
      </c>
      <c r="F269" s="36" t="s">
        <v>181</v>
      </c>
      <c r="G269" s="36" t="s">
        <v>184</v>
      </c>
      <c r="H269" s="36" t="s">
        <v>182</v>
      </c>
      <c r="I269" s="48" t="s">
        <v>213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x14ac:dyDescent="0.25">
      <c r="A270" s="50">
        <v>30</v>
      </c>
      <c r="B270" s="60">
        <f>190.14/1.56</f>
        <v>121.88461538461537</v>
      </c>
      <c r="C270" s="50"/>
      <c r="D270" s="60"/>
      <c r="E270" s="51"/>
      <c r="F270" s="51"/>
      <c r="G270" s="51"/>
      <c r="H270" s="51"/>
      <c r="I270" s="53">
        <f>IFERROR(B270/A270,"")</f>
        <v>4.0628205128205126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x14ac:dyDescent="0.25">
      <c r="A271" s="50">
        <v>35</v>
      </c>
      <c r="B271" s="60">
        <f>252.98/1.56</f>
        <v>162.16666666666666</v>
      </c>
      <c r="C271" s="50">
        <v>1</v>
      </c>
      <c r="D271" s="60">
        <f>94.54/1.56</f>
        <v>60.602564102564102</v>
      </c>
      <c r="E271" s="51"/>
      <c r="F271" s="51"/>
      <c r="G271" s="51"/>
      <c r="H271" s="51"/>
      <c r="I271" s="53">
        <f>IF(A271&lt;&gt;0,(B271-(B270-D270))/(A271-A270),"")</f>
        <v>8.0564102564102562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x14ac:dyDescent="0.25">
      <c r="A272" s="50">
        <v>41</v>
      </c>
      <c r="B272" s="60">
        <f>245.62/1.56</f>
        <v>157.44871794871796</v>
      </c>
      <c r="C272" s="50">
        <v>2</v>
      </c>
      <c r="D272" s="60">
        <f>60.08/1.56</f>
        <v>38.512820512820511</v>
      </c>
      <c r="E272" s="51"/>
      <c r="F272" s="51"/>
      <c r="G272" s="51"/>
      <c r="H272" s="51"/>
      <c r="I272" s="53">
        <f t="shared" ref="I272:I289" si="10">IF(A272&lt;&gt;0,(B272-(B271-D271))/(A272-A271),"")</f>
        <v>9.3141025641025674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x14ac:dyDescent="0.25">
      <c r="A273" s="50">
        <v>48</v>
      </c>
      <c r="B273" s="60">
        <f>287.59/1.56</f>
        <v>184.35256410256409</v>
      </c>
      <c r="C273" s="50">
        <v>3</v>
      </c>
      <c r="D273" s="60">
        <f>74.92/1.56</f>
        <v>48.025641025641022</v>
      </c>
      <c r="E273" s="51"/>
      <c r="F273" s="51"/>
      <c r="G273" s="51"/>
      <c r="H273" s="51"/>
      <c r="I273" s="53">
        <f t="shared" si="10"/>
        <v>9.3452380952380913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x14ac:dyDescent="0.25">
      <c r="A274" s="50">
        <v>55</v>
      </c>
      <c r="B274" s="60">
        <f>309.57/1.56</f>
        <v>198.44230769230768</v>
      </c>
      <c r="C274" s="50">
        <v>4</v>
      </c>
      <c r="D274" s="60">
        <f>70.43/1.56</f>
        <v>45.147435897435898</v>
      </c>
      <c r="E274" s="51"/>
      <c r="F274" s="51"/>
      <c r="G274" s="51"/>
      <c r="H274" s="51"/>
      <c r="I274" s="53">
        <f t="shared" si="10"/>
        <v>8.8736263736263741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x14ac:dyDescent="0.25">
      <c r="A275" s="50">
        <v>63</v>
      </c>
      <c r="B275" s="60">
        <f>343.65/1.56</f>
        <v>220.28846153846152</v>
      </c>
      <c r="C275" s="50">
        <v>5</v>
      </c>
      <c r="D275" s="60">
        <f>65.09/1.56</f>
        <v>41.724358974358978</v>
      </c>
      <c r="E275" s="63"/>
      <c r="F275" s="63"/>
      <c r="G275" s="63"/>
      <c r="H275" s="63"/>
      <c r="I275" s="53">
        <f t="shared" si="10"/>
        <v>8.374198717948719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x14ac:dyDescent="0.25">
      <c r="A276" s="50">
        <v>71</v>
      </c>
      <c r="B276" s="60">
        <f>379.65/1.56</f>
        <v>243.36538461538458</v>
      </c>
      <c r="C276" s="50">
        <v>6</v>
      </c>
      <c r="D276" s="60">
        <f>62.3/1.56</f>
        <v>39.935897435897431</v>
      </c>
      <c r="E276" s="63"/>
      <c r="F276" s="63"/>
      <c r="G276" s="63"/>
      <c r="H276" s="63"/>
      <c r="I276" s="53">
        <f t="shared" si="10"/>
        <v>8.1001602564102555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x14ac:dyDescent="0.25">
      <c r="A277" s="55">
        <v>80</v>
      </c>
      <c r="B277" s="55">
        <f>427.46/1.56</f>
        <v>274.0128205128205</v>
      </c>
      <c r="C277" s="55">
        <v>7</v>
      </c>
      <c r="D277" s="55">
        <f>71.15/1.56</f>
        <v>45.608974358974358</v>
      </c>
      <c r="E277" s="63"/>
      <c r="F277" s="63"/>
      <c r="G277" s="63"/>
      <c r="H277" s="63"/>
      <c r="I277" s="53">
        <f t="shared" si="10"/>
        <v>7.8425925925925934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x14ac:dyDescent="0.25">
      <c r="A278" s="55">
        <v>89</v>
      </c>
      <c r="B278" s="55">
        <f>461.54/1.56</f>
        <v>295.85897435897436</v>
      </c>
      <c r="C278" s="55">
        <v>8</v>
      </c>
      <c r="D278" s="55">
        <f>77.05/1.56</f>
        <v>49.391025641025635</v>
      </c>
      <c r="E278" s="63"/>
      <c r="F278" s="63"/>
      <c r="G278" s="63"/>
      <c r="H278" s="63"/>
      <c r="I278" s="53">
        <f t="shared" si="10"/>
        <v>7.4950142450142483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x14ac:dyDescent="0.25">
      <c r="A279" s="55">
        <v>99</v>
      </c>
      <c r="B279" s="55">
        <f>496.47/1.56</f>
        <v>318.25</v>
      </c>
      <c r="C279" s="55">
        <v>9</v>
      </c>
      <c r="D279" s="55">
        <f>74.91/1.56</f>
        <v>48.019230769230766</v>
      </c>
      <c r="E279" s="63"/>
      <c r="F279" s="63"/>
      <c r="G279" s="63"/>
      <c r="H279" s="63"/>
      <c r="I279" s="53">
        <f t="shared" si="10"/>
        <v>7.1782051282051267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x14ac:dyDescent="0.25">
      <c r="A280" s="55">
        <v>109</v>
      </c>
      <c r="B280" s="55">
        <f>530.66/1.56</f>
        <v>340.16666666666663</v>
      </c>
      <c r="C280" s="55">
        <v>10</v>
      </c>
      <c r="D280" s="55">
        <f>80.01/1.56</f>
        <v>51.28846153846154</v>
      </c>
      <c r="E280" s="63"/>
      <c r="F280" s="63"/>
      <c r="G280" s="63"/>
      <c r="H280" s="63"/>
      <c r="I280" s="53">
        <f t="shared" si="10"/>
        <v>6.9935897435897401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x14ac:dyDescent="0.25">
      <c r="A281" s="55">
        <v>119</v>
      </c>
      <c r="B281" s="55">
        <f>557.45/1.56</f>
        <v>357.33974358974359</v>
      </c>
      <c r="C281" s="55">
        <v>11</v>
      </c>
      <c r="D281" s="55">
        <f>234.04/1.56</f>
        <v>150.02564102564102</v>
      </c>
      <c r="E281" s="63"/>
      <c r="F281" s="63"/>
      <c r="G281" s="63"/>
      <c r="H281" s="63"/>
      <c r="I281" s="53">
        <f t="shared" si="10"/>
        <v>6.8461538461538511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x14ac:dyDescent="0.25">
      <c r="A282" s="55">
        <v>123</v>
      </c>
      <c r="B282" s="55">
        <f>347.31/1.56</f>
        <v>222.63461538461539</v>
      </c>
      <c r="C282" s="55">
        <v>12</v>
      </c>
      <c r="D282" s="55">
        <f>120.39/1.56</f>
        <v>77.17307692307692</v>
      </c>
      <c r="E282" s="64"/>
      <c r="F282" s="64"/>
      <c r="G282" s="64"/>
      <c r="H282" s="64"/>
      <c r="I282" s="53">
        <f t="shared" si="10"/>
        <v>3.8301282051282044</v>
      </c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x14ac:dyDescent="0.25">
      <c r="A283" s="88">
        <v>127</v>
      </c>
      <c r="B283" s="60">
        <f>241.49/1.56</f>
        <v>154.80128205128204</v>
      </c>
      <c r="C283" s="88">
        <v>13</v>
      </c>
      <c r="D283" s="60">
        <f>77.87/1.56</f>
        <v>49.916666666666671</v>
      </c>
      <c r="E283" s="54"/>
      <c r="F283" s="54"/>
      <c r="G283" s="54"/>
      <c r="H283" s="54"/>
      <c r="I283" s="53">
        <f t="shared" si="10"/>
        <v>2.3349358974358978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x14ac:dyDescent="0.25">
      <c r="A284" s="50">
        <v>131</v>
      </c>
      <c r="B284" s="50">
        <f>173.02/1.56</f>
        <v>110.91025641025641</v>
      </c>
      <c r="C284" s="50">
        <v>14</v>
      </c>
      <c r="D284" s="50">
        <f>173.02/1.56</f>
        <v>110.91025641025641</v>
      </c>
      <c r="E284" s="51"/>
      <c r="F284" s="51"/>
      <c r="G284" s="51"/>
      <c r="H284" s="51"/>
      <c r="I284" s="53">
        <f t="shared" si="10"/>
        <v>1.5064102564102591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x14ac:dyDescent="0.25">
      <c r="A285" s="50"/>
      <c r="B285" s="50"/>
      <c r="C285" s="50"/>
      <c r="D285" s="50"/>
      <c r="E285" s="51"/>
      <c r="F285" s="51"/>
      <c r="G285" s="51"/>
      <c r="H285" s="51"/>
      <c r="I285" s="53" t="str">
        <f t="shared" si="10"/>
        <v/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x14ac:dyDescent="0.25">
      <c r="A286" s="50"/>
      <c r="B286" s="50"/>
      <c r="C286" s="50"/>
      <c r="D286" s="50"/>
      <c r="E286" s="51"/>
      <c r="F286" s="51"/>
      <c r="G286" s="51"/>
      <c r="H286" s="51"/>
      <c r="I286" s="53" t="str">
        <f t="shared" si="10"/>
        <v/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x14ac:dyDescent="0.25">
      <c r="A287" s="50"/>
      <c r="B287" s="50"/>
      <c r="C287" s="50"/>
      <c r="D287" s="50"/>
      <c r="E287" s="51"/>
      <c r="F287" s="51"/>
      <c r="G287" s="51"/>
      <c r="H287" s="51"/>
      <c r="I287" s="53" t="str">
        <f t="shared" si="10"/>
        <v/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x14ac:dyDescent="0.25">
      <c r="A288" s="50"/>
      <c r="B288" s="50"/>
      <c r="C288" s="50"/>
      <c r="D288" s="50"/>
      <c r="E288" s="51"/>
      <c r="F288" s="51"/>
      <c r="G288" s="51"/>
      <c r="H288" s="51"/>
      <c r="I288" s="53" t="str">
        <f t="shared" si="10"/>
        <v/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x14ac:dyDescent="0.25">
      <c r="A289" s="50"/>
      <c r="B289" s="50"/>
      <c r="C289" s="50"/>
      <c r="D289" s="50"/>
      <c r="E289" s="51"/>
      <c r="F289" s="51"/>
      <c r="G289" s="51"/>
      <c r="H289" s="51"/>
      <c r="I289" s="53" t="str">
        <f t="shared" si="10"/>
        <v/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x14ac:dyDescent="0.25">
      <c r="A290" s="4"/>
      <c r="B290" s="4"/>
      <c r="C290" s="4"/>
      <c r="D290" s="4"/>
      <c r="E290" s="4"/>
      <c r="F290" s="4"/>
      <c r="G290" s="4"/>
      <c r="H290" s="4"/>
      <c r="I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x14ac:dyDescent="0.25">
      <c r="A291" s="4"/>
      <c r="B291" s="4"/>
      <c r="C291" s="4"/>
      <c r="D291" s="4"/>
      <c r="E291" s="4"/>
      <c r="F291" s="4"/>
      <c r="G291" s="4"/>
      <c r="H291" s="4"/>
      <c r="I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x14ac:dyDescent="0.25">
      <c r="A292" s="4"/>
      <c r="B292" s="4"/>
      <c r="C292" s="4"/>
      <c r="D292" s="4"/>
      <c r="E292" s="4"/>
      <c r="F292" s="4"/>
      <c r="G292" s="4"/>
      <c r="H292" s="4"/>
      <c r="I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x14ac:dyDescent="0.25">
      <c r="A293" s="4"/>
      <c r="B293" s="4"/>
      <c r="C293" s="4"/>
      <c r="D293" s="4"/>
      <c r="E293" s="4"/>
      <c r="F293" s="4"/>
      <c r="G293" s="4"/>
      <c r="H293" s="4"/>
      <c r="I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x14ac:dyDescent="0.25">
      <c r="A294" s="4"/>
      <c r="B294" s="4"/>
      <c r="C294" s="4"/>
      <c r="D294" s="4"/>
      <c r="E294" s="4"/>
      <c r="F294" s="4"/>
      <c r="G294" s="4"/>
      <c r="H294" s="4"/>
      <c r="I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x14ac:dyDescent="0.25">
      <c r="A295" s="4"/>
      <c r="B295" s="4"/>
      <c r="C295" s="4"/>
      <c r="D295" s="4"/>
      <c r="E295" s="4"/>
      <c r="F295" s="4"/>
      <c r="G295" s="4"/>
      <c r="H295" s="4"/>
      <c r="I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x14ac:dyDescent="0.25">
      <c r="A296" s="4"/>
      <c r="B296" s="4"/>
      <c r="C296" s="4"/>
      <c r="D296" s="4"/>
      <c r="E296" s="4"/>
      <c r="F296" s="4"/>
      <c r="G296" s="4"/>
      <c r="H296" s="4"/>
      <c r="I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x14ac:dyDescent="0.25">
      <c r="A297" s="4"/>
      <c r="B297" s="4"/>
      <c r="C297" s="4"/>
      <c r="D297" s="4"/>
      <c r="E297" s="4"/>
      <c r="F297" s="4"/>
      <c r="G297" s="4"/>
      <c r="H297" s="4"/>
      <c r="I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x14ac:dyDescent="0.25">
      <c r="A298" s="4"/>
      <c r="B298" s="4"/>
      <c r="C298" s="4"/>
      <c r="D298" s="4"/>
      <c r="E298" s="4"/>
      <c r="F298" s="4"/>
      <c r="G298" s="4"/>
      <c r="H298" s="4"/>
      <c r="I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</row>
    <row r="299" spans="1:41" x14ac:dyDescent="0.25">
      <c r="A299" s="4"/>
      <c r="B299" s="4"/>
      <c r="C299" s="4"/>
      <c r="D299" s="4"/>
      <c r="E299" s="4"/>
      <c r="F299" s="4"/>
      <c r="G299" s="4"/>
      <c r="H299" s="4"/>
      <c r="I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</row>
    <row r="300" spans="1:41" x14ac:dyDescent="0.25">
      <c r="A300" s="4"/>
      <c r="B300" s="4"/>
      <c r="C300" s="4"/>
      <c r="D300" s="4"/>
      <c r="E300" s="4"/>
      <c r="F300" s="4"/>
      <c r="G300" s="4"/>
      <c r="H300" s="4"/>
      <c r="I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</row>
    <row r="301" spans="1:41" x14ac:dyDescent="0.25">
      <c r="A301" s="4"/>
      <c r="B301" s="4"/>
      <c r="C301" s="4"/>
      <c r="D301" s="4"/>
      <c r="E301" s="4"/>
      <c r="F301" s="4"/>
      <c r="G301" s="4"/>
      <c r="H301" s="4"/>
      <c r="I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41" x14ac:dyDescent="0.25">
      <c r="A302" s="4"/>
      <c r="B302" s="4"/>
      <c r="C302" s="4"/>
      <c r="D302" s="4"/>
      <c r="E302" s="4"/>
      <c r="F302" s="4"/>
      <c r="G302" s="4"/>
      <c r="H302" s="4"/>
      <c r="I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41" x14ac:dyDescent="0.25">
      <c r="A303" s="4"/>
      <c r="B303" s="4"/>
      <c r="C303" s="4"/>
      <c r="D303" s="4"/>
      <c r="E303" s="4"/>
      <c r="F303" s="4"/>
      <c r="G303" s="4"/>
      <c r="H303" s="4"/>
      <c r="I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41" x14ac:dyDescent="0.25">
      <c r="A304" s="4"/>
      <c r="B304" s="4"/>
      <c r="C304" s="4"/>
      <c r="D304" s="4"/>
      <c r="E304" s="4"/>
      <c r="F304" s="4"/>
      <c r="G304" s="4"/>
      <c r="H304" s="4"/>
      <c r="I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x14ac:dyDescent="0.25">
      <c r="A305" s="4"/>
      <c r="B305" s="4"/>
      <c r="C305" s="4"/>
      <c r="D305" s="4"/>
      <c r="E305" s="4"/>
      <c r="F305" s="4"/>
      <c r="G305" s="4"/>
      <c r="H305" s="4"/>
      <c r="I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</row>
    <row r="306" spans="1:37" x14ac:dyDescent="0.25">
      <c r="A306" s="4"/>
      <c r="B306" s="4"/>
      <c r="C306" s="4"/>
      <c r="D306" s="4"/>
      <c r="E306" s="4"/>
      <c r="F306" s="4"/>
      <c r="G306" s="4"/>
      <c r="H306" s="4"/>
      <c r="I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</row>
    <row r="307" spans="1:37" x14ac:dyDescent="0.25">
      <c r="A307" s="4"/>
      <c r="B307" s="4"/>
      <c r="C307" s="4"/>
      <c r="D307" s="4"/>
      <c r="E307" s="4"/>
      <c r="F307" s="4"/>
      <c r="G307" s="4"/>
      <c r="H307" s="4"/>
      <c r="I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</row>
    <row r="308" spans="1:37" x14ac:dyDescent="0.25">
      <c r="A308" s="4"/>
      <c r="B308" s="4"/>
      <c r="C308" s="4"/>
      <c r="D308" s="4"/>
      <c r="E308" s="4"/>
      <c r="F308" s="4"/>
      <c r="G308" s="4"/>
      <c r="H308" s="4"/>
      <c r="I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</row>
    <row r="309" spans="1:37" x14ac:dyDescent="0.25">
      <c r="A309" s="4"/>
      <c r="B309" s="4"/>
      <c r="C309" s="4"/>
      <c r="D309" s="4"/>
      <c r="E309" s="4"/>
      <c r="F309" s="4"/>
      <c r="G309" s="4"/>
      <c r="H309" s="4"/>
      <c r="I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</row>
    <row r="310" spans="1:37" x14ac:dyDescent="0.25">
      <c r="A310" s="4"/>
      <c r="B310" s="4"/>
      <c r="C310" s="4"/>
      <c r="D310" s="4"/>
      <c r="E310" s="4"/>
      <c r="F310" s="4"/>
      <c r="G310" s="4"/>
      <c r="H310" s="4"/>
      <c r="I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</row>
    <row r="311" spans="1:37" x14ac:dyDescent="0.25">
      <c r="A311" s="4"/>
      <c r="B311" s="4"/>
      <c r="C311" s="4"/>
      <c r="D311" s="4"/>
      <c r="E311" s="4"/>
      <c r="F311" s="4"/>
      <c r="G311" s="4"/>
      <c r="H311" s="4"/>
      <c r="I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</row>
    <row r="312" spans="1:37" x14ac:dyDescent="0.25">
      <c r="A312" s="4"/>
      <c r="B312" s="4"/>
      <c r="C312" s="4"/>
      <c r="D312" s="4"/>
      <c r="E312" s="4"/>
      <c r="F312" s="4"/>
      <c r="G312" s="4"/>
      <c r="H312" s="4"/>
      <c r="I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</row>
    <row r="313" spans="1:37" x14ac:dyDescent="0.25">
      <c r="A313" s="4"/>
      <c r="B313" s="4"/>
      <c r="C313" s="4"/>
      <c r="D313" s="4"/>
      <c r="E313" s="4"/>
      <c r="F313" s="4"/>
      <c r="G313" s="4"/>
      <c r="H313" s="4"/>
      <c r="I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1:37" x14ac:dyDescent="0.25">
      <c r="A314" s="4"/>
      <c r="B314" s="4"/>
      <c r="C314" s="4"/>
      <c r="D314" s="4"/>
      <c r="E314" s="4"/>
      <c r="F314" s="4"/>
      <c r="G314" s="4"/>
      <c r="H314" s="4"/>
      <c r="I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1:37" x14ac:dyDescent="0.25">
      <c r="A315" s="4"/>
      <c r="B315" s="4"/>
      <c r="C315" s="4"/>
      <c r="D315" s="4"/>
      <c r="E315" s="4"/>
      <c r="F315" s="4"/>
      <c r="G315" s="4"/>
      <c r="H315" s="4"/>
      <c r="I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1:37" x14ac:dyDescent="0.25">
      <c r="A316" s="4"/>
      <c r="B316" s="4"/>
      <c r="C316" s="4"/>
      <c r="D316" s="4"/>
      <c r="E316" s="4"/>
      <c r="F316" s="4"/>
      <c r="G316" s="4"/>
      <c r="H316" s="4"/>
      <c r="I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1:37" x14ac:dyDescent="0.25">
      <c r="A317" s="4"/>
      <c r="B317" s="4"/>
      <c r="C317" s="4"/>
      <c r="D317" s="4"/>
      <c r="E317" s="4"/>
      <c r="F317" s="4"/>
      <c r="G317" s="4"/>
      <c r="H317" s="4"/>
      <c r="I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1:37" x14ac:dyDescent="0.25">
      <c r="A318" s="4"/>
      <c r="B318" s="4"/>
      <c r="C318" s="4"/>
      <c r="D318" s="4"/>
      <c r="E318" s="4"/>
      <c r="F318" s="4"/>
      <c r="G318" s="4"/>
      <c r="H318" s="4"/>
      <c r="I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x14ac:dyDescent="0.25">
      <c r="A319" s="4"/>
      <c r="B319" s="4"/>
      <c r="C319" s="4"/>
      <c r="D319" s="4"/>
      <c r="E319" s="4"/>
      <c r="F319" s="4"/>
      <c r="G319" s="4"/>
      <c r="H319" s="4"/>
      <c r="I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x14ac:dyDescent="0.25">
      <c r="I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9:37" x14ac:dyDescent="0.25">
      <c r="I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9:37" x14ac:dyDescent="0.25">
      <c r="I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9:37" x14ac:dyDescent="0.25">
      <c r="I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9:37" x14ac:dyDescent="0.25">
      <c r="I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9:37" x14ac:dyDescent="0.25"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9:37" x14ac:dyDescent="0.25"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9:37" x14ac:dyDescent="0.25"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9:37" x14ac:dyDescent="0.25"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9:37" x14ac:dyDescent="0.25"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9:37" x14ac:dyDescent="0.25"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9:37" x14ac:dyDescent="0.25"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9:37" x14ac:dyDescent="0.25"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</row>
    <row r="333" spans="9:37" x14ac:dyDescent="0.25"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</row>
    <row r="334" spans="9:37" x14ac:dyDescent="0.25"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</row>
    <row r="335" spans="9:37" x14ac:dyDescent="0.25"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</row>
    <row r="336" spans="9:37" x14ac:dyDescent="0.25"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</row>
    <row r="337" spans="9:37" x14ac:dyDescent="0.25"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</row>
    <row r="338" spans="9:37" x14ac:dyDescent="0.25"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9:37" x14ac:dyDescent="0.25"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9:37" x14ac:dyDescent="0.25"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</row>
    <row r="341" spans="9:37" x14ac:dyDescent="0.25"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</row>
    <row r="342" spans="9:37" x14ac:dyDescent="0.25"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</row>
    <row r="343" spans="9:37" x14ac:dyDescent="0.25"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</row>
    <row r="344" spans="9:37" x14ac:dyDescent="0.25"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</row>
    <row r="345" spans="9:37" x14ac:dyDescent="0.25"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</row>
    <row r="346" spans="9:37" x14ac:dyDescent="0.25"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</row>
    <row r="347" spans="9:37" x14ac:dyDescent="0.25"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</row>
    <row r="348" spans="9:37" x14ac:dyDescent="0.25"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</row>
    <row r="349" spans="9:37" x14ac:dyDescent="0.25"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</row>
    <row r="350" spans="9:37" x14ac:dyDescent="0.25"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</row>
    <row r="351" spans="9:37" x14ac:dyDescent="0.25"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</row>
    <row r="352" spans="9:37" x14ac:dyDescent="0.25"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</row>
    <row r="353" spans="9:37" x14ac:dyDescent="0.25"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</row>
    <row r="354" spans="9:37" x14ac:dyDescent="0.25"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</row>
    <row r="355" spans="9:37" x14ac:dyDescent="0.25"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</row>
    <row r="356" spans="9:37" x14ac:dyDescent="0.25"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</row>
    <row r="357" spans="9:37" x14ac:dyDescent="0.25"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</row>
    <row r="358" spans="9:37" x14ac:dyDescent="0.25"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</row>
    <row r="359" spans="9:37" x14ac:dyDescent="0.25"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</row>
    <row r="360" spans="9:37" x14ac:dyDescent="0.25"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</row>
    <row r="361" spans="9:37" x14ac:dyDescent="0.25"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</row>
    <row r="362" spans="9:37" x14ac:dyDescent="0.25"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</row>
    <row r="363" spans="9:37" x14ac:dyDescent="0.25"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</row>
    <row r="364" spans="9:37" x14ac:dyDescent="0.25"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</row>
    <row r="365" spans="9:37" x14ac:dyDescent="0.25"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</row>
    <row r="366" spans="9:37" x14ac:dyDescent="0.25"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</row>
    <row r="367" spans="9:37" x14ac:dyDescent="0.25"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</row>
    <row r="368" spans="9:37" x14ac:dyDescent="0.25"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</row>
    <row r="369" spans="9:37" x14ac:dyDescent="0.25"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</row>
    <row r="370" spans="9:37" x14ac:dyDescent="0.25"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</row>
    <row r="371" spans="9:37" x14ac:dyDescent="0.25"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</row>
    <row r="372" spans="9:37" x14ac:dyDescent="0.25"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</row>
    <row r="373" spans="9:37" x14ac:dyDescent="0.25"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</row>
    <row r="374" spans="9:37" x14ac:dyDescent="0.25"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</row>
    <row r="375" spans="9:37" x14ac:dyDescent="0.25"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</row>
    <row r="376" spans="9:37" x14ac:dyDescent="0.25"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</row>
    <row r="377" spans="9:37" x14ac:dyDescent="0.25"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</row>
    <row r="378" spans="9:37" x14ac:dyDescent="0.25"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</row>
    <row r="379" spans="9:37" x14ac:dyDescent="0.25"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</row>
    <row r="380" spans="9:37" x14ac:dyDescent="0.25"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</row>
    <row r="381" spans="9:37" x14ac:dyDescent="0.25"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</row>
    <row r="382" spans="9:37" x14ac:dyDescent="0.25"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</row>
    <row r="383" spans="9:37" x14ac:dyDescent="0.25"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</row>
    <row r="384" spans="9:37" x14ac:dyDescent="0.25"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</row>
    <row r="385" spans="9:37" x14ac:dyDescent="0.25"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</row>
    <row r="386" spans="9:37" x14ac:dyDescent="0.25"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</row>
    <row r="387" spans="9:37" x14ac:dyDescent="0.25"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</row>
    <row r="388" spans="9:37" x14ac:dyDescent="0.25"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</row>
    <row r="389" spans="9:37" x14ac:dyDescent="0.25"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</row>
    <row r="390" spans="9:37" x14ac:dyDescent="0.25"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</row>
    <row r="391" spans="9:37" x14ac:dyDescent="0.25"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</row>
    <row r="392" spans="9:37" x14ac:dyDescent="0.25"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</row>
    <row r="393" spans="9:37" x14ac:dyDescent="0.25"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</row>
    <row r="394" spans="9:37" x14ac:dyDescent="0.25"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</row>
    <row r="395" spans="9:37" x14ac:dyDescent="0.25"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</row>
    <row r="396" spans="9:37" x14ac:dyDescent="0.25"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</row>
    <row r="397" spans="9:37" x14ac:dyDescent="0.25"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</row>
    <row r="398" spans="9:37" x14ac:dyDescent="0.25"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</row>
    <row r="399" spans="9:37" x14ac:dyDescent="0.25"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</row>
    <row r="400" spans="9:37" x14ac:dyDescent="0.25"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</row>
    <row r="401" spans="9:37" x14ac:dyDescent="0.25"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</row>
    <row r="402" spans="9:37" x14ac:dyDescent="0.25"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</row>
    <row r="403" spans="9:37" x14ac:dyDescent="0.25"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</row>
    <row r="404" spans="9:37" x14ac:dyDescent="0.25"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</row>
    <row r="405" spans="9:37" x14ac:dyDescent="0.25"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</row>
    <row r="406" spans="9:37" x14ac:dyDescent="0.25"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</row>
    <row r="407" spans="9:37" x14ac:dyDescent="0.25"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</row>
    <row r="408" spans="9:37" x14ac:dyDescent="0.25"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</row>
    <row r="409" spans="9:37" x14ac:dyDescent="0.25"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</row>
    <row r="410" spans="9:37" x14ac:dyDescent="0.25"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</row>
    <row r="411" spans="9:37" x14ac:dyDescent="0.25"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</row>
    <row r="412" spans="9:37" x14ac:dyDescent="0.25"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</row>
    <row r="413" spans="9:37" x14ac:dyDescent="0.25"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</row>
    <row r="414" spans="9:37" x14ac:dyDescent="0.25"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</row>
    <row r="415" spans="9:37" x14ac:dyDescent="0.25"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</row>
    <row r="416" spans="9:37" x14ac:dyDescent="0.25"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</row>
    <row r="417" spans="9:37" x14ac:dyDescent="0.25"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</row>
    <row r="418" spans="9:37" x14ac:dyDescent="0.25"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</row>
    <row r="419" spans="9:37" x14ac:dyDescent="0.25"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</row>
    <row r="420" spans="9:37" x14ac:dyDescent="0.25"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</row>
    <row r="421" spans="9:37" x14ac:dyDescent="0.25"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</row>
    <row r="422" spans="9:37" x14ac:dyDescent="0.25"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</row>
    <row r="423" spans="9:37" x14ac:dyDescent="0.25"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</row>
    <row r="424" spans="9:37" x14ac:dyDescent="0.25"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</row>
    <row r="425" spans="9:37" x14ac:dyDescent="0.25"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</row>
    <row r="426" spans="9:37" x14ac:dyDescent="0.25"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</row>
    <row r="427" spans="9:37" x14ac:dyDescent="0.25"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</row>
  </sheetData>
  <sheetProtection algorithmName="SHA-512" hashValue="N4Um8kPFFRDoxMddpQ/vXNpGAQECiyQW5BIJV1xR0qwzZe8z8yI3qyhVJcnKNUtivnL90awXhpmgoqfyg7q+Dw==" saltValue="0Knu7AbAxT0JFMaZycyYgg==" spinCount="100000" sheet="1" objects="1" scenarios="1"/>
  <mergeCells count="27">
    <mergeCell ref="C138:D138"/>
    <mergeCell ref="E138:H138"/>
    <mergeCell ref="C242:D242"/>
    <mergeCell ref="E242:H242"/>
    <mergeCell ref="C268:D268"/>
    <mergeCell ref="E268:H268"/>
    <mergeCell ref="C164:D164"/>
    <mergeCell ref="E164:H164"/>
    <mergeCell ref="C190:D190"/>
    <mergeCell ref="E190:H190"/>
    <mergeCell ref="C216:D216"/>
    <mergeCell ref="E216:H216"/>
    <mergeCell ref="C1:E1"/>
    <mergeCell ref="C86:D86"/>
    <mergeCell ref="E86:H86"/>
    <mergeCell ref="C112:D112"/>
    <mergeCell ref="E112:H112"/>
    <mergeCell ref="B3:F3"/>
    <mergeCell ref="A22:B22"/>
    <mergeCell ref="C60:D60"/>
    <mergeCell ref="E60:H60"/>
    <mergeCell ref="C34:D34"/>
    <mergeCell ref="A7:B7"/>
    <mergeCell ref="A30:B30"/>
    <mergeCell ref="A5:B5"/>
    <mergeCell ref="E34:H34"/>
    <mergeCell ref="D5:E5"/>
  </mergeCells>
  <dataValidations count="3">
    <dataValidation type="list" allowBlank="1" showInputMessage="1" showErrorMessage="1" sqref="C24" xr:uid="{00000000-0002-0000-0100-000000000000}">
      <formula1>VAN</formula1>
    </dataValidation>
    <dataValidation type="list" allowBlank="1" showInputMessage="1" showErrorMessage="1" sqref="C26" xr:uid="{00000000-0002-0000-0100-000001000000}">
      <formula1>Incendie</formula1>
    </dataValidation>
    <dataValidation type="list" allowBlank="1" showInputMessage="1" showErrorMessage="1" sqref="C27" xr:uid="{00000000-0002-0000-0100-000002000000}">
      <formula1>Fertilité</formula1>
    </dataValidation>
  </dataValidations>
  <hyperlinks>
    <hyperlink ref="A9" location="'Données projet'!A44" tooltip="Table de production à compléter ci-dessous" display="Essence 1" xr:uid="{00000000-0004-0000-0100-000000000000}"/>
    <hyperlink ref="A10" location="'Données projet'!A70" tooltip="Table de production à compléter ci-dessous" display="Essence 2" xr:uid="{00000000-0004-0000-0100-000001000000}"/>
    <hyperlink ref="A11" location="'Données projet'!A96" tooltip="Table de production à compléter ci-dessous" display="Essence 3" xr:uid="{00000000-0004-0000-0100-000002000000}"/>
    <hyperlink ref="A12" location="'Données projet'!A122" tooltip="Table de production à compléter ci-dessous" display="Essence 4" xr:uid="{00000000-0004-0000-0100-000003000000}"/>
    <hyperlink ref="A13" location="'Données projet'!A148" tooltip="Table de production à compléter ci-dessous" display="Essence 5" xr:uid="{00000000-0004-0000-0100-000004000000}"/>
    <hyperlink ref="A14" location="'Données projet'!A174" tooltip="Table de production à compléter ci-dessous" display="Essence 6" xr:uid="{00000000-0004-0000-0100-000005000000}"/>
    <hyperlink ref="A15" location="'Données projet'!A202" tooltip="Table de production à compléter ci-dessous" display="Essence 7" xr:uid="{00000000-0004-0000-0100-000006000000}"/>
    <hyperlink ref="A16" location="'Données projet'!A228" tooltip="Table de production à compléter ci-dessous" display="Essence 8" xr:uid="{00000000-0004-0000-0100-000007000000}"/>
    <hyperlink ref="A17" location="'Données projet'!A254" tooltip="Table de production à compléter ci-dessous" display="Essence 9" xr:uid="{00000000-0004-0000-0100-000008000000}"/>
    <hyperlink ref="A18" location="'Données projet'!A280" tooltip="Table de production à compléter ci-dessous" display="Essence 10" xr:uid="{00000000-0004-0000-0100-000009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3000000}">
          <x14:formula1>
            <xm:f>Paramètres!$A$2:$A$87</xm:f>
          </x14:formula1>
          <xm:sqref>B9:B18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L163"/>
  <sheetViews>
    <sheetView zoomScaleNormal="100" workbookViewId="0">
      <selection activeCell="G21" sqref="G21"/>
    </sheetView>
  </sheetViews>
  <sheetFormatPr baseColWidth="10" defaultColWidth="11.42578125" defaultRowHeight="15" x14ac:dyDescent="0.25"/>
  <cols>
    <col min="1" max="1" width="5.85546875" style="1" customWidth="1"/>
    <col min="2" max="2" width="14.140625" style="1" customWidth="1"/>
    <col min="3" max="3" width="62.140625" style="1" customWidth="1"/>
    <col min="4" max="5" width="4.28515625" style="1" customWidth="1"/>
    <col min="6" max="6" width="14.28515625" style="1" customWidth="1"/>
    <col min="7" max="7" width="73.28515625" style="1" bestFit="1" customWidth="1"/>
    <col min="8" max="10" width="11.42578125" style="1"/>
    <col min="11" max="11" width="12.5703125" style="1" customWidth="1"/>
    <col min="12" max="16384" width="11.42578125" style="1"/>
  </cols>
  <sheetData>
    <row r="1" spans="1:38" ht="15.75" thickBot="1" x14ac:dyDescent="0.3">
      <c r="A1" s="4"/>
      <c r="B1" s="4"/>
      <c r="C1" s="4"/>
      <c r="D1" s="4"/>
      <c r="E1" s="4"/>
      <c r="F1" s="4"/>
      <c r="G1" s="4"/>
      <c r="H1" s="4"/>
      <c r="I1" s="4"/>
      <c r="J1" s="97"/>
      <c r="K1" s="97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spans="1:38" ht="27" thickBot="1" x14ac:dyDescent="0.45">
      <c r="A2" s="4"/>
      <c r="B2" s="272" t="s">
        <v>191</v>
      </c>
      <c r="C2" s="273"/>
      <c r="D2" s="273"/>
      <c r="E2" s="273"/>
      <c r="F2" s="273"/>
      <c r="G2" s="274"/>
      <c r="H2" s="23"/>
      <c r="I2" s="23"/>
      <c r="J2" s="23"/>
      <c r="K2" s="2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38" x14ac:dyDescent="0.25">
      <c r="A3" s="4"/>
      <c r="B3" s="4"/>
      <c r="C3" s="4"/>
      <c r="D3" s="4"/>
      <c r="E3" s="4"/>
      <c r="F3" s="4"/>
      <c r="G3" s="4"/>
      <c r="H3" s="23"/>
      <c r="I3" s="23"/>
      <c r="J3" s="23"/>
      <c r="K3" s="2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38" x14ac:dyDescent="0.25">
      <c r="A4" s="4"/>
      <c r="B4" s="271"/>
      <c r="C4" s="271"/>
      <c r="D4" s="271"/>
      <c r="E4" s="271"/>
      <c r="F4" s="271"/>
      <c r="G4" s="271"/>
      <c r="H4" s="23"/>
      <c r="I4" s="23"/>
      <c r="J4" s="23"/>
      <c r="K4" s="2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38" x14ac:dyDescent="0.25">
      <c r="A5" s="4"/>
      <c r="B5" s="98" t="s">
        <v>296</v>
      </c>
      <c r="C5" s="98"/>
      <c r="D5" s="4"/>
      <c r="E5" s="4"/>
      <c r="F5" s="4"/>
      <c r="G5" s="4"/>
      <c r="H5" s="23"/>
      <c r="I5" s="23"/>
      <c r="J5" s="23"/>
      <c r="K5" s="2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38" x14ac:dyDescent="0.25">
      <c r="A6" s="23"/>
      <c r="B6" s="217"/>
      <c r="C6" s="217"/>
      <c r="D6" s="23"/>
      <c r="E6" s="23"/>
      <c r="F6" s="23"/>
      <c r="G6" s="23"/>
      <c r="H6" s="23"/>
      <c r="I6" s="23"/>
      <c r="J6" s="23"/>
      <c r="K6" s="2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s="3" customFormat="1" ht="19.5" customHeight="1" x14ac:dyDescent="0.25">
      <c r="A7" s="99"/>
      <c r="B7" s="26" t="s">
        <v>295</v>
      </c>
      <c r="C7" s="100" t="s">
        <v>214</v>
      </c>
      <c r="D7" s="215"/>
      <c r="E7" s="101"/>
      <c r="F7" s="26" t="s">
        <v>295</v>
      </c>
      <c r="G7" s="100" t="s">
        <v>215</v>
      </c>
      <c r="H7" s="216"/>
      <c r="I7" s="216"/>
      <c r="J7" s="216"/>
      <c r="K7" s="216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</row>
    <row r="8" spans="1:38" ht="17.25" customHeight="1" x14ac:dyDescent="0.25">
      <c r="A8" s="105">
        <v>1</v>
      </c>
      <c r="B8" s="61">
        <v>0</v>
      </c>
      <c r="C8" s="49" t="s">
        <v>177</v>
      </c>
      <c r="D8" s="23"/>
      <c r="E8" s="105">
        <v>4</v>
      </c>
      <c r="F8" s="61">
        <v>1</v>
      </c>
      <c r="G8" s="102" t="s">
        <v>211</v>
      </c>
      <c r="H8" s="23"/>
      <c r="I8" s="23"/>
      <c r="J8" s="23"/>
      <c r="K8" s="23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8" ht="17.25" customHeight="1" x14ac:dyDescent="0.25">
      <c r="A9" s="105">
        <v>2</v>
      </c>
      <c r="B9" s="61">
        <v>0</v>
      </c>
      <c r="C9" s="108" t="s">
        <v>216</v>
      </c>
      <c r="D9" s="23"/>
      <c r="E9" s="105">
        <v>5</v>
      </c>
      <c r="F9" s="61">
        <v>0</v>
      </c>
      <c r="G9" s="103" t="s">
        <v>212</v>
      </c>
      <c r="H9" s="23"/>
      <c r="I9" s="23"/>
      <c r="J9" s="23"/>
      <c r="K9" s="2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8" ht="17.25" customHeight="1" x14ac:dyDescent="0.25">
      <c r="A10" s="105">
        <v>3</v>
      </c>
      <c r="B10" s="61">
        <v>0</v>
      </c>
      <c r="C10" s="109" t="s">
        <v>217</v>
      </c>
      <c r="D10" s="23"/>
      <c r="E10" s="4"/>
      <c r="F10" s="106">
        <f>SUM(F7:F9)</f>
        <v>1</v>
      </c>
      <c r="G10" s="104" t="str">
        <f>IF(OR(SUM(F8:F9)=0%,SUM(F8:F9)=100%),"OK","ERREUR : corrigez")</f>
        <v>OK</v>
      </c>
      <c r="H10" s="23"/>
      <c r="I10" s="23"/>
      <c r="J10" s="23"/>
      <c r="K10" s="2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8" x14ac:dyDescent="0.25">
      <c r="A11" s="23"/>
      <c r="B11" s="106">
        <v>0</v>
      </c>
      <c r="C11" s="104" t="str">
        <f>IF(OR(SUM(B8:B10)=100%,SUM(B8:B10)=0%),"OK","ERREUR : corrigez")</f>
        <v>OK</v>
      </c>
      <c r="D11" s="23"/>
      <c r="E11" s="4"/>
      <c r="F11" s="23"/>
      <c r="G11" s="23"/>
      <c r="H11" s="23"/>
      <c r="I11" s="23"/>
      <c r="J11" s="23"/>
      <c r="K11" s="23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8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8" s="3" customFormat="1" ht="21" customHeight="1" x14ac:dyDescent="0.25">
      <c r="A13" s="216"/>
      <c r="B13" s="107"/>
      <c r="C13" s="98" t="s">
        <v>273</v>
      </c>
      <c r="D13" s="216"/>
      <c r="E13" s="99"/>
      <c r="F13" s="107"/>
      <c r="G13" s="98" t="s">
        <v>301</v>
      </c>
      <c r="H13" s="216"/>
      <c r="I13" s="216"/>
      <c r="J13" s="216"/>
      <c r="K13" s="216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</row>
    <row r="14" spans="1:38" s="3" customFormat="1" ht="21" customHeight="1" x14ac:dyDescent="0.25">
      <c r="A14" s="216"/>
      <c r="B14" s="107"/>
      <c r="C14" s="98" t="s">
        <v>309</v>
      </c>
      <c r="D14" s="216"/>
      <c r="E14" s="99"/>
      <c r="F14" s="107"/>
      <c r="G14" s="98" t="s">
        <v>294</v>
      </c>
      <c r="H14" s="216"/>
      <c r="I14" s="216"/>
      <c r="J14" s="216"/>
      <c r="K14" s="216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</row>
    <row r="15" spans="1:38" x14ac:dyDescent="0.25">
      <c r="A15" s="23"/>
      <c r="B15" s="26" t="s">
        <v>295</v>
      </c>
      <c r="C15" s="4"/>
      <c r="D15" s="23"/>
      <c r="E15" s="4"/>
      <c r="F15" s="4"/>
      <c r="G15" s="2" t="s">
        <v>149</v>
      </c>
      <c r="H15" s="23"/>
      <c r="I15" s="23"/>
      <c r="J15" s="23"/>
      <c r="K15" s="23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8" x14ac:dyDescent="0.25">
      <c r="A16" s="23"/>
      <c r="B16" s="61">
        <v>0</v>
      </c>
      <c r="C16" s="110" t="s">
        <v>208</v>
      </c>
      <c r="D16" s="23"/>
      <c r="E16" s="4"/>
      <c r="F16" s="23"/>
      <c r="G16" s="23"/>
      <c r="H16" s="23"/>
      <c r="I16" s="23"/>
      <c r="J16" s="23"/>
      <c r="K16" s="2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x14ac:dyDescent="0.25">
      <c r="A17" s="23"/>
      <c r="B17" s="61">
        <v>0</v>
      </c>
      <c r="C17" s="110" t="s">
        <v>209</v>
      </c>
      <c r="D17" s="23"/>
      <c r="E17" s="4"/>
      <c r="F17" s="23"/>
      <c r="G17" s="23"/>
      <c r="H17" s="23"/>
      <c r="I17" s="23"/>
      <c r="J17" s="23"/>
      <c r="K17" s="23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x14ac:dyDescent="0.25">
      <c r="A18" s="23"/>
      <c r="B18" s="61">
        <v>0</v>
      </c>
      <c r="C18" s="110" t="s">
        <v>210</v>
      </c>
      <c r="D18" s="23"/>
      <c r="E18" s="4"/>
      <c r="F18" s="23"/>
      <c r="G18" s="23"/>
      <c r="H18" s="23"/>
      <c r="I18" s="23"/>
      <c r="J18" s="23"/>
      <c r="K18" s="23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x14ac:dyDescent="0.25">
      <c r="A19" s="23"/>
      <c r="B19" s="106">
        <f>SUM(B16:B18)</f>
        <v>0</v>
      </c>
      <c r="C19" s="104" t="str">
        <f>IF(SUM(B16:B18)=B8,"OK","ERREUR : corrigez ; le total n'est pas égal à celui de la cellule B8")</f>
        <v>OK</v>
      </c>
      <c r="D19" s="23"/>
      <c r="E19" s="4"/>
      <c r="F19" s="23"/>
      <c r="G19" s="23"/>
      <c r="H19" s="23"/>
      <c r="I19" s="23"/>
      <c r="J19" s="23"/>
      <c r="K19" s="23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x14ac:dyDescent="0.25">
      <c r="A20" s="23"/>
      <c r="B20" s="23"/>
      <c r="C20" s="23"/>
      <c r="D20" s="23"/>
      <c r="E20" s="4"/>
      <c r="F20" s="23"/>
      <c r="G20" s="23"/>
      <c r="H20" s="23"/>
      <c r="I20" s="23"/>
      <c r="J20" s="23"/>
      <c r="K20" s="23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x14ac:dyDescent="0.25">
      <c r="A21" s="23"/>
      <c r="B21" s="23"/>
      <c r="C21" s="23"/>
      <c r="D21" s="23"/>
      <c r="E21" s="4"/>
      <c r="F21" s="23"/>
      <c r="G21" s="23"/>
      <c r="H21" s="23"/>
      <c r="I21" s="23"/>
      <c r="J21" s="23"/>
      <c r="K21" s="23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x14ac:dyDescent="0.25">
      <c r="A22" s="23"/>
      <c r="B22" s="23"/>
      <c r="C22" s="23"/>
      <c r="D22" s="23"/>
      <c r="E22" s="4"/>
      <c r="F22" s="23"/>
      <c r="G22" s="23"/>
      <c r="H22" s="23"/>
      <c r="I22" s="23"/>
      <c r="J22" s="23"/>
      <c r="K22" s="23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x14ac:dyDescent="0.25">
      <c r="A23" s="4"/>
      <c r="B23" s="23"/>
      <c r="C23" s="23"/>
      <c r="D23" s="23"/>
      <c r="E23" s="4"/>
      <c r="F23" s="23"/>
      <c r="G23" s="23"/>
      <c r="H23" s="23"/>
      <c r="I23" s="23"/>
      <c r="J23" s="23"/>
      <c r="K23" s="23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x14ac:dyDescent="0.25">
      <c r="A24" s="4"/>
      <c r="B24" s="23"/>
      <c r="C24" s="23"/>
      <c r="D24" s="23"/>
      <c r="E24" s="4"/>
      <c r="F24" s="23"/>
      <c r="G24" s="23"/>
      <c r="H24" s="23"/>
      <c r="I24" s="23"/>
      <c r="J24" s="23"/>
      <c r="K24" s="23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x14ac:dyDescent="0.25">
      <c r="A25" s="4"/>
      <c r="B25" s="23"/>
      <c r="C25" s="23"/>
      <c r="D25" s="23"/>
      <c r="E25" s="4"/>
      <c r="F25" s="23"/>
      <c r="G25" s="23"/>
      <c r="H25" s="23"/>
      <c r="I25" s="23"/>
      <c r="J25" s="23"/>
      <c r="K25" s="2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x14ac:dyDescent="0.25">
      <c r="A26" s="4"/>
      <c r="B26" s="4"/>
      <c r="C26" s="4"/>
      <c r="D26" s="23"/>
      <c r="E26" s="4"/>
      <c r="F26" s="23"/>
      <c r="G26" s="23"/>
      <c r="H26" s="23"/>
      <c r="I26" s="23"/>
      <c r="J26" s="23"/>
      <c r="K26" s="23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x14ac:dyDescent="0.25">
      <c r="A27" s="4"/>
      <c r="B27" s="4"/>
      <c r="C27" s="4"/>
      <c r="D27" s="23"/>
      <c r="E27" s="4"/>
      <c r="F27" s="23"/>
      <c r="G27" s="23"/>
      <c r="H27" s="23"/>
      <c r="I27" s="23"/>
      <c r="J27" s="23"/>
      <c r="K27" s="23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x14ac:dyDescent="0.25">
      <c r="A28" s="4"/>
      <c r="B28" s="4"/>
      <c r="C28" s="4"/>
      <c r="D28" s="4"/>
      <c r="E28" s="4"/>
      <c r="F28" s="4"/>
      <c r="G28" s="4"/>
      <c r="H28" s="23"/>
      <c r="I28" s="23"/>
      <c r="J28" s="23"/>
      <c r="K28" s="23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1:3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1:3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pans="1:3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1:3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1:3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spans="1:3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1:3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3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3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3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1:3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1:3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1:3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1:3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1:3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1:3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1:3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1:3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1:3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1:3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1:3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spans="1:35" x14ac:dyDescent="0.2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spans="1:35" x14ac:dyDescent="0.2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spans="1:35" x14ac:dyDescent="0.2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spans="1:35" x14ac:dyDescent="0.2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spans="1:35" x14ac:dyDescent="0.2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spans="1:35" x14ac:dyDescent="0.2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spans="1:35" x14ac:dyDescent="0.25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spans="1:35" x14ac:dyDescent="0.2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spans="1:35" x14ac:dyDescent="0.25">
      <c r="C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spans="3:35" x14ac:dyDescent="0.25">
      <c r="C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spans="3:35" x14ac:dyDescent="0.25">
      <c r="C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spans="3:35" x14ac:dyDescent="0.25">
      <c r="C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spans="3:35" x14ac:dyDescent="0.25">
      <c r="C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spans="3:35" x14ac:dyDescent="0.25">
      <c r="C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spans="3:35" x14ac:dyDescent="0.25">
      <c r="C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spans="3:35" x14ac:dyDescent="0.25">
      <c r="C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spans="3:35" x14ac:dyDescent="0.25">
      <c r="C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spans="3:35" x14ac:dyDescent="0.25">
      <c r="C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spans="3:35" x14ac:dyDescent="0.25">
      <c r="C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spans="3:35" x14ac:dyDescent="0.25">
      <c r="C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spans="3:35" x14ac:dyDescent="0.25">
      <c r="C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spans="3:35" x14ac:dyDescent="0.25">
      <c r="C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spans="3:35" x14ac:dyDescent="0.25">
      <c r="C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spans="3:35" x14ac:dyDescent="0.25">
      <c r="C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spans="3:35" x14ac:dyDescent="0.25">
      <c r="C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 spans="3:35" x14ac:dyDescent="0.25">
      <c r="C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spans="3:35" x14ac:dyDescent="0.25">
      <c r="C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spans="3:35" x14ac:dyDescent="0.25">
      <c r="C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 spans="3:35" x14ac:dyDescent="0.25">
      <c r="C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 spans="3:35" x14ac:dyDescent="0.25">
      <c r="C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spans="3:35" x14ac:dyDescent="0.25">
      <c r="C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 spans="3:35" x14ac:dyDescent="0.25">
      <c r="C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 spans="3:35" x14ac:dyDescent="0.25">
      <c r="C104" s="4"/>
      <c r="F104" s="4"/>
    </row>
    <row r="105" spans="3:35" x14ac:dyDescent="0.25">
      <c r="C105" s="4"/>
      <c r="F105" s="4"/>
    </row>
    <row r="106" spans="3:35" x14ac:dyDescent="0.25">
      <c r="C106" s="4"/>
      <c r="F106" s="4"/>
    </row>
    <row r="107" spans="3:35" x14ac:dyDescent="0.25">
      <c r="C107" s="4"/>
      <c r="F107" s="4"/>
    </row>
    <row r="108" spans="3:35" x14ac:dyDescent="0.25">
      <c r="C108" s="4"/>
      <c r="F108" s="4"/>
    </row>
    <row r="109" spans="3:35" x14ac:dyDescent="0.25">
      <c r="C109" s="4"/>
      <c r="F109" s="4"/>
    </row>
    <row r="110" spans="3:35" x14ac:dyDescent="0.25">
      <c r="C110" s="4"/>
      <c r="F110" s="4"/>
    </row>
    <row r="111" spans="3:35" x14ac:dyDescent="0.25">
      <c r="C111" s="4"/>
      <c r="F111" s="4"/>
    </row>
    <row r="112" spans="3:35" x14ac:dyDescent="0.25">
      <c r="C112" s="4"/>
      <c r="F112" s="4"/>
    </row>
    <row r="113" spans="3:6" x14ac:dyDescent="0.25">
      <c r="C113" s="4"/>
      <c r="F113" s="4"/>
    </row>
    <row r="114" spans="3:6" x14ac:dyDescent="0.25">
      <c r="C114" s="4"/>
      <c r="F114" s="4"/>
    </row>
    <row r="115" spans="3:6" x14ac:dyDescent="0.25">
      <c r="C115" s="4"/>
      <c r="F115" s="4"/>
    </row>
    <row r="116" spans="3:6" x14ac:dyDescent="0.25">
      <c r="C116" s="4"/>
      <c r="F116" s="4"/>
    </row>
    <row r="117" spans="3:6" x14ac:dyDescent="0.25">
      <c r="C117" s="4"/>
      <c r="F117" s="4"/>
    </row>
    <row r="118" spans="3:6" x14ac:dyDescent="0.25">
      <c r="C118" s="4"/>
      <c r="F118" s="4"/>
    </row>
    <row r="119" spans="3:6" x14ac:dyDescent="0.25">
      <c r="C119" s="4"/>
      <c r="F119" s="4"/>
    </row>
    <row r="120" spans="3:6" x14ac:dyDescent="0.25">
      <c r="C120" s="4"/>
      <c r="F120" s="4"/>
    </row>
    <row r="121" spans="3:6" x14ac:dyDescent="0.25">
      <c r="C121" s="4"/>
      <c r="F121" s="4"/>
    </row>
    <row r="122" spans="3:6" x14ac:dyDescent="0.25">
      <c r="C122" s="4"/>
      <c r="F122" s="4"/>
    </row>
    <row r="123" spans="3:6" x14ac:dyDescent="0.25">
      <c r="C123" s="4"/>
      <c r="F123" s="4"/>
    </row>
    <row r="124" spans="3:6" x14ac:dyDescent="0.25">
      <c r="C124" s="4"/>
      <c r="F124" s="4"/>
    </row>
    <row r="125" spans="3:6" x14ac:dyDescent="0.25">
      <c r="C125" s="4"/>
      <c r="F125" s="4"/>
    </row>
    <row r="126" spans="3:6" x14ac:dyDescent="0.25">
      <c r="C126" s="4"/>
      <c r="F126" s="4"/>
    </row>
    <row r="127" spans="3:6" x14ac:dyDescent="0.25">
      <c r="C127" s="4"/>
      <c r="F127" s="4"/>
    </row>
    <row r="128" spans="3:6" x14ac:dyDescent="0.25">
      <c r="C128" s="4"/>
      <c r="F128" s="4"/>
    </row>
    <row r="129" spans="3:6" x14ac:dyDescent="0.25">
      <c r="C129" s="4"/>
      <c r="F129" s="4"/>
    </row>
    <row r="130" spans="3:6" x14ac:dyDescent="0.25">
      <c r="C130" s="4"/>
      <c r="F130" s="4"/>
    </row>
    <row r="131" spans="3:6" x14ac:dyDescent="0.25">
      <c r="C131" s="4"/>
      <c r="F131" s="4"/>
    </row>
    <row r="132" spans="3:6" x14ac:dyDescent="0.25">
      <c r="F132" s="4"/>
    </row>
    <row r="133" spans="3:6" x14ac:dyDescent="0.25">
      <c r="F133" s="4"/>
    </row>
    <row r="134" spans="3:6" x14ac:dyDescent="0.25">
      <c r="F134" s="4"/>
    </row>
    <row r="135" spans="3:6" x14ac:dyDescent="0.25">
      <c r="F135" s="4"/>
    </row>
    <row r="136" spans="3:6" x14ac:dyDescent="0.25">
      <c r="F136" s="4"/>
    </row>
    <row r="137" spans="3:6" x14ac:dyDescent="0.25">
      <c r="F137" s="4"/>
    </row>
    <row r="138" spans="3:6" x14ac:dyDescent="0.25">
      <c r="F138" s="4"/>
    </row>
    <row r="139" spans="3:6" x14ac:dyDescent="0.25">
      <c r="F139" s="4"/>
    </row>
    <row r="140" spans="3:6" x14ac:dyDescent="0.25">
      <c r="F140" s="4"/>
    </row>
    <row r="141" spans="3:6" x14ac:dyDescent="0.25">
      <c r="F141" s="4"/>
    </row>
    <row r="142" spans="3:6" x14ac:dyDescent="0.25">
      <c r="F142" s="4"/>
    </row>
    <row r="143" spans="3:6" x14ac:dyDescent="0.25">
      <c r="F143" s="4"/>
    </row>
    <row r="144" spans="3:6" x14ac:dyDescent="0.25">
      <c r="F144" s="4"/>
    </row>
    <row r="145" spans="6:6" x14ac:dyDescent="0.25">
      <c r="F145" s="4"/>
    </row>
    <row r="146" spans="6:6" x14ac:dyDescent="0.25">
      <c r="F146" s="4"/>
    </row>
    <row r="147" spans="6:6" x14ac:dyDescent="0.25">
      <c r="F147" s="4"/>
    </row>
    <row r="148" spans="6:6" x14ac:dyDescent="0.25">
      <c r="F148" s="4"/>
    </row>
    <row r="149" spans="6:6" x14ac:dyDescent="0.25">
      <c r="F149" s="4"/>
    </row>
    <row r="150" spans="6:6" x14ac:dyDescent="0.25">
      <c r="F150" s="4"/>
    </row>
    <row r="151" spans="6:6" x14ac:dyDescent="0.25">
      <c r="F151" s="4"/>
    </row>
    <row r="152" spans="6:6" x14ac:dyDescent="0.25">
      <c r="F152" s="4"/>
    </row>
    <row r="153" spans="6:6" x14ac:dyDescent="0.25">
      <c r="F153" s="4"/>
    </row>
    <row r="154" spans="6:6" x14ac:dyDescent="0.25">
      <c r="F154" s="4"/>
    </row>
    <row r="155" spans="6:6" x14ac:dyDescent="0.25">
      <c r="F155" s="4"/>
    </row>
    <row r="156" spans="6:6" x14ac:dyDescent="0.25">
      <c r="F156" s="4"/>
    </row>
    <row r="157" spans="6:6" x14ac:dyDescent="0.25">
      <c r="F157" s="4"/>
    </row>
    <row r="158" spans="6:6" x14ac:dyDescent="0.25">
      <c r="F158" s="4"/>
    </row>
    <row r="159" spans="6:6" x14ac:dyDescent="0.25">
      <c r="F159" s="4"/>
    </row>
    <row r="160" spans="6:6" x14ac:dyDescent="0.25">
      <c r="F160" s="4"/>
    </row>
    <row r="161" spans="6:6" x14ac:dyDescent="0.25">
      <c r="F161" s="4"/>
    </row>
    <row r="162" spans="6:6" x14ac:dyDescent="0.25">
      <c r="F162" s="4"/>
    </row>
    <row r="163" spans="6:6" x14ac:dyDescent="0.25">
      <c r="F163" s="4"/>
    </row>
  </sheetData>
  <sheetProtection algorithmName="SHA-512" hashValue="2TglvTi1h9A5JV7jOppHYUGxKxJfs/p/4X1ccEDK4mm/aqFlYXhV9O4vZrw05OJ3SBL0law4Sr5QHkOveQkqqg==" saltValue="mUDP+5v3xjUo3gMBIw8UzA==" spinCount="100000" sheet="1" objects="1" scenarios="1"/>
  <mergeCells count="2">
    <mergeCell ref="B4:G4"/>
    <mergeCell ref="B2:G2"/>
  </mergeCells>
  <dataValidations count="1">
    <dataValidation type="list" allowBlank="1" showInputMessage="1" showErrorMessage="1" sqref="G15" xr:uid="{00000000-0002-0000-0200-000000000000}">
      <formula1>Essences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HJ205"/>
  <sheetViews>
    <sheetView topLeftCell="AX1" zoomScaleNormal="100" workbookViewId="0">
      <selection activeCell="BP32" sqref="BP32"/>
    </sheetView>
  </sheetViews>
  <sheetFormatPr baseColWidth="10" defaultColWidth="11.42578125" defaultRowHeight="15" x14ac:dyDescent="0.25"/>
  <cols>
    <col min="1" max="1" width="6.85546875" style="4" bestFit="1" customWidth="1"/>
    <col min="2" max="4" width="11.42578125" style="4"/>
    <col min="5" max="5" width="9.5703125" style="4" customWidth="1"/>
    <col min="6" max="7" width="11.42578125" style="4"/>
    <col min="8" max="8" width="10.7109375" style="4" customWidth="1"/>
    <col min="9" max="9" width="9.42578125" style="4" customWidth="1"/>
    <col min="10" max="11" width="10.5703125" style="4" bestFit="1" customWidth="1"/>
    <col min="12" max="12" width="14" style="4" bestFit="1" customWidth="1"/>
    <col min="13" max="13" width="14" style="4" customWidth="1"/>
    <col min="14" max="23" width="11.42578125" style="4"/>
    <col min="24" max="24" width="11.7109375" style="4" bestFit="1" customWidth="1"/>
    <col min="25" max="25" width="14.5703125" style="4" bestFit="1" customWidth="1"/>
    <col min="26" max="26" width="12.42578125" style="4" bestFit="1" customWidth="1"/>
    <col min="27" max="27" width="9.7109375" style="4" bestFit="1" customWidth="1"/>
    <col min="28" max="28" width="11" style="4" bestFit="1" customWidth="1"/>
    <col min="29" max="29" width="9.42578125" style="4" bestFit="1" customWidth="1"/>
    <col min="30" max="31" width="9.42578125" style="4" customWidth="1"/>
    <col min="32" max="32" width="11.42578125" style="4"/>
    <col min="33" max="34" width="14" style="4" bestFit="1" customWidth="1"/>
    <col min="35" max="35" width="10.5703125" style="4" bestFit="1" customWidth="1"/>
    <col min="36" max="36" width="9.42578125" style="4" bestFit="1" customWidth="1"/>
    <col min="37" max="38" width="10.5703125" style="4" bestFit="1" customWidth="1"/>
    <col min="39" max="41" width="10.5703125" style="4" customWidth="1"/>
    <col min="42" max="42" width="9" style="4" bestFit="1" customWidth="1"/>
    <col min="43" max="43" width="10.5703125" style="4" bestFit="1" customWidth="1"/>
    <col min="44" max="44" width="9.28515625" style="4" bestFit="1" customWidth="1"/>
    <col min="45" max="45" width="11.7109375" style="4" bestFit="1" customWidth="1"/>
    <col min="46" max="46" width="8.42578125" style="4" bestFit="1" customWidth="1"/>
    <col min="47" max="47" width="9.42578125" style="4" bestFit="1" customWidth="1"/>
    <col min="48" max="48" width="9.7109375" style="4" bestFit="1" customWidth="1"/>
    <col min="49" max="49" width="11" style="4" bestFit="1" customWidth="1"/>
    <col min="50" max="50" width="9.42578125" style="4" bestFit="1" customWidth="1"/>
    <col min="51" max="52" width="9.42578125" style="4" customWidth="1"/>
    <col min="53" max="53" width="10.5703125" style="4" bestFit="1" customWidth="1"/>
    <col min="54" max="54" width="14.28515625" style="4" customWidth="1"/>
    <col min="55" max="55" width="14" style="4" customWidth="1"/>
    <col min="56" max="56" width="10.5703125" style="4" bestFit="1" customWidth="1"/>
    <col min="57" max="57" width="9.42578125" style="4" bestFit="1" customWidth="1"/>
    <col min="58" max="59" width="10.5703125" style="4" bestFit="1" customWidth="1"/>
    <col min="60" max="62" width="10.5703125" style="4" customWidth="1"/>
    <col min="63" max="63" width="9" style="4" bestFit="1" customWidth="1"/>
    <col min="64" max="64" width="10.5703125" style="4" bestFit="1" customWidth="1"/>
    <col min="65" max="65" width="9.28515625" style="4" bestFit="1" customWidth="1"/>
    <col min="66" max="66" width="11.7109375" style="4" bestFit="1" customWidth="1"/>
    <col min="67" max="67" width="8.42578125" style="4" bestFit="1" customWidth="1"/>
    <col min="68" max="68" width="9.42578125" style="4" bestFit="1" customWidth="1"/>
    <col min="69" max="69" width="9.7109375" style="4" bestFit="1" customWidth="1"/>
    <col min="70" max="70" width="11" style="4" bestFit="1" customWidth="1"/>
    <col min="71" max="71" width="9.42578125" style="4" bestFit="1" customWidth="1"/>
    <col min="72" max="73" width="9.42578125" style="4" customWidth="1"/>
    <col min="74" max="74" width="10.5703125" style="4" bestFit="1" customWidth="1"/>
    <col min="75" max="75" width="14" style="4" bestFit="1" customWidth="1"/>
    <col min="76" max="76" width="13.85546875" style="4" customWidth="1"/>
    <col min="77" max="77" width="10.5703125" style="4" bestFit="1" customWidth="1"/>
    <col min="78" max="78" width="9.42578125" style="4" bestFit="1" customWidth="1"/>
    <col min="79" max="80" width="10.5703125" style="4" bestFit="1" customWidth="1"/>
    <col min="81" max="83" width="10.5703125" style="4" customWidth="1"/>
    <col min="84" max="84" width="11.42578125" style="4"/>
    <col min="85" max="85" width="10.5703125" style="4" bestFit="1" customWidth="1"/>
    <col min="86" max="86" width="9.28515625" style="4" bestFit="1" customWidth="1"/>
    <col min="87" max="87" width="11.7109375" style="4" bestFit="1" customWidth="1"/>
    <col min="88" max="88" width="8.42578125" style="4" bestFit="1" customWidth="1"/>
    <col min="89" max="89" width="9.42578125" style="4" bestFit="1" customWidth="1"/>
    <col min="90" max="90" width="9.7109375" style="4" bestFit="1" customWidth="1"/>
    <col min="91" max="91" width="11" style="4" bestFit="1" customWidth="1"/>
    <col min="92" max="92" width="9.42578125" style="4" bestFit="1" customWidth="1"/>
    <col min="93" max="94" width="9.42578125" style="4" customWidth="1"/>
    <col min="95" max="95" width="11.42578125" style="4"/>
    <col min="96" max="97" width="14" style="4" customWidth="1"/>
    <col min="98" max="98" width="10.5703125" style="4" bestFit="1" customWidth="1"/>
    <col min="99" max="99" width="9.42578125" style="4" bestFit="1" customWidth="1"/>
    <col min="100" max="101" width="10.5703125" style="4" bestFit="1" customWidth="1"/>
    <col min="102" max="104" width="10.5703125" style="4" customWidth="1"/>
    <col min="105" max="105" width="9" style="4" bestFit="1" customWidth="1"/>
    <col min="106" max="106" width="10.5703125" style="4" bestFit="1" customWidth="1"/>
    <col min="107" max="107" width="9.28515625" style="4" bestFit="1" customWidth="1"/>
    <col min="108" max="108" width="11.7109375" style="4" bestFit="1" customWidth="1"/>
    <col min="109" max="109" width="8.42578125" style="4" bestFit="1" customWidth="1"/>
    <col min="110" max="110" width="9.42578125" style="4" bestFit="1" customWidth="1"/>
    <col min="111" max="111" width="9.7109375" style="4" bestFit="1" customWidth="1"/>
    <col min="112" max="112" width="11" style="4" bestFit="1" customWidth="1"/>
    <col min="113" max="113" width="9.42578125" style="4" bestFit="1" customWidth="1"/>
    <col min="114" max="115" width="9.42578125" style="4" customWidth="1"/>
    <col min="116" max="116" width="10.5703125" style="4" bestFit="1" customWidth="1"/>
    <col min="117" max="117" width="14.28515625" style="4" customWidth="1"/>
    <col min="118" max="118" width="14" style="4" bestFit="1" customWidth="1"/>
    <col min="119" max="119" width="10.5703125" style="4" bestFit="1" customWidth="1"/>
    <col min="120" max="120" width="9.42578125" style="4" bestFit="1" customWidth="1"/>
    <col min="121" max="122" width="10.5703125" style="4" bestFit="1" customWidth="1"/>
    <col min="123" max="125" width="10.5703125" style="4" customWidth="1"/>
    <col min="126" max="126" width="9" style="4" bestFit="1" customWidth="1"/>
    <col min="127" max="127" width="10.5703125" style="4" bestFit="1" customWidth="1"/>
    <col min="128" max="128" width="9.28515625" style="4" bestFit="1" customWidth="1"/>
    <col min="129" max="129" width="11.7109375" style="4" bestFit="1" customWidth="1"/>
    <col min="130" max="130" width="8.42578125" style="4" bestFit="1" customWidth="1"/>
    <col min="131" max="131" width="9.42578125" style="4" bestFit="1" customWidth="1"/>
    <col min="132" max="132" width="9.7109375" style="4" bestFit="1" customWidth="1"/>
    <col min="133" max="133" width="11" style="4" bestFit="1" customWidth="1"/>
    <col min="134" max="134" width="9.42578125" style="4" bestFit="1" customWidth="1"/>
    <col min="135" max="136" width="9.42578125" style="4" customWidth="1"/>
    <col min="137" max="137" width="10.5703125" style="4" bestFit="1" customWidth="1"/>
    <col min="138" max="139" width="14" style="4" customWidth="1"/>
    <col min="140" max="140" width="10.5703125" style="4" bestFit="1" customWidth="1"/>
    <col min="141" max="141" width="9.42578125" style="4" bestFit="1" customWidth="1"/>
    <col min="142" max="143" width="10.5703125" style="4" bestFit="1" customWidth="1"/>
    <col min="144" max="146" width="10.5703125" style="4" customWidth="1"/>
    <col min="147" max="147" width="9" style="4" bestFit="1" customWidth="1"/>
    <col min="148" max="148" width="10.5703125" style="4" bestFit="1" customWidth="1"/>
    <col min="149" max="149" width="9.28515625" style="4" bestFit="1" customWidth="1"/>
    <col min="150" max="150" width="11.7109375" style="4" bestFit="1" customWidth="1"/>
    <col min="151" max="151" width="8.42578125" style="4" bestFit="1" customWidth="1"/>
    <col min="152" max="152" width="9.42578125" style="4" bestFit="1" customWidth="1"/>
    <col min="153" max="153" width="9.7109375" style="4" bestFit="1" customWidth="1"/>
    <col min="154" max="154" width="11" style="4" bestFit="1" customWidth="1"/>
    <col min="155" max="155" width="9.42578125" style="4" bestFit="1" customWidth="1"/>
    <col min="156" max="157" width="9.42578125" style="4" customWidth="1"/>
    <col min="158" max="158" width="11.42578125" style="4"/>
    <col min="159" max="160" width="14" style="4" bestFit="1" customWidth="1"/>
    <col min="161" max="161" width="10.5703125" style="4" bestFit="1" customWidth="1"/>
    <col min="162" max="162" width="9.42578125" style="4" bestFit="1" customWidth="1"/>
    <col min="163" max="164" width="10.5703125" style="4" bestFit="1" customWidth="1"/>
    <col min="165" max="167" width="10.5703125" style="4" customWidth="1"/>
    <col min="168" max="168" width="9" style="4" bestFit="1" customWidth="1"/>
    <col min="169" max="169" width="10.5703125" style="4" bestFit="1" customWidth="1"/>
    <col min="170" max="170" width="9.28515625" style="4" bestFit="1" customWidth="1"/>
    <col min="171" max="171" width="11.7109375" style="4" bestFit="1" customWidth="1"/>
    <col min="172" max="172" width="8.140625" style="4" bestFit="1" customWidth="1"/>
    <col min="173" max="173" width="9.42578125" style="4" bestFit="1" customWidth="1"/>
    <col min="174" max="174" width="9.7109375" style="4" bestFit="1" customWidth="1"/>
    <col min="175" max="175" width="11" style="4" bestFit="1" customWidth="1"/>
    <col min="176" max="176" width="9.42578125" style="4" bestFit="1" customWidth="1"/>
    <col min="177" max="178" width="9.42578125" style="4" customWidth="1"/>
    <col min="179" max="179" width="10.5703125" style="4" bestFit="1" customWidth="1"/>
    <col min="180" max="181" width="14" style="4" bestFit="1" customWidth="1"/>
    <col min="182" max="182" width="10.5703125" style="4" bestFit="1" customWidth="1"/>
    <col min="183" max="183" width="9.42578125" style="4" bestFit="1" customWidth="1"/>
    <col min="184" max="185" width="10.5703125" style="4" bestFit="1" customWidth="1"/>
    <col min="186" max="188" width="10.5703125" style="4" customWidth="1"/>
    <col min="189" max="189" width="9" style="4" bestFit="1" customWidth="1"/>
    <col min="190" max="190" width="10.5703125" style="4" bestFit="1" customWidth="1"/>
    <col min="191" max="191" width="9.28515625" style="4" bestFit="1" customWidth="1"/>
    <col min="192" max="192" width="11.42578125" style="4"/>
    <col min="193" max="193" width="8.42578125" style="4" bestFit="1" customWidth="1"/>
    <col min="194" max="194" width="9.42578125" style="4" bestFit="1" customWidth="1"/>
    <col min="195" max="195" width="9.7109375" style="4" bestFit="1" customWidth="1"/>
    <col min="196" max="196" width="11" style="4" bestFit="1" customWidth="1"/>
    <col min="197" max="197" width="9.42578125" style="4" bestFit="1" customWidth="1"/>
    <col min="198" max="199" width="9.42578125" style="4" customWidth="1"/>
    <col min="200" max="200" width="10.5703125" style="4" bestFit="1" customWidth="1"/>
    <col min="201" max="201" width="14" style="4" customWidth="1"/>
    <col min="202" max="202" width="14.28515625" style="4" customWidth="1"/>
    <col min="203" max="203" width="10.5703125" style="4" bestFit="1" customWidth="1"/>
    <col min="204" max="204" width="9.42578125" style="4" bestFit="1" customWidth="1"/>
    <col min="205" max="206" width="10.5703125" style="4" bestFit="1" customWidth="1"/>
    <col min="207" max="209" width="10.5703125" style="4" customWidth="1"/>
    <col min="210" max="210" width="9" style="4" bestFit="1" customWidth="1"/>
    <col min="211" max="211" width="10.5703125" style="4" bestFit="1" customWidth="1"/>
    <col min="212" max="212" width="9.28515625" style="4" bestFit="1" customWidth="1"/>
    <col min="213" max="213" width="11.7109375" style="4" bestFit="1" customWidth="1"/>
    <col min="214" max="214" width="8.42578125" style="4" bestFit="1" customWidth="1"/>
    <col min="215" max="215" width="9.42578125" style="4" bestFit="1" customWidth="1"/>
    <col min="216" max="216" width="9.7109375" style="4" bestFit="1" customWidth="1"/>
    <col min="217" max="217" width="11" style="4" bestFit="1" customWidth="1"/>
    <col min="218" max="218" width="9.42578125" style="4" bestFit="1" customWidth="1"/>
    <col min="219" max="16384" width="11.42578125" style="4"/>
  </cols>
  <sheetData>
    <row r="1" spans="1:218" ht="27" thickBot="1" x14ac:dyDescent="0.45">
      <c r="B1" s="278" t="s">
        <v>176</v>
      </c>
      <c r="C1" s="279"/>
      <c r="D1" s="279"/>
      <c r="E1" s="279"/>
      <c r="F1" s="279"/>
      <c r="G1" s="279"/>
      <c r="H1" s="280"/>
      <c r="I1" s="275" t="str">
        <f>IF('Données projet'!$B$9="","",'Données projet'!$B$9)</f>
        <v>Douglas</v>
      </c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7"/>
      <c r="AD1" s="276" t="str">
        <f>IF('Données projet'!$B$10="","",'Données projet'!$B$10)</f>
        <v>Mélèze d'Europe</v>
      </c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7"/>
      <c r="AY1" s="275" t="str">
        <f>IF('Données projet'!$B$11="","",'Données projet'!$B$11)</f>
        <v>Pin laricio</v>
      </c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7"/>
      <c r="BT1" s="275" t="str">
        <f>IF('Données projet'!$B$12="","",'Données projet'!$B$12)</f>
        <v>Pin sylvestre</v>
      </c>
      <c r="BU1" s="276"/>
      <c r="BV1" s="276"/>
      <c r="BW1" s="276"/>
      <c r="BX1" s="276"/>
      <c r="BY1" s="276"/>
      <c r="BZ1" s="276"/>
      <c r="CA1" s="276"/>
      <c r="CB1" s="276"/>
      <c r="CC1" s="276"/>
      <c r="CD1" s="276"/>
      <c r="CE1" s="276"/>
      <c r="CF1" s="276"/>
      <c r="CG1" s="276"/>
      <c r="CH1" s="276"/>
      <c r="CI1" s="276"/>
      <c r="CJ1" s="276"/>
      <c r="CK1" s="276"/>
      <c r="CL1" s="276"/>
      <c r="CM1" s="276"/>
      <c r="CN1" s="277"/>
      <c r="CO1" s="275" t="str">
        <f>IF('Données projet'!$B$13="","",'Données projet'!$B$13)</f>
        <v/>
      </c>
      <c r="CP1" s="276"/>
      <c r="CQ1" s="276"/>
      <c r="CR1" s="276"/>
      <c r="CS1" s="276"/>
      <c r="CT1" s="276"/>
      <c r="CU1" s="276"/>
      <c r="CV1" s="276"/>
      <c r="CW1" s="276"/>
      <c r="CX1" s="276"/>
      <c r="CY1" s="276"/>
      <c r="CZ1" s="276"/>
      <c r="DA1" s="276"/>
      <c r="DB1" s="276"/>
      <c r="DC1" s="276"/>
      <c r="DD1" s="276"/>
      <c r="DE1" s="276"/>
      <c r="DF1" s="276"/>
      <c r="DG1" s="276"/>
      <c r="DH1" s="276"/>
      <c r="DI1" s="277"/>
      <c r="DJ1" s="275" t="str">
        <f>IF('Données projet'!$B$14="","",'Données projet'!$B$14)</f>
        <v>Aulne glutineux</v>
      </c>
      <c r="DK1" s="276"/>
      <c r="DL1" s="276"/>
      <c r="DM1" s="276"/>
      <c r="DN1" s="276"/>
      <c r="DO1" s="276"/>
      <c r="DP1" s="276"/>
      <c r="DQ1" s="276"/>
      <c r="DR1" s="276"/>
      <c r="DS1" s="276"/>
      <c r="DT1" s="276"/>
      <c r="DU1" s="276"/>
      <c r="DV1" s="276"/>
      <c r="DW1" s="276"/>
      <c r="DX1" s="276"/>
      <c r="DY1" s="276"/>
      <c r="DZ1" s="276"/>
      <c r="EA1" s="276"/>
      <c r="EB1" s="276"/>
      <c r="EC1" s="276"/>
      <c r="ED1" s="277"/>
      <c r="EE1" s="275" t="str">
        <f>IF('Données projet'!$B$15="","",'Données projet'!$B$15)</f>
        <v>Bouleau verruqueux</v>
      </c>
      <c r="EF1" s="276"/>
      <c r="EG1" s="276"/>
      <c r="EH1" s="276"/>
      <c r="EI1" s="276"/>
      <c r="EJ1" s="276"/>
      <c r="EK1" s="276"/>
      <c r="EL1" s="276"/>
      <c r="EM1" s="276"/>
      <c r="EN1" s="276"/>
      <c r="EO1" s="276"/>
      <c r="EP1" s="276"/>
      <c r="EQ1" s="276"/>
      <c r="ER1" s="276"/>
      <c r="ES1" s="276"/>
      <c r="ET1" s="276"/>
      <c r="EU1" s="276"/>
      <c r="EV1" s="276"/>
      <c r="EW1" s="276"/>
      <c r="EX1" s="276"/>
      <c r="EY1" s="277"/>
      <c r="EZ1" s="275" t="str">
        <f>IF('Données projet'!$B$16="","",'Données projet'!$B$16)</f>
        <v>Hêtre</v>
      </c>
      <c r="FA1" s="276"/>
      <c r="FB1" s="276"/>
      <c r="FC1" s="276"/>
      <c r="FD1" s="276"/>
      <c r="FE1" s="276"/>
      <c r="FF1" s="276"/>
      <c r="FG1" s="276"/>
      <c r="FH1" s="276"/>
      <c r="FI1" s="276"/>
      <c r="FJ1" s="276"/>
      <c r="FK1" s="276"/>
      <c r="FL1" s="276"/>
      <c r="FM1" s="276"/>
      <c r="FN1" s="276"/>
      <c r="FO1" s="276"/>
      <c r="FP1" s="276"/>
      <c r="FQ1" s="276"/>
      <c r="FR1" s="276"/>
      <c r="FS1" s="276"/>
      <c r="FT1" s="277"/>
      <c r="FU1" s="275" t="str">
        <f>IF('Données projet'!$B$17="","",'Données projet'!$B$17)</f>
        <v>Cormier</v>
      </c>
      <c r="FV1" s="276"/>
      <c r="FW1" s="276"/>
      <c r="FX1" s="276"/>
      <c r="FY1" s="276"/>
      <c r="FZ1" s="276"/>
      <c r="GA1" s="276"/>
      <c r="GB1" s="276"/>
      <c r="GC1" s="276"/>
      <c r="GD1" s="276"/>
      <c r="GE1" s="276"/>
      <c r="GF1" s="276"/>
      <c r="GG1" s="276"/>
      <c r="GH1" s="276"/>
      <c r="GI1" s="276"/>
      <c r="GJ1" s="276"/>
      <c r="GK1" s="276"/>
      <c r="GL1" s="276"/>
      <c r="GM1" s="276"/>
      <c r="GN1" s="276"/>
      <c r="GO1" s="277"/>
      <c r="GP1" s="275" t="str">
        <f>IF('Données projet'!$B$18="","",'Données projet'!$B$18)</f>
        <v>Cormier</v>
      </c>
      <c r="GQ1" s="276"/>
      <c r="GR1" s="276"/>
      <c r="GS1" s="276"/>
      <c r="GT1" s="276"/>
      <c r="GU1" s="276"/>
      <c r="GV1" s="276"/>
      <c r="GW1" s="276"/>
      <c r="GX1" s="276"/>
      <c r="GY1" s="276"/>
      <c r="GZ1" s="276"/>
      <c r="HA1" s="276"/>
      <c r="HB1" s="276"/>
      <c r="HC1" s="276"/>
      <c r="HD1" s="276"/>
      <c r="HE1" s="276"/>
      <c r="HF1" s="276"/>
      <c r="HG1" s="276"/>
      <c r="HH1" s="276"/>
      <c r="HI1" s="276"/>
      <c r="HJ1" s="277"/>
    </row>
    <row r="2" spans="1:218" ht="75.75" thickBot="1" x14ac:dyDescent="0.3">
      <c r="A2" s="71" t="s">
        <v>178</v>
      </c>
      <c r="B2" s="72" t="s">
        <v>194</v>
      </c>
      <c r="C2" s="5" t="s">
        <v>195</v>
      </c>
      <c r="D2" s="5" t="s">
        <v>286</v>
      </c>
      <c r="E2" s="5" t="s">
        <v>298</v>
      </c>
      <c r="F2" s="5" t="s">
        <v>297</v>
      </c>
      <c r="G2" s="5" t="s">
        <v>302</v>
      </c>
      <c r="H2" s="66" t="s">
        <v>299</v>
      </c>
      <c r="I2" s="68" t="s">
        <v>298</v>
      </c>
      <c r="J2" s="69" t="s">
        <v>297</v>
      </c>
      <c r="K2" s="6" t="s">
        <v>193</v>
      </c>
      <c r="L2" s="6" t="s">
        <v>196</v>
      </c>
      <c r="M2" s="6" t="s">
        <v>196</v>
      </c>
      <c r="N2" s="6" t="s">
        <v>197</v>
      </c>
      <c r="O2" s="6" t="s">
        <v>199</v>
      </c>
      <c r="P2" s="6" t="s">
        <v>198</v>
      </c>
      <c r="Q2" s="6" t="s">
        <v>302</v>
      </c>
      <c r="R2" s="6" t="s">
        <v>300</v>
      </c>
      <c r="S2" s="6" t="s">
        <v>308</v>
      </c>
      <c r="T2" s="6" t="s">
        <v>303</v>
      </c>
      <c r="U2" s="7" t="s">
        <v>200</v>
      </c>
      <c r="V2" s="8" t="s">
        <v>201</v>
      </c>
      <c r="W2" s="7" t="s">
        <v>183</v>
      </c>
      <c r="X2" s="7" t="s">
        <v>181</v>
      </c>
      <c r="Y2" s="7" t="s">
        <v>202</v>
      </c>
      <c r="Z2" s="8" t="s">
        <v>203</v>
      </c>
      <c r="AA2" s="8" t="s">
        <v>204</v>
      </c>
      <c r="AB2" s="8" t="s">
        <v>205</v>
      </c>
      <c r="AC2" s="9" t="s">
        <v>206</v>
      </c>
      <c r="AD2" s="69" t="s">
        <v>298</v>
      </c>
      <c r="AE2" s="69" t="s">
        <v>297</v>
      </c>
      <c r="AF2" s="6" t="s">
        <v>193</v>
      </c>
      <c r="AG2" s="6" t="s">
        <v>196</v>
      </c>
      <c r="AH2" s="6" t="s">
        <v>196</v>
      </c>
      <c r="AI2" s="6" t="s">
        <v>197</v>
      </c>
      <c r="AJ2" s="6" t="s">
        <v>199</v>
      </c>
      <c r="AK2" s="6" t="s">
        <v>198</v>
      </c>
      <c r="AL2" s="6" t="s">
        <v>302</v>
      </c>
      <c r="AM2" s="6" t="s">
        <v>300</v>
      </c>
      <c r="AN2" s="6" t="s">
        <v>308</v>
      </c>
      <c r="AO2" s="6" t="s">
        <v>303</v>
      </c>
      <c r="AP2" s="7" t="s">
        <v>200</v>
      </c>
      <c r="AQ2" s="8" t="s">
        <v>201</v>
      </c>
      <c r="AR2" s="7" t="s">
        <v>183</v>
      </c>
      <c r="AS2" s="7" t="s">
        <v>181</v>
      </c>
      <c r="AT2" s="8" t="s">
        <v>247</v>
      </c>
      <c r="AU2" s="8" t="s">
        <v>203</v>
      </c>
      <c r="AV2" s="8" t="s">
        <v>204</v>
      </c>
      <c r="AW2" s="8" t="s">
        <v>205</v>
      </c>
      <c r="AX2" s="8" t="s">
        <v>206</v>
      </c>
      <c r="AY2" s="68" t="s">
        <v>298</v>
      </c>
      <c r="AZ2" s="69" t="s">
        <v>297</v>
      </c>
      <c r="BA2" s="6" t="s">
        <v>193</v>
      </c>
      <c r="BB2" s="6" t="s">
        <v>196</v>
      </c>
      <c r="BC2" s="6" t="s">
        <v>196</v>
      </c>
      <c r="BD2" s="6" t="s">
        <v>197</v>
      </c>
      <c r="BE2" s="6" t="s">
        <v>199</v>
      </c>
      <c r="BF2" s="6" t="s">
        <v>198</v>
      </c>
      <c r="BG2" s="6" t="s">
        <v>302</v>
      </c>
      <c r="BH2" s="6" t="s">
        <v>300</v>
      </c>
      <c r="BI2" s="6" t="s">
        <v>308</v>
      </c>
      <c r="BJ2" s="6" t="s">
        <v>303</v>
      </c>
      <c r="BK2" s="7" t="s">
        <v>200</v>
      </c>
      <c r="BL2" s="8" t="s">
        <v>201</v>
      </c>
      <c r="BM2" s="7" t="s">
        <v>183</v>
      </c>
      <c r="BN2" s="7" t="s">
        <v>181</v>
      </c>
      <c r="BO2" s="8" t="s">
        <v>247</v>
      </c>
      <c r="BP2" s="8" t="s">
        <v>203</v>
      </c>
      <c r="BQ2" s="8" t="s">
        <v>204</v>
      </c>
      <c r="BR2" s="8" t="s">
        <v>205</v>
      </c>
      <c r="BS2" s="9" t="s">
        <v>206</v>
      </c>
      <c r="BT2" s="68" t="s">
        <v>298</v>
      </c>
      <c r="BU2" s="69" t="s">
        <v>297</v>
      </c>
      <c r="BV2" s="6" t="s">
        <v>193</v>
      </c>
      <c r="BW2" s="6" t="s">
        <v>196</v>
      </c>
      <c r="BX2" s="6" t="s">
        <v>196</v>
      </c>
      <c r="BY2" s="6" t="s">
        <v>197</v>
      </c>
      <c r="BZ2" s="6" t="s">
        <v>199</v>
      </c>
      <c r="CA2" s="6" t="s">
        <v>198</v>
      </c>
      <c r="CB2" s="6" t="s">
        <v>302</v>
      </c>
      <c r="CC2" s="6" t="s">
        <v>300</v>
      </c>
      <c r="CD2" s="6" t="s">
        <v>308</v>
      </c>
      <c r="CE2" s="6" t="s">
        <v>303</v>
      </c>
      <c r="CF2" s="7" t="s">
        <v>200</v>
      </c>
      <c r="CG2" s="8" t="s">
        <v>201</v>
      </c>
      <c r="CH2" s="7" t="s">
        <v>183</v>
      </c>
      <c r="CI2" s="7" t="s">
        <v>181</v>
      </c>
      <c r="CJ2" s="8" t="s">
        <v>247</v>
      </c>
      <c r="CK2" s="8" t="s">
        <v>203</v>
      </c>
      <c r="CL2" s="8" t="s">
        <v>204</v>
      </c>
      <c r="CM2" s="8" t="s">
        <v>205</v>
      </c>
      <c r="CN2" s="9" t="s">
        <v>206</v>
      </c>
      <c r="CO2" s="68" t="s">
        <v>298</v>
      </c>
      <c r="CP2" s="69" t="s">
        <v>297</v>
      </c>
      <c r="CQ2" s="6" t="s">
        <v>193</v>
      </c>
      <c r="CR2" s="6" t="s">
        <v>196</v>
      </c>
      <c r="CS2" s="6" t="s">
        <v>196</v>
      </c>
      <c r="CT2" s="6" t="s">
        <v>197</v>
      </c>
      <c r="CU2" s="6" t="s">
        <v>199</v>
      </c>
      <c r="CV2" s="6" t="s">
        <v>198</v>
      </c>
      <c r="CW2" s="6" t="s">
        <v>302</v>
      </c>
      <c r="CX2" s="6" t="s">
        <v>300</v>
      </c>
      <c r="CY2" s="6" t="s">
        <v>308</v>
      </c>
      <c r="CZ2" s="6" t="s">
        <v>303</v>
      </c>
      <c r="DA2" s="7" t="s">
        <v>200</v>
      </c>
      <c r="DB2" s="8" t="s">
        <v>201</v>
      </c>
      <c r="DC2" s="7" t="s">
        <v>183</v>
      </c>
      <c r="DD2" s="7" t="s">
        <v>181</v>
      </c>
      <c r="DE2" s="8" t="s">
        <v>247</v>
      </c>
      <c r="DF2" s="8" t="s">
        <v>203</v>
      </c>
      <c r="DG2" s="8" t="s">
        <v>204</v>
      </c>
      <c r="DH2" s="8" t="s">
        <v>205</v>
      </c>
      <c r="DI2" s="9" t="s">
        <v>206</v>
      </c>
      <c r="DJ2" s="68" t="s">
        <v>298</v>
      </c>
      <c r="DK2" s="69" t="s">
        <v>297</v>
      </c>
      <c r="DL2" s="6" t="s">
        <v>193</v>
      </c>
      <c r="DM2" s="6" t="s">
        <v>196</v>
      </c>
      <c r="DN2" s="6" t="s">
        <v>196</v>
      </c>
      <c r="DO2" s="6" t="s">
        <v>197</v>
      </c>
      <c r="DP2" s="6" t="s">
        <v>199</v>
      </c>
      <c r="DQ2" s="6" t="s">
        <v>198</v>
      </c>
      <c r="DR2" s="6" t="s">
        <v>302</v>
      </c>
      <c r="DS2" s="6" t="s">
        <v>300</v>
      </c>
      <c r="DT2" s="6" t="s">
        <v>308</v>
      </c>
      <c r="DU2" s="6" t="s">
        <v>303</v>
      </c>
      <c r="DV2" s="7" t="s">
        <v>200</v>
      </c>
      <c r="DW2" s="8" t="s">
        <v>201</v>
      </c>
      <c r="DX2" s="7" t="s">
        <v>183</v>
      </c>
      <c r="DY2" s="7" t="s">
        <v>181</v>
      </c>
      <c r="DZ2" s="8" t="s">
        <v>247</v>
      </c>
      <c r="EA2" s="8" t="s">
        <v>203</v>
      </c>
      <c r="EB2" s="8" t="s">
        <v>204</v>
      </c>
      <c r="EC2" s="8" t="s">
        <v>205</v>
      </c>
      <c r="ED2" s="9" t="s">
        <v>206</v>
      </c>
      <c r="EE2" s="68" t="s">
        <v>298</v>
      </c>
      <c r="EF2" s="69" t="s">
        <v>297</v>
      </c>
      <c r="EG2" s="6" t="s">
        <v>193</v>
      </c>
      <c r="EH2" s="6" t="s">
        <v>196</v>
      </c>
      <c r="EI2" s="6" t="s">
        <v>196</v>
      </c>
      <c r="EJ2" s="6" t="s">
        <v>197</v>
      </c>
      <c r="EK2" s="6" t="s">
        <v>199</v>
      </c>
      <c r="EL2" s="6" t="s">
        <v>198</v>
      </c>
      <c r="EM2" s="6" t="s">
        <v>302</v>
      </c>
      <c r="EN2" s="6" t="s">
        <v>300</v>
      </c>
      <c r="EO2" s="6" t="s">
        <v>308</v>
      </c>
      <c r="EP2" s="6" t="s">
        <v>303</v>
      </c>
      <c r="EQ2" s="7" t="s">
        <v>200</v>
      </c>
      <c r="ER2" s="8" t="s">
        <v>201</v>
      </c>
      <c r="ES2" s="7" t="s">
        <v>183</v>
      </c>
      <c r="ET2" s="7" t="s">
        <v>181</v>
      </c>
      <c r="EU2" s="8" t="s">
        <v>247</v>
      </c>
      <c r="EV2" s="8" t="s">
        <v>203</v>
      </c>
      <c r="EW2" s="8" t="s">
        <v>204</v>
      </c>
      <c r="EX2" s="8" t="s">
        <v>205</v>
      </c>
      <c r="EY2" s="9" t="s">
        <v>206</v>
      </c>
      <c r="EZ2" s="68" t="s">
        <v>298</v>
      </c>
      <c r="FA2" s="69" t="s">
        <v>297</v>
      </c>
      <c r="FB2" s="6" t="s">
        <v>193</v>
      </c>
      <c r="FC2" s="6" t="s">
        <v>196</v>
      </c>
      <c r="FD2" s="6" t="s">
        <v>196</v>
      </c>
      <c r="FE2" s="6" t="s">
        <v>197</v>
      </c>
      <c r="FF2" s="6" t="s">
        <v>199</v>
      </c>
      <c r="FG2" s="6" t="s">
        <v>198</v>
      </c>
      <c r="FH2" s="6" t="s">
        <v>302</v>
      </c>
      <c r="FI2" s="6" t="s">
        <v>300</v>
      </c>
      <c r="FJ2" s="6" t="s">
        <v>308</v>
      </c>
      <c r="FK2" s="6" t="s">
        <v>303</v>
      </c>
      <c r="FL2" s="7" t="s">
        <v>200</v>
      </c>
      <c r="FM2" s="8" t="s">
        <v>201</v>
      </c>
      <c r="FN2" s="7" t="s">
        <v>183</v>
      </c>
      <c r="FO2" s="7" t="s">
        <v>181</v>
      </c>
      <c r="FP2" s="8" t="s">
        <v>248</v>
      </c>
      <c r="FQ2" s="8" t="s">
        <v>203</v>
      </c>
      <c r="FR2" s="8" t="s">
        <v>204</v>
      </c>
      <c r="FS2" s="8" t="s">
        <v>205</v>
      </c>
      <c r="FT2" s="9" t="s">
        <v>206</v>
      </c>
      <c r="FU2" s="68" t="s">
        <v>298</v>
      </c>
      <c r="FV2" s="69" t="s">
        <v>297</v>
      </c>
      <c r="FW2" s="6" t="s">
        <v>193</v>
      </c>
      <c r="FX2" s="6" t="s">
        <v>196</v>
      </c>
      <c r="FY2" s="6" t="s">
        <v>196</v>
      </c>
      <c r="FZ2" s="6" t="s">
        <v>197</v>
      </c>
      <c r="GA2" s="6" t="s">
        <v>199</v>
      </c>
      <c r="GB2" s="6" t="s">
        <v>198</v>
      </c>
      <c r="GC2" s="6" t="s">
        <v>302</v>
      </c>
      <c r="GD2" s="6" t="s">
        <v>300</v>
      </c>
      <c r="GE2" s="6" t="s">
        <v>308</v>
      </c>
      <c r="GF2" s="6" t="s">
        <v>303</v>
      </c>
      <c r="GG2" s="7" t="s">
        <v>200</v>
      </c>
      <c r="GH2" s="8" t="s">
        <v>201</v>
      </c>
      <c r="GI2" s="7" t="s">
        <v>183</v>
      </c>
      <c r="GJ2" s="7" t="s">
        <v>181</v>
      </c>
      <c r="GK2" s="8" t="s">
        <v>247</v>
      </c>
      <c r="GL2" s="8" t="s">
        <v>203</v>
      </c>
      <c r="GM2" s="8" t="s">
        <v>204</v>
      </c>
      <c r="GN2" s="8" t="s">
        <v>205</v>
      </c>
      <c r="GO2" s="8" t="s">
        <v>206</v>
      </c>
      <c r="GP2" s="68" t="s">
        <v>298</v>
      </c>
      <c r="GQ2" s="69" t="s">
        <v>297</v>
      </c>
      <c r="GR2" s="6" t="s">
        <v>193</v>
      </c>
      <c r="GS2" s="6" t="s">
        <v>196</v>
      </c>
      <c r="GT2" s="6" t="s">
        <v>196</v>
      </c>
      <c r="GU2" s="6" t="s">
        <v>197</v>
      </c>
      <c r="GV2" s="6" t="s">
        <v>199</v>
      </c>
      <c r="GW2" s="6" t="s">
        <v>198</v>
      </c>
      <c r="GX2" s="6" t="s">
        <v>302</v>
      </c>
      <c r="GY2" s="6" t="s">
        <v>300</v>
      </c>
      <c r="GZ2" s="6" t="s">
        <v>308</v>
      </c>
      <c r="HA2" s="6" t="s">
        <v>303</v>
      </c>
      <c r="HB2" s="7" t="s">
        <v>200</v>
      </c>
      <c r="HC2" s="8" t="s">
        <v>201</v>
      </c>
      <c r="HD2" s="7" t="s">
        <v>183</v>
      </c>
      <c r="HE2" s="7" t="s">
        <v>181</v>
      </c>
      <c r="HF2" s="8" t="s">
        <v>247</v>
      </c>
      <c r="HG2" s="8" t="s">
        <v>203</v>
      </c>
      <c r="HH2" s="8" t="s">
        <v>204</v>
      </c>
      <c r="HI2" s="8" t="s">
        <v>205</v>
      </c>
      <c r="HJ2" s="9" t="s">
        <v>206</v>
      </c>
    </row>
    <row r="3" spans="1:218" x14ac:dyDescent="0.25">
      <c r="A3" s="10">
        <v>0</v>
      </c>
      <c r="B3" s="73">
        <f>'Scénario référence'!$B$16*5+'Scénario référence'!$B$17*0+'Scénario référence'!$B$18*5</f>
        <v>0</v>
      </c>
      <c r="C3" s="11">
        <v>0</v>
      </c>
      <c r="D3" s="11">
        <v>0</v>
      </c>
      <c r="E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3" s="11">
        <f>IF(OR('Scénario référence'!$F$8&gt;0,'Scénario référence'!$F$9&gt;0),('Scénario référence'!$F$8+'Scénario référence'!$F$9)*10,0)</f>
        <v>10</v>
      </c>
      <c r="G3" s="11">
        <f>'Scénario référence'!$B$8*B3*44/12+'Scénario référence'!$B$9*(C3+D3)/0.475*44/12+'Scénario référence'!$B$10*(C3+D3)/0.475*44/12+'Scénario référence'!$F$8*(C3+D3)/0.475*44/12+'Scénario référence'!$F$9*(C3+D3)/0.475*44/12</f>
        <v>0</v>
      </c>
      <c r="H3" s="67">
        <f>(B3+E3+F3)*44/12+(C3+D3)*0.475*44/12</f>
        <v>293.33333333333331</v>
      </c>
      <c r="I3" s="70">
        <f>('Scénario référence'!$F$8+'Scénario référence'!$F$9+'Scénario référence'!$B$17+'Scénario référence'!$B$9+'Scénario référence'!$B$10)*70+IF((45+25*(1-EXP(-0.0175*A3)))&lt;70,'Scénario référence'!$B$16*(45+25*(1-EXP(-0.0175*A3))),70*'Scénario référence'!$B$16)+IF((32+38*(1-EXP(-0.0175*A3)))&lt;70,'Scénario référence'!$B$18*(32+38*(1-EXP(-0.0175*A3))),70*'Scénario référence'!$B$18)</f>
        <v>70</v>
      </c>
      <c r="J3" s="13">
        <f>IF(A3&gt;30,10,('Scénario référence'!$B$16+'Scénario référence'!$B$17+'Scénario référence'!$B$18+'Scénario référence'!$B$9+'Scénario référence'!$B$10)*A3*10/30+('Scénario référence'!$F$8+'Scénario référence'!$F$9)*10)</f>
        <v>10</v>
      </c>
      <c r="K3" s="12">
        <v>0</v>
      </c>
      <c r="L3" s="12" t="e">
        <f>VLOOKUP(A3,'Données projet'!$A$35:$I$55,9,0)</f>
        <v>#N/A</v>
      </c>
      <c r="M3" s="12">
        <v>0</v>
      </c>
      <c r="N3" s="13">
        <v>0</v>
      </c>
      <c r="O3" s="12">
        <f>N3*VLOOKUP('Données projet'!$B$9,Paramètres!$A$1:$I$89,3,0)*VLOOKUP('Données projet'!$B$9,Paramètres!$A$1:$I$89,5,0)</f>
        <v>0</v>
      </c>
      <c r="P3" s="12">
        <v>0</v>
      </c>
      <c r="Q3" s="14">
        <f>(O3+P3)*0.475*44/12</f>
        <v>0</v>
      </c>
      <c r="R3" s="59">
        <f t="shared" ref="R3:R66" si="0">Q3+(I3+J3)*44/12</f>
        <v>293.33333333333331</v>
      </c>
      <c r="S3" s="59">
        <f ca="1">AVERAGE(OFFSET($R$3,0,0,'Données projet'!$E$9+1,1))-AVERAGE(OFFSET($H$3,0,0,'Données projet'!$E$9+1,1))</f>
        <v>255.5374979188561</v>
      </c>
      <c r="T3" s="59">
        <f>IF('Données projet'!E9&gt;30,$R$33-$H$33,LOOKUP('Données projet'!$E$9,$A$3:$A$203,R3:R203)-LOOKUP('Données projet'!$E$9,$A$3:$A$203,$H$3:$H$203))</f>
        <v>343.10418468620901</v>
      </c>
      <c r="U3" s="15">
        <f>IF(ISNA(VLOOKUP(A3,'Données projet'!$A$35:$I$55,3,0)),0,VLOOKUP(A3,'Données projet'!$A$35:$I$55,3,0))</f>
        <v>0</v>
      </c>
      <c r="V3" s="15">
        <f>IF(ISNA(VLOOKUP(A3,'Données projet'!$A$35:$I$55,4,0)),0,VLOOKUP(A3,'Données projet'!$A$35:$I$55,4,0))</f>
        <v>0</v>
      </c>
      <c r="W3" s="16">
        <f>IF(ISNA(VLOOKUP(A3,'Données projet'!$A$35:$I$55,5,0)),0%,VLOOKUP(A3,'Données projet'!$A$35:$I$55,5,0)*VLOOKUP('Données projet'!$B$9,Paramètres!$A$1:$I$89,7,0))</f>
        <v>0</v>
      </c>
      <c r="X3" s="16">
        <f>IF(ISNA(VLOOKUP(A3,'Données projet'!$A$35:$I$55,6,0)),0%,VLOOKUP(A3,'Données projet'!$A$35:$I$55,6,0)*VLOOKUP('Données projet'!$B$9,Paramètres!$A$1:$I$89,7,0))</f>
        <v>0</v>
      </c>
      <c r="Y3" s="16">
        <f>IF(ISNA(VLOOKUP(A3,'Données projet'!$A$35:$I$55,7,0)),0%,VLOOKUP(A3,'Données projet'!$A$35:$I$55,7,0))</f>
        <v>0</v>
      </c>
      <c r="Z3" s="15">
        <v>0</v>
      </c>
      <c r="AA3" s="15">
        <v>0</v>
      </c>
      <c r="AB3" s="15">
        <v>0</v>
      </c>
      <c r="AC3" s="18">
        <f>SUM(Z3:AB3)</f>
        <v>0</v>
      </c>
      <c r="AD3" s="13">
        <f>('Scénario référence'!$F$8+'Scénario référence'!$F$9+'Scénario référence'!$B$17+'Scénario référence'!$B$9+'Scénario référence'!$B$10)*70+IF((45+25*(1-EXP(-0.0175*A3)))&lt;70,'Scénario référence'!$B$16*(45+25*(1-EXP(-0.0175*A3))),70*'Scénario référence'!$B$16)+IF((32+38*(1-EXP(-0.0175*A3)))&lt;70,'Scénario référence'!$B$18*(32+38*(1-EXP(-0.0175*A3))),70*'Scénario référence'!$B$18)</f>
        <v>70</v>
      </c>
      <c r="AE3" s="13">
        <f>IF(A3&gt;30,10,('Scénario référence'!$B$16+'Scénario référence'!$B$17+'Scénario référence'!$B$18+'Scénario référence'!$B$9+'Scénario référence'!$B$10)*A3*10/30+('Scénario référence'!$F$8+'Scénario référence'!$F$9)*10)</f>
        <v>10</v>
      </c>
      <c r="AF3" s="12">
        <v>0</v>
      </c>
      <c r="AG3" s="12" t="e">
        <f>VLOOKUP(A3,'Données projet'!$A$61:$I$81,9,0)</f>
        <v>#N/A</v>
      </c>
      <c r="AH3" s="12">
        <v>0</v>
      </c>
      <c r="AI3" s="13">
        <v>0</v>
      </c>
      <c r="AJ3" s="13">
        <f>AI3*VLOOKUP('Données projet'!$B$10,Paramètres!$A$1:$I$89,3,0)*VLOOKUP('Données projet'!$B$10,Paramètres!$A$1:$I$89,5,0)</f>
        <v>0</v>
      </c>
      <c r="AK3" s="12">
        <v>0</v>
      </c>
      <c r="AL3" s="14">
        <f>(AJ3+AK3)*0.475*44/12</f>
        <v>0</v>
      </c>
      <c r="AM3" s="59">
        <f>AL3+(AD3+AE3)*44/12</f>
        <v>293.33333333333331</v>
      </c>
      <c r="AN3" s="59">
        <f ca="1">AVERAGE(OFFSET($AM$3,0,0,'Données projet'!$E$10+1,1))-AVERAGE(OFFSET($H$3,0,0,'Données projet'!$E$10+1,1))</f>
        <v>261.78489480911571</v>
      </c>
      <c r="AO3" s="59">
        <f>IF('Données projet'!E10&gt;30,$AM$33-$H$33,LOOKUP('Données projet'!$E$10,$A$3:$A$203,AM3:AM203)-LOOKUP('Données projet'!$E$10,$A$3:$A$203,$H$3:$H$203))</f>
        <v>297.50513563712764</v>
      </c>
      <c r="AP3" s="15">
        <f>IF(ISNA(VLOOKUP(A3,'Données projet'!$A$61:$I$81,3,0)),0,VLOOKUP(A3,'Données projet'!$A$61:$I$81,3,0))</f>
        <v>0</v>
      </c>
      <c r="AQ3" s="15">
        <f>IF(ISNA(VLOOKUP(A3,'Données projet'!$A$61:$I$81,4,0)),0,VLOOKUP(A3,'Données projet'!$A$61:$I$81,4,0))</f>
        <v>0</v>
      </c>
      <c r="AR3" s="16">
        <f>IF(ISNA(VLOOKUP(A3,'Données projet'!$A$61:$I$81,5,0)),0%,VLOOKUP(A3,'Données projet'!$A$61:$I$81,5,0)*VLOOKUP('Données projet'!$B$10,Paramètres!$A$1:$I$89,7,0))</f>
        <v>0</v>
      </c>
      <c r="AS3" s="16">
        <f>IF(ISNA(VLOOKUP(A3,'Données projet'!$A$61:$I$81,6,0)),0%,VLOOKUP(A3,'Données projet'!$A$61:$I$81,6,0)*VLOOKUP('Données projet'!$B$10,Paramètres!$A$1:$I$89,7,0))</f>
        <v>0</v>
      </c>
      <c r="AT3" s="16">
        <f>IF(ISNA(VLOOKUP(A3,'Données projet'!$A$61:$I$81,7,0)),0%,VLOOKUP(A3,'Données projet'!$A$61:$I$81,7,0))</f>
        <v>0</v>
      </c>
      <c r="AU3" s="15">
        <v>0</v>
      </c>
      <c r="AV3" s="15">
        <v>0</v>
      </c>
      <c r="AW3" s="15">
        <v>0</v>
      </c>
      <c r="AX3" s="15">
        <f>SUM(AU3:AW3)</f>
        <v>0</v>
      </c>
      <c r="AY3" s="74">
        <f>('Scénario référence'!$F$8+'Scénario référence'!$F$9+'Scénario référence'!$B$17+'Scénario référence'!$B$9+'Scénario référence'!$B$10)*70+IF((45+25*(1-EXP(-0.0175*A3)))&lt;70,'Scénario référence'!$B$16*(45+25*(1-EXP(-0.0175*A3))),70*'Scénario référence'!$B$16)+IF((32+38*(1-EXP(-0.0175*A3)))&lt;70,'Scénario référence'!$B$18*(32+38*(1-EXP(-0.0175*A3))),70*'Scénario référence'!$B$18)</f>
        <v>70</v>
      </c>
      <c r="AZ3" s="12">
        <f>IF(A3&gt;30,10,('Scénario référence'!$B$16+'Scénario référence'!$B$17+'Scénario référence'!$B$18+'Scénario référence'!$B$9+'Scénario référence'!$B$10)*A3*10/30+('Scénario référence'!$F$8+'Scénario référence'!$F$9)*10)</f>
        <v>10</v>
      </c>
      <c r="BA3" s="12">
        <v>0</v>
      </c>
      <c r="BB3" s="12" t="e">
        <f>VLOOKUP(A3,'Données projet'!$A$87:$I$107,9,0)</f>
        <v>#N/A</v>
      </c>
      <c r="BC3" s="12">
        <v>0</v>
      </c>
      <c r="BD3" s="12">
        <v>0</v>
      </c>
      <c r="BE3" s="17">
        <f>BD3*VLOOKUP('Données projet'!$B$11,Paramètres!$A$1:$I$89,3,0)*VLOOKUP('Données projet'!$B$11,Paramètres!$A$1:$I$89,5,0)</f>
        <v>0</v>
      </c>
      <c r="BF3" s="12">
        <v>0</v>
      </c>
      <c r="BG3" s="14">
        <f>(BE3+BF3)*0.475*44/12</f>
        <v>0</v>
      </c>
      <c r="BH3" s="59">
        <f>BG3+(AY3+AZ3)*44/12</f>
        <v>293.33333333333331</v>
      </c>
      <c r="BI3" s="59">
        <f ca="1">AVERAGE(OFFSET($BH$3,0,0,'Données projet'!$E$11+1,1))-AVERAGE(OFFSET($H$3,0,0,'Données projet'!$E$11+1,1))</f>
        <v>316.58509520829671</v>
      </c>
      <c r="BJ3" s="59">
        <f>IF('Données projet'!E11&gt;30,$BH$33-$H$33,LOOKUP('Données projet'!$E$11,$A$3:$A$203,BH3:BH203)-LOOKUP('Données projet'!$E$11,$A$3:$A$203,$H$3:$H$203))</f>
        <v>240.71332110643596</v>
      </c>
      <c r="BK3" s="15">
        <f>IF(ISNA(VLOOKUP(A3,'Données projet'!$A$87:$I$107,3,0)),0,VLOOKUP(A3,'Données projet'!$A$87:$I$107,3,0))</f>
        <v>0</v>
      </c>
      <c r="BL3" s="15">
        <f>IF(ISNA(VLOOKUP(A3,'Données projet'!$A$87:$I$107,4,0)),0,VLOOKUP(A3,'Données projet'!$A$87:$I$107,4,0))</f>
        <v>0</v>
      </c>
      <c r="BM3" s="16">
        <f>IF(ISNA(VLOOKUP(A3,'Données projet'!$A$87:$I$107,5,0)),0%,VLOOKUP(A3,'Données projet'!$A$87:$I$107,5,0)*VLOOKUP('Données projet'!$B$11,Paramètres!$A$1:$I$89,7,0))</f>
        <v>0</v>
      </c>
      <c r="BN3" s="16">
        <f>IF(ISNA(VLOOKUP(A3,'Données projet'!$A$87:$I$107,6,0)),0%,VLOOKUP(A3,'Données projet'!$A$87:$I$107,6,0)*VLOOKUP('Données projet'!$B$11,Paramètres!$A$1:$I$89,7,0))</f>
        <v>0</v>
      </c>
      <c r="BO3" s="16">
        <f>IF(ISNA(VLOOKUP(A3,'Données projet'!$A$87:$I$107,7,0)),0%,VLOOKUP(A3,'Données projet'!$A$87:$I$107,7,0))</f>
        <v>0</v>
      </c>
      <c r="BP3" s="15">
        <v>0</v>
      </c>
      <c r="BQ3" s="15">
        <v>0</v>
      </c>
      <c r="BR3" s="15">
        <v>0</v>
      </c>
      <c r="BS3" s="18">
        <f>SUM(BP3:BR3)</f>
        <v>0</v>
      </c>
      <c r="BT3" s="75">
        <f>('Scénario référence'!$F$8+'Scénario référence'!$F$9+'Scénario référence'!$B$17+'Scénario référence'!$B$9+'Scénario référence'!$B$10)*70+IF((45+25*(1-EXP(-0.0175*A3)))&lt;70,'Scénario référence'!$B$16*(45+25*(1-EXP(-0.0175*A3))),70*'Scénario référence'!$B$16)+IF((32+38*(1-EXP(-0.0175*A3)))&lt;70,'Scénario référence'!$B$18*(32+38*(1-EXP(-0.0175*A3))),70*'Scénario référence'!$B$18)</f>
        <v>70</v>
      </c>
      <c r="BU3" s="12">
        <f>IF(A3&gt;30,10,('Scénario référence'!$B$16+'Scénario référence'!$B$17+'Scénario référence'!$B$18+'Scénario référence'!$B$9+'Scénario référence'!$B$10)*A3*10/30+('Scénario référence'!$F$8+'Scénario référence'!$F$9)*10)</f>
        <v>10</v>
      </c>
      <c r="BV3" s="12">
        <v>0</v>
      </c>
      <c r="BW3" s="12" t="e">
        <f>VLOOKUP(A3,'Données projet'!$A$113:$I$133,9,0)</f>
        <v>#N/A</v>
      </c>
      <c r="BX3" s="12">
        <v>0</v>
      </c>
      <c r="BY3" s="12">
        <v>0</v>
      </c>
      <c r="BZ3" s="17">
        <f>BY3*VLOOKUP('Données projet'!$B$12,Paramètres!$A$1:$I$89,3,0)*VLOOKUP('Données projet'!$B$12,Paramètres!$A$1:$I$89,5,0)</f>
        <v>0</v>
      </c>
      <c r="CA3" s="12">
        <v>0</v>
      </c>
      <c r="CB3" s="14">
        <f>(BZ3+CA3)*0.475*44/12</f>
        <v>0</v>
      </c>
      <c r="CC3" s="59">
        <f>CB3+(BT3+BU3)*44/12</f>
        <v>293.33333333333331</v>
      </c>
      <c r="CD3" s="59">
        <f ca="1">AVERAGE(OFFSET($CC$3,0,0,'Données projet'!$E$12+1,1))-AVERAGE(OFFSET($H$3,0,0,'Données projet'!$E$12+1,1))</f>
        <v>188.64374818906128</v>
      </c>
      <c r="CE3" s="59">
        <f>IF('Données projet'!E12&gt;30,$CC$33-$H$33,LOOKUP('Données projet'!$E$12,$A$3:$A$203,CC3:CC203)-LOOKUP('Données projet'!$E$12,$A$3:$A$203,$H$3:$H$203))</f>
        <v>211.95157880548652</v>
      </c>
      <c r="CF3" s="15">
        <f>IF(ISNA(VLOOKUP(A3,'Données projet'!$A$113:$I$133,3,0)),0,VLOOKUP(A3,'Données projet'!$A$113:$I$133,3,0))</f>
        <v>0</v>
      </c>
      <c r="CG3" s="15">
        <f>IF(ISNA(VLOOKUP(A3,'Données projet'!$A$113:$I$133,4,0)),0,VLOOKUP(A3,'Données projet'!$A$113:$I$133,4,0))</f>
        <v>0</v>
      </c>
      <c r="CH3" s="16">
        <f>IF(ISNA(VLOOKUP(A3,'Données projet'!$A$113:$I$133,5,0)),0%,VLOOKUP(A3,'Données projet'!$A$113:$I$133,5,0)*VLOOKUP('Données projet'!$B$12,Paramètres!$A$1:$I$89,7,0))</f>
        <v>0</v>
      </c>
      <c r="CI3" s="16">
        <f>IF(ISNA(VLOOKUP(A3,'Données projet'!$A$113:$I$133,6,0)),0%,VLOOKUP(A3,'Données projet'!$A$113:$I$133,6,0)*VLOOKUP('Données projet'!$B$12,Paramètres!$A$1:$I$89,7,0))</f>
        <v>0</v>
      </c>
      <c r="CJ3" s="16">
        <f>IF(ISNA(VLOOKUP(A3,'Données projet'!$A$113:$I$133,7,0)),0%,VLOOKUP(A3,'Données projet'!$A$113:$I$133,7,0))</f>
        <v>0</v>
      </c>
      <c r="CK3" s="15">
        <v>0</v>
      </c>
      <c r="CL3" s="15">
        <v>0</v>
      </c>
      <c r="CM3" s="15">
        <v>0</v>
      </c>
      <c r="CN3" s="18">
        <f>SUM(CK3:CM3)</f>
        <v>0</v>
      </c>
      <c r="CO3" s="75">
        <f>('Scénario référence'!$F$8+'Scénario référence'!$F$9+'Scénario référence'!$B$17+'Scénario référence'!$B$9+'Scénario référence'!$B$10)*70+IF((45+25*(1-EXP(-0.0175*A3)))&lt;70,'Scénario référence'!$B$16*(45+25*(1-EXP(-0.0175*A3))),70*'Scénario référence'!$B$16)+IF((32+38*(1-EXP(-0.0175*A3)))&lt;70,'Scénario référence'!$B$18*(32+38*(1-EXP(-0.0175*A3))),70*'Scénario référence'!$B$18)</f>
        <v>70</v>
      </c>
      <c r="CP3" s="12">
        <f>IF(A3&gt;30,10,('Scénario référence'!$B$16+'Scénario référence'!$B$17+'Scénario référence'!$B$18+'Scénario référence'!$B$9+'Scénario référence'!$B$10)*A3*10/30+('Scénario référence'!$F$8+'Scénario référence'!$F$9)*10)</f>
        <v>10</v>
      </c>
      <c r="CQ3" s="12">
        <v>0</v>
      </c>
      <c r="CR3" s="12" t="e">
        <f>VLOOKUP(A3,'Données projet'!$A$139:$I$159,9,0)</f>
        <v>#N/A</v>
      </c>
      <c r="CS3" s="12">
        <v>0</v>
      </c>
      <c r="CT3" s="12">
        <v>0</v>
      </c>
      <c r="CU3" s="17" t="e">
        <f>CT3*VLOOKUP('Données projet'!$B$13,Paramètres!$A$1:$I$89,3,0)*VLOOKUP('Données projet'!$B$13,Paramètres!$A$1:$I$89,5,0)</f>
        <v>#N/A</v>
      </c>
      <c r="CV3" s="12">
        <v>0</v>
      </c>
      <c r="CW3" s="14" t="e">
        <f>(CU3+CV3)*0.475*44/12</f>
        <v>#N/A</v>
      </c>
      <c r="CX3" s="59" t="e">
        <f>CW3+(CO3+CP3)*44/12</f>
        <v>#N/A</v>
      </c>
      <c r="CY3" s="59" t="e">
        <f ca="1">AVERAGE(OFFSET($CX$3,0,0,'Données projet'!$E$13+1,1))-AVERAGE(OFFSET($H$3,0,0,'Données projet'!$E$13+1,1))</f>
        <v>#N/A</v>
      </c>
      <c r="CZ3" s="59" t="e">
        <f>IF('Données projet'!E13&gt;30,$CX$33-$H$33,LOOKUP('Données projet'!$E$13,$A$3:$A$203,CX3:CX203)-LOOKUP('Données projet'!$E$13,$A$3:$A$203,$H$3:$H$203))</f>
        <v>#N/A</v>
      </c>
      <c r="DA3" s="15">
        <f>IF(ISNA(VLOOKUP(A3,'Données projet'!$A$139:$I$159,3,0)),0,VLOOKUP(A3,'Données projet'!$A$139:$I$159,3,0))</f>
        <v>0</v>
      </c>
      <c r="DB3" s="15">
        <f>IF(ISNA(VLOOKUP(A3,'Données projet'!$A$139:$I$159,4,0)),0,VLOOKUP(A3,'Données projet'!$A$139:$I$159,4,0))</f>
        <v>0</v>
      </c>
      <c r="DC3" s="16">
        <f>IF(ISNA(VLOOKUP(A3,'Données projet'!$A$139:$I$159,5,0)),0%,VLOOKUP(A3,'Données projet'!$A$139:$I$159,5,0)*VLOOKUP('Données projet'!$B$13,Paramètres!$A$1:$I$89,7,0))</f>
        <v>0</v>
      </c>
      <c r="DD3" s="16">
        <f>IF(ISNA(VLOOKUP(A3,'Données projet'!$A$139:$I$159,6,0)),0%,VLOOKUP(A3,'Données projet'!$A$139:$I$159,6,0)*VLOOKUP('Données projet'!$B$13,Paramètres!$A$1:$I$89,7,0))</f>
        <v>0</v>
      </c>
      <c r="DE3" s="16">
        <f>IF(ISNA(VLOOKUP(A3,'Données projet'!$A$139:$I$159,7,0)),0%,VLOOKUP(A3,'Données projet'!$A$139:$I$159,7,0))</f>
        <v>0</v>
      </c>
      <c r="DF3" s="15">
        <v>0</v>
      </c>
      <c r="DG3" s="15">
        <v>0</v>
      </c>
      <c r="DH3" s="15">
        <v>0</v>
      </c>
      <c r="DI3" s="18">
        <f>SUM(DF3:DH3)</f>
        <v>0</v>
      </c>
      <c r="DJ3" s="75">
        <f>('Scénario référence'!$F$8+'Scénario référence'!$F$9+'Scénario référence'!$B$17+'Scénario référence'!$B$9+'Scénario référence'!$B$10)*70+IF((45+25*(1-EXP(-0.0175*A3)))&lt;70,'Scénario référence'!$B$16*(45+25*(1-EXP(-0.0175*A3))),70*'Scénario référence'!$B$16)+IF((32+38*(1-EXP(-0.0175*A3)))&lt;70,'Scénario référence'!$B$18*(32+38*(1-EXP(-0.0175*A3))),70*'Scénario référence'!$B$18)</f>
        <v>70</v>
      </c>
      <c r="DK3" s="12">
        <f>IF(A3&gt;30,10,('Scénario référence'!$B$16+'Scénario référence'!$B$17+'Scénario référence'!$B$18+'Scénario référence'!$B$9+'Scénario référence'!$B$10)*A3*10/30+('Scénario référence'!$F$8+'Scénario référence'!$F$9)*10)</f>
        <v>10</v>
      </c>
      <c r="DL3" s="12">
        <v>0</v>
      </c>
      <c r="DM3" s="12" t="e">
        <f>VLOOKUP(A3,'Données projet'!$A$165:$I$185,9,0)</f>
        <v>#N/A</v>
      </c>
      <c r="DN3" s="12">
        <v>0</v>
      </c>
      <c r="DO3" s="12">
        <v>0</v>
      </c>
      <c r="DP3" s="17">
        <f>DO3*VLOOKUP('Données projet'!$B$14,Paramètres!$A$1:$I$89,3,0)*VLOOKUP('Données projet'!$B$14,Paramètres!$A$1:$I$89,5,0)</f>
        <v>0</v>
      </c>
      <c r="DQ3" s="12">
        <v>0</v>
      </c>
      <c r="DR3" s="14">
        <f>(DP3+DQ3)*0.475*44/12</f>
        <v>0</v>
      </c>
      <c r="DS3" s="59">
        <f>DR3+(DJ3+DK3)*44/12</f>
        <v>293.33333333333331</v>
      </c>
      <c r="DT3" s="59">
        <f ca="1">AVERAGE(OFFSET($DS$3,0,0,'Données projet'!$E$14+1,1))-AVERAGE(OFFSET($H$3,0,0,'Données projet'!$E$14+1,1))</f>
        <v>188.68915783955595</v>
      </c>
      <c r="DU3" s="59">
        <f>IF('Données projet'!E14&gt;30,$DS$33-$H$33,LOOKUP('Données projet'!$E$14,$A$3:$A$203,DS3:DS203)-LOOKUP('Données projet'!$E$14,$A$3:$A$203,$H$3:$H$203))</f>
        <v>240.82467772396944</v>
      </c>
      <c r="DV3" s="15">
        <f>IF(ISNA(VLOOKUP(A3,'Données projet'!$A$165:$I$185,3,0)),0,VLOOKUP(A3,'Données projet'!$A$165:$I$185,3,0))</f>
        <v>0</v>
      </c>
      <c r="DW3" s="15">
        <f>IF(ISNA(VLOOKUP(A3,'Données projet'!$A$165:$I$185,4,0)),0,VLOOKUP(A3,'Données projet'!$A$165:$I$185,4,0))</f>
        <v>0</v>
      </c>
      <c r="DX3" s="16">
        <f>IF(ISNA(VLOOKUP(A3,'Données projet'!$A$165:$I$185,5,0)),0%,VLOOKUP(A3,'Données projet'!$A$165:$I$185,5,0)*VLOOKUP('Données projet'!$B$14,Paramètres!$A$1:$I$89,7,0))</f>
        <v>0</v>
      </c>
      <c r="DY3" s="16">
        <f>IF(ISNA(VLOOKUP(A3,'Données projet'!$A$165:$I$185,6,0)),0%,VLOOKUP(A3,'Données projet'!$A$165:$I$185,6,0)*VLOOKUP('Données projet'!$B$14,Paramètres!$A$1:$I$89,7,0))</f>
        <v>0</v>
      </c>
      <c r="DZ3" s="16">
        <f>IF(ISNA(VLOOKUP(A3,'Données projet'!$A$165:$I$185,7,0)),0%,VLOOKUP(A3,'Données projet'!$A$165:$I$185,7,0))</f>
        <v>0</v>
      </c>
      <c r="EA3" s="15">
        <v>0</v>
      </c>
      <c r="EB3" s="15">
        <v>0</v>
      </c>
      <c r="EC3" s="15">
        <v>0</v>
      </c>
      <c r="ED3" s="18">
        <f>SUM(EA3:EC3)</f>
        <v>0</v>
      </c>
      <c r="EE3" s="75">
        <f>('Scénario référence'!$F$8+'Scénario référence'!$F$9+'Scénario référence'!$B$17+'Scénario référence'!$B$9+'Scénario référence'!$B$10)*70+IF((45+25*(1-EXP(-0.0175*A3)))&lt;70,'Scénario référence'!$B$16*(45+25*(1-EXP(-0.0175*A3))),70*'Scénario référence'!$B$16)+IF((32+38*(1-EXP(-0.0175*A3)))&lt;70,'Scénario référence'!$B$18*(32+38*(1-EXP(-0.0175*A3))),70*'Scénario référence'!$B$18)</f>
        <v>70</v>
      </c>
      <c r="EF3" s="12">
        <f>IF(A3&gt;30,10,('Scénario référence'!$B$16+'Scénario référence'!$B$17+'Scénario référence'!$B$18+'Scénario référence'!$B$9+'Scénario référence'!$B$10)*A3*10/30+('Scénario référence'!$F$8+'Scénario référence'!$F$9)*10)</f>
        <v>10</v>
      </c>
      <c r="EG3" s="12">
        <v>0</v>
      </c>
      <c r="EH3" s="12" t="e">
        <f>VLOOKUP(A3,'Données projet'!$A$191:$I$211,9,0)</f>
        <v>#N/A</v>
      </c>
      <c r="EI3" s="12">
        <v>0</v>
      </c>
      <c r="EJ3" s="12">
        <v>0</v>
      </c>
      <c r="EK3" s="17">
        <f>EJ3*VLOOKUP('Données projet'!$B$15,Paramètres!$A$1:$I$89,3,0)*VLOOKUP('Données projet'!$B$15,Paramètres!$A$1:$I$89,5,0)</f>
        <v>0</v>
      </c>
      <c r="EL3" s="12">
        <v>0</v>
      </c>
      <c r="EM3" s="14">
        <f>(EK3+EL3)*0.475*44/12</f>
        <v>0</v>
      </c>
      <c r="EN3" s="59">
        <f>EM3+(EE3+EF3)*44/12</f>
        <v>293.33333333333331</v>
      </c>
      <c r="EO3" s="59">
        <f ca="1">AVERAGE(OFFSET($EN$3,0,0,'Données projet'!$E$15+1,1))-AVERAGE(OFFSET($H$3,0,0,'Données projet'!$E$15+1,1))</f>
        <v>205.5272583787887</v>
      </c>
      <c r="EP3" s="59">
        <f>IF('Données projet'!E15&gt;30,$EN$33-$H$33,LOOKUP('Données projet'!$E$15,$A$3:$A$203,EN3:EN203)-LOOKUP('Données projet'!$E$15,$A$3:$A$203,$H$3:$H$203))</f>
        <v>180.54762778843178</v>
      </c>
      <c r="EQ3" s="15">
        <f>IF(ISNA(VLOOKUP(A3,'Données projet'!$A$191:$I$211,3,0)),0,VLOOKUP(A3,'Données projet'!$A$191:$I$211,3,0))</f>
        <v>0</v>
      </c>
      <c r="ER3" s="15">
        <f>IF(ISNA(VLOOKUP(A3,'Données projet'!$A$191:$I$211,4,0)),0,VLOOKUP(A3,'Données projet'!$A$191:$I$211,4,0))</f>
        <v>0</v>
      </c>
      <c r="ES3" s="16">
        <f>IF(ISNA(VLOOKUP(A3,'Données projet'!$A$191:$I$211,5,0)),0%,VLOOKUP(A3,'Données projet'!$A$191:$I$211,5,0)*VLOOKUP('Données projet'!$B$15,Paramètres!$A$1:$I$89,7,0))</f>
        <v>0</v>
      </c>
      <c r="ET3" s="16">
        <f>IF(ISNA(VLOOKUP(A3,'Données projet'!$A$191:$I$211,6,0)),0%,VLOOKUP(A3,'Données projet'!$A$191:$I$211,6,0)*VLOOKUP('Données projet'!$B$15,Paramètres!$A$1:$I$89,7,0))</f>
        <v>0</v>
      </c>
      <c r="EU3" s="16">
        <f>IF(ISNA(VLOOKUP(A3,'Données projet'!$A$191:$I$211,7,0)),0%,VLOOKUP(A3,'Données projet'!$A$191:$I$211,7,0))</f>
        <v>0</v>
      </c>
      <c r="EV3" s="15">
        <v>0</v>
      </c>
      <c r="EW3" s="15">
        <v>0</v>
      </c>
      <c r="EX3" s="15">
        <v>0</v>
      </c>
      <c r="EY3" s="18">
        <f>SUM(EV3:EX3)</f>
        <v>0</v>
      </c>
      <c r="EZ3" s="75">
        <f>('Scénario référence'!$F$8+'Scénario référence'!$F$9+'Scénario référence'!$B$17+'Scénario référence'!$B$9+'Scénario référence'!$B$10)*70+IF((45+25*(1-EXP(-0.0175*A3)))&lt;70,'Scénario référence'!$B$16*(45+25*(1-EXP(-0.0175*A3))),70*'Scénario référence'!$B$16)+IF((32+38*(1-EXP(-0.0175*A3)))&lt;70,'Scénario référence'!$B$18*(32+38*(1-EXP(-0.0175*A3))),70*'Scénario référence'!$B$18)</f>
        <v>70</v>
      </c>
      <c r="FA3" s="12">
        <f>IF(A3&gt;30,10,('Scénario référence'!$B$16+'Scénario référence'!$B$17+'Scénario référence'!$B$18+'Scénario référence'!$B$9+'Scénario référence'!$B$10)*A3*10/30+('Scénario référence'!$F$8+'Scénario référence'!$F$9)*10)</f>
        <v>10</v>
      </c>
      <c r="FB3" s="12">
        <v>0</v>
      </c>
      <c r="FC3" s="12" t="e">
        <f>VLOOKUP(A3,'Données projet'!$A$217:$I$237,9,0)</f>
        <v>#N/A</v>
      </c>
      <c r="FD3" s="12">
        <v>0</v>
      </c>
      <c r="FE3" s="12">
        <v>0</v>
      </c>
      <c r="FF3" s="17">
        <f>FE3*VLOOKUP('Données projet'!$B$16,Paramètres!$A$1:$I$89,3,0)*VLOOKUP('Données projet'!$B$16,Paramètres!$A$1:$I$89,5,0)</f>
        <v>0</v>
      </c>
      <c r="FG3" s="12">
        <v>0</v>
      </c>
      <c r="FH3" s="14">
        <f>(FF3+FG3)*0.475*44/12</f>
        <v>0</v>
      </c>
      <c r="FI3" s="59">
        <f>FH3+(EZ3+FA3)*44/12</f>
        <v>293.33333333333331</v>
      </c>
      <c r="FJ3" s="59">
        <f ca="1">AVERAGE(OFFSET($FI$3,0,0,'Données projet'!$E$16+1,1))-AVERAGE(OFFSET($H$3,0,0,'Données projet'!$E$16+1,1))</f>
        <v>383.97627237444709</v>
      </c>
      <c r="FK3" s="59">
        <f>IF('Données projet'!E16&gt;30,$FI$33-$H$33,LOOKUP('Données projet'!$E$16,$A$3:$A$203,FI3:FI203)-LOOKUP('Données projet'!$E$16,$A$3:$A$203,$H$3:$H$203))</f>
        <v>203.35476578922339</v>
      </c>
      <c r="FL3" s="15">
        <f>IF(ISNA(VLOOKUP(A3,'Données projet'!$A$217:$I$237,3,0)),0,VLOOKUP(A3,'Données projet'!$A$217:$I$237,3,0))</f>
        <v>0</v>
      </c>
      <c r="FM3" s="15">
        <f>IF(ISNA(VLOOKUP(A3,'Données projet'!$A$217:$I$237,4,0)),0,VLOOKUP(A3,'Données projet'!$A$217:$I$237,4,0))</f>
        <v>0</v>
      </c>
      <c r="FN3" s="16">
        <f>IF(ISNA(VLOOKUP(A3,'Données projet'!$A$217:$I$237,5,0)),0%,VLOOKUP(A3,'Données projet'!$A$217:$I$237,5,0)*VLOOKUP('Données projet'!$B$16,Paramètres!$A$1:$I$89,7,0))</f>
        <v>0</v>
      </c>
      <c r="FO3" s="16">
        <f>IF(ISNA(VLOOKUP(A3,'Données projet'!$A$217:$I$237,6,0)),0%,VLOOKUP(A3,'Données projet'!$A$217:$I$237,6,0)*VLOOKUP('Données projet'!$B$16,Paramètres!$A$1:$I$89,7,0))</f>
        <v>0</v>
      </c>
      <c r="FP3" s="16">
        <f>IF(ISNA(VLOOKUP(A3,'Données projet'!$A$217:$I$237,7,0)),0%,VLOOKUP(A3,'Données projet'!$A$217:$I$237,7,0))</f>
        <v>0</v>
      </c>
      <c r="FQ3" s="15">
        <v>0</v>
      </c>
      <c r="FR3" s="15">
        <v>0</v>
      </c>
      <c r="FS3" s="15">
        <v>0</v>
      </c>
      <c r="FT3" s="18">
        <f>SUM(FQ3:FS3)</f>
        <v>0</v>
      </c>
      <c r="FU3" s="75">
        <f>('Scénario référence'!$F$8+'Scénario référence'!$F$9+'Scénario référence'!$B$17+'Scénario référence'!$B$9+'Scénario référence'!$B$10)*70+IF((45+25*(1-EXP(-0.0175*A3)))&lt;70,'Scénario référence'!$B$16*(45+25*(1-EXP(-0.0175*A3))),70*'Scénario référence'!$B$16)+IF((32+38*(1-EXP(-0.0175*A3)))&lt;70,'Scénario référence'!$B$18*(32+38*(1-EXP(-0.0175*A3))),70*'Scénario référence'!$B$18)</f>
        <v>70</v>
      </c>
      <c r="FV3" s="12">
        <f>IF(A3&gt;30,10,('Scénario référence'!$B$16+'Scénario référence'!$B$17+'Scénario référence'!$B$18+'Scénario référence'!$B$9+'Scénario référence'!$B$10)*A3*10/30+('Scénario référence'!$F$8+'Scénario référence'!$F$9)*10)</f>
        <v>10</v>
      </c>
      <c r="FW3" s="12">
        <v>0</v>
      </c>
      <c r="FX3" s="12" t="e">
        <f>VLOOKUP(A3,'Données projet'!$A$243:$I$263,9,0)</f>
        <v>#N/A</v>
      </c>
      <c r="FY3" s="12">
        <v>0</v>
      </c>
      <c r="FZ3" s="12">
        <v>0</v>
      </c>
      <c r="GA3" s="17">
        <f>FZ3*VLOOKUP('Données projet'!$B$17,Paramètres!$A$1:$I$89,3,0)*VLOOKUP('Données projet'!$B$17,Paramètres!$A$1:$I$89,5,0)</f>
        <v>0</v>
      </c>
      <c r="GB3" s="12">
        <v>0</v>
      </c>
      <c r="GC3" s="14">
        <f>(GA3+GB3)*0.475*44/12</f>
        <v>0</v>
      </c>
      <c r="GD3" s="59">
        <f>GC3+(FU3+FV3)*44/12</f>
        <v>293.33333333333331</v>
      </c>
      <c r="GE3" s="59">
        <f ca="1">AVERAGE(OFFSET($GD$3,0,0,'Données projet'!$E$17+1,1))-AVERAGE(OFFSET($H$3,0,0,'Données projet'!$E$17+1,1))</f>
        <v>286.77702855541287</v>
      </c>
      <c r="GF3" s="59">
        <f>IF('Données projet'!E17&gt;30,$GD$33-$H$33,LOOKUP('Données projet'!$E$17,$A$3:$A$203,GD3:GD203)-LOOKUP('Données projet'!$E$17,$A$3:$A$203,$H$3:$H$203))</f>
        <v>227.12211541860779</v>
      </c>
      <c r="GG3" s="15">
        <f>IF(ISNA(VLOOKUP(A3,'Données projet'!$A$243:$I$263,3,0)),0,VLOOKUP(A3,'Données projet'!$A$243:$I$263,3,0))</f>
        <v>0</v>
      </c>
      <c r="GH3" s="15">
        <f>IF(ISNA(VLOOKUP(A3,'Données projet'!$A$243:$I$263,4,0)),0,VLOOKUP(A3,'Données projet'!$A$243:$I$263,4,0))</f>
        <v>0</v>
      </c>
      <c r="GI3" s="16">
        <f>IF(ISNA(VLOOKUP(A3,'Données projet'!$A$243:$I$263,5,0)),0%,VLOOKUP(A3,'Données projet'!$A$243:$I$263,5,0)*VLOOKUP('Données projet'!$B$17,Paramètres!$A$1:$I$89,7,0))</f>
        <v>0</v>
      </c>
      <c r="GJ3" s="16">
        <f>IF(ISNA(VLOOKUP(A3,'Données projet'!$A$243:$I$263,6,0)),0%,VLOOKUP(A3,'Données projet'!$A$243:$I$263,6,0)*VLOOKUP('Données projet'!$B$17,Paramètres!$A$1:$I$89,7,0))</f>
        <v>0</v>
      </c>
      <c r="GK3" s="16">
        <f>IF(ISNA(VLOOKUP(A3,'Données projet'!$A$243:$I$263,7,0)),0%,VLOOKUP(A3,'Données projet'!$A$243:$I$263,7,0))</f>
        <v>0</v>
      </c>
      <c r="GL3" s="15">
        <v>0</v>
      </c>
      <c r="GM3" s="15">
        <v>0</v>
      </c>
      <c r="GN3" s="15">
        <v>0</v>
      </c>
      <c r="GO3" s="15">
        <f>SUM(GL3:GN3)</f>
        <v>0</v>
      </c>
      <c r="GP3" s="75">
        <f>('Scénario référence'!$F$8+'Scénario référence'!$F$9+'Scénario référence'!$B$17+'Scénario référence'!$B$9+'Scénario référence'!$B$10)*70+IF((45+25*(1-EXP(-0.0175*A3)))&lt;70,'Scénario référence'!$B$16*(45+25*(1-EXP(-0.0175*A3))),70*'Scénario référence'!$B$16)+IF((32+38*(1-EXP(-0.0175*A3)))&lt;70,'Scénario référence'!$B$18*(32+38*(1-EXP(-0.0175*A3))),70*'Scénario référence'!$B$18)</f>
        <v>70</v>
      </c>
      <c r="GQ3" s="12">
        <f>IF(A3&gt;30,10,('Scénario référence'!$B$16+'Scénario référence'!$B$17+'Scénario référence'!$B$18+'Scénario référence'!$B$9+'Scénario référence'!$B$10)*A3*10/30+('Scénario référence'!$F$8+'Scénario référence'!$F$9)*10)</f>
        <v>10</v>
      </c>
      <c r="GR3" s="12">
        <v>0</v>
      </c>
      <c r="GS3" s="12" t="e">
        <f>VLOOKUP(A3,'Données projet'!$A$269:$I$289,9,0)</f>
        <v>#N/A</v>
      </c>
      <c r="GT3" s="12">
        <v>0</v>
      </c>
      <c r="GU3" s="12">
        <v>0</v>
      </c>
      <c r="GV3" s="17">
        <f>GU3*VLOOKUP('Données projet'!$B$18,Paramètres!$A$1:$I$89,3,0)*VLOOKUP('Données projet'!$B$18,Paramètres!$A$1:$I$89,5,0)</f>
        <v>0</v>
      </c>
      <c r="GW3" s="12">
        <v>0</v>
      </c>
      <c r="GX3" s="14">
        <f>(GV3+GW3)*0.475*44/12</f>
        <v>0</v>
      </c>
      <c r="GY3" s="59">
        <f>GX3+(GP3+GQ3)*44/12</f>
        <v>293.33333333333331</v>
      </c>
      <c r="GZ3" s="59">
        <f ca="1">AVERAGE(OFFSET($GY$3,0,0,'Données projet'!$E$18+1,1))-AVERAGE(OFFSET($H$3,0,0,'Données projet'!$E$18+1,1))</f>
        <v>286.77702855541287</v>
      </c>
      <c r="HA3" s="59">
        <f>IF('Données projet'!E18&gt;30,$GY$33-$H$33,LOOKUP('Données projet'!$E$18,$A$3:$A$203,GY3:GY203)-LOOKUP('Données projet'!$E$18,$A$3:$A$203,$H$3:$H$203))</f>
        <v>227.12211541860779</v>
      </c>
      <c r="HB3" s="15">
        <f>IF(ISNA(VLOOKUP(A3,'Données projet'!$A$269:$I$289,3,0)),0,VLOOKUP(A3,'Données projet'!$A$269:$I$289,3,0))</f>
        <v>0</v>
      </c>
      <c r="HC3" s="15">
        <f>IF(ISNA(VLOOKUP(A3,'Données projet'!$A$269:$I$289,4,0)),0,VLOOKUP(A3,'Données projet'!$A$269:$I$289,4,0))</f>
        <v>0</v>
      </c>
      <c r="HD3" s="16">
        <f>IF(ISNA(VLOOKUP(A3,'Données projet'!$A$269:$I$289,5,0)),0%,VLOOKUP(A3,'Données projet'!$A$269:$I$289,5,0)*VLOOKUP('Données projet'!$B$18,Paramètres!$A$1:$I$89,7,0))</f>
        <v>0</v>
      </c>
      <c r="HE3" s="16">
        <f>IF(ISNA(VLOOKUP(A3,'Données projet'!$A$269:$I$289,6,0)),0%,VLOOKUP(A3,'Données projet'!$A$269:$I$289,6,0)*VLOOKUP('Données projet'!$B$18,Paramètres!$A$1:$I$89,7,0))</f>
        <v>0</v>
      </c>
      <c r="HF3" s="16">
        <f>IF(ISNA(VLOOKUP(A3,'Données projet'!$A$269:$I$289,7,0)),0%,VLOOKUP(A3,'Données projet'!$A$269:$I$289,7,0))</f>
        <v>0</v>
      </c>
      <c r="HG3" s="15">
        <v>0</v>
      </c>
      <c r="HH3" s="15">
        <v>0</v>
      </c>
      <c r="HI3" s="15">
        <v>0</v>
      </c>
      <c r="HJ3" s="18">
        <f>SUM(HG3:HI3)</f>
        <v>0</v>
      </c>
    </row>
    <row r="4" spans="1:218" x14ac:dyDescent="0.25">
      <c r="A4" s="10">
        <f>A3+1</f>
        <v>1</v>
      </c>
      <c r="B4" s="73">
        <f>'Scénario référence'!$B$16*5+'Scénario référence'!$B$17*0+'Scénario référence'!$B$18*5</f>
        <v>0</v>
      </c>
      <c r="C4" s="19">
        <f>Calculateur!C3+'Scénario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0.88919999999999999</v>
      </c>
      <c r="D4" s="11">
        <f>IFERROR(EXP(-1.0587+0.8836*LN(C4)+0.284),0)</f>
        <v>0.41542055579923082</v>
      </c>
      <c r="E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4" s="11">
        <f>IF(OR('Scénario référence'!$F$8&gt;0,'Scénario référence'!$F$9&gt;0),('Scénario référence'!$F$8+'Scénario référence'!$F$9)*10,0)</f>
        <v>10</v>
      </c>
      <c r="G4" s="11">
        <f>'Scénario référence'!$B$8*B4*44/12+'Scénario référence'!$B$9*(C4+D4)/0.475*44/12+'Scénario référence'!$B$10*(C4+D4)/0.475*44/12+'Scénario référence'!$F$8*(C4+D4)/0.475*44/12+'Scénario référence'!$F$9*(C4+D4)/0.475*44/12</f>
        <v>10.07075516757301</v>
      </c>
      <c r="H4" s="67">
        <f t="shared" ref="H4:H67" si="1">(B4+E4+F4)*44/12+(C4+D4)*0.475*44/12</f>
        <v>295.60554746801699</v>
      </c>
      <c r="I4" s="70">
        <f>('Scénario référence'!$F$8+'Scénario référence'!$F$9+'Scénario référence'!$B$17+'Scénario référence'!$B$9+'Scénario référence'!$B$10)*70+IF((45+25*(1-EXP(-0.0175*A4)))&lt;70,'Scénario référence'!$B$16*(45+25*(1-EXP(-0.0175*A4))),70*'Scénario référence'!$B$16)+IF((32+38*(1-EXP(-0.0175*A4)))&lt;70,'Scénario référence'!$B$18*(32+38*(1-EXP(-0.0175*A4))),70*'Scénario référence'!$B$18)</f>
        <v>70</v>
      </c>
      <c r="J4" s="13">
        <f>IF(A4&gt;30,10,('Scénario référence'!$B$16+'Scénario référence'!$B$17+'Scénario référence'!$B$18+'Scénario référence'!$B$9+'Scénario référence'!$B$10)*A4*10/30+('Scénario référence'!$F$8+'Scénario référence'!$F$9)*10)</f>
        <v>10</v>
      </c>
      <c r="K4" s="12" t="e">
        <f>VLOOKUP(A4,'Données projet'!$A$35:$I$55,2,0)</f>
        <v>#N/A</v>
      </c>
      <c r="L4" s="12" t="e">
        <f>VLOOKUP(A4,'Données projet'!$A$35:$I$55,9,0)</f>
        <v>#N/A</v>
      </c>
      <c r="M4" s="12">
        <f t="array" ref="M4">INDEX(L:L,MIN(IF(ISNUMBER(L4:L200),ROW(L4:L200),"")))</f>
        <v>9.3968325791855207</v>
      </c>
      <c r="N4" s="13">
        <f>IF('Données projet'!$A$36&gt;35,N3+M4-V3,IF(A4&lt;'Données projet'!$A$36,$K$205^A4,IF(A4='Données projet'!$A$36,'Données projet'!$B$36,N3+M4-V3)))</f>
        <v>1.3477630745024085</v>
      </c>
      <c r="O4" s="13">
        <f>N4*VLOOKUP('Données projet'!$B$9,Paramètres!$A$1:$I$89,3,0)*VLOOKUP('Données projet'!$B$9,Paramètres!$A$1:$I$89,5,0)</f>
        <v>0.75339955864684627</v>
      </c>
      <c r="P4" s="13">
        <f>EXP(-1.0587+0.8836*LN(O4)+0.284)</f>
        <v>0.3588324201756754</v>
      </c>
      <c r="Q4" s="20">
        <f t="shared" ref="Q4:Q34" si="2">(O4+P4)*0.475*44/12</f>
        <v>1.9371373631158919</v>
      </c>
      <c r="R4" s="59">
        <f t="shared" si="0"/>
        <v>295.27047069644919</v>
      </c>
      <c r="S4" s="59">
        <f ca="1">AVERAGE(OFFSET($R$3,0,0,'Données projet'!$E$9+1,1))-AVERAGE(OFFSET($H$3,0,0,'Données projet'!$E$9+1,1))</f>
        <v>255.5374979188561</v>
      </c>
      <c r="T4" s="59">
        <f>$T$3</f>
        <v>343.10418468620901</v>
      </c>
      <c r="U4" s="15">
        <f>IF(ISNA(VLOOKUP(A4,'Données projet'!$A$35:$I$55,3,0)),0,VLOOKUP(A4,'Données projet'!$A$35:$I$55,3,0))</f>
        <v>0</v>
      </c>
      <c r="V4" s="15">
        <f>IF(ISNA(VLOOKUP(A4,'Données projet'!$A$35:$I$55,4,0)),0,VLOOKUP(A4,'Données projet'!$A$35:$I$55,4,0))</f>
        <v>0</v>
      </c>
      <c r="W4" s="16">
        <f>IF(ISNA(VLOOKUP(A4,'Données projet'!$A$35:$I$55,5,0)),0%,VLOOKUP(A4,'Données projet'!$A$35:$I$55,5,0)*VLOOKUP('Données projet'!$B$9,Paramètres!$A$1:$I$89,7,0))</f>
        <v>0</v>
      </c>
      <c r="X4" s="16">
        <f>IF(ISNA(VLOOKUP(A4,'Données projet'!$A$35:$I$55,6,0)),0%,VLOOKUP(A4,'Données projet'!$A$35:$I$55,6,0)*VLOOKUP('Données projet'!$B$9,Paramètres!$A$1:$I$89,7,0))</f>
        <v>0</v>
      </c>
      <c r="Y4" s="16">
        <f>IF(ISNA(VLOOKUP(A4,'Données projet'!$A$35:$I$55,7,0)),0%,VLOOKUP(A4,'Données projet'!$A$35:$I$55,7,0))</f>
        <v>0</v>
      </c>
      <c r="Z4" s="21">
        <f>EXP(-LN(2)/35)*Z3+(1-EXP(-LN(2)/35))/(LN(2)/35)*V4*W4*VLOOKUP('Données projet'!$B$9,Paramètres!$A$1:$I$89,3,0)*0.475*44/12</f>
        <v>0</v>
      </c>
      <c r="AA4" s="21">
        <f>EXP(-LN(2)/25)*AA3+(1-EXP(-LN(2)/25))/(LN(2)/25)*Calculateur!V4*Calculateur!X4*VLOOKUP('Données projet'!$B$9,Paramètres!$A$1:$I$89,3,0)*0.475*44/12</f>
        <v>0</v>
      </c>
      <c r="AB4" s="21">
        <f>EXP(-LN(2)/2)*AB3+(1-EXP(-LN(2)/2))/(LN(2)/2)*V4*Y4*VLOOKUP('Données projet'!$B$9,Paramètres!$A$1:$I$89,3,0)*0.475*44/12</f>
        <v>0</v>
      </c>
      <c r="AC4" s="22">
        <f t="shared" ref="AC4:AC67" si="3">SUM(Z4:AB4)</f>
        <v>0</v>
      </c>
      <c r="AD4" s="13">
        <f>('Scénario référence'!$F$8+'Scénario référence'!$F$9+'Scénario référence'!$B$17+'Scénario référence'!$B$9+'Scénario référence'!$B$10)*70+IF((45+25*(1-EXP(-0.0175*A4)))&lt;70,'Scénario référence'!$B$16*(45+25*(1-EXP(-0.0175*A4))),70*'Scénario référence'!$B$16)+IF((32+38*(1-EXP(-0.0175*A4)))&lt;70,'Scénario référence'!$B$18*(32+38*(1-EXP(-0.0175*A4))),70*'Scénario référence'!$B$18)</f>
        <v>70</v>
      </c>
      <c r="AE4" s="13">
        <f>IF(A4&gt;30,10,('Scénario référence'!$B$16+'Scénario référence'!$B$17+'Scénario référence'!$B$18+'Scénario référence'!$B$9+'Scénario référence'!$B$10)*A4*10/30+('Scénario référence'!$F$8+'Scénario référence'!$F$9)*10)</f>
        <v>10</v>
      </c>
      <c r="AF4" s="12" t="e">
        <f>VLOOKUP(A4,'Données projet'!$A$61:$I$81,2,0)</f>
        <v>#N/A</v>
      </c>
      <c r="AG4" s="12" t="e">
        <f>VLOOKUP(A4,'Données projet'!$A$61:$I$81,9,0)</f>
        <v>#N/A</v>
      </c>
      <c r="AH4" s="12">
        <f t="array" ref="AH4">INDEX(AG:AG,MIN(IF(ISNUMBER(AG4:AG200),ROW(AG4:AG200),"")))</f>
        <v>2.6</v>
      </c>
      <c r="AI4" s="13">
        <f>IF('Données projet'!$A$62&gt;35,AI3+AH4-AQ3,IF(A4&lt;'Données projet'!$A$62,$AF$205^A4,IF(A4='Données projet'!$A$62,'Données projet'!$B$62,AI3+AH4-AQ3)))</f>
        <v>1.3851516854212416</v>
      </c>
      <c r="AJ4" s="13">
        <f>AI4*VLOOKUP('Données projet'!$B$10,Paramètres!$A$1:$I$89,3,0)*VLOOKUP('Données projet'!$B$10,Paramètres!$A$1:$I$89,5,0)</f>
        <v>0.86433465170285473</v>
      </c>
      <c r="AK4" s="13">
        <f>EXP(-1.0587+0.8836*LN(AJ4)+0.284)</f>
        <v>0.40513915069726447</v>
      </c>
      <c r="AL4" s="20">
        <f t="shared" ref="AL4:AL67" si="4">(AJ4+AK4)*0.475*44/12</f>
        <v>2.2110002058468745</v>
      </c>
      <c r="AM4" s="59">
        <f t="shared" ref="AM4:AM67" si="5">AL4+(AD4+AE4)*44/12</f>
        <v>295.54433353918017</v>
      </c>
      <c r="AN4" s="59">
        <f ca="1">AVERAGE(OFFSET($AM$3,0,0,'Données projet'!$E$10+1,1))-AVERAGE(OFFSET($H$3,0,0,'Données projet'!$E$10+1,1))</f>
        <v>261.78489480911571</v>
      </c>
      <c r="AO4" s="59">
        <f>$AO$3</f>
        <v>297.50513563712764</v>
      </c>
      <c r="AP4" s="15">
        <f>IF(ISNA(VLOOKUP(A4,'Données projet'!$A$61:$I$81,3,0)),0,VLOOKUP(A4,'Données projet'!$A$61:$I$81,3,0))</f>
        <v>0</v>
      </c>
      <c r="AQ4" s="15">
        <f>IF(ISNA(VLOOKUP(A4,'Données projet'!$A$61:$I$81,4,0)),0,VLOOKUP(A4,'Données projet'!$A$61:$I$81,4,0))</f>
        <v>0</v>
      </c>
      <c r="AR4" s="16">
        <f>IF(ISNA(VLOOKUP(A4,'Données projet'!$A$61:$I$81,5,0)),0%,VLOOKUP(A4,'Données projet'!$A$61:$I$81,5,0)*VLOOKUP('Données projet'!$B$10,Paramètres!$A$1:$I$89,7,0))</f>
        <v>0</v>
      </c>
      <c r="AS4" s="16">
        <f>IF(ISNA(VLOOKUP(A4,'Données projet'!$A$61:$I$81,6,0)),0%,VLOOKUP(A4,'Données projet'!$A$61:$I$81,6,0)*VLOOKUP('Données projet'!$B$10,Paramètres!$A$1:$I$89,7,0))</f>
        <v>0</v>
      </c>
      <c r="AT4" s="16">
        <f>IF(ISNA(VLOOKUP(A4,'Données projet'!$A$61:$I$81,7,0)),0%,VLOOKUP(A4,'Données projet'!$A$61:$I$81,7,0))</f>
        <v>0</v>
      </c>
      <c r="AU4" s="21">
        <f>EXP(-LN(2)/35)*AU3+(1-EXP(-LN(2)/35))/(LN(2)/35)*AQ4*AR4*VLOOKUP('Données projet'!$B$10,Paramètres!$A$1:$I$89,3,0)*0.475*44/12</f>
        <v>0</v>
      </c>
      <c r="AV4" s="21">
        <f>EXP(-LN(2)/25)*AV3+(1-EXP(-LN(2)/25))/(LN(2)/25)*Calculateur!AQ4*Calculateur!AS4*VLOOKUP('Données projet'!$B$10,Paramètres!$A$1:$I$89,3,0)*0.475*44/12</f>
        <v>0</v>
      </c>
      <c r="AW4" s="21">
        <f>EXP(-LN(2)/2)*AW3+(1-EXP(-LN(2)/2))/(LN(2)/2)*AQ4*AT4*VLOOKUP('Données projet'!$B$10,Paramètres!$A$1:$I$89,3,0)*0.475*44/12</f>
        <v>0</v>
      </c>
      <c r="AX4" s="21">
        <f t="shared" ref="AX4:AX67" si="6">SUM(AU4:AW4)</f>
        <v>0</v>
      </c>
      <c r="AY4" s="74">
        <f>('Scénario référence'!$F$8+'Scénario référence'!$F$9+'Scénario référence'!$B$17+'Scénario référence'!$B$9+'Scénario référence'!$B$10)*70+IF((45+25*(1-EXP(-0.0175*A4)))&lt;70,'Scénario référence'!$B$16*(45+25*(1-EXP(-0.0175*A4))),70*'Scénario référence'!$B$16)+IF((32+38*(1-EXP(-0.0175*A4)))&lt;70,'Scénario référence'!$B$18*(32+38*(1-EXP(-0.0175*A4))),70*'Scénario référence'!$B$18)</f>
        <v>70</v>
      </c>
      <c r="AZ4" s="12">
        <f>IF(A4&gt;30,10,('Scénario référence'!$B$16+'Scénario référence'!$B$17+'Scénario référence'!$B$18+'Scénario référence'!$B$9+'Scénario référence'!$B$10)*A4*10/30+('Scénario référence'!$F$8+'Scénario référence'!$F$9)*10)</f>
        <v>10</v>
      </c>
      <c r="BA4" s="12" t="e">
        <f>VLOOKUP(A4,'Données projet'!$A$87:$I$107,2,0)</f>
        <v>#N/A</v>
      </c>
      <c r="BB4" s="12" t="e">
        <f>VLOOKUP(A4,'Données projet'!$A$87:$I$107,9,0)</f>
        <v>#N/A</v>
      </c>
      <c r="BC4" s="12">
        <f t="array" ref="BC4">INDEX(BB:BB,MIN(IF(ISNUMBER(BB4:BB200),ROW(BB4:BB200),"")))</f>
        <v>5.3</v>
      </c>
      <c r="BD4" s="12">
        <f>IF('Données projet'!$A$88&gt;35,BD3+BC4-BL3,IF(A4&lt;'Données projet'!$A$88,$BA$205^A4,IF(A4='Données projet'!$A$88,'Données projet'!$B$88,BD3+BC4-BL3)))</f>
        <v>1.2625985704272813</v>
      </c>
      <c r="BE4" s="13">
        <f>BD4*VLOOKUP('Données projet'!$B$11,Paramètres!$A$1:$I$89,3,0)*VLOOKUP('Données projet'!$B$11,Paramètres!$A$1:$I$89,5,0)</f>
        <v>0.75503394511551425</v>
      </c>
      <c r="BF4" s="13">
        <f>EXP(-1.0587+0.8836*LN(BE4)+0.284)</f>
        <v>0.35952015653689401</v>
      </c>
      <c r="BG4" s="20">
        <f t="shared" ref="BG4:BG67" si="7">(BE4+BF4)*0.475*44/12</f>
        <v>1.9411817270446112</v>
      </c>
      <c r="BH4" s="59">
        <f t="shared" ref="BH4:BH67" si="8">BG4+(AY4+AZ4)*44/12</f>
        <v>295.27451506037795</v>
      </c>
      <c r="BI4" s="59">
        <f ca="1">AVERAGE(OFFSET($BH$3,0,0,'Données projet'!$E$11+1,1))-AVERAGE(OFFSET($H$3,0,0,'Données projet'!$E$11+1,1))</f>
        <v>316.58509520829671</v>
      </c>
      <c r="BJ4" s="59">
        <f>$BJ$3</f>
        <v>240.71332110643596</v>
      </c>
      <c r="BK4" s="15">
        <f>IF(ISNA(VLOOKUP(A4,'Données projet'!$A$87:$I$107,3,0)),0,VLOOKUP(A4,'Données projet'!$A$87:$I$107,3,0))</f>
        <v>0</v>
      </c>
      <c r="BL4" s="15">
        <f>IF(ISNA(VLOOKUP(A4,'Données projet'!$A$87:$I$107,4,0)),0,VLOOKUP(A4,'Données projet'!$A$87:$I$107,4,0))</f>
        <v>0</v>
      </c>
      <c r="BM4" s="16">
        <f>IF(ISNA(VLOOKUP(A4,'Données projet'!$A$87:$I$107,5,0)),0%,VLOOKUP(A4,'Données projet'!$A$87:$I$107,5,0)*VLOOKUP('Données projet'!$B$11,Paramètres!$A$1:$I$89,7,0))</f>
        <v>0</v>
      </c>
      <c r="BN4" s="16">
        <f>IF(ISNA(VLOOKUP(A4,'Données projet'!$A$87:$I$107,6,0)),0%,VLOOKUP(A4,'Données projet'!$A$87:$I$107,6,0)*VLOOKUP('Données projet'!$B$11,Paramètres!$A$1:$I$89,7,0))</f>
        <v>0</v>
      </c>
      <c r="BO4" s="16">
        <f>IF(ISNA(VLOOKUP(A4,'Données projet'!$A$87:$I$107,7,0)),0%,VLOOKUP(A4,'Données projet'!$A$87:$I$107,7,0))</f>
        <v>0</v>
      </c>
      <c r="BP4" s="21">
        <f>EXP(-LN(2)/35)*BP3+(1-EXP(-LN(2)/35))/(LN(2)/35)*BL4*BM4*VLOOKUP('Données projet'!$B$11,Paramètres!$A$1:$I$89,3,0)*0.475*44/12</f>
        <v>0</v>
      </c>
      <c r="BQ4" s="21">
        <f>EXP(-LN(2)/25)*BQ3+(1-EXP(-LN(2)/25))/(LN(2)/25)*Calculateur!BL4*Calculateur!BN4*VLOOKUP('Données projet'!$B$11,Paramètres!$A$1:$I$89,3,0)*0.475*44/12</f>
        <v>0</v>
      </c>
      <c r="BR4" s="21">
        <f>EXP(-LN(2)/2)*BR3+(1-EXP(-LN(2)/2))/(LN(2)/2)*BL4*BO4*VLOOKUP('Données projet'!$B$11,Paramètres!$A$1:$I$89,3,0)*0.475*44/12</f>
        <v>0</v>
      </c>
      <c r="BS4" s="22">
        <f t="shared" ref="BS4:BS67" si="9">SUM(BP4:BR4)</f>
        <v>0</v>
      </c>
      <c r="BT4" s="75">
        <f>('Scénario référence'!$F$8+'Scénario référence'!$F$9+'Scénario référence'!$B$17+'Scénario référence'!$B$9+'Scénario référence'!$B$10)*70+IF((45+25*(1-EXP(-0.0175*A4)))&lt;70,'Scénario référence'!$B$16*(45+25*(1-EXP(-0.0175*A4))),70*'Scénario référence'!$B$16)+IF((32+38*(1-EXP(-0.0175*A4)))&lt;70,'Scénario référence'!$B$18*(32+38*(1-EXP(-0.0175*A4))),70*'Scénario référence'!$B$18)</f>
        <v>70</v>
      </c>
      <c r="BU4" s="12">
        <f>IF(A4&gt;30,10,('Scénario référence'!$B$16+'Scénario référence'!$B$17+'Scénario référence'!$B$18+'Scénario référence'!$B$9+'Scénario référence'!$B$10)*A4*10/30+('Scénario référence'!$F$8+'Scénario référence'!$F$9)*10)</f>
        <v>10</v>
      </c>
      <c r="BV4" s="12" t="e">
        <f>VLOOKUP(A4,'Données projet'!$A$113:$I$133,2,0)</f>
        <v>#N/A</v>
      </c>
      <c r="BW4" s="12" t="e">
        <f>VLOOKUP(A4,'Données projet'!$A$113:$I$133,9,0)</f>
        <v>#N/A</v>
      </c>
      <c r="BX4" s="12">
        <f t="array" ref="BX4">INDEX(BW:BW,MIN(IF(ISNUMBER(BW4:BW200),ROW(BW4:BW200),"")))</f>
        <v>3.2</v>
      </c>
      <c r="BY4" s="12">
        <f>IF('Données projet'!$A$114&gt;35,BY3+BX4-CG3,IF(A4&lt;'Données projet'!$A$114,$BV$205^A4,IF(A4='Données projet'!$A$114,'Données projet'!$B$114,BY3+BX4-CG3)))</f>
        <v>1.2944424571091924</v>
      </c>
      <c r="BZ4" s="13">
        <f>BY4*VLOOKUP('Données projet'!$B$12,Paramètres!$A$1:$I$89,3,0)*VLOOKUP('Données projet'!$B$12,Paramètres!$A$1:$I$89,5,0)</f>
        <v>0.74042108546645802</v>
      </c>
      <c r="CA4" s="13">
        <f>EXP(-1.0587+0.8836*LN(BZ4)+0.284)</f>
        <v>0.35336498506760139</v>
      </c>
      <c r="CB4" s="20">
        <f t="shared" ref="CB4:CB67" si="10">(BZ4+CA4)*0.475*44/12</f>
        <v>1.9050107395134865</v>
      </c>
      <c r="CC4" s="59">
        <f t="shared" ref="CC4:CC67" si="11">CB4+(BT4+BU4)*44/12</f>
        <v>295.23834407284681</v>
      </c>
      <c r="CD4" s="59">
        <f ca="1">AVERAGE(OFFSET($CC$3,0,0,'Données projet'!$E$12+1,1))-AVERAGE(OFFSET($H$3,0,0,'Données projet'!$E$12+1,1))</f>
        <v>188.64374818906128</v>
      </c>
      <c r="CE4" s="59">
        <f>$CE$3</f>
        <v>211.95157880548652</v>
      </c>
      <c r="CF4" s="15">
        <f>IF(ISNA(VLOOKUP(A4,'Données projet'!$A$113:$I$133,3,0)),0,VLOOKUP(A4,'Données projet'!$A$113:$I$133,3,0))</f>
        <v>0</v>
      </c>
      <c r="CG4" s="15">
        <f>IF(ISNA(VLOOKUP(A4,'Données projet'!$A$113:$I$133,4,0)),0,VLOOKUP(A4,'Données projet'!$A$113:$I$133,4,0))</f>
        <v>0</v>
      </c>
      <c r="CH4" s="16">
        <f>IF(ISNA(VLOOKUP(A4,'Données projet'!$A$113:$I$133,5,0)),0%,VLOOKUP(A4,'Données projet'!$A$113:$I$133,5,0)*VLOOKUP('Données projet'!$B$12,Paramètres!$A$1:$I$89,7,0))</f>
        <v>0</v>
      </c>
      <c r="CI4" s="16">
        <f>IF(ISNA(VLOOKUP(A4,'Données projet'!$A$113:$I$133,6,0)),0%,VLOOKUP(A4,'Données projet'!$A$113:$I$133,6,0)*VLOOKUP('Données projet'!$B$12,Paramètres!$A$1:$I$89,7,0))</f>
        <v>0</v>
      </c>
      <c r="CJ4" s="16">
        <f>IF(ISNA(VLOOKUP(A4,'Données projet'!$A$113:$I$133,7,0)),0%,VLOOKUP(A4,'Données projet'!$A$113:$I$133,7,0))</f>
        <v>0</v>
      </c>
      <c r="CK4" s="21">
        <f>EXP(-LN(2)/35)*CK3+(1-EXP(-LN(2)/35))/(LN(2)/35)*CG4*CH4*VLOOKUP('Données projet'!$B$12,Paramètres!$A$1:$I$89,3,0)*0.475*44/12</f>
        <v>0</v>
      </c>
      <c r="CL4" s="21">
        <f>EXP(-LN(2)/25)*CL3+(1-EXP(-LN(2)/25))/(LN(2)/25)*Calculateur!CG4*Calculateur!CI4*VLOOKUP('Données projet'!$B$12,Paramètres!$A$1:$I$89,3,0)*0.475*44/12</f>
        <v>0</v>
      </c>
      <c r="CM4" s="21">
        <f>EXP(-LN(2)/2)*CM3+(1-EXP(-LN(2)/2))/(LN(2)/2)*CG4*CJ4*VLOOKUP('Données projet'!$B$12,Paramètres!$A$1:$I$89,3,0)*0.475*44/12</f>
        <v>0</v>
      </c>
      <c r="CN4" s="22">
        <f t="shared" ref="CN4:CN67" si="12">SUM(CK4:CM4)</f>
        <v>0</v>
      </c>
      <c r="CO4" s="75">
        <f>('Scénario référence'!$F$8+'Scénario référence'!$F$9+'Scénario référence'!$B$17+'Scénario référence'!$B$9+'Scénario référence'!$B$10)*70+IF((45+25*(1-EXP(-0.0175*A4)))&lt;70,'Scénario référence'!$B$16*(45+25*(1-EXP(-0.0175*A4))),70*'Scénario référence'!$B$16)+IF((32+38*(1-EXP(-0.0175*A4)))&lt;70,'Scénario référence'!$B$18*(32+38*(1-EXP(-0.0175*A4))),70*'Scénario référence'!$B$18)</f>
        <v>70</v>
      </c>
      <c r="CP4" s="12">
        <f>IF(A4&gt;30,10,('Scénario référence'!$B$16+'Scénario référence'!$B$17+'Scénario référence'!$B$18+'Scénario référence'!$B$9+'Scénario référence'!$B$10)*A4*10/30+('Scénario référence'!$F$8+'Scénario référence'!$F$9)*10)</f>
        <v>10</v>
      </c>
      <c r="CQ4" s="12" t="e">
        <f>VLOOKUP(A4,'Données projet'!$A$139:$I$159,2,0)</f>
        <v>#N/A</v>
      </c>
      <c r="CR4" s="12" t="e">
        <f>VLOOKUP(A4,'Données projet'!$A$139:$I$159,9,0)</f>
        <v>#N/A</v>
      </c>
      <c r="CS4" s="12">
        <f t="array" ref="CS4">INDEX(CR:CR,MIN(IF(ISNUMBER(CR4:CR200),ROW(CR4:CR200),"")))</f>
        <v>0</v>
      </c>
      <c r="CT4" s="12">
        <f>IF('Données projet'!$A$140&gt;35,CT3+CS4-DB3,IF(A4&lt;'Données projet'!$A$140,$CQ$205^A4,IF(A4='Données projet'!$A$140,'Données projet'!$B$140,CT3+CS4-DB3)))</f>
        <v>0</v>
      </c>
      <c r="CU4" s="17" t="e">
        <f>CT4*VLOOKUP('Données projet'!$B$13,Paramètres!$A$1:$I$89,3,0)*VLOOKUP('Données projet'!$B$13,Paramètres!$A$1:$I$89,5,0)</f>
        <v>#N/A</v>
      </c>
      <c r="CV4" s="13" t="e">
        <f>EXP(-1.0587+0.8836*LN(CU4)+0.284)</f>
        <v>#N/A</v>
      </c>
      <c r="CW4" s="20" t="e">
        <f t="shared" ref="CW4:CW67" si="13">(CU4+CV4)*0.475*44/12</f>
        <v>#N/A</v>
      </c>
      <c r="CX4" s="59" t="e">
        <f t="shared" ref="CX4:CX67" si="14">CW4+(CO4+CP4)*44/12</f>
        <v>#N/A</v>
      </c>
      <c r="CY4" s="59" t="e">
        <f ca="1">AVERAGE(OFFSET($CX$3,0,0,'Données projet'!$E$13+1,1))-AVERAGE(OFFSET($H$3,0,0,'Données projet'!$E$13+1,1))</f>
        <v>#N/A</v>
      </c>
      <c r="CZ4" s="59" t="e">
        <f>$CZ$3</f>
        <v>#N/A</v>
      </c>
      <c r="DA4" s="15">
        <f>IF(ISNA(VLOOKUP(A4,'Données projet'!$A$139:$I$159,3,0)),0,VLOOKUP(A4,'Données projet'!$A$139:$I$159,3,0))</f>
        <v>0</v>
      </c>
      <c r="DB4" s="15">
        <f>IF(ISNA(VLOOKUP(A4,'Données projet'!$A$139:$I$159,4,0)),0,VLOOKUP(A4,'Données projet'!$A$139:$I$159,4,0))</f>
        <v>0</v>
      </c>
      <c r="DC4" s="16">
        <f>IF(ISNA(VLOOKUP(A4,'Données projet'!$A$139:$I$159,5,0)),0%,VLOOKUP(A4,'Données projet'!$A$139:$I$159,5,0)*VLOOKUP('Données projet'!$B$13,Paramètres!$A$1:$I$89,7,0))</f>
        <v>0</v>
      </c>
      <c r="DD4" s="16">
        <f>IF(ISNA(VLOOKUP(A4,'Données projet'!$A$139:$I$159,6,0)),0%,VLOOKUP(A4,'Données projet'!$A$139:$I$159,6,0)*VLOOKUP('Données projet'!$B$13,Paramètres!$A$1:$I$89,7,0))</f>
        <v>0</v>
      </c>
      <c r="DE4" s="16">
        <f>IF(ISNA(VLOOKUP(A4,'Données projet'!$A$139:$I$159,7,0)),0%,VLOOKUP(A4,'Données projet'!$A$139:$I$159,7,0))</f>
        <v>0</v>
      </c>
      <c r="DF4" s="21" t="e">
        <f>EXP(-LN(2)/35)*DF3+(1-EXP(-LN(2)/35))/(LN(2)/35)*DB4*DC4*VLOOKUP('Données projet'!$B$13,Paramètres!$A$1:$I$89,3,0)*0.475*44/12</f>
        <v>#N/A</v>
      </c>
      <c r="DG4" s="21" t="e">
        <f>EXP(-LN(2)/25)*DG3+(1-EXP(-LN(2)/25))/(LN(2)/25)*Calculateur!DB4*Calculateur!DD4*VLOOKUP('Données projet'!$B$13,Paramètres!$A$1:$I$89,3,0)*0.475*44/12</f>
        <v>#N/A</v>
      </c>
      <c r="DH4" s="21" t="e">
        <f>EXP(-LN(2)/2)*DH3+(1-EXP(-LN(2)/2))/(LN(2)/2)*DB4*DE4*VLOOKUP('Données projet'!$B$13,Paramètres!$A$1:$I$89,3,0)*0.475*44/12</f>
        <v>#N/A</v>
      </c>
      <c r="DI4" s="22" t="e">
        <f t="shared" ref="DI4:DI67" si="15">SUM(DF4:DH4)</f>
        <v>#N/A</v>
      </c>
      <c r="DJ4" s="75">
        <f>('Scénario référence'!$F$8+'Scénario référence'!$F$9+'Scénario référence'!$B$17+'Scénario référence'!$B$9+'Scénario référence'!$B$10)*70+IF((45+25*(1-EXP(-0.0175*A4)))&lt;70,'Scénario référence'!$B$16*(45+25*(1-EXP(-0.0175*A4))),70*'Scénario référence'!$B$16)+IF((32+38*(1-EXP(-0.0175*A4)))&lt;70,'Scénario référence'!$B$18*(32+38*(1-EXP(-0.0175*A4))),70*'Scénario référence'!$B$18)</f>
        <v>70</v>
      </c>
      <c r="DK4" s="12">
        <f>IF(A4&gt;30,10,('Scénario référence'!$B$16+'Scénario référence'!$B$17+'Scénario référence'!$B$18+'Scénario référence'!$B$9+'Scénario référence'!$B$10)*A4*10/30+('Scénario référence'!$F$8+'Scénario référence'!$F$9)*10)</f>
        <v>10</v>
      </c>
      <c r="DL4" s="12" t="e">
        <f>VLOOKUP(A4,'Données projet'!$A$165:$I$185,2,0)</f>
        <v>#N/A</v>
      </c>
      <c r="DM4" s="12" t="e">
        <f>VLOOKUP(A4,'Données projet'!$A$165:$I$185,9,0)</f>
        <v>#N/A</v>
      </c>
      <c r="DN4" s="12">
        <f t="array" ref="DN4">INDEX(DM:DM,MIN(IF(ISNUMBER(DM4:DM200),ROW(DM4:DM200),"")))</f>
        <v>1.3</v>
      </c>
      <c r="DO4" s="12">
        <f>IF('Données projet'!$A$166&gt;35,DO3+DN4-DW3,IF(A4&lt;'Données projet'!$A$166,$DL$205^A4,IF(A4='Données projet'!$A$166,'Données projet'!$B$166,DO3+DN4-DW3)))</f>
        <v>1.2923922207808318</v>
      </c>
      <c r="DP4" s="17">
        <f>DO4*VLOOKUP('Données projet'!$B$14,Paramètres!$A$1:$I$89,3,0)*VLOOKUP('Données projet'!$B$14,Paramètres!$A$1:$I$89,5,0)</f>
        <v>0.84677538305560107</v>
      </c>
      <c r="DQ4" s="13">
        <f>EXP(-1.0587+0.8836*LN(DP4)+0.284)</f>
        <v>0.39785797475505308</v>
      </c>
      <c r="DR4" s="20">
        <f t="shared" ref="DR4:DR67" si="16">(DP4+DQ4)*0.475*44/12</f>
        <v>2.1677364315202223</v>
      </c>
      <c r="DS4" s="59">
        <f t="shared" ref="DS4:DS67" si="17">DR4+(DJ4+DK4)*44/12</f>
        <v>295.50106976485353</v>
      </c>
      <c r="DT4" s="59">
        <f ca="1">AVERAGE(OFFSET($DS$3,0,0,'Données projet'!$E$14+1,1))-AVERAGE(OFFSET($H$3,0,0,'Données projet'!$E$14+1,1))</f>
        <v>188.68915783955595</v>
      </c>
      <c r="DU4" s="59">
        <f>$DU$3</f>
        <v>240.82467772396944</v>
      </c>
      <c r="DV4" s="15">
        <f>IF(ISNA(VLOOKUP(A4,'Données projet'!$A$165:$I$185,3,0)),0,VLOOKUP(A4,'Données projet'!$A$165:$I$185,3,0))</f>
        <v>0</v>
      </c>
      <c r="DW4" s="15">
        <f>IF(ISNA(VLOOKUP(A4,'Données projet'!$A$165:$I$185,4,0)),0,VLOOKUP(A4,'Données projet'!$A$165:$I$185,4,0))</f>
        <v>0</v>
      </c>
      <c r="DX4" s="16">
        <f>IF(ISNA(VLOOKUP(A4,'Données projet'!$A$165:$I$185,5,0)),0%,VLOOKUP(A4,'Données projet'!$A$165:$I$185,5,0)*VLOOKUP('Données projet'!$B$14,Paramètres!$A$1:$I$89,7,0))</f>
        <v>0</v>
      </c>
      <c r="DY4" s="16">
        <f>IF(ISNA(VLOOKUP(A4,'Données projet'!$A$165:$I$185,6,0)),0%,VLOOKUP(A4,'Données projet'!$A$165:$I$185,6,0)*VLOOKUP('Données projet'!$B$14,Paramètres!$A$1:$I$89,7,0))</f>
        <v>0</v>
      </c>
      <c r="DZ4" s="16">
        <f>IF(ISNA(VLOOKUP(A4,'Données projet'!$A$165:$I$185,7,0)),0%,VLOOKUP(A4,'Données projet'!$A$165:$I$185,7,0))</f>
        <v>0</v>
      </c>
      <c r="EA4" s="21">
        <f>EXP(-LN(2)/35)*EA3+(1-EXP(-LN(2)/35))/(LN(2)/35)*DW4*DX4*VLOOKUP('Données projet'!$B$14,Paramètres!$A$1:$I$89,3,0)*0.475*44/12</f>
        <v>0</v>
      </c>
      <c r="EB4" s="21">
        <f>EXP(-LN(2)/25)*EB3+(1-EXP(-LN(2)/25))/(LN(2)/25)*Calculateur!DW4*Calculateur!DY4*VLOOKUP('Données projet'!$B$14,Paramètres!$A$1:$I$89,3,0)*0.475*44/12</f>
        <v>0</v>
      </c>
      <c r="EC4" s="21">
        <f>EXP(-LN(2)/2)*EC3+(1-EXP(-LN(2)/2))/(LN(2)/2)*DW4*DZ4*VLOOKUP('Données projet'!$B$14,Paramètres!$A$1:$I$89,3,0)*0.475*44/12</f>
        <v>0</v>
      </c>
      <c r="ED4" s="22">
        <f t="shared" ref="ED4:ED67" si="18">SUM(EA4:EC4)</f>
        <v>0</v>
      </c>
      <c r="EE4" s="75">
        <f>('Scénario référence'!$F$8+'Scénario référence'!$F$9+'Scénario référence'!$B$17+'Scénario référence'!$B$9+'Scénario référence'!$B$10)*70+IF((45+25*(1-EXP(-0.0175*A4)))&lt;70,'Scénario référence'!$B$16*(45+25*(1-EXP(-0.0175*A4))),70*'Scénario référence'!$B$16)+IF((32+38*(1-EXP(-0.0175*A4)))&lt;70,'Scénario référence'!$B$18*(32+38*(1-EXP(-0.0175*A4))),70*'Scénario référence'!$B$18)</f>
        <v>70</v>
      </c>
      <c r="EF4" s="12">
        <f>IF(A4&gt;30,10,('Scénario référence'!$B$16+'Scénario référence'!$B$17+'Scénario référence'!$B$18+'Scénario référence'!$B$9+'Scénario référence'!$B$10)*A4*10/30+('Scénario référence'!$F$8+'Scénario référence'!$F$9)*10)</f>
        <v>10</v>
      </c>
      <c r="EG4" s="12" t="e">
        <f>VLOOKUP(A4,'Données projet'!$A$191:$I$211,2,0)</f>
        <v>#N/A</v>
      </c>
      <c r="EH4" s="12" t="e">
        <f>VLOOKUP(A4,'Données projet'!$A$191:$I$211,9,0)</f>
        <v>#N/A</v>
      </c>
      <c r="EI4" s="12">
        <f t="array" ref="EI4">INDEX(EH:EH,MIN(IF(ISNUMBER(EH4:EH200),ROW(EH4:EH200),"")))</f>
        <v>2.9333333333333331</v>
      </c>
      <c r="EJ4" s="12">
        <f>IF('Données projet'!$A$192&gt;35,EJ3+EI4-ER3,IF(A4&lt;'Données projet'!$A$192,$EG$205^A4,IF(A4='Données projet'!$A$192,'Données projet'!$B$192,EJ3+EI4-ER3)))</f>
        <v>1.2869554452352225</v>
      </c>
      <c r="EK4" s="17">
        <f>EJ4*VLOOKUP('Données projet'!$B$15,Paramètres!$A$1:$I$89,3,0)*VLOOKUP('Données projet'!$B$15,Paramètres!$A$1:$I$89,5,0)</f>
        <v>1.0439782571748126</v>
      </c>
      <c r="EL4" s="13">
        <f>EXP(-1.0587+0.8836*LN(EK4)+0.284)</f>
        <v>0.47870485644496019</v>
      </c>
      <c r="EM4" s="20">
        <f t="shared" ref="EM4:EM67" si="19">(EK4+EL4)*0.475*44/12</f>
        <v>2.6520064228877711</v>
      </c>
      <c r="EN4" s="59">
        <f t="shared" ref="EN4:EN67" si="20">EM4+(EE4+EF4)*44/12</f>
        <v>295.98533975622109</v>
      </c>
      <c r="EO4" s="59">
        <f ca="1">AVERAGE(OFFSET($EN$3,0,0,'Données projet'!$E$15+1,1))-AVERAGE(OFFSET($H$3,0,0,'Données projet'!$E$15+1,1))</f>
        <v>205.5272583787887</v>
      </c>
      <c r="EP4" s="59">
        <f>$EP$3</f>
        <v>180.54762778843178</v>
      </c>
      <c r="EQ4" s="15">
        <f>IF(ISNA(VLOOKUP(A4,'Données projet'!$A$191:$I$211,3,0)),0,VLOOKUP(A4,'Données projet'!$A$191:$I$211,3,0))</f>
        <v>0</v>
      </c>
      <c r="ER4" s="15">
        <f>IF(ISNA(VLOOKUP(A4,'Données projet'!$A$191:$I$211,4,0)),0,VLOOKUP(A4,'Données projet'!$A$191:$I$211,4,0))</f>
        <v>0</v>
      </c>
      <c r="ES4" s="16">
        <f>IF(ISNA(VLOOKUP(A4,'Données projet'!$A$191:$I$211,5,0)),0%,VLOOKUP(A4,'Données projet'!$A$191:$I$211,5,0)*VLOOKUP('Données projet'!$B$15,Paramètres!$A$1:$I$89,7,0))</f>
        <v>0</v>
      </c>
      <c r="ET4" s="16">
        <f>IF(ISNA(VLOOKUP(A4,'Données projet'!$A$191:$I$211,6,0)),0%,VLOOKUP(A4,'Données projet'!$A$191:$I$211,6,0)*VLOOKUP('Données projet'!$B$15,Paramètres!$A$1:$I$89,7,0))</f>
        <v>0</v>
      </c>
      <c r="EU4" s="16">
        <f>IF(ISNA(VLOOKUP(A4,'Données projet'!$A$191:$I$211,7,0)),0%,VLOOKUP(A4,'Données projet'!$A$191:$I$211,7,0))</f>
        <v>0</v>
      </c>
      <c r="EV4" s="21">
        <f>EXP(-LN(2)/35)*EV3+(1-EXP(-LN(2)/35))/(LN(2)/35)*ER4*ES4*VLOOKUP('Données projet'!$B$15,Paramètres!$A$1:$I$89,3,0)*0.475*44/12</f>
        <v>0</v>
      </c>
      <c r="EW4" s="21">
        <f>EXP(-LN(2)/25)*EW3+(1-EXP(-LN(2)/25))/(LN(2)/25)*Calculateur!ER4*Calculateur!ET4*VLOOKUP('Données projet'!$B$15,Paramètres!$A$1:$I$89,3,0)*0.475*44/12</f>
        <v>0</v>
      </c>
      <c r="EX4" s="21">
        <f>EXP(-LN(2)/2)*EX3+(1-EXP(-LN(2)/2))/(LN(2)/2)*ER4*EU4*VLOOKUP('Données projet'!$B$15,Paramètres!$A$1:$I$89,3,0)*0.475*44/12</f>
        <v>0</v>
      </c>
      <c r="EY4" s="22">
        <f t="shared" ref="EY4:EY67" si="21">SUM(EV4:EX4)</f>
        <v>0</v>
      </c>
      <c r="EZ4" s="75">
        <f>('Scénario référence'!$F$8+'Scénario référence'!$F$9+'Scénario référence'!$B$17+'Scénario référence'!$B$9+'Scénario référence'!$B$10)*70+IF((45+25*(1-EXP(-0.0175*A4)))&lt;70,'Scénario référence'!$B$16*(45+25*(1-EXP(-0.0175*A4))),70*'Scénario référence'!$B$16)+IF((32+38*(1-EXP(-0.0175*A4)))&lt;70,'Scénario référence'!$B$18*(32+38*(1-EXP(-0.0175*A4))),70*'Scénario référence'!$B$18)</f>
        <v>70</v>
      </c>
      <c r="FA4" s="12">
        <f>IF(A4&gt;30,10,('Scénario référence'!$B$16+'Scénario référence'!$B$17+'Scénario référence'!$B$18+'Scénario référence'!$B$9+'Scénario référence'!$B$10)*A4*10/30+('Scénario référence'!$F$8+'Scénario référence'!$F$9)*10)</f>
        <v>10</v>
      </c>
      <c r="FB4" s="12" t="e">
        <f>VLOOKUP(A4,'Données projet'!$A$217:$I$237,2,0)</f>
        <v>#N/A</v>
      </c>
      <c r="FC4" s="12" t="e">
        <f>VLOOKUP(A4,'Données projet'!$A$217:$I$237,9,0)</f>
        <v>#N/A</v>
      </c>
      <c r="FD4" s="12">
        <f t="array" ref="FD4">INDEX(FC:FC,MIN(IF(ISNUMBER(FC4:FC200),ROW(FC4:FC200),"")))</f>
        <v>1.7333333333333334</v>
      </c>
      <c r="FE4" s="12">
        <f>IF('Données projet'!$A$218&gt;35,FE3+FD4-FM3,IF(A4&lt;'Données projet'!$A$218,$FB$205^A4,IF(A4='Données projet'!$A$218,'Données projet'!$B$218,FE3+FD4-FM3)))</f>
        <v>1.2426005929945116</v>
      </c>
      <c r="FF4" s="17">
        <f>FE4*VLOOKUP('Données projet'!$B$16,Paramètres!$A$1:$I$89,3,0)*VLOOKUP('Données projet'!$B$16,Paramètres!$A$1:$I$89,5,0)</f>
        <v>1.0661513087892911</v>
      </c>
      <c r="FG4" s="13">
        <f>EXP(-1.0587+0.8836*LN(FF4)+0.284)</f>
        <v>0.48767758621231161</v>
      </c>
      <c r="FH4" s="20">
        <f t="shared" ref="FH4:FH67" si="22">(FF4+FG4)*0.475*44/12</f>
        <v>2.7062519921277914</v>
      </c>
      <c r="FI4" s="59">
        <f t="shared" ref="FI4:FI67" si="23">FH4+(EZ4+FA4)*44/12</f>
        <v>296.03958532546113</v>
      </c>
      <c r="FJ4" s="59">
        <f ca="1">AVERAGE(OFFSET($FI$3,0,0,'Données projet'!$E$16+1,1))-AVERAGE(OFFSET($H$3,0,0,'Données projet'!$E$16+1,1))</f>
        <v>383.97627237444709</v>
      </c>
      <c r="FK4" s="59">
        <f>$FK$3</f>
        <v>203.35476578922339</v>
      </c>
      <c r="FL4" s="15">
        <f>IF(ISNA(VLOOKUP(A4,'Données projet'!$A$217:$I$237,3,0)),0,VLOOKUP(A4,'Données projet'!$A$217:$I$237,3,0))</f>
        <v>0</v>
      </c>
      <c r="FM4" s="15">
        <f>IF(ISNA(VLOOKUP(A4,'Données projet'!$A$217:$I$237,4,0)),0,VLOOKUP(A4,'Données projet'!$A$217:$I$237,4,0))</f>
        <v>0</v>
      </c>
      <c r="FN4" s="16">
        <f>IF(ISNA(VLOOKUP(A4,'Données projet'!$A$217:$I$237,5,0)),0%,VLOOKUP(A4,'Données projet'!$A$217:$I$237,5,0)*VLOOKUP('Données projet'!$B$16,Paramètres!$A$1:$I$89,7,0))</f>
        <v>0</v>
      </c>
      <c r="FO4" s="16">
        <f>IF(ISNA(VLOOKUP(A4,'Données projet'!$A$217:$I$237,6,0)),0%,VLOOKUP(A4,'Données projet'!$A$217:$I$237,6,0)*VLOOKUP('Données projet'!$B$16,Paramètres!$A$1:$I$89,7,0))</f>
        <v>0</v>
      </c>
      <c r="FP4" s="16">
        <f>IF(ISNA(VLOOKUP(A4,'Données projet'!$A$217:$I$237,7,0)),0%,VLOOKUP(A4,'Données projet'!$A$217:$I$237,7,0))</f>
        <v>0</v>
      </c>
      <c r="FQ4" s="21">
        <f>EXP(-LN(2)/35)*FQ3+(1-EXP(-LN(2)/35))/(LN(2)/35)*FM4*FN4*VLOOKUP('Données projet'!$B$16,Paramètres!$A$1:$I$89,3,0)*0.475*44/12</f>
        <v>0</v>
      </c>
      <c r="FR4" s="21">
        <f>EXP(-LN(2)/25)*FR3+(1-EXP(-LN(2)/25))/(LN(2)/25)*Calculateur!FM4*Calculateur!FO4*VLOOKUP('Données projet'!$B$16,Paramètres!$A$1:$I$89,3,0)*0.475*44/12</f>
        <v>0</v>
      </c>
      <c r="FS4" s="21">
        <f>EXP(-LN(2)/2)*FS3+(1-EXP(-LN(2)/2))/(LN(2)/2)*FM4*FP4*VLOOKUP('Données projet'!$B$16,Paramètres!$A$1:$I$89,3,0)*0.475*44/12</f>
        <v>0</v>
      </c>
      <c r="FT4" s="22">
        <f t="shared" ref="FT4:FT67" si="24">SUM(FQ4:FS4)</f>
        <v>0</v>
      </c>
      <c r="FU4" s="75">
        <f>('Scénario référence'!$F$8+'Scénario référence'!$F$9+'Scénario référence'!$B$17+'Scénario référence'!$B$9+'Scénario référence'!$B$10)*70+IF((45+25*(1-EXP(-0.0175*A4)))&lt;70,'Scénario référence'!$B$16*(45+25*(1-EXP(-0.0175*A4))),70*'Scénario référence'!$B$16)+IF((32+38*(1-EXP(-0.0175*A4)))&lt;70,'Scénario référence'!$B$18*(32+38*(1-EXP(-0.0175*A4))),70*'Scénario référence'!$B$18)</f>
        <v>70</v>
      </c>
      <c r="FV4" s="12">
        <f>IF(A4&gt;30,10,('Scénario référence'!$B$16+'Scénario référence'!$B$17+'Scénario référence'!$B$18+'Scénario référence'!$B$9+'Scénario référence'!$B$10)*A4*10/30+('Scénario référence'!$F$8+'Scénario référence'!$F$9)*10)</f>
        <v>10</v>
      </c>
      <c r="FW4" s="12" t="e">
        <f>VLOOKUP(A4,'Données projet'!$A$243:$I$263,2,0)</f>
        <v>#N/A</v>
      </c>
      <c r="FX4" s="12" t="e">
        <f>VLOOKUP(A4,'Données projet'!$A$243:$I$263,9,0)</f>
        <v>#N/A</v>
      </c>
      <c r="FY4" s="12">
        <f t="array" ref="FY4">INDEX(FX:FX,MIN(IF(ISNUMBER(FX4:FX200),ROW(FX4:FX200),"")))</f>
        <v>4.0628205128205126</v>
      </c>
      <c r="FZ4" s="12">
        <f>IF('Données projet'!$A$244&gt;35,FZ3+FY4-GH3,IF(A4&lt;'Données projet'!$A$244,$FW$205^A4,IF(A4='Données projet'!$A$244,'Données projet'!$B$244,FZ3+FY4-GH3)))</f>
        <v>1.1736311550444201</v>
      </c>
      <c r="GA4" s="17">
        <f>FZ4*VLOOKUP('Données projet'!$B$17,Paramètres!$A$1:$I$89,3,0)*VLOOKUP('Données projet'!$B$17,Paramètres!$A$1:$I$89,5,0)</f>
        <v>1.2632965752898135</v>
      </c>
      <c r="GB4" s="13">
        <f>EXP(-1.0587+0.8836*LN(GA4)+0.284)</f>
        <v>0.56655511466244612</v>
      </c>
      <c r="GC4" s="20">
        <f t="shared" ref="GC4:GC67" si="25">(GA4+GB4)*0.475*44/12</f>
        <v>3.1869916933335189</v>
      </c>
      <c r="GD4" s="59">
        <f t="shared" ref="GD4:GD67" si="26">GC4+(FU4+FV4)*44/12</f>
        <v>296.52032502666685</v>
      </c>
      <c r="GE4" s="59">
        <f ca="1">AVERAGE(OFFSET($GD$3,0,0,'Données projet'!$E$17+1,1))-AVERAGE(OFFSET($H$3,0,0,'Données projet'!$E$17+1,1))</f>
        <v>286.77702855541287</v>
      </c>
      <c r="GF4" s="59">
        <f>$GF$3</f>
        <v>227.12211541860779</v>
      </c>
      <c r="GG4" s="15">
        <f>IF(ISNA(VLOOKUP(A4,'Données projet'!$A$243:$I$263,3,0)),0,VLOOKUP(A4,'Données projet'!$A$243:$I$263,3,0))</f>
        <v>0</v>
      </c>
      <c r="GH4" s="15">
        <f>IF(ISNA(VLOOKUP(A4,'Données projet'!$A$243:$I$263,4,0)),0,VLOOKUP(A4,'Données projet'!$A$243:$I$263,4,0))</f>
        <v>0</v>
      </c>
      <c r="GI4" s="16">
        <f>IF(ISNA(VLOOKUP(A4,'Données projet'!$A$243:$I$263,5,0)),0%,VLOOKUP(A4,'Données projet'!$A$243:$I$263,5,0)*VLOOKUP('Données projet'!$B$17,Paramètres!$A$1:$I$89,7,0))</f>
        <v>0</v>
      </c>
      <c r="GJ4" s="16">
        <f>IF(ISNA(VLOOKUP(A4,'Données projet'!$A$243:$I$263,6,0)),0%,VLOOKUP(A4,'Données projet'!$A$243:$I$263,6,0)*VLOOKUP('Données projet'!$B$17,Paramètres!$A$1:$I$89,7,0))</f>
        <v>0</v>
      </c>
      <c r="GK4" s="16">
        <f>IF(ISNA(VLOOKUP(A4,'Données projet'!$A$243:$I$263,7,0)),0%,VLOOKUP(A4,'Données projet'!$A$243:$I$263,7,0))</f>
        <v>0</v>
      </c>
      <c r="GL4" s="21">
        <f>EXP(-LN(2)/35)*GL3+(1-EXP(-LN(2)/35))/(LN(2)/35)*GH4*GI4*VLOOKUP('Données projet'!$B$17,Paramètres!$A$1:$I$89,3,0)*0.475*44/12</f>
        <v>0</v>
      </c>
      <c r="GM4" s="21">
        <f>EXP(-LN(2)/25)*GM3+(1-EXP(-LN(2)/25))/(LN(2)/25)*Calculateur!GH4*Calculateur!GJ4*VLOOKUP('Données projet'!$B$17,Paramètres!$A$1:$I$89,3,0)*0.475*44/12</f>
        <v>0</v>
      </c>
      <c r="GN4" s="21">
        <f>EXP(-LN(2)/2)*GN3+(1-EXP(-LN(2)/2))/(LN(2)/2)*GH4*GK4*VLOOKUP('Données projet'!$B$17,Paramètres!$A$1:$I$89,3,0)*0.475*44/12</f>
        <v>0</v>
      </c>
      <c r="GO4" s="21">
        <f t="shared" ref="GO4:GO67" si="27">SUM(GL4:GN4)</f>
        <v>0</v>
      </c>
      <c r="GP4" s="75">
        <f>('Scénario référence'!$F$8+'Scénario référence'!$F$9+'Scénario référence'!$B$17+'Scénario référence'!$B$9+'Scénario référence'!$B$10)*70+IF((45+25*(1-EXP(-0.0175*A4)))&lt;70,'Scénario référence'!$B$16*(45+25*(1-EXP(-0.0175*A4))),70*'Scénario référence'!$B$16)+IF((32+38*(1-EXP(-0.0175*A4)))&lt;70,'Scénario référence'!$B$18*(32+38*(1-EXP(-0.0175*A4))),70*'Scénario référence'!$B$18)</f>
        <v>70</v>
      </c>
      <c r="GQ4" s="12">
        <f>IF(A4&gt;30,10,('Scénario référence'!$B$16+'Scénario référence'!$B$17+'Scénario référence'!$B$18+'Scénario référence'!$B$9+'Scénario référence'!$B$10)*A4*10/30+('Scénario référence'!$F$8+'Scénario référence'!$F$9)*10)</f>
        <v>10</v>
      </c>
      <c r="GR4" s="12" t="e">
        <f>VLOOKUP(A4,'Données projet'!$A$269:$I$289,2,0)</f>
        <v>#N/A</v>
      </c>
      <c r="GS4" s="12" t="e">
        <f>VLOOKUP(A4,'Données projet'!$A$269:$I$289,9,0)</f>
        <v>#N/A</v>
      </c>
      <c r="GT4" s="12">
        <f t="array" ref="GT4">INDEX(GS:GS,MIN(IF(ISNUMBER(GS4:GS200),ROW(GS4:GS200),"")))</f>
        <v>4.0628205128205126</v>
      </c>
      <c r="GU4" s="12">
        <f>IF('Données projet'!$A$270&gt;35,GU3+GT4-HC3,IF(A4&lt;'Données projet'!$A$270,$GR$205^A4,IF(A4='Données projet'!$A$270,'Données projet'!$B$270,GU3+GT4-HC3)))</f>
        <v>1.1736311550444201</v>
      </c>
      <c r="GV4" s="17">
        <f>GU4*VLOOKUP('Données projet'!$B$18,Paramètres!$A$1:$I$89,3,0)*VLOOKUP('Données projet'!$B$18,Paramètres!$A$1:$I$89,5,0)</f>
        <v>1.2632965752898135</v>
      </c>
      <c r="GW4" s="13">
        <f>EXP(-1.0587+0.8836*LN(GV4)+0.284)</f>
        <v>0.56655511466244612</v>
      </c>
      <c r="GX4" s="20">
        <f t="shared" ref="GX4:GX67" si="28">(GV4+GW4)*0.475*44/12</f>
        <v>3.1869916933335189</v>
      </c>
      <c r="GY4" s="59">
        <f t="shared" ref="GY4:GY67" si="29">GX4+(GP4+GQ4)*44/12</f>
        <v>296.52032502666685</v>
      </c>
      <c r="GZ4" s="59">
        <f ca="1">AVERAGE(OFFSET($GY$3,0,0,'Données projet'!$E$18+1,1))-AVERAGE(OFFSET($H$3,0,0,'Données projet'!$E$18+1,1))</f>
        <v>286.77702855541287</v>
      </c>
      <c r="HA4" s="59">
        <f>$HA$3</f>
        <v>227.12211541860779</v>
      </c>
      <c r="HB4" s="15">
        <f>IF(ISNA(VLOOKUP(A4,'Données projet'!$A$269:$I$289,3,0)),0,VLOOKUP(A4,'Données projet'!$A$269:$I$289,3,0))</f>
        <v>0</v>
      </c>
      <c r="HC4" s="15">
        <f>IF(ISNA(VLOOKUP(A4,'Données projet'!$A$269:$I$289,4,0)),0,VLOOKUP(A4,'Données projet'!$A$269:$I$289,4,0))</f>
        <v>0</v>
      </c>
      <c r="HD4" s="16">
        <f>IF(ISNA(VLOOKUP(A4,'Données projet'!$A$269:$I$289,5,0)),0%,VLOOKUP(A4,'Données projet'!$A$269:$I$289,5,0)*VLOOKUP('Données projet'!$B$18,Paramètres!$A$1:$I$89,7,0))</f>
        <v>0</v>
      </c>
      <c r="HE4" s="16">
        <f>IF(ISNA(VLOOKUP(A4,'Données projet'!$A$269:$I$289,6,0)),0%,VLOOKUP(A4,'Données projet'!$A$269:$I$289,6,0)*VLOOKUP('Données projet'!$B$18,Paramètres!$A$1:$I$89,7,0))</f>
        <v>0</v>
      </c>
      <c r="HF4" s="16">
        <f>IF(ISNA(VLOOKUP(A4,'Données projet'!$A$269:$I$289,7,0)),0%,VLOOKUP(A4,'Données projet'!$A$269:$I$289,7,0))</f>
        <v>0</v>
      </c>
      <c r="HG4" s="21">
        <f>EXP(-LN(2)/35)*HG3+(1-EXP(-LN(2)/35))/(LN(2)/35)*HC4*HD4*VLOOKUP('Données projet'!$B$18,Paramètres!$A$1:$I$89,3,0)*0.475*44/12</f>
        <v>0</v>
      </c>
      <c r="HH4" s="21">
        <f>EXP(-LN(2)/25)*HH3+(1-EXP(-LN(2)/25))/(LN(2)/25)*Calculateur!HC4*Calculateur!HE4*VLOOKUP('Données projet'!$B$18,Paramètres!$A$1:$I$89,3,0)*0.475*44/12</f>
        <v>0</v>
      </c>
      <c r="HI4" s="21">
        <f>EXP(-LN(2)/2)*HI3+(1-EXP(-LN(2)/2))/(LN(2)/2)*HC4*HF4*VLOOKUP('Données projet'!$B$18,Paramètres!$A$1:$I$89,3,0)*0.475*44/12</f>
        <v>0</v>
      </c>
      <c r="HJ4" s="22">
        <f t="shared" ref="HJ4:HJ67" si="30">SUM(HG4:HI4)</f>
        <v>0</v>
      </c>
    </row>
    <row r="5" spans="1:218" x14ac:dyDescent="0.25">
      <c r="A5" s="10">
        <f t="shared" ref="A5:A68" si="31">A4+1</f>
        <v>2</v>
      </c>
      <c r="B5" s="73">
        <f>'Scénario référence'!$B$16*5+'Scénario référence'!$B$17*0+'Scénario référence'!$B$18*5</f>
        <v>0</v>
      </c>
      <c r="C5" s="19">
        <f>Calculateur!C4+'Scénario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1.7784</v>
      </c>
      <c r="D5" s="11">
        <f t="shared" ref="D5:D68" si="32">IFERROR(EXP(-1.0587+0.8836*LN(C5)+0.284),0)</f>
        <v>0.76643986660078545</v>
      </c>
      <c r="E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5" s="11">
        <f>IF(OR('Scénario référence'!$F$8&gt;0,'Scénario référence'!$F$9&gt;0),('Scénario référence'!$F$8+'Scénario référence'!$F$9)*10,0)</f>
        <v>10</v>
      </c>
      <c r="G5" s="11">
        <f>'Scénario référence'!$B$8*B5*44/12+'Scénario référence'!$B$9*(C5+D5)/0.475*44/12+'Scénario référence'!$B$10*(C5+D5)/0.475*44/12+'Scénario référence'!$F$8*(C5+D5)/0.475*44/12+'Scénario référence'!$F$9*(C5+D5)/0.475*44/12</f>
        <v>19.644377917620098</v>
      </c>
      <c r="H5" s="67">
        <f t="shared" si="1"/>
        <v>297.76559610099633</v>
      </c>
      <c r="I5" s="70">
        <f>('Scénario référence'!$F$8+'Scénario référence'!$F$9+'Scénario référence'!$B$17+'Scénario référence'!$B$9+'Scénario référence'!$B$10)*70+IF((45+25*(1-EXP(-0.0175*A5)))&lt;70,'Scénario référence'!$B$16*(45+25*(1-EXP(-0.0175*A5))),70*'Scénario référence'!$B$16)+IF((32+38*(1-EXP(-0.0175*A5)))&lt;70,'Scénario référence'!$B$18*(32+38*(1-EXP(-0.0175*A5))),70*'Scénario référence'!$B$18)</f>
        <v>70</v>
      </c>
      <c r="J5" s="13">
        <f>IF(A5&gt;30,10,('Scénario référence'!$B$16+'Scénario référence'!$B$17+'Scénario référence'!$B$18+'Scénario référence'!$B$9+'Scénario référence'!$B$10)*A5*10/30+('Scénario référence'!$F$8+'Scénario référence'!$F$9)*10)</f>
        <v>10</v>
      </c>
      <c r="K5" s="12" t="e">
        <f>VLOOKUP(A5,'Données projet'!$A$35:$I$55,2,0)</f>
        <v>#N/A</v>
      </c>
      <c r="L5" s="12" t="e">
        <f>VLOOKUP(A5,'Données projet'!$A$35:$I$55,9,0)</f>
        <v>#N/A</v>
      </c>
      <c r="M5" s="12">
        <f t="array" ref="M5">INDEX(L:L,MIN(IF(ISNUMBER(L5:L201),ROW(L5:L201),"")))</f>
        <v>9.3968325791855207</v>
      </c>
      <c r="N5" s="13">
        <f>IF('Données projet'!$A$36&gt;35,N4+M5-V4,IF(A5&lt;'Données projet'!$A$36,$K$205^A5,IF(A5='Données projet'!$A$36,'Données projet'!$B$36,N4+M5-V4)))</f>
        <v>1.8164653049921848</v>
      </c>
      <c r="O5" s="13">
        <f>N5*VLOOKUP('Données projet'!$B$9,Paramètres!$A$1:$I$89,3,0)*VLOOKUP('Données projet'!$B$9,Paramètres!$A$1:$I$89,5,0)</f>
        <v>1.0154041054906313</v>
      </c>
      <c r="P5" s="13">
        <f t="shared" ref="P5:P68" si="33">EXP(-1.0587+0.8836*LN(O5)+0.284)</f>
        <v>0.46710897317647637</v>
      </c>
      <c r="Q5" s="20">
        <f t="shared" si="2"/>
        <v>2.582043612011879</v>
      </c>
      <c r="R5" s="59">
        <f t="shared" si="0"/>
        <v>295.9153769453452</v>
      </c>
      <c r="S5" s="59">
        <f ca="1">AVERAGE(OFFSET($R$3,0,0,'Données projet'!$E$9+1,1))-AVERAGE(OFFSET($H$3,0,0,'Données projet'!$E$9+1,1))</f>
        <v>255.5374979188561</v>
      </c>
      <c r="T5" s="59">
        <f t="shared" ref="T5:T68" si="34">$T$3</f>
        <v>343.10418468620901</v>
      </c>
      <c r="U5" s="15">
        <f>IF(ISNA(VLOOKUP(A5,'Données projet'!$A$35:$I$55,3,0)),0,VLOOKUP(A5,'Données projet'!$A$35:$I$55,3,0))</f>
        <v>0</v>
      </c>
      <c r="V5" s="15">
        <f>IF(ISNA(VLOOKUP(A5,'Données projet'!$A$35:$I$55,4,0)),0,VLOOKUP(A5,'Données projet'!$A$35:$I$55,4,0))</f>
        <v>0</v>
      </c>
      <c r="W5" s="16">
        <f>IF(ISNA(VLOOKUP(A5,'Données projet'!$A$35:$I$55,5,0)),0%,VLOOKUP(A5,'Données projet'!$A$35:$I$55,5,0)*VLOOKUP('Données projet'!$B$9,Paramètres!$A$1:$I$89,7,0))</f>
        <v>0</v>
      </c>
      <c r="X5" s="16">
        <f>IF(ISNA(VLOOKUP(A5,'Données projet'!$A$35:$I$55,6,0)),0%,VLOOKUP(A5,'Données projet'!$A$35:$I$55,6,0)*VLOOKUP('Données projet'!$B$9,Paramètres!$A$1:$I$89,7,0))</f>
        <v>0</v>
      </c>
      <c r="Y5" s="16">
        <f>IF(ISNA(VLOOKUP(A5,'Données projet'!$A$35:$I$55,7,0)),0%,VLOOKUP(A5,'Données projet'!$A$35:$I$55,7,0))</f>
        <v>0</v>
      </c>
      <c r="Z5" s="21">
        <f>EXP(-LN(2)/35)*Z4+(1-EXP(-LN(2)/35))/(LN(2)/35)*V5*W5*VLOOKUP('Données projet'!$B$9,Paramètres!$A$1:$I$89,3,0)*0.475*44/12</f>
        <v>0</v>
      </c>
      <c r="AA5" s="21">
        <f>EXP(-LN(2)/25)*AA4+(1-EXP(-LN(2)/25))/(LN(2)/25)*Calculateur!V5*Calculateur!X5*VLOOKUP('Données projet'!$B$9,Paramètres!$A$1:$I$89,3,0)*0.475*44/12</f>
        <v>0</v>
      </c>
      <c r="AB5" s="21">
        <f>EXP(-LN(2)/2)*AB4+(1-EXP(-LN(2)/2))/(LN(2)/2)*V5*Y5*VLOOKUP('Données projet'!$B$9,Paramètres!$A$1:$I$89,3,0)*0.475*44/12</f>
        <v>0</v>
      </c>
      <c r="AC5" s="22">
        <f t="shared" si="3"/>
        <v>0</v>
      </c>
      <c r="AD5" s="13">
        <f>('Scénario référence'!$F$8+'Scénario référence'!$F$9+'Scénario référence'!$B$17+'Scénario référence'!$B$9+'Scénario référence'!$B$10)*70+IF((45+25*(1-EXP(-0.0175*A5)))&lt;70,'Scénario référence'!$B$16*(45+25*(1-EXP(-0.0175*A5))),70*'Scénario référence'!$B$16)+IF((32+38*(1-EXP(-0.0175*A5)))&lt;70,'Scénario référence'!$B$18*(32+38*(1-EXP(-0.0175*A5))),70*'Scénario référence'!$B$18)</f>
        <v>70</v>
      </c>
      <c r="AE5" s="13">
        <f>IF(A5&gt;30,10,('Scénario référence'!$B$16+'Scénario référence'!$B$17+'Scénario référence'!$B$18+'Scénario référence'!$B$9+'Scénario référence'!$B$10)*A5*10/30+('Scénario référence'!$F$8+'Scénario référence'!$F$9)*10)</f>
        <v>10</v>
      </c>
      <c r="AF5" s="12" t="e">
        <f>VLOOKUP(A5,'Données projet'!$A$61:$I$81,2,0)</f>
        <v>#N/A</v>
      </c>
      <c r="AG5" s="12" t="e">
        <f>VLOOKUP(A5,'Données projet'!$A$61:$I$81,9,0)</f>
        <v>#N/A</v>
      </c>
      <c r="AH5" s="12">
        <f t="array" ref="AH5">INDEX(AG:AG,MIN(IF(ISNUMBER(AG5:AG201),ROW(AG5:AG201),"")))</f>
        <v>2.6</v>
      </c>
      <c r="AI5" s="13">
        <f>IF('Données projet'!$A$62&gt;35,AI4+AH5-AQ4,IF(A5&lt;'Données projet'!$A$62,$AF$205^A5,IF(A5='Données projet'!$A$62,'Données projet'!$B$62,AI4+AH5-AQ4)))</f>
        <v>1.9186451916253062</v>
      </c>
      <c r="AJ5" s="13">
        <f>AI5*VLOOKUP('Données projet'!$B$10,Paramètres!$A$1:$I$89,3,0)*VLOOKUP('Données projet'!$B$10,Paramètres!$A$1:$I$89,5,0)</f>
        <v>1.1972345995741911</v>
      </c>
      <c r="AK5" s="13">
        <f t="shared" ref="AK5:AK68" si="35">EXP(-1.0587+0.8836*LN(AJ5)+0.284)</f>
        <v>0.54029538548699674</v>
      </c>
      <c r="AL5" s="20">
        <f t="shared" si="4"/>
        <v>3.0261980573149021</v>
      </c>
      <c r="AM5" s="59">
        <f t="shared" si="5"/>
        <v>296.35953139064821</v>
      </c>
      <c r="AN5" s="59">
        <f ca="1">AVERAGE(OFFSET($AM$3,0,0,'Données projet'!$E$10+1,1))-AVERAGE(OFFSET($H$3,0,0,'Données projet'!$E$10+1,1))</f>
        <v>261.78489480911571</v>
      </c>
      <c r="AO5" s="59">
        <f t="shared" ref="AO5:AO68" si="36">$AO$3</f>
        <v>297.50513563712764</v>
      </c>
      <c r="AP5" s="15">
        <f>IF(ISNA(VLOOKUP(A5,'Données projet'!$A$61:$I$81,3,0)),0,VLOOKUP(A5,'Données projet'!$A$61:$I$81,3,0))</f>
        <v>0</v>
      </c>
      <c r="AQ5" s="15">
        <f>IF(ISNA(VLOOKUP(A5,'Données projet'!$A$61:$I$81,4,0)),0,VLOOKUP(A5,'Données projet'!$A$61:$I$81,4,0))</f>
        <v>0</v>
      </c>
      <c r="AR5" s="16">
        <f>IF(ISNA(VLOOKUP(A5,'Données projet'!$A$61:$I$81,5,0)),0%,VLOOKUP(A5,'Données projet'!$A$61:$I$81,5,0)*VLOOKUP('Données projet'!$B$10,Paramètres!$A$1:$I$89,7,0))</f>
        <v>0</v>
      </c>
      <c r="AS5" s="16">
        <f>IF(ISNA(VLOOKUP(A5,'Données projet'!$A$61:$I$81,6,0)),0%,VLOOKUP(A5,'Données projet'!$A$61:$I$81,6,0)*VLOOKUP('Données projet'!$B$10,Paramètres!$A$1:$I$89,7,0))</f>
        <v>0</v>
      </c>
      <c r="AT5" s="16">
        <f>IF(ISNA(VLOOKUP(A5,'Données projet'!$A$61:$I$81,7,0)),0%,VLOOKUP(A5,'Données projet'!$A$61:$I$81,7,0))</f>
        <v>0</v>
      </c>
      <c r="AU5" s="21">
        <f>EXP(-LN(2)/35)*AU4+(1-EXP(-LN(2)/35))/(LN(2)/35)*AQ5*AR5*VLOOKUP('Données projet'!$B$10,Paramètres!$A$1:$I$89,3,0)*0.475*44/12</f>
        <v>0</v>
      </c>
      <c r="AV5" s="21">
        <f>EXP(-LN(2)/25)*AV4+(1-EXP(-LN(2)/25))/(LN(2)/25)*Calculateur!AQ5*Calculateur!AS5*VLOOKUP('Données projet'!$B$10,Paramètres!$A$1:$I$89,3,0)*0.475*44/12</f>
        <v>0</v>
      </c>
      <c r="AW5" s="21">
        <f>EXP(-LN(2)/2)*AW4+(1-EXP(-LN(2)/2))/(LN(2)/2)*AQ5*AT5*VLOOKUP('Données projet'!$B$10,Paramètres!$A$1:$I$89,3,0)*0.475*44/12</f>
        <v>0</v>
      </c>
      <c r="AX5" s="21">
        <f t="shared" si="6"/>
        <v>0</v>
      </c>
      <c r="AY5" s="74">
        <f>('Scénario référence'!$F$8+'Scénario référence'!$F$9+'Scénario référence'!$B$17+'Scénario référence'!$B$9+'Scénario référence'!$B$10)*70+IF((45+25*(1-EXP(-0.0175*A5)))&lt;70,'Scénario référence'!$B$16*(45+25*(1-EXP(-0.0175*A5))),70*'Scénario référence'!$B$16)+IF((32+38*(1-EXP(-0.0175*A5)))&lt;70,'Scénario référence'!$B$18*(32+38*(1-EXP(-0.0175*A5))),70*'Scénario référence'!$B$18)</f>
        <v>70</v>
      </c>
      <c r="AZ5" s="12">
        <f>IF(A5&gt;30,10,('Scénario référence'!$B$16+'Scénario référence'!$B$17+'Scénario référence'!$B$18+'Scénario référence'!$B$9+'Scénario référence'!$B$10)*A5*10/30+('Scénario référence'!$F$8+'Scénario référence'!$F$9)*10)</f>
        <v>10</v>
      </c>
      <c r="BA5" s="12" t="e">
        <f>VLOOKUP(A5,'Données projet'!$A$87:$I$107,2,0)</f>
        <v>#N/A</v>
      </c>
      <c r="BB5" s="12" t="e">
        <f>VLOOKUP(A5,'Données projet'!$A$87:$I$107,9,0)</f>
        <v>#N/A</v>
      </c>
      <c r="BC5" s="12">
        <f t="array" ref="BC5">INDEX(BB:BB,MIN(IF(ISNUMBER(BB5:BB201),ROW(BB5:BB201),"")))</f>
        <v>5.3</v>
      </c>
      <c r="BD5" s="12">
        <f>IF('Données projet'!$A$88&gt;35,BD4+BC5-BL4,IF(A5&lt;'Données projet'!$A$88,$BA$205^A5,IF(A5='Données projet'!$A$88,'Données projet'!$B$88,BD4+BC5-BL4)))</f>
        <v>1.5941551500450144</v>
      </c>
      <c r="BE5" s="13">
        <f>BD5*VLOOKUP('Données projet'!$B$11,Paramètres!$A$1:$I$89,3,0)*VLOOKUP('Données projet'!$B$11,Paramètres!$A$1:$I$89,5,0)</f>
        <v>0.95330477972691874</v>
      </c>
      <c r="BF5" s="13">
        <f t="shared" ref="BF5:BF68" si="37">EXP(-1.0587+0.8836*LN(BE5)+0.284)</f>
        <v>0.44177512384100159</v>
      </c>
      <c r="BG5" s="20">
        <f t="shared" si="7"/>
        <v>2.4297641653807944</v>
      </c>
      <c r="BH5" s="59">
        <f t="shared" si="8"/>
        <v>295.7630974987141</v>
      </c>
      <c r="BI5" s="59">
        <f ca="1">AVERAGE(OFFSET($BH$3,0,0,'Données projet'!$E$11+1,1))-AVERAGE(OFFSET($H$3,0,0,'Données projet'!$E$11+1,1))</f>
        <v>316.58509520829671</v>
      </c>
      <c r="BJ5" s="59">
        <f t="shared" ref="BJ5:BJ68" si="38">$BJ$3</f>
        <v>240.71332110643596</v>
      </c>
      <c r="BK5" s="15">
        <f>IF(ISNA(VLOOKUP(A5,'Données projet'!$A$87:$I$107,3,0)),0,VLOOKUP(A5,'Données projet'!$A$87:$I$107,3,0))</f>
        <v>0</v>
      </c>
      <c r="BL5" s="15">
        <f>IF(ISNA(VLOOKUP(A5,'Données projet'!$A$87:$I$107,4,0)),0,VLOOKUP(A5,'Données projet'!$A$87:$I$107,4,0))</f>
        <v>0</v>
      </c>
      <c r="BM5" s="16">
        <f>IF(ISNA(VLOOKUP(A5,'Données projet'!$A$87:$I$107,5,0)),0%,VLOOKUP(A5,'Données projet'!$A$87:$I$107,5,0)*VLOOKUP('Données projet'!$B$11,Paramètres!$A$1:$I$89,7,0))</f>
        <v>0</v>
      </c>
      <c r="BN5" s="16">
        <f>IF(ISNA(VLOOKUP(A5,'Données projet'!$A$87:$I$107,6,0)),0%,VLOOKUP(A5,'Données projet'!$A$87:$I$107,6,0)*VLOOKUP('Données projet'!$B$11,Paramètres!$A$1:$I$89,7,0))</f>
        <v>0</v>
      </c>
      <c r="BO5" s="16">
        <f>IF(ISNA(VLOOKUP(A5,'Données projet'!$A$87:$I$107,7,0)),0%,VLOOKUP(A5,'Données projet'!$A$87:$I$107,7,0))</f>
        <v>0</v>
      </c>
      <c r="BP5" s="21">
        <f>EXP(-LN(2)/35)*BP4+(1-EXP(-LN(2)/35))/(LN(2)/35)*BL5*BM5*VLOOKUP('Données projet'!$B$11,Paramètres!$A$1:$I$89,3,0)*0.475*44/12</f>
        <v>0</v>
      </c>
      <c r="BQ5" s="21">
        <f>EXP(-LN(2)/25)*BQ4+(1-EXP(-LN(2)/25))/(LN(2)/25)*Calculateur!BL5*Calculateur!BN5*VLOOKUP('Données projet'!$B$11,Paramètres!$A$1:$I$89,3,0)*0.475*44/12</f>
        <v>0</v>
      </c>
      <c r="BR5" s="21">
        <f>EXP(-LN(2)/2)*BR4+(1-EXP(-LN(2)/2))/(LN(2)/2)*BL5*BO5*VLOOKUP('Données projet'!$B$11,Paramètres!$A$1:$I$89,3,0)*0.475*44/12</f>
        <v>0</v>
      </c>
      <c r="BS5" s="22">
        <f t="shared" si="9"/>
        <v>0</v>
      </c>
      <c r="BT5" s="75">
        <f>('Scénario référence'!$F$8+'Scénario référence'!$F$9+'Scénario référence'!$B$17+'Scénario référence'!$B$9+'Scénario référence'!$B$10)*70+IF((45+25*(1-EXP(-0.0175*A5)))&lt;70,'Scénario référence'!$B$16*(45+25*(1-EXP(-0.0175*A5))),70*'Scénario référence'!$B$16)+IF((32+38*(1-EXP(-0.0175*A5)))&lt;70,'Scénario référence'!$B$18*(32+38*(1-EXP(-0.0175*A5))),70*'Scénario référence'!$B$18)</f>
        <v>70</v>
      </c>
      <c r="BU5" s="12">
        <f>IF(A5&gt;30,10,('Scénario référence'!$B$16+'Scénario référence'!$B$17+'Scénario référence'!$B$18+'Scénario référence'!$B$9+'Scénario référence'!$B$10)*A5*10/30+('Scénario référence'!$F$8+'Scénario référence'!$F$9)*10)</f>
        <v>10</v>
      </c>
      <c r="BV5" s="12" t="e">
        <f>VLOOKUP(A5,'Données projet'!$A$113:$I$133,2,0)</f>
        <v>#N/A</v>
      </c>
      <c r="BW5" s="12" t="e">
        <f>VLOOKUP(A5,'Données projet'!$A$113:$I$133,9,0)</f>
        <v>#N/A</v>
      </c>
      <c r="BX5" s="12">
        <f t="array" ref="BX5">INDEX(BW:BW,MIN(IF(ISNUMBER(BW5:BW201),ROW(BW5:BW201),"")))</f>
        <v>3.2</v>
      </c>
      <c r="BY5" s="12">
        <f>IF('Données projet'!$A$114&gt;35,BY4+BX5-CG4,IF(A5&lt;'Données projet'!$A$114,$BV$205^A5,IF(A5='Données projet'!$A$114,'Données projet'!$B$114,BY4+BX5-CG4)))</f>
        <v>1.6755812747668832</v>
      </c>
      <c r="BZ5" s="13">
        <f>BY5*VLOOKUP('Données projet'!$B$12,Paramètres!$A$1:$I$89,3,0)*VLOOKUP('Données projet'!$B$12,Paramètres!$A$1:$I$89,5,0)</f>
        <v>0.95843248916665724</v>
      </c>
      <c r="CA5" s="13">
        <f t="shared" ref="CA5:CA68" si="39">EXP(-1.0587+0.8836*LN(BZ5)+0.284)</f>
        <v>0.44387412605177151</v>
      </c>
      <c r="CB5" s="20">
        <f t="shared" si="10"/>
        <v>2.4423506881720964</v>
      </c>
      <c r="CC5" s="59">
        <f t="shared" si="11"/>
        <v>295.77568402150541</v>
      </c>
      <c r="CD5" s="59">
        <f ca="1">AVERAGE(OFFSET($CC$3,0,0,'Données projet'!$E$12+1,1))-AVERAGE(OFFSET($H$3,0,0,'Données projet'!$E$12+1,1))</f>
        <v>188.64374818906128</v>
      </c>
      <c r="CE5" s="59">
        <f t="shared" ref="CE5:CE68" si="40">$CE$3</f>
        <v>211.95157880548652</v>
      </c>
      <c r="CF5" s="15">
        <f>IF(ISNA(VLOOKUP(A5,'Données projet'!$A$113:$I$133,3,0)),0,VLOOKUP(A5,'Données projet'!$A$113:$I$133,3,0))</f>
        <v>0</v>
      </c>
      <c r="CG5" s="15">
        <f>IF(ISNA(VLOOKUP(A5,'Données projet'!$A$113:$I$133,4,0)),0,VLOOKUP(A5,'Données projet'!$A$113:$I$133,4,0))</f>
        <v>0</v>
      </c>
      <c r="CH5" s="16">
        <f>IF(ISNA(VLOOKUP(A5,'Données projet'!$A$113:$I$133,5,0)),0%,VLOOKUP(A5,'Données projet'!$A$113:$I$133,5,0)*VLOOKUP('Données projet'!$B$12,Paramètres!$A$1:$I$89,7,0))</f>
        <v>0</v>
      </c>
      <c r="CI5" s="16">
        <f>IF(ISNA(VLOOKUP(A5,'Données projet'!$A$113:$I$133,6,0)),0%,VLOOKUP(A5,'Données projet'!$A$113:$I$133,6,0)*VLOOKUP('Données projet'!$B$12,Paramètres!$A$1:$I$89,7,0))</f>
        <v>0</v>
      </c>
      <c r="CJ5" s="16">
        <f>IF(ISNA(VLOOKUP(A5,'Données projet'!$A$113:$I$133,7,0)),0%,VLOOKUP(A5,'Données projet'!$A$113:$I$133,7,0))</f>
        <v>0</v>
      </c>
      <c r="CK5" s="21">
        <f>EXP(-LN(2)/35)*CK4+(1-EXP(-LN(2)/35))/(LN(2)/35)*CG5*CH5*VLOOKUP('Données projet'!$B$12,Paramètres!$A$1:$I$89,3,0)*0.475*44/12</f>
        <v>0</v>
      </c>
      <c r="CL5" s="21">
        <f>EXP(-LN(2)/25)*CL4+(1-EXP(-LN(2)/25))/(LN(2)/25)*Calculateur!CG5*Calculateur!CI5*VLOOKUP('Données projet'!$B$12,Paramètres!$A$1:$I$89,3,0)*0.475*44/12</f>
        <v>0</v>
      </c>
      <c r="CM5" s="21">
        <f>EXP(-LN(2)/2)*CM4+(1-EXP(-LN(2)/2))/(LN(2)/2)*CG5*CJ5*VLOOKUP('Données projet'!$B$12,Paramètres!$A$1:$I$89,3,0)*0.475*44/12</f>
        <v>0</v>
      </c>
      <c r="CN5" s="22">
        <f t="shared" si="12"/>
        <v>0</v>
      </c>
      <c r="CO5" s="75">
        <f>('Scénario référence'!$F$8+'Scénario référence'!$F$9+'Scénario référence'!$B$17+'Scénario référence'!$B$9+'Scénario référence'!$B$10)*70+IF((45+25*(1-EXP(-0.0175*A5)))&lt;70,'Scénario référence'!$B$16*(45+25*(1-EXP(-0.0175*A5))),70*'Scénario référence'!$B$16)+IF((32+38*(1-EXP(-0.0175*A5)))&lt;70,'Scénario référence'!$B$18*(32+38*(1-EXP(-0.0175*A5))),70*'Scénario référence'!$B$18)</f>
        <v>70</v>
      </c>
      <c r="CP5" s="12">
        <f>IF(A5&gt;30,10,('Scénario référence'!$B$16+'Scénario référence'!$B$17+'Scénario référence'!$B$18+'Scénario référence'!$B$9+'Scénario référence'!$B$10)*A5*10/30+('Scénario référence'!$F$8+'Scénario référence'!$F$9)*10)</f>
        <v>10</v>
      </c>
      <c r="CQ5" s="12" t="e">
        <f>VLOOKUP(A5,'Données projet'!$A$139:$I$159,2,0)</f>
        <v>#N/A</v>
      </c>
      <c r="CR5" s="12" t="e">
        <f>VLOOKUP(A5,'Données projet'!$A$139:$I$159,9,0)</f>
        <v>#N/A</v>
      </c>
      <c r="CS5" s="12">
        <f t="array" ref="CS5">INDEX(CR:CR,MIN(IF(ISNUMBER(CR5:CR201),ROW(CR5:CR201),"")))</f>
        <v>0</v>
      </c>
      <c r="CT5" s="12">
        <f>IF('Données projet'!$A$140&gt;35,CT4+CS5-DB4,IF(A5&lt;'Données projet'!$A$140,$CQ$205^A5,IF(A5='Données projet'!$A$140,'Données projet'!$B$140,CT4+CS5-DB4)))</f>
        <v>0</v>
      </c>
      <c r="CU5" s="17" t="e">
        <f>CT5*VLOOKUP('Données projet'!$B$13,Paramètres!$A$1:$I$89,3,0)*VLOOKUP('Données projet'!$B$13,Paramètres!$A$1:$I$89,5,0)</f>
        <v>#N/A</v>
      </c>
      <c r="CV5" s="13" t="e">
        <f t="shared" ref="CV5:CV68" si="41">EXP(-1.0587+0.8836*LN(CU5)+0.284)</f>
        <v>#N/A</v>
      </c>
      <c r="CW5" s="20" t="e">
        <f t="shared" si="13"/>
        <v>#N/A</v>
      </c>
      <c r="CX5" s="59" t="e">
        <f t="shared" si="14"/>
        <v>#N/A</v>
      </c>
      <c r="CY5" s="59" t="e">
        <f ca="1">AVERAGE(OFFSET($CX$3,0,0,'Données projet'!$E$13+1,1))-AVERAGE(OFFSET($H$3,0,0,'Données projet'!$E$13+1,1))</f>
        <v>#N/A</v>
      </c>
      <c r="CZ5" s="59" t="e">
        <f t="shared" ref="CZ5:CZ68" si="42">$CZ$3</f>
        <v>#N/A</v>
      </c>
      <c r="DA5" s="15">
        <f>IF(ISNA(VLOOKUP(A5,'Données projet'!$A$139:$I$159,3,0)),0,VLOOKUP(A5,'Données projet'!$A$139:$I$159,3,0))</f>
        <v>0</v>
      </c>
      <c r="DB5" s="15">
        <f>IF(ISNA(VLOOKUP(A5,'Données projet'!$A$139:$I$159,4,0)),0,VLOOKUP(A5,'Données projet'!$A$139:$I$159,4,0))</f>
        <v>0</v>
      </c>
      <c r="DC5" s="16">
        <f>IF(ISNA(VLOOKUP(A5,'Données projet'!$A$139:$I$159,5,0)),0%,VLOOKUP(A5,'Données projet'!$A$139:$I$159,5,0)*VLOOKUP('Données projet'!$B$13,Paramètres!$A$1:$I$89,7,0))</f>
        <v>0</v>
      </c>
      <c r="DD5" s="16">
        <f>IF(ISNA(VLOOKUP(A5,'Données projet'!$A$139:$I$159,6,0)),0%,VLOOKUP(A5,'Données projet'!$A$139:$I$159,6,0)*VLOOKUP('Données projet'!$B$13,Paramètres!$A$1:$I$89,7,0))</f>
        <v>0</v>
      </c>
      <c r="DE5" s="16">
        <f>IF(ISNA(VLOOKUP(A5,'Données projet'!$A$139:$I$159,7,0)),0%,VLOOKUP(A5,'Données projet'!$A$139:$I$159,7,0))</f>
        <v>0</v>
      </c>
      <c r="DF5" s="21" t="e">
        <f>EXP(-LN(2)/35)*DF4+(1-EXP(-LN(2)/35))/(LN(2)/35)*DB5*DC5*VLOOKUP('Données projet'!$B$13,Paramètres!$A$1:$I$89,3,0)*0.475*44/12</f>
        <v>#N/A</v>
      </c>
      <c r="DG5" s="21" t="e">
        <f>EXP(-LN(2)/25)*DG4+(1-EXP(-LN(2)/25))/(LN(2)/25)*Calculateur!DB5*Calculateur!DD5*VLOOKUP('Données projet'!$B$13,Paramètres!$A$1:$I$89,3,0)*0.475*44/12</f>
        <v>#N/A</v>
      </c>
      <c r="DH5" s="21" t="e">
        <f>EXP(-LN(2)/2)*DH4+(1-EXP(-LN(2)/2))/(LN(2)/2)*DB5*DE5*VLOOKUP('Données projet'!$B$13,Paramètres!$A$1:$I$89,3,0)*0.475*44/12</f>
        <v>#N/A</v>
      </c>
      <c r="DI5" s="22" t="e">
        <f t="shared" si="15"/>
        <v>#N/A</v>
      </c>
      <c r="DJ5" s="75">
        <f>('Scénario référence'!$F$8+'Scénario référence'!$F$9+'Scénario référence'!$B$17+'Scénario référence'!$B$9+'Scénario référence'!$B$10)*70+IF((45+25*(1-EXP(-0.0175*A5)))&lt;70,'Scénario référence'!$B$16*(45+25*(1-EXP(-0.0175*A5))),70*'Scénario référence'!$B$16)+IF((32+38*(1-EXP(-0.0175*A5)))&lt;70,'Scénario référence'!$B$18*(32+38*(1-EXP(-0.0175*A5))),70*'Scénario référence'!$B$18)</f>
        <v>70</v>
      </c>
      <c r="DK5" s="12">
        <f>IF(A5&gt;30,10,('Scénario référence'!$B$16+'Scénario référence'!$B$17+'Scénario référence'!$B$18+'Scénario référence'!$B$9+'Scénario référence'!$B$10)*A5*10/30+('Scénario référence'!$F$8+'Scénario référence'!$F$9)*10)</f>
        <v>10</v>
      </c>
      <c r="DL5" s="12" t="e">
        <f>VLOOKUP(A5,'Données projet'!$A$165:$I$185,2,0)</f>
        <v>#N/A</v>
      </c>
      <c r="DM5" s="12" t="e">
        <f>VLOOKUP(A5,'Données projet'!$A$165:$I$185,9,0)</f>
        <v>#N/A</v>
      </c>
      <c r="DN5" s="12">
        <f t="array" ref="DN5">INDEX(DM:DM,MIN(IF(ISNUMBER(DM5:DM201),ROW(DM5:DM201),"")))</f>
        <v>1.3</v>
      </c>
      <c r="DO5" s="12">
        <f>IF('Données projet'!$A$166&gt;35,DO4+DN5-DW4,IF(A5&lt;'Données projet'!$A$166,$DL$205^A5,IF(A5='Données projet'!$A$166,'Données projet'!$B$166,DO4+DN5-DW4)))</f>
        <v>1.6702776523348104</v>
      </c>
      <c r="DP5" s="17">
        <f>DO5*VLOOKUP('Données projet'!$B$14,Paramètres!$A$1:$I$89,3,0)*VLOOKUP('Données projet'!$B$14,Paramètres!$A$1:$I$89,5,0)</f>
        <v>1.0943659178097678</v>
      </c>
      <c r="DQ5" s="13">
        <f t="shared" ref="DQ5:DQ68" si="43">EXP(-1.0587+0.8836*LN(DP5)+0.284)</f>
        <v>0.49906383802135834</v>
      </c>
      <c r="DR5" s="20">
        <f t="shared" si="16"/>
        <v>2.7752234914058782</v>
      </c>
      <c r="DS5" s="59">
        <f t="shared" si="17"/>
        <v>296.1085568247392</v>
      </c>
      <c r="DT5" s="59">
        <f ca="1">AVERAGE(OFFSET($DS$3,0,0,'Données projet'!$E$14+1,1))-AVERAGE(OFFSET($H$3,0,0,'Données projet'!$E$14+1,1))</f>
        <v>188.68915783955595</v>
      </c>
      <c r="DU5" s="59">
        <f t="shared" ref="DU5:DU68" si="44">$DU$3</f>
        <v>240.82467772396944</v>
      </c>
      <c r="DV5" s="15">
        <f>IF(ISNA(VLOOKUP(A5,'Données projet'!$A$165:$I$185,3,0)),0,VLOOKUP(A5,'Données projet'!$A$165:$I$185,3,0))</f>
        <v>0</v>
      </c>
      <c r="DW5" s="15">
        <f>IF(ISNA(VLOOKUP(A5,'Données projet'!$A$165:$I$185,4,0)),0,VLOOKUP(A5,'Données projet'!$A$165:$I$185,4,0))</f>
        <v>0</v>
      </c>
      <c r="DX5" s="16">
        <f>IF(ISNA(VLOOKUP(A5,'Données projet'!$A$165:$I$185,5,0)),0%,VLOOKUP(A5,'Données projet'!$A$165:$I$185,5,0)*VLOOKUP('Données projet'!$B$14,Paramètres!$A$1:$I$89,7,0))</f>
        <v>0</v>
      </c>
      <c r="DY5" s="16">
        <f>IF(ISNA(VLOOKUP(A5,'Données projet'!$A$165:$I$185,6,0)),0%,VLOOKUP(A5,'Données projet'!$A$165:$I$185,6,0)*VLOOKUP('Données projet'!$B$14,Paramètres!$A$1:$I$89,7,0))</f>
        <v>0</v>
      </c>
      <c r="DZ5" s="16">
        <f>IF(ISNA(VLOOKUP(A5,'Données projet'!$A$165:$I$185,7,0)),0%,VLOOKUP(A5,'Données projet'!$A$165:$I$185,7,0))</f>
        <v>0</v>
      </c>
      <c r="EA5" s="21">
        <f>EXP(-LN(2)/35)*EA4+(1-EXP(-LN(2)/35))/(LN(2)/35)*DW5*DX5*VLOOKUP('Données projet'!$B$14,Paramètres!$A$1:$I$89,3,0)*0.475*44/12</f>
        <v>0</v>
      </c>
      <c r="EB5" s="21">
        <f>EXP(-LN(2)/25)*EB4+(1-EXP(-LN(2)/25))/(LN(2)/25)*Calculateur!DW5*Calculateur!DY5*VLOOKUP('Données projet'!$B$14,Paramètres!$A$1:$I$89,3,0)*0.475*44/12</f>
        <v>0</v>
      </c>
      <c r="EC5" s="21">
        <f>EXP(-LN(2)/2)*EC4+(1-EXP(-LN(2)/2))/(LN(2)/2)*DW5*DZ5*VLOOKUP('Données projet'!$B$14,Paramètres!$A$1:$I$89,3,0)*0.475*44/12</f>
        <v>0</v>
      </c>
      <c r="ED5" s="22">
        <f t="shared" si="18"/>
        <v>0</v>
      </c>
      <c r="EE5" s="75">
        <f>('Scénario référence'!$F$8+'Scénario référence'!$F$9+'Scénario référence'!$B$17+'Scénario référence'!$B$9+'Scénario référence'!$B$10)*70+IF((45+25*(1-EXP(-0.0175*A5)))&lt;70,'Scénario référence'!$B$16*(45+25*(1-EXP(-0.0175*A5))),70*'Scénario référence'!$B$16)+IF((32+38*(1-EXP(-0.0175*A5)))&lt;70,'Scénario référence'!$B$18*(32+38*(1-EXP(-0.0175*A5))),70*'Scénario référence'!$B$18)</f>
        <v>70</v>
      </c>
      <c r="EF5" s="12">
        <f>IF(A5&gt;30,10,('Scénario référence'!$B$16+'Scénario référence'!$B$17+'Scénario référence'!$B$18+'Scénario référence'!$B$9+'Scénario référence'!$B$10)*A5*10/30+('Scénario référence'!$F$8+'Scénario référence'!$F$9)*10)</f>
        <v>10</v>
      </c>
      <c r="EG5" s="12" t="e">
        <f>VLOOKUP(A5,'Données projet'!$A$191:$I$211,2,0)</f>
        <v>#N/A</v>
      </c>
      <c r="EH5" s="12" t="e">
        <f>VLOOKUP(A5,'Données projet'!$A$191:$I$211,9,0)</f>
        <v>#N/A</v>
      </c>
      <c r="EI5" s="12">
        <f t="array" ref="EI5">INDEX(EH:EH,MIN(IF(ISNUMBER(EH5:EH201),ROW(EH5:EH201),"")))</f>
        <v>2.9333333333333331</v>
      </c>
      <c r="EJ5" s="12">
        <f>IF('Données projet'!$A$192&gt;35,EJ4+EI5-ER4,IF(A5&lt;'Données projet'!$A$192,$EG$205^A5,IF(A5='Données projet'!$A$192,'Données projet'!$B$192,EJ4+EI5-ER4)))</f>
        <v>1.65625431802059</v>
      </c>
      <c r="EK5" s="17">
        <f>EJ5*VLOOKUP('Données projet'!$B$15,Paramètres!$A$1:$I$89,3,0)*VLOOKUP('Données projet'!$B$15,Paramètres!$A$1:$I$89,5,0)</f>
        <v>1.3435535027783025</v>
      </c>
      <c r="EL5" s="13">
        <f t="shared" ref="EL5:EL68" si="45">EXP(-1.0587+0.8836*LN(EK5)+0.284)</f>
        <v>0.59824372558516592</v>
      </c>
      <c r="EM5" s="20">
        <f t="shared" si="19"/>
        <v>3.381963506066374</v>
      </c>
      <c r="EN5" s="59">
        <f t="shared" si="20"/>
        <v>296.71529683939968</v>
      </c>
      <c r="EO5" s="59">
        <f ca="1">AVERAGE(OFFSET($EN$3,0,0,'Données projet'!$E$15+1,1))-AVERAGE(OFFSET($H$3,0,0,'Données projet'!$E$15+1,1))</f>
        <v>205.5272583787887</v>
      </c>
      <c r="EP5" s="59">
        <f t="shared" ref="EP5:EP68" si="46">$EP$3</f>
        <v>180.54762778843178</v>
      </c>
      <c r="EQ5" s="15">
        <f>IF(ISNA(VLOOKUP(A5,'Données projet'!$A$191:$I$211,3,0)),0,VLOOKUP(A5,'Données projet'!$A$191:$I$211,3,0))</f>
        <v>0</v>
      </c>
      <c r="ER5" s="15">
        <f>IF(ISNA(VLOOKUP(A5,'Données projet'!$A$191:$I$211,4,0)),0,VLOOKUP(A5,'Données projet'!$A$191:$I$211,4,0))</f>
        <v>0</v>
      </c>
      <c r="ES5" s="16">
        <f>IF(ISNA(VLOOKUP(A5,'Données projet'!$A$191:$I$211,5,0)),0%,VLOOKUP(A5,'Données projet'!$A$191:$I$211,5,0)*VLOOKUP('Données projet'!$B$15,Paramètres!$A$1:$I$89,7,0))</f>
        <v>0</v>
      </c>
      <c r="ET5" s="16">
        <f>IF(ISNA(VLOOKUP(A5,'Données projet'!$A$191:$I$211,6,0)),0%,VLOOKUP(A5,'Données projet'!$A$191:$I$211,6,0)*VLOOKUP('Données projet'!$B$15,Paramètres!$A$1:$I$89,7,0))</f>
        <v>0</v>
      </c>
      <c r="EU5" s="16">
        <f>IF(ISNA(VLOOKUP(A5,'Données projet'!$A$191:$I$211,7,0)),0%,VLOOKUP(A5,'Données projet'!$A$191:$I$211,7,0))</f>
        <v>0</v>
      </c>
      <c r="EV5" s="21">
        <f>EXP(-LN(2)/35)*EV4+(1-EXP(-LN(2)/35))/(LN(2)/35)*ER5*ES5*VLOOKUP('Données projet'!$B$15,Paramètres!$A$1:$I$89,3,0)*0.475*44/12</f>
        <v>0</v>
      </c>
      <c r="EW5" s="21">
        <f>EXP(-LN(2)/25)*EW4+(1-EXP(-LN(2)/25))/(LN(2)/25)*Calculateur!ER5*Calculateur!ET5*VLOOKUP('Données projet'!$B$15,Paramètres!$A$1:$I$89,3,0)*0.475*44/12</f>
        <v>0</v>
      </c>
      <c r="EX5" s="21">
        <f>EXP(-LN(2)/2)*EX4+(1-EXP(-LN(2)/2))/(LN(2)/2)*ER5*EU5*VLOOKUP('Données projet'!$B$15,Paramètres!$A$1:$I$89,3,0)*0.475*44/12</f>
        <v>0</v>
      </c>
      <c r="EY5" s="22">
        <f t="shared" si="21"/>
        <v>0</v>
      </c>
      <c r="EZ5" s="75">
        <f>('Scénario référence'!$F$8+'Scénario référence'!$F$9+'Scénario référence'!$B$17+'Scénario référence'!$B$9+'Scénario référence'!$B$10)*70+IF((45+25*(1-EXP(-0.0175*A5)))&lt;70,'Scénario référence'!$B$16*(45+25*(1-EXP(-0.0175*A5))),70*'Scénario référence'!$B$16)+IF((32+38*(1-EXP(-0.0175*A5)))&lt;70,'Scénario référence'!$B$18*(32+38*(1-EXP(-0.0175*A5))),70*'Scénario référence'!$B$18)</f>
        <v>70</v>
      </c>
      <c r="FA5" s="12">
        <f>IF(A5&gt;30,10,('Scénario référence'!$B$16+'Scénario référence'!$B$17+'Scénario référence'!$B$18+'Scénario référence'!$B$9+'Scénario référence'!$B$10)*A5*10/30+('Scénario référence'!$F$8+'Scénario référence'!$F$9)*10)</f>
        <v>10</v>
      </c>
      <c r="FB5" s="12" t="e">
        <f>VLOOKUP(A5,'Données projet'!$A$217:$I$237,2,0)</f>
        <v>#N/A</v>
      </c>
      <c r="FC5" s="12" t="e">
        <f>VLOOKUP(A5,'Données projet'!$A$217:$I$237,9,0)</f>
        <v>#N/A</v>
      </c>
      <c r="FD5" s="12">
        <f t="array" ref="FD5">INDEX(FC:FC,MIN(IF(ISNUMBER(FC5:FC201),ROW(FC5:FC201),"")))</f>
        <v>1.7333333333333334</v>
      </c>
      <c r="FE5" s="12">
        <f>IF('Données projet'!$A$218&gt;35,FE4+FD5-FM4,IF(A5&lt;'Données projet'!$A$218,$FB$205^A5,IF(A5='Données projet'!$A$218,'Données projet'!$B$218,FE4+FD5-FM4)))</f>
        <v>1.5440562337103121</v>
      </c>
      <c r="FF5" s="17">
        <f>FE5*VLOOKUP('Données projet'!$B$16,Paramètres!$A$1:$I$89,3,0)*VLOOKUP('Données projet'!$B$16,Paramètres!$A$1:$I$89,5,0)</f>
        <v>1.324800248523448</v>
      </c>
      <c r="FG5" s="13">
        <f t="shared" ref="FG5:FG68" si="47">EXP(-1.0587+0.8836*LN(FF5)+0.284)</f>
        <v>0.59085941359300376</v>
      </c>
      <c r="FH5" s="20">
        <f t="shared" si="22"/>
        <v>3.3364405781861532</v>
      </c>
      <c r="FI5" s="59">
        <f t="shared" si="23"/>
        <v>296.66977391151948</v>
      </c>
      <c r="FJ5" s="59">
        <f ca="1">AVERAGE(OFFSET($FI$3,0,0,'Données projet'!$E$16+1,1))-AVERAGE(OFFSET($H$3,0,0,'Données projet'!$E$16+1,1))</f>
        <v>383.97627237444709</v>
      </c>
      <c r="FK5" s="59">
        <f t="shared" ref="FK5:FK68" si="48">$FK$3</f>
        <v>203.35476578922339</v>
      </c>
      <c r="FL5" s="15">
        <f>IF(ISNA(VLOOKUP(A5,'Données projet'!$A$217:$I$237,3,0)),0,VLOOKUP(A5,'Données projet'!$A$217:$I$237,3,0))</f>
        <v>0</v>
      </c>
      <c r="FM5" s="15">
        <f>IF(ISNA(VLOOKUP(A5,'Données projet'!$A$217:$I$237,4,0)),0,VLOOKUP(A5,'Données projet'!$A$217:$I$237,4,0))</f>
        <v>0</v>
      </c>
      <c r="FN5" s="16">
        <f>IF(ISNA(VLOOKUP(A5,'Données projet'!$A$217:$I$237,5,0)),0%,VLOOKUP(A5,'Données projet'!$A$217:$I$237,5,0)*VLOOKUP('Données projet'!$B$16,Paramètres!$A$1:$I$89,7,0))</f>
        <v>0</v>
      </c>
      <c r="FO5" s="16">
        <f>IF(ISNA(VLOOKUP(A5,'Données projet'!$A$217:$I$237,6,0)),0%,VLOOKUP(A5,'Données projet'!$A$217:$I$237,6,0)*VLOOKUP('Données projet'!$B$16,Paramètres!$A$1:$I$89,7,0))</f>
        <v>0</v>
      </c>
      <c r="FP5" s="16">
        <f>IF(ISNA(VLOOKUP(A5,'Données projet'!$A$217:$I$237,7,0)),0%,VLOOKUP(A5,'Données projet'!$A$217:$I$237,7,0))</f>
        <v>0</v>
      </c>
      <c r="FQ5" s="21">
        <f>EXP(-LN(2)/35)*FQ4+(1-EXP(-LN(2)/35))/(LN(2)/35)*FM5*FN5*VLOOKUP('Données projet'!$B$16,Paramètres!$A$1:$I$89,3,0)*0.475*44/12</f>
        <v>0</v>
      </c>
      <c r="FR5" s="21">
        <f>EXP(-LN(2)/25)*FR4+(1-EXP(-LN(2)/25))/(LN(2)/25)*Calculateur!FM5*Calculateur!FO5*VLOOKUP('Données projet'!$B$16,Paramètres!$A$1:$I$89,3,0)*0.475*44/12</f>
        <v>0</v>
      </c>
      <c r="FS5" s="21">
        <f>EXP(-LN(2)/2)*FS4+(1-EXP(-LN(2)/2))/(LN(2)/2)*FM5*FP5*VLOOKUP('Données projet'!$B$16,Paramètres!$A$1:$I$89,3,0)*0.475*44/12</f>
        <v>0</v>
      </c>
      <c r="FT5" s="22">
        <f t="shared" si="24"/>
        <v>0</v>
      </c>
      <c r="FU5" s="75">
        <f>('Scénario référence'!$F$8+'Scénario référence'!$F$9+'Scénario référence'!$B$17+'Scénario référence'!$B$9+'Scénario référence'!$B$10)*70+IF((45+25*(1-EXP(-0.0175*A5)))&lt;70,'Scénario référence'!$B$16*(45+25*(1-EXP(-0.0175*A5))),70*'Scénario référence'!$B$16)+IF((32+38*(1-EXP(-0.0175*A5)))&lt;70,'Scénario référence'!$B$18*(32+38*(1-EXP(-0.0175*A5))),70*'Scénario référence'!$B$18)</f>
        <v>70</v>
      </c>
      <c r="FV5" s="12">
        <f>IF(A5&gt;30,10,('Scénario référence'!$B$16+'Scénario référence'!$B$17+'Scénario référence'!$B$18+'Scénario référence'!$B$9+'Scénario référence'!$B$10)*A5*10/30+('Scénario référence'!$F$8+'Scénario référence'!$F$9)*10)</f>
        <v>10</v>
      </c>
      <c r="FW5" s="12" t="e">
        <f>VLOOKUP(A5,'Données projet'!$A$243:$I$263,2,0)</f>
        <v>#N/A</v>
      </c>
      <c r="FX5" s="12" t="e">
        <f>VLOOKUP(A5,'Données projet'!$A$243:$I$263,9,0)</f>
        <v>#N/A</v>
      </c>
      <c r="FY5" s="12">
        <f t="array" ref="FY5">INDEX(FX:FX,MIN(IF(ISNUMBER(FX5:FX201),ROW(FX5:FX201),"")))</f>
        <v>4.0628205128205126</v>
      </c>
      <c r="FZ5" s="12">
        <f>IF('Données projet'!$A$244&gt;35,FZ4+FY5-GH4,IF(A5&lt;'Données projet'!$A$244,$FW$205^A5,IF(A5='Données projet'!$A$244,'Données projet'!$B$244,FZ4+FY5-GH4)))</f>
        <v>1.3774100880908995</v>
      </c>
      <c r="GA5" s="17">
        <f>FZ5*VLOOKUP('Données projet'!$B$17,Paramètres!$A$1:$I$89,3,0)*VLOOKUP('Données projet'!$B$17,Paramètres!$A$1:$I$89,5,0)</f>
        <v>1.482644218821044</v>
      </c>
      <c r="GB5" s="13">
        <f t="shared" ref="GB5:GB68" si="49">EXP(-1.0587+0.8836*LN(GA5)+0.284)</f>
        <v>0.65264995524919645</v>
      </c>
      <c r="GC5" s="20">
        <f t="shared" si="25"/>
        <v>3.7189706865056689</v>
      </c>
      <c r="GD5" s="59">
        <f t="shared" si="26"/>
        <v>297.05230401983897</v>
      </c>
      <c r="GE5" s="59">
        <f ca="1">AVERAGE(OFFSET($GD$3,0,0,'Données projet'!$E$17+1,1))-AVERAGE(OFFSET($H$3,0,0,'Données projet'!$E$17+1,1))</f>
        <v>286.77702855541287</v>
      </c>
      <c r="GF5" s="59">
        <f t="shared" ref="GF5:GF68" si="50">$GF$3</f>
        <v>227.12211541860779</v>
      </c>
      <c r="GG5" s="15">
        <f>IF(ISNA(VLOOKUP(A5,'Données projet'!$A$243:$I$263,3,0)),0,VLOOKUP(A5,'Données projet'!$A$243:$I$263,3,0))</f>
        <v>0</v>
      </c>
      <c r="GH5" s="15">
        <f>IF(ISNA(VLOOKUP(A5,'Données projet'!$A$243:$I$263,4,0)),0,VLOOKUP(A5,'Données projet'!$A$243:$I$263,4,0))</f>
        <v>0</v>
      </c>
      <c r="GI5" s="16">
        <f>IF(ISNA(VLOOKUP(A5,'Données projet'!$A$243:$I$263,5,0)),0%,VLOOKUP(A5,'Données projet'!$A$243:$I$263,5,0)*VLOOKUP('Données projet'!$B$17,Paramètres!$A$1:$I$89,7,0))</f>
        <v>0</v>
      </c>
      <c r="GJ5" s="16">
        <f>IF(ISNA(VLOOKUP(A5,'Données projet'!$A$243:$I$263,6,0)),0%,VLOOKUP(A5,'Données projet'!$A$243:$I$263,6,0)*VLOOKUP('Données projet'!$B$17,Paramètres!$A$1:$I$89,7,0))</f>
        <v>0</v>
      </c>
      <c r="GK5" s="16">
        <f>IF(ISNA(VLOOKUP(A5,'Données projet'!$A$243:$I$263,7,0)),0%,VLOOKUP(A5,'Données projet'!$A$243:$I$263,7,0))</f>
        <v>0</v>
      </c>
      <c r="GL5" s="21">
        <f>EXP(-LN(2)/35)*GL4+(1-EXP(-LN(2)/35))/(LN(2)/35)*GH5*GI5*VLOOKUP('Données projet'!$B$17,Paramètres!$A$1:$I$89,3,0)*0.475*44/12</f>
        <v>0</v>
      </c>
      <c r="GM5" s="21">
        <f>EXP(-LN(2)/25)*GM4+(1-EXP(-LN(2)/25))/(LN(2)/25)*Calculateur!GH5*Calculateur!GJ5*VLOOKUP('Données projet'!$B$17,Paramètres!$A$1:$I$89,3,0)*0.475*44/12</f>
        <v>0</v>
      </c>
      <c r="GN5" s="21">
        <f>EXP(-LN(2)/2)*GN4+(1-EXP(-LN(2)/2))/(LN(2)/2)*GH5*GK5*VLOOKUP('Données projet'!$B$17,Paramètres!$A$1:$I$89,3,0)*0.475*44/12</f>
        <v>0</v>
      </c>
      <c r="GO5" s="21">
        <f t="shared" si="27"/>
        <v>0</v>
      </c>
      <c r="GP5" s="75">
        <f>('Scénario référence'!$F$8+'Scénario référence'!$F$9+'Scénario référence'!$B$17+'Scénario référence'!$B$9+'Scénario référence'!$B$10)*70+IF((45+25*(1-EXP(-0.0175*A5)))&lt;70,'Scénario référence'!$B$16*(45+25*(1-EXP(-0.0175*A5))),70*'Scénario référence'!$B$16)+IF((32+38*(1-EXP(-0.0175*A5)))&lt;70,'Scénario référence'!$B$18*(32+38*(1-EXP(-0.0175*A5))),70*'Scénario référence'!$B$18)</f>
        <v>70</v>
      </c>
      <c r="GQ5" s="12">
        <f>IF(A5&gt;30,10,('Scénario référence'!$B$16+'Scénario référence'!$B$17+'Scénario référence'!$B$18+'Scénario référence'!$B$9+'Scénario référence'!$B$10)*A5*10/30+('Scénario référence'!$F$8+'Scénario référence'!$F$9)*10)</f>
        <v>10</v>
      </c>
      <c r="GR5" s="12" t="e">
        <f>VLOOKUP(A5,'Données projet'!$A$269:$I$289,2,0)</f>
        <v>#N/A</v>
      </c>
      <c r="GS5" s="12" t="e">
        <f>VLOOKUP(A5,'Données projet'!$A$269:$I$289,9,0)</f>
        <v>#N/A</v>
      </c>
      <c r="GT5" s="12">
        <f t="array" ref="GT5">INDEX(GS:GS,MIN(IF(ISNUMBER(GS5:GS201),ROW(GS5:GS201),"")))</f>
        <v>4.0628205128205126</v>
      </c>
      <c r="GU5" s="12">
        <f>IF('Données projet'!$A$270&gt;35,GU4+GT5-HC4,IF(A5&lt;'Données projet'!$A$270,$GR$205^A5,IF(A5='Données projet'!$A$270,'Données projet'!$B$270,GU4+GT5-HC4)))</f>
        <v>1.3774100880908995</v>
      </c>
      <c r="GV5" s="17">
        <f>GU5*VLOOKUP('Données projet'!$B$18,Paramètres!$A$1:$I$89,3,0)*VLOOKUP('Données projet'!$B$18,Paramètres!$A$1:$I$89,5,0)</f>
        <v>1.482644218821044</v>
      </c>
      <c r="GW5" s="13">
        <f t="shared" ref="GW5:GW68" si="51">EXP(-1.0587+0.8836*LN(GV5)+0.284)</f>
        <v>0.65264995524919645</v>
      </c>
      <c r="GX5" s="20">
        <f t="shared" si="28"/>
        <v>3.7189706865056689</v>
      </c>
      <c r="GY5" s="59">
        <f t="shared" si="29"/>
        <v>297.05230401983897</v>
      </c>
      <c r="GZ5" s="59">
        <f ca="1">AVERAGE(OFFSET($GY$3,0,0,'Données projet'!$E$18+1,1))-AVERAGE(OFFSET($H$3,0,0,'Données projet'!$E$18+1,1))</f>
        <v>286.77702855541287</v>
      </c>
      <c r="HA5" s="59">
        <f t="shared" ref="HA5:HA68" si="52">$HA$3</f>
        <v>227.12211541860779</v>
      </c>
      <c r="HB5" s="15">
        <f>IF(ISNA(VLOOKUP(A5,'Données projet'!$A$269:$I$289,3,0)),0,VLOOKUP(A5,'Données projet'!$A$269:$I$289,3,0))</f>
        <v>0</v>
      </c>
      <c r="HC5" s="15">
        <f>IF(ISNA(VLOOKUP(A5,'Données projet'!$A$269:$I$289,4,0)),0,VLOOKUP(A5,'Données projet'!$A$269:$I$289,4,0))</f>
        <v>0</v>
      </c>
      <c r="HD5" s="16">
        <f>IF(ISNA(VLOOKUP(A5,'Données projet'!$A$269:$I$289,5,0)),0%,VLOOKUP(A5,'Données projet'!$A$269:$I$289,5,0)*VLOOKUP('Données projet'!$B$18,Paramètres!$A$1:$I$89,7,0))</f>
        <v>0</v>
      </c>
      <c r="HE5" s="16">
        <f>IF(ISNA(VLOOKUP(A5,'Données projet'!$A$269:$I$289,6,0)),0%,VLOOKUP(A5,'Données projet'!$A$269:$I$289,6,0)*VLOOKUP('Données projet'!$B$18,Paramètres!$A$1:$I$89,7,0))</f>
        <v>0</v>
      </c>
      <c r="HF5" s="16">
        <f>IF(ISNA(VLOOKUP(A5,'Données projet'!$A$269:$I$289,7,0)),0%,VLOOKUP(A5,'Données projet'!$A$269:$I$289,7,0))</f>
        <v>0</v>
      </c>
      <c r="HG5" s="21">
        <f>EXP(-LN(2)/35)*HG4+(1-EXP(-LN(2)/35))/(LN(2)/35)*HC5*HD5*VLOOKUP('Données projet'!$B$18,Paramètres!$A$1:$I$89,3,0)*0.475*44/12</f>
        <v>0</v>
      </c>
      <c r="HH5" s="21">
        <f>EXP(-LN(2)/25)*HH4+(1-EXP(-LN(2)/25))/(LN(2)/25)*Calculateur!HC5*Calculateur!HE5*VLOOKUP('Données projet'!$B$18,Paramètres!$A$1:$I$89,3,0)*0.475*44/12</f>
        <v>0</v>
      </c>
      <c r="HI5" s="21">
        <f>EXP(-LN(2)/2)*HI4+(1-EXP(-LN(2)/2))/(LN(2)/2)*HC5*HF5*VLOOKUP('Données projet'!$B$18,Paramètres!$A$1:$I$89,3,0)*0.475*44/12</f>
        <v>0</v>
      </c>
      <c r="HJ5" s="22">
        <f t="shared" si="30"/>
        <v>0</v>
      </c>
    </row>
    <row r="6" spans="1:218" x14ac:dyDescent="0.25">
      <c r="A6" s="10">
        <f t="shared" si="31"/>
        <v>3</v>
      </c>
      <c r="B6" s="73">
        <f>'Scénario référence'!$B$16*5+'Scénario référence'!$B$17*0+'Scénario référence'!$B$18*5</f>
        <v>0</v>
      </c>
      <c r="C6" s="19">
        <f>Calculateur!C5+'Scénario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2.6676000000000002</v>
      </c>
      <c r="D6" s="11">
        <f t="shared" si="32"/>
        <v>1.0966608080083624</v>
      </c>
      <c r="E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6" s="11">
        <f>IF(OR('Scénario référence'!$F$8&gt;0,'Scénario référence'!$F$9&gt;0),('Scénario référence'!$F$8+'Scénario référence'!$F$9)*10,0)</f>
        <v>10</v>
      </c>
      <c r="G6" s="11">
        <f>'Scénario référence'!$B$8*B6*44/12+'Scénario référence'!$B$9*(C6+D6)/0.475*44/12+'Scénario référence'!$B$10*(C6+D6)/0.475*44/12+'Scénario référence'!$F$8*(C6+D6)/0.475*44/12+'Scénario référence'!$F$9*(C6+D6)/0.475*44/12</f>
        <v>29.057451851292623</v>
      </c>
      <c r="H6" s="67">
        <f t="shared" si="1"/>
        <v>299.88942090728119</v>
      </c>
      <c r="I6" s="70">
        <f>('Scénario référence'!$F$8+'Scénario référence'!$F$9+'Scénario référence'!$B$17+'Scénario référence'!$B$9+'Scénario référence'!$B$10)*70+IF((45+25*(1-EXP(-0.0175*A6)))&lt;70,'Scénario référence'!$B$16*(45+25*(1-EXP(-0.0175*A6))),70*'Scénario référence'!$B$16)+IF((32+38*(1-EXP(-0.0175*A6)))&lt;70,'Scénario référence'!$B$18*(32+38*(1-EXP(-0.0175*A6))),70*'Scénario référence'!$B$18)</f>
        <v>70</v>
      </c>
      <c r="J6" s="13">
        <f>IF(A6&gt;30,10,('Scénario référence'!$B$16+'Scénario référence'!$B$17+'Scénario référence'!$B$18+'Scénario référence'!$B$9+'Scénario référence'!$B$10)*A6*10/30+('Scénario référence'!$F$8+'Scénario référence'!$F$9)*10)</f>
        <v>10</v>
      </c>
      <c r="K6" s="12" t="e">
        <f>VLOOKUP(A6,'Données projet'!$A$35:$I$55,2,0)</f>
        <v>#N/A</v>
      </c>
      <c r="L6" s="12" t="e">
        <f>VLOOKUP(A6,'Données projet'!$A$35:$I$55,9,0)</f>
        <v>#N/A</v>
      </c>
      <c r="M6" s="12">
        <f t="array" ref="M6">INDEX(L:L,MIN(IF(ISNUMBER(L6:L202),ROW(L6:L202),"")))</f>
        <v>9.3968325791855207</v>
      </c>
      <c r="N6" s="13">
        <f>IF('Données projet'!$A$36&gt;35,N5+M6-V5,IF(A6&lt;'Données projet'!$A$36,$K$205^A6,IF(A6='Données projet'!$A$36,'Données projet'!$B$36,N5+M6-V5)))</f>
        <v>2.4481648641832221</v>
      </c>
      <c r="O6" s="13">
        <f>N6*VLOOKUP('Données projet'!$B$9,Paramètres!$A$1:$I$89,3,0)*VLOOKUP('Données projet'!$B$9,Paramètres!$A$1:$I$89,5,0)</f>
        <v>1.3685241590784212</v>
      </c>
      <c r="P6" s="13">
        <f t="shared" si="33"/>
        <v>0.60805763513553568</v>
      </c>
      <c r="Q6" s="20">
        <f t="shared" si="2"/>
        <v>3.4425466249226413</v>
      </c>
      <c r="R6" s="59">
        <f t="shared" si="0"/>
        <v>296.77587995825593</v>
      </c>
      <c r="S6" s="59">
        <f ca="1">AVERAGE(OFFSET($R$3,0,0,'Données projet'!$E$9+1,1))-AVERAGE(OFFSET($H$3,0,0,'Données projet'!$E$9+1,1))</f>
        <v>255.5374979188561</v>
      </c>
      <c r="T6" s="59">
        <f t="shared" si="34"/>
        <v>343.10418468620901</v>
      </c>
      <c r="U6" s="15">
        <f>IF(ISNA(VLOOKUP(A6,'Données projet'!$A$35:$I$55,3,0)),0,VLOOKUP(A6,'Données projet'!$A$35:$I$55,3,0))</f>
        <v>0</v>
      </c>
      <c r="V6" s="15">
        <f>IF(ISNA(VLOOKUP(A6,'Données projet'!$A$35:$I$55,4,0)),0,VLOOKUP(A6,'Données projet'!$A$35:$I$55,4,0))</f>
        <v>0</v>
      </c>
      <c r="W6" s="16">
        <f>IF(ISNA(VLOOKUP(A6,'Données projet'!$A$35:$I$55,5,0)),0%,VLOOKUP(A6,'Données projet'!$A$35:$I$55,5,0)*VLOOKUP('Données projet'!$B$9,Paramètres!$A$1:$I$89,7,0))</f>
        <v>0</v>
      </c>
      <c r="X6" s="16">
        <f>IF(ISNA(VLOOKUP(A6,'Données projet'!$A$35:$I$55,6,0)),0%,VLOOKUP(A6,'Données projet'!$A$35:$I$55,6,0)*VLOOKUP('Données projet'!$B$9,Paramètres!$A$1:$I$89,7,0))</f>
        <v>0</v>
      </c>
      <c r="Y6" s="16">
        <f>IF(ISNA(VLOOKUP(A6,'Données projet'!$A$35:$I$55,7,0)),0%,VLOOKUP(A6,'Données projet'!$A$35:$I$55,7,0))</f>
        <v>0</v>
      </c>
      <c r="Z6" s="21">
        <f>EXP(-LN(2)/35)*Z5+(1-EXP(-LN(2)/35))/(LN(2)/35)*V6*W6*VLOOKUP('Données projet'!$B$9,Paramètres!$A$1:$I$89,3,0)*0.475*44/12</f>
        <v>0</v>
      </c>
      <c r="AA6" s="21">
        <f>EXP(-LN(2)/25)*AA5+(1-EXP(-LN(2)/25))/(LN(2)/25)*Calculateur!V6*Calculateur!X6*VLOOKUP('Données projet'!$B$9,Paramètres!$A$1:$I$89,3,0)*0.475*44/12</f>
        <v>0</v>
      </c>
      <c r="AB6" s="21">
        <f>EXP(-LN(2)/2)*AB5+(1-EXP(-LN(2)/2))/(LN(2)/2)*V6*Y6*VLOOKUP('Données projet'!$B$9,Paramètres!$A$1:$I$89,3,0)*0.475*44/12</f>
        <v>0</v>
      </c>
      <c r="AC6" s="22">
        <f t="shared" si="3"/>
        <v>0</v>
      </c>
      <c r="AD6" s="13">
        <f>('Scénario référence'!$F$8+'Scénario référence'!$F$9+'Scénario référence'!$B$17+'Scénario référence'!$B$9+'Scénario référence'!$B$10)*70+IF((45+25*(1-EXP(-0.0175*A6)))&lt;70,'Scénario référence'!$B$16*(45+25*(1-EXP(-0.0175*A6))),70*'Scénario référence'!$B$16)+IF((32+38*(1-EXP(-0.0175*A6)))&lt;70,'Scénario référence'!$B$18*(32+38*(1-EXP(-0.0175*A6))),70*'Scénario référence'!$B$18)</f>
        <v>70</v>
      </c>
      <c r="AE6" s="13">
        <f>IF(A6&gt;30,10,('Scénario référence'!$B$16+'Scénario référence'!$B$17+'Scénario référence'!$B$18+'Scénario référence'!$B$9+'Scénario référence'!$B$10)*A6*10/30+('Scénario référence'!$F$8+'Scénario référence'!$F$9)*10)</f>
        <v>10</v>
      </c>
      <c r="AF6" s="12" t="e">
        <f>VLOOKUP(A6,'Données projet'!$A$61:$I$81,2,0)</f>
        <v>#N/A</v>
      </c>
      <c r="AG6" s="12" t="e">
        <f>VLOOKUP(A6,'Données projet'!$A$61:$I$81,9,0)</f>
        <v>#N/A</v>
      </c>
      <c r="AH6" s="12">
        <f t="array" ref="AH6">INDEX(AG:AG,MIN(IF(ISNUMBER(AG6:AG202),ROW(AG6:AG202),"")))</f>
        <v>2.6</v>
      </c>
      <c r="AI6" s="13">
        <f>IF('Données projet'!$A$62&gt;35,AI5+AH6-AQ5,IF(A6&lt;'Données projet'!$A$62,$AF$205^A6,IF(A6='Données projet'!$A$62,'Données projet'!$B$62,AI5+AH6-AQ5)))</f>
        <v>2.6576146209051541</v>
      </c>
      <c r="AJ6" s="13">
        <f>AI6*VLOOKUP('Données projet'!$B$10,Paramètres!$A$1:$I$89,3,0)*VLOOKUP('Données projet'!$B$10,Paramètres!$A$1:$I$89,5,0)</f>
        <v>1.6583515234448161</v>
      </c>
      <c r="AK6" s="13">
        <f t="shared" si="35"/>
        <v>0.72054034540017953</v>
      </c>
      <c r="AL6" s="20">
        <f t="shared" si="4"/>
        <v>4.1432366715717004</v>
      </c>
      <c r="AM6" s="59">
        <f t="shared" si="5"/>
        <v>297.476570004905</v>
      </c>
      <c r="AN6" s="59">
        <f ca="1">AVERAGE(OFFSET($AM$3,0,0,'Données projet'!$E$10+1,1))-AVERAGE(OFFSET($H$3,0,0,'Données projet'!$E$10+1,1))</f>
        <v>261.78489480911571</v>
      </c>
      <c r="AO6" s="59">
        <f t="shared" si="36"/>
        <v>297.50513563712764</v>
      </c>
      <c r="AP6" s="15">
        <f>IF(ISNA(VLOOKUP(A6,'Données projet'!$A$61:$I$81,3,0)),0,VLOOKUP(A6,'Données projet'!$A$61:$I$81,3,0))</f>
        <v>0</v>
      </c>
      <c r="AQ6" s="15">
        <f>IF(ISNA(VLOOKUP(A6,'Données projet'!$A$61:$I$81,4,0)),0,VLOOKUP(A6,'Données projet'!$A$61:$I$81,4,0))</f>
        <v>0</v>
      </c>
      <c r="AR6" s="16">
        <f>IF(ISNA(VLOOKUP(A6,'Données projet'!$A$61:$I$81,5,0)),0%,VLOOKUP(A6,'Données projet'!$A$61:$I$81,5,0)*VLOOKUP('Données projet'!$B$10,Paramètres!$A$1:$I$89,7,0))</f>
        <v>0</v>
      </c>
      <c r="AS6" s="16">
        <f>IF(ISNA(VLOOKUP(A6,'Données projet'!$A$61:$I$81,6,0)),0%,VLOOKUP(A6,'Données projet'!$A$61:$I$81,6,0)*VLOOKUP('Données projet'!$B$10,Paramètres!$A$1:$I$89,7,0))</f>
        <v>0</v>
      </c>
      <c r="AT6" s="16">
        <f>IF(ISNA(VLOOKUP(A6,'Données projet'!$A$61:$I$81,7,0)),0%,VLOOKUP(A6,'Données projet'!$A$61:$I$81,7,0))</f>
        <v>0</v>
      </c>
      <c r="AU6" s="21">
        <f>EXP(-LN(2)/35)*AU5+(1-EXP(-LN(2)/35))/(LN(2)/35)*AQ6*AR6*VLOOKUP('Données projet'!$B$10,Paramètres!$A$1:$I$89,3,0)*0.475*44/12</f>
        <v>0</v>
      </c>
      <c r="AV6" s="21">
        <f>EXP(-LN(2)/25)*AV5+(1-EXP(-LN(2)/25))/(LN(2)/25)*Calculateur!AQ6*Calculateur!AS6*VLOOKUP('Données projet'!$B$10,Paramètres!$A$1:$I$89,3,0)*0.475*44/12</f>
        <v>0</v>
      </c>
      <c r="AW6" s="21">
        <f>EXP(-LN(2)/2)*AW5+(1-EXP(-LN(2)/2))/(LN(2)/2)*AQ6*AT6*VLOOKUP('Données projet'!$B$10,Paramètres!$A$1:$I$89,3,0)*0.475*44/12</f>
        <v>0</v>
      </c>
      <c r="AX6" s="21">
        <f t="shared" si="6"/>
        <v>0</v>
      </c>
      <c r="AY6" s="74">
        <f>('Scénario référence'!$F$8+'Scénario référence'!$F$9+'Scénario référence'!$B$17+'Scénario référence'!$B$9+'Scénario référence'!$B$10)*70+IF((45+25*(1-EXP(-0.0175*A6)))&lt;70,'Scénario référence'!$B$16*(45+25*(1-EXP(-0.0175*A6))),70*'Scénario référence'!$B$16)+IF((32+38*(1-EXP(-0.0175*A6)))&lt;70,'Scénario référence'!$B$18*(32+38*(1-EXP(-0.0175*A6))),70*'Scénario référence'!$B$18)</f>
        <v>70</v>
      </c>
      <c r="AZ6" s="12">
        <f>IF(A6&gt;30,10,('Scénario référence'!$B$16+'Scénario référence'!$B$17+'Scénario référence'!$B$18+'Scénario référence'!$B$9+'Scénario référence'!$B$10)*A6*10/30+('Scénario référence'!$F$8+'Scénario référence'!$F$9)*10)</f>
        <v>10</v>
      </c>
      <c r="BA6" s="12" t="e">
        <f>VLOOKUP(A6,'Données projet'!$A$87:$I$107,2,0)</f>
        <v>#N/A</v>
      </c>
      <c r="BB6" s="12" t="e">
        <f>VLOOKUP(A6,'Données projet'!$A$87:$I$107,9,0)</f>
        <v>#N/A</v>
      </c>
      <c r="BC6" s="12">
        <f t="array" ref="BC6">INDEX(BB:BB,MIN(IF(ISNUMBER(BB6:BB202),ROW(BB6:BB202),"")))</f>
        <v>5.3</v>
      </c>
      <c r="BD6" s="12">
        <f>IF('Données projet'!$A$88&gt;35,BD5+BC6-BL5,IF(A6&lt;'Données projet'!$A$88,$BA$205^A6,IF(A6='Données projet'!$A$88,'Données projet'!$B$88,BD5+BC6-BL5)))</f>
        <v>2.0127780134861233</v>
      </c>
      <c r="BE6" s="13">
        <f>BD6*VLOOKUP('Données projet'!$B$11,Paramètres!$A$1:$I$89,3,0)*VLOOKUP('Données projet'!$B$11,Paramètres!$A$1:$I$89,5,0)</f>
        <v>1.2036412520647017</v>
      </c>
      <c r="BF6" s="13">
        <f t="shared" si="37"/>
        <v>0.54284928534933019</v>
      </c>
      <c r="BG6" s="20">
        <f t="shared" si="7"/>
        <v>3.0418043526627723</v>
      </c>
      <c r="BH6" s="59">
        <f t="shared" si="8"/>
        <v>296.37513768599609</v>
      </c>
      <c r="BI6" s="59">
        <f ca="1">AVERAGE(OFFSET($BH$3,0,0,'Données projet'!$E$11+1,1))-AVERAGE(OFFSET($H$3,0,0,'Données projet'!$E$11+1,1))</f>
        <v>316.58509520829671</v>
      </c>
      <c r="BJ6" s="59">
        <f t="shared" si="38"/>
        <v>240.71332110643596</v>
      </c>
      <c r="BK6" s="15">
        <f>IF(ISNA(VLOOKUP(A6,'Données projet'!$A$87:$I$107,3,0)),0,VLOOKUP(A6,'Données projet'!$A$87:$I$107,3,0))</f>
        <v>0</v>
      </c>
      <c r="BL6" s="15">
        <f>IF(ISNA(VLOOKUP(A6,'Données projet'!$A$87:$I$107,4,0)),0,VLOOKUP(A6,'Données projet'!$A$87:$I$107,4,0))</f>
        <v>0</v>
      </c>
      <c r="BM6" s="16">
        <f>IF(ISNA(VLOOKUP(A6,'Données projet'!$A$87:$I$107,5,0)),0%,VLOOKUP(A6,'Données projet'!$A$87:$I$107,5,0)*VLOOKUP('Données projet'!$B$11,Paramètres!$A$1:$I$89,7,0))</f>
        <v>0</v>
      </c>
      <c r="BN6" s="16">
        <f>IF(ISNA(VLOOKUP(A6,'Données projet'!$A$87:$I$107,6,0)),0%,VLOOKUP(A6,'Données projet'!$A$87:$I$107,6,0)*VLOOKUP('Données projet'!$B$11,Paramètres!$A$1:$I$89,7,0))</f>
        <v>0</v>
      </c>
      <c r="BO6" s="16">
        <f>IF(ISNA(VLOOKUP(A6,'Données projet'!$A$87:$I$107,7,0)),0%,VLOOKUP(A6,'Données projet'!$A$87:$I$107,7,0))</f>
        <v>0</v>
      </c>
      <c r="BP6" s="21">
        <f>EXP(-LN(2)/35)*BP5+(1-EXP(-LN(2)/35))/(LN(2)/35)*BL6*BM6*VLOOKUP('Données projet'!$B$11,Paramètres!$A$1:$I$89,3,0)*0.475*44/12</f>
        <v>0</v>
      </c>
      <c r="BQ6" s="21">
        <f>EXP(-LN(2)/25)*BQ5+(1-EXP(-LN(2)/25))/(LN(2)/25)*Calculateur!BL6*Calculateur!BN6*VLOOKUP('Données projet'!$B$11,Paramètres!$A$1:$I$89,3,0)*0.475*44/12</f>
        <v>0</v>
      </c>
      <c r="BR6" s="21">
        <f>EXP(-LN(2)/2)*BR5+(1-EXP(-LN(2)/2))/(LN(2)/2)*BL6*BO6*VLOOKUP('Données projet'!$B$11,Paramètres!$A$1:$I$89,3,0)*0.475*44/12</f>
        <v>0</v>
      </c>
      <c r="BS6" s="22">
        <f t="shared" si="9"/>
        <v>0</v>
      </c>
      <c r="BT6" s="75">
        <f>('Scénario référence'!$F$8+'Scénario référence'!$F$9+'Scénario référence'!$B$17+'Scénario référence'!$B$9+'Scénario référence'!$B$10)*70+IF((45+25*(1-EXP(-0.0175*A6)))&lt;70,'Scénario référence'!$B$16*(45+25*(1-EXP(-0.0175*A6))),70*'Scénario référence'!$B$16)+IF((32+38*(1-EXP(-0.0175*A6)))&lt;70,'Scénario référence'!$B$18*(32+38*(1-EXP(-0.0175*A6))),70*'Scénario référence'!$B$18)</f>
        <v>70</v>
      </c>
      <c r="BU6" s="12">
        <f>IF(A6&gt;30,10,('Scénario référence'!$B$16+'Scénario référence'!$B$17+'Scénario référence'!$B$18+'Scénario référence'!$B$9+'Scénario référence'!$B$10)*A6*10/30+('Scénario référence'!$F$8+'Scénario référence'!$F$9)*10)</f>
        <v>10</v>
      </c>
      <c r="BV6" s="12" t="e">
        <f>VLOOKUP(A6,'Données projet'!$A$113:$I$133,2,0)</f>
        <v>#N/A</v>
      </c>
      <c r="BW6" s="12" t="e">
        <f>VLOOKUP(A6,'Données projet'!$A$113:$I$133,9,0)</f>
        <v>#N/A</v>
      </c>
      <c r="BX6" s="12">
        <f t="array" ref="BX6">INDEX(BW:BW,MIN(IF(ISNUMBER(BW6:BW202),ROW(BW6:BW202),"")))</f>
        <v>3.2</v>
      </c>
      <c r="BY6" s="12">
        <f>IF('Données projet'!$A$114&gt;35,BY5+BX6-CG5,IF(A6&lt;'Données projet'!$A$114,$BV$205^A6,IF(A6='Données projet'!$A$114,'Données projet'!$B$114,BY5+BX6-CG5)))</f>
        <v>2.1689435423953971</v>
      </c>
      <c r="BZ6" s="13">
        <f>BY6*VLOOKUP('Données projet'!$B$12,Paramètres!$A$1:$I$89,3,0)*VLOOKUP('Données projet'!$B$12,Paramètres!$A$1:$I$89,5,0)</f>
        <v>1.2406357062501672</v>
      </c>
      <c r="CA6" s="13">
        <f t="shared" si="39"/>
        <v>0.55756582599866744</v>
      </c>
      <c r="CB6" s="20">
        <f t="shared" si="10"/>
        <v>3.13186766866672</v>
      </c>
      <c r="CC6" s="59">
        <f t="shared" si="11"/>
        <v>296.46520100200001</v>
      </c>
      <c r="CD6" s="59">
        <f ca="1">AVERAGE(OFFSET($CC$3,0,0,'Données projet'!$E$12+1,1))-AVERAGE(OFFSET($H$3,0,0,'Données projet'!$E$12+1,1))</f>
        <v>188.64374818906128</v>
      </c>
      <c r="CE6" s="59">
        <f t="shared" si="40"/>
        <v>211.95157880548652</v>
      </c>
      <c r="CF6" s="15">
        <f>IF(ISNA(VLOOKUP(A6,'Données projet'!$A$113:$I$133,3,0)),0,VLOOKUP(A6,'Données projet'!$A$113:$I$133,3,0))</f>
        <v>0</v>
      </c>
      <c r="CG6" s="15">
        <f>IF(ISNA(VLOOKUP(A6,'Données projet'!$A$113:$I$133,4,0)),0,VLOOKUP(A6,'Données projet'!$A$113:$I$133,4,0))</f>
        <v>0</v>
      </c>
      <c r="CH6" s="16">
        <f>IF(ISNA(VLOOKUP(A6,'Données projet'!$A$113:$I$133,5,0)),0%,VLOOKUP(A6,'Données projet'!$A$113:$I$133,5,0)*VLOOKUP('Données projet'!$B$12,Paramètres!$A$1:$I$89,7,0))</f>
        <v>0</v>
      </c>
      <c r="CI6" s="16">
        <f>IF(ISNA(VLOOKUP(A6,'Données projet'!$A$113:$I$133,6,0)),0%,VLOOKUP(A6,'Données projet'!$A$113:$I$133,6,0)*VLOOKUP('Données projet'!$B$12,Paramètres!$A$1:$I$89,7,0))</f>
        <v>0</v>
      </c>
      <c r="CJ6" s="16">
        <f>IF(ISNA(VLOOKUP(A6,'Données projet'!$A$113:$I$133,7,0)),0%,VLOOKUP(A6,'Données projet'!$A$113:$I$133,7,0))</f>
        <v>0</v>
      </c>
      <c r="CK6" s="21">
        <f>EXP(-LN(2)/35)*CK5+(1-EXP(-LN(2)/35))/(LN(2)/35)*CG6*CH6*VLOOKUP('Données projet'!$B$12,Paramètres!$A$1:$I$89,3,0)*0.475*44/12</f>
        <v>0</v>
      </c>
      <c r="CL6" s="21">
        <f>EXP(-LN(2)/25)*CL5+(1-EXP(-LN(2)/25))/(LN(2)/25)*Calculateur!CG6*Calculateur!CI6*VLOOKUP('Données projet'!$B$12,Paramètres!$A$1:$I$89,3,0)*0.475*44/12</f>
        <v>0</v>
      </c>
      <c r="CM6" s="21">
        <f>EXP(-LN(2)/2)*CM5+(1-EXP(-LN(2)/2))/(LN(2)/2)*CG6*CJ6*VLOOKUP('Données projet'!$B$12,Paramètres!$A$1:$I$89,3,0)*0.475*44/12</f>
        <v>0</v>
      </c>
      <c r="CN6" s="22">
        <f t="shared" si="12"/>
        <v>0</v>
      </c>
      <c r="CO6" s="75">
        <f>('Scénario référence'!$F$8+'Scénario référence'!$F$9+'Scénario référence'!$B$17+'Scénario référence'!$B$9+'Scénario référence'!$B$10)*70+IF((45+25*(1-EXP(-0.0175*A6)))&lt;70,'Scénario référence'!$B$16*(45+25*(1-EXP(-0.0175*A6))),70*'Scénario référence'!$B$16)+IF((32+38*(1-EXP(-0.0175*A6)))&lt;70,'Scénario référence'!$B$18*(32+38*(1-EXP(-0.0175*A6))),70*'Scénario référence'!$B$18)</f>
        <v>70</v>
      </c>
      <c r="CP6" s="12">
        <f>IF(A6&gt;30,10,('Scénario référence'!$B$16+'Scénario référence'!$B$17+'Scénario référence'!$B$18+'Scénario référence'!$B$9+'Scénario référence'!$B$10)*A6*10/30+('Scénario référence'!$F$8+'Scénario référence'!$F$9)*10)</f>
        <v>10</v>
      </c>
      <c r="CQ6" s="12" t="e">
        <f>VLOOKUP(A6,'Données projet'!$A$139:$I$159,2,0)</f>
        <v>#N/A</v>
      </c>
      <c r="CR6" s="12" t="e">
        <f>VLOOKUP(A6,'Données projet'!$A$139:$I$159,9,0)</f>
        <v>#N/A</v>
      </c>
      <c r="CS6" s="12">
        <f t="array" ref="CS6">INDEX(CR:CR,MIN(IF(ISNUMBER(CR6:CR202),ROW(CR6:CR202),"")))</f>
        <v>0</v>
      </c>
      <c r="CT6" s="12">
        <f>IF('Données projet'!$A$140&gt;35,CT5+CS6-DB5,IF(A6&lt;'Données projet'!$A$140,$CQ$205^A6,IF(A6='Données projet'!$A$140,'Données projet'!$B$140,CT5+CS6-DB5)))</f>
        <v>0</v>
      </c>
      <c r="CU6" s="17" t="e">
        <f>CT6*VLOOKUP('Données projet'!$B$13,Paramètres!$A$1:$I$89,3,0)*VLOOKUP('Données projet'!$B$13,Paramètres!$A$1:$I$89,5,0)</f>
        <v>#N/A</v>
      </c>
      <c r="CV6" s="13" t="e">
        <f t="shared" si="41"/>
        <v>#N/A</v>
      </c>
      <c r="CW6" s="20" t="e">
        <f t="shared" si="13"/>
        <v>#N/A</v>
      </c>
      <c r="CX6" s="59" t="e">
        <f t="shared" si="14"/>
        <v>#N/A</v>
      </c>
      <c r="CY6" s="59" t="e">
        <f ca="1">AVERAGE(OFFSET($CX$3,0,0,'Données projet'!$E$13+1,1))-AVERAGE(OFFSET($H$3,0,0,'Données projet'!$E$13+1,1))</f>
        <v>#N/A</v>
      </c>
      <c r="CZ6" s="59" t="e">
        <f t="shared" si="42"/>
        <v>#N/A</v>
      </c>
      <c r="DA6" s="15">
        <f>IF(ISNA(VLOOKUP(A6,'Données projet'!$A$139:$I$159,3,0)),0,VLOOKUP(A6,'Données projet'!$A$139:$I$159,3,0))</f>
        <v>0</v>
      </c>
      <c r="DB6" s="15">
        <f>IF(ISNA(VLOOKUP(A6,'Données projet'!$A$139:$I$159,4,0)),0,VLOOKUP(A6,'Données projet'!$A$139:$I$159,4,0))</f>
        <v>0</v>
      </c>
      <c r="DC6" s="16">
        <f>IF(ISNA(VLOOKUP(A6,'Données projet'!$A$139:$I$159,5,0)),0%,VLOOKUP(A6,'Données projet'!$A$139:$I$159,5,0)*VLOOKUP('Données projet'!$B$13,Paramètres!$A$1:$I$89,7,0))</f>
        <v>0</v>
      </c>
      <c r="DD6" s="16">
        <f>IF(ISNA(VLOOKUP(A6,'Données projet'!$A$139:$I$159,6,0)),0%,VLOOKUP(A6,'Données projet'!$A$139:$I$159,6,0)*VLOOKUP('Données projet'!$B$13,Paramètres!$A$1:$I$89,7,0))</f>
        <v>0</v>
      </c>
      <c r="DE6" s="16">
        <f>IF(ISNA(VLOOKUP(A6,'Données projet'!$A$139:$I$159,7,0)),0%,VLOOKUP(A6,'Données projet'!$A$139:$I$159,7,0))</f>
        <v>0</v>
      </c>
      <c r="DF6" s="21" t="e">
        <f>EXP(-LN(2)/35)*DF5+(1-EXP(-LN(2)/35))/(LN(2)/35)*DB6*DC6*VLOOKUP('Données projet'!$B$13,Paramètres!$A$1:$I$89,3,0)*0.475*44/12</f>
        <v>#N/A</v>
      </c>
      <c r="DG6" s="21" t="e">
        <f>EXP(-LN(2)/25)*DG5+(1-EXP(-LN(2)/25))/(LN(2)/25)*Calculateur!DB6*Calculateur!DD6*VLOOKUP('Données projet'!$B$13,Paramètres!$A$1:$I$89,3,0)*0.475*44/12</f>
        <v>#N/A</v>
      </c>
      <c r="DH6" s="21" t="e">
        <f>EXP(-LN(2)/2)*DH5+(1-EXP(-LN(2)/2))/(LN(2)/2)*DB6*DE6*VLOOKUP('Données projet'!$B$13,Paramètres!$A$1:$I$89,3,0)*0.475*44/12</f>
        <v>#N/A</v>
      </c>
      <c r="DI6" s="22" t="e">
        <f t="shared" si="15"/>
        <v>#N/A</v>
      </c>
      <c r="DJ6" s="75">
        <f>('Scénario référence'!$F$8+'Scénario référence'!$F$9+'Scénario référence'!$B$17+'Scénario référence'!$B$9+'Scénario référence'!$B$10)*70+IF((45+25*(1-EXP(-0.0175*A6)))&lt;70,'Scénario référence'!$B$16*(45+25*(1-EXP(-0.0175*A6))),70*'Scénario référence'!$B$16)+IF((32+38*(1-EXP(-0.0175*A6)))&lt;70,'Scénario référence'!$B$18*(32+38*(1-EXP(-0.0175*A6))),70*'Scénario référence'!$B$18)</f>
        <v>70</v>
      </c>
      <c r="DK6" s="12">
        <f>IF(A6&gt;30,10,('Scénario référence'!$B$16+'Scénario référence'!$B$17+'Scénario référence'!$B$18+'Scénario référence'!$B$9+'Scénario référence'!$B$10)*A6*10/30+('Scénario référence'!$F$8+'Scénario référence'!$F$9)*10)</f>
        <v>10</v>
      </c>
      <c r="DL6" s="12" t="e">
        <f>VLOOKUP(A6,'Données projet'!$A$165:$I$185,2,0)</f>
        <v>#N/A</v>
      </c>
      <c r="DM6" s="12" t="e">
        <f>VLOOKUP(A6,'Données projet'!$A$165:$I$185,9,0)</f>
        <v>#N/A</v>
      </c>
      <c r="DN6" s="12">
        <f t="array" ref="DN6">INDEX(DM:DM,MIN(IF(ISNUMBER(DM6:DM202),ROW(DM6:DM202),"")))</f>
        <v>1.3</v>
      </c>
      <c r="DO6" s="12">
        <f>IF('Données projet'!$A$166&gt;35,DO5+DN6-DW5,IF(A6&lt;'Données projet'!$A$166,$DL$205^A6,IF(A6='Données projet'!$A$166,'Données projet'!$B$166,DO5+DN6-DW5)))</f>
        <v>2.1586538444215799</v>
      </c>
      <c r="DP6" s="17">
        <f>DO6*VLOOKUP('Données projet'!$B$14,Paramètres!$A$1:$I$89,3,0)*VLOOKUP('Données projet'!$B$14,Paramètres!$A$1:$I$89,5,0)</f>
        <v>1.4143499988650192</v>
      </c>
      <c r="DQ6" s="13">
        <f t="shared" si="43"/>
        <v>0.6260141312335108</v>
      </c>
      <c r="DR6" s="20">
        <f t="shared" si="16"/>
        <v>3.5536341932549398</v>
      </c>
      <c r="DS6" s="59">
        <f t="shared" si="17"/>
        <v>296.88696752658825</v>
      </c>
      <c r="DT6" s="59">
        <f ca="1">AVERAGE(OFFSET($DS$3,0,0,'Données projet'!$E$14+1,1))-AVERAGE(OFFSET($H$3,0,0,'Données projet'!$E$14+1,1))</f>
        <v>188.68915783955595</v>
      </c>
      <c r="DU6" s="59">
        <f t="shared" si="44"/>
        <v>240.82467772396944</v>
      </c>
      <c r="DV6" s="15">
        <f>IF(ISNA(VLOOKUP(A6,'Données projet'!$A$165:$I$185,3,0)),0,VLOOKUP(A6,'Données projet'!$A$165:$I$185,3,0))</f>
        <v>0</v>
      </c>
      <c r="DW6" s="15">
        <f>IF(ISNA(VLOOKUP(A6,'Données projet'!$A$165:$I$185,4,0)),0,VLOOKUP(A6,'Données projet'!$A$165:$I$185,4,0))</f>
        <v>0</v>
      </c>
      <c r="DX6" s="16">
        <f>IF(ISNA(VLOOKUP(A6,'Données projet'!$A$165:$I$185,5,0)),0%,VLOOKUP(A6,'Données projet'!$A$165:$I$185,5,0)*VLOOKUP('Données projet'!$B$14,Paramètres!$A$1:$I$89,7,0))</f>
        <v>0</v>
      </c>
      <c r="DY6" s="16">
        <f>IF(ISNA(VLOOKUP(A6,'Données projet'!$A$165:$I$185,6,0)),0%,VLOOKUP(A6,'Données projet'!$A$165:$I$185,6,0)*VLOOKUP('Données projet'!$B$14,Paramètres!$A$1:$I$89,7,0))</f>
        <v>0</v>
      </c>
      <c r="DZ6" s="16">
        <f>IF(ISNA(VLOOKUP(A6,'Données projet'!$A$165:$I$185,7,0)),0%,VLOOKUP(A6,'Données projet'!$A$165:$I$185,7,0))</f>
        <v>0</v>
      </c>
      <c r="EA6" s="21">
        <f>EXP(-LN(2)/35)*EA5+(1-EXP(-LN(2)/35))/(LN(2)/35)*DW6*DX6*VLOOKUP('Données projet'!$B$14,Paramètres!$A$1:$I$89,3,0)*0.475*44/12</f>
        <v>0</v>
      </c>
      <c r="EB6" s="21">
        <f>EXP(-LN(2)/25)*EB5+(1-EXP(-LN(2)/25))/(LN(2)/25)*Calculateur!DW6*Calculateur!DY6*VLOOKUP('Données projet'!$B$14,Paramètres!$A$1:$I$89,3,0)*0.475*44/12</f>
        <v>0</v>
      </c>
      <c r="EC6" s="21">
        <f>EXP(-LN(2)/2)*EC5+(1-EXP(-LN(2)/2))/(LN(2)/2)*DW6*DZ6*VLOOKUP('Données projet'!$B$14,Paramètres!$A$1:$I$89,3,0)*0.475*44/12</f>
        <v>0</v>
      </c>
      <c r="ED6" s="22">
        <f t="shared" si="18"/>
        <v>0</v>
      </c>
      <c r="EE6" s="75">
        <f>('Scénario référence'!$F$8+'Scénario référence'!$F$9+'Scénario référence'!$B$17+'Scénario référence'!$B$9+'Scénario référence'!$B$10)*70+IF((45+25*(1-EXP(-0.0175*A6)))&lt;70,'Scénario référence'!$B$16*(45+25*(1-EXP(-0.0175*A6))),70*'Scénario référence'!$B$16)+IF((32+38*(1-EXP(-0.0175*A6)))&lt;70,'Scénario référence'!$B$18*(32+38*(1-EXP(-0.0175*A6))),70*'Scénario référence'!$B$18)</f>
        <v>70</v>
      </c>
      <c r="EF6" s="12">
        <f>IF(A6&gt;30,10,('Scénario référence'!$B$16+'Scénario référence'!$B$17+'Scénario référence'!$B$18+'Scénario référence'!$B$9+'Scénario référence'!$B$10)*A6*10/30+('Scénario référence'!$F$8+'Scénario référence'!$F$9)*10)</f>
        <v>10</v>
      </c>
      <c r="EG6" s="12" t="e">
        <f>VLOOKUP(A6,'Données projet'!$A$191:$I$211,2,0)</f>
        <v>#N/A</v>
      </c>
      <c r="EH6" s="12" t="e">
        <f>VLOOKUP(A6,'Données projet'!$A$191:$I$211,9,0)</f>
        <v>#N/A</v>
      </c>
      <c r="EI6" s="12">
        <f t="array" ref="EI6">INDEX(EH:EH,MIN(IF(ISNUMBER(EH6:EH202),ROW(EH6:EH202),"")))</f>
        <v>2.9333333333333331</v>
      </c>
      <c r="EJ6" s="12">
        <f>IF('Données projet'!$A$192&gt;35,EJ5+EI6-ER5,IF(A6&lt;'Données projet'!$A$192,$EG$205^A6,IF(A6='Données projet'!$A$192,'Données projet'!$B$192,EJ5+EI6-ER5)))</f>
        <v>2.1315255132709483</v>
      </c>
      <c r="EK6" s="17">
        <f>EJ6*VLOOKUP('Données projet'!$B$15,Paramètres!$A$1:$I$89,3,0)*VLOOKUP('Données projet'!$B$15,Paramètres!$A$1:$I$89,5,0)</f>
        <v>1.7290934963653934</v>
      </c>
      <c r="EL6" s="13">
        <f t="shared" si="45"/>
        <v>0.74763301517324143</v>
      </c>
      <c r="EM6" s="20">
        <f t="shared" si="19"/>
        <v>4.3136320075964552</v>
      </c>
      <c r="EN6" s="59">
        <f t="shared" si="20"/>
        <v>297.6469653409298</v>
      </c>
      <c r="EO6" s="59">
        <f ca="1">AVERAGE(OFFSET($EN$3,0,0,'Données projet'!$E$15+1,1))-AVERAGE(OFFSET($H$3,0,0,'Données projet'!$E$15+1,1))</f>
        <v>205.5272583787887</v>
      </c>
      <c r="EP6" s="59">
        <f t="shared" si="46"/>
        <v>180.54762778843178</v>
      </c>
      <c r="EQ6" s="15">
        <f>IF(ISNA(VLOOKUP(A6,'Données projet'!$A$191:$I$211,3,0)),0,VLOOKUP(A6,'Données projet'!$A$191:$I$211,3,0))</f>
        <v>0</v>
      </c>
      <c r="ER6" s="15">
        <f>IF(ISNA(VLOOKUP(A6,'Données projet'!$A$191:$I$211,4,0)),0,VLOOKUP(A6,'Données projet'!$A$191:$I$211,4,0))</f>
        <v>0</v>
      </c>
      <c r="ES6" s="16">
        <f>IF(ISNA(VLOOKUP(A6,'Données projet'!$A$191:$I$211,5,0)),0%,VLOOKUP(A6,'Données projet'!$A$191:$I$211,5,0)*VLOOKUP('Données projet'!$B$15,Paramètres!$A$1:$I$89,7,0))</f>
        <v>0</v>
      </c>
      <c r="ET6" s="16">
        <f>IF(ISNA(VLOOKUP(A6,'Données projet'!$A$191:$I$211,6,0)),0%,VLOOKUP(A6,'Données projet'!$A$191:$I$211,6,0)*VLOOKUP('Données projet'!$B$15,Paramètres!$A$1:$I$89,7,0))</f>
        <v>0</v>
      </c>
      <c r="EU6" s="16">
        <f>IF(ISNA(VLOOKUP(A6,'Données projet'!$A$191:$I$211,7,0)),0%,VLOOKUP(A6,'Données projet'!$A$191:$I$211,7,0))</f>
        <v>0</v>
      </c>
      <c r="EV6" s="21">
        <f>EXP(-LN(2)/35)*EV5+(1-EXP(-LN(2)/35))/(LN(2)/35)*ER6*ES6*VLOOKUP('Données projet'!$B$15,Paramètres!$A$1:$I$89,3,0)*0.475*44/12</f>
        <v>0</v>
      </c>
      <c r="EW6" s="21">
        <f>EXP(-LN(2)/25)*EW5+(1-EXP(-LN(2)/25))/(LN(2)/25)*Calculateur!ER6*Calculateur!ET6*VLOOKUP('Données projet'!$B$15,Paramètres!$A$1:$I$89,3,0)*0.475*44/12</f>
        <v>0</v>
      </c>
      <c r="EX6" s="21">
        <f>EXP(-LN(2)/2)*EX5+(1-EXP(-LN(2)/2))/(LN(2)/2)*ER6*EU6*VLOOKUP('Données projet'!$B$15,Paramètres!$A$1:$I$89,3,0)*0.475*44/12</f>
        <v>0</v>
      </c>
      <c r="EY6" s="22">
        <f t="shared" si="21"/>
        <v>0</v>
      </c>
      <c r="EZ6" s="75">
        <f>('Scénario référence'!$F$8+'Scénario référence'!$F$9+'Scénario référence'!$B$17+'Scénario référence'!$B$9+'Scénario référence'!$B$10)*70+IF((45+25*(1-EXP(-0.0175*A6)))&lt;70,'Scénario référence'!$B$16*(45+25*(1-EXP(-0.0175*A6))),70*'Scénario référence'!$B$16)+IF((32+38*(1-EXP(-0.0175*A6)))&lt;70,'Scénario référence'!$B$18*(32+38*(1-EXP(-0.0175*A6))),70*'Scénario référence'!$B$18)</f>
        <v>70</v>
      </c>
      <c r="FA6" s="12">
        <f>IF(A6&gt;30,10,('Scénario référence'!$B$16+'Scénario référence'!$B$17+'Scénario référence'!$B$18+'Scénario référence'!$B$9+'Scénario référence'!$B$10)*A6*10/30+('Scénario référence'!$F$8+'Scénario référence'!$F$9)*10)</f>
        <v>10</v>
      </c>
      <c r="FB6" s="12" t="e">
        <f>VLOOKUP(A6,'Données projet'!$A$217:$I$237,2,0)</f>
        <v>#N/A</v>
      </c>
      <c r="FC6" s="12" t="e">
        <f>VLOOKUP(A6,'Données projet'!$A$217:$I$237,9,0)</f>
        <v>#N/A</v>
      </c>
      <c r="FD6" s="12">
        <f t="array" ref="FD6">INDEX(FC:FC,MIN(IF(ISNUMBER(FC6:FC202),ROW(FC6:FC202),"")))</f>
        <v>1.7333333333333334</v>
      </c>
      <c r="FE6" s="12">
        <f>IF('Données projet'!$A$218&gt;35,FE5+FD6-FM5,IF(A6&lt;'Données projet'!$A$218,$FB$205^A6,IF(A6='Données projet'!$A$218,'Données projet'!$B$218,FE5+FD6-FM5)))</f>
        <v>1.918645191625306</v>
      </c>
      <c r="FF6" s="17">
        <f>FE6*VLOOKUP('Données projet'!$B$16,Paramètres!$A$1:$I$89,3,0)*VLOOKUP('Données projet'!$B$16,Paramètres!$A$1:$I$89,5,0)</f>
        <v>1.6461975744145125</v>
      </c>
      <c r="FG6" s="13">
        <f t="shared" si="47"/>
        <v>0.71587224121364534</v>
      </c>
      <c r="FH6" s="20">
        <f t="shared" si="22"/>
        <v>4.1139382622190412</v>
      </c>
      <c r="FI6" s="59">
        <f t="shared" si="23"/>
        <v>297.44727159555237</v>
      </c>
      <c r="FJ6" s="59">
        <f ca="1">AVERAGE(OFFSET($FI$3,0,0,'Données projet'!$E$16+1,1))-AVERAGE(OFFSET($H$3,0,0,'Données projet'!$E$16+1,1))</f>
        <v>383.97627237444709</v>
      </c>
      <c r="FK6" s="59">
        <f t="shared" si="48"/>
        <v>203.35476578922339</v>
      </c>
      <c r="FL6" s="15">
        <f>IF(ISNA(VLOOKUP(A6,'Données projet'!$A$217:$I$237,3,0)),0,VLOOKUP(A6,'Données projet'!$A$217:$I$237,3,0))</f>
        <v>0</v>
      </c>
      <c r="FM6" s="15">
        <f>IF(ISNA(VLOOKUP(A6,'Données projet'!$A$217:$I$237,4,0)),0,VLOOKUP(A6,'Données projet'!$A$217:$I$237,4,0))</f>
        <v>0</v>
      </c>
      <c r="FN6" s="16">
        <f>IF(ISNA(VLOOKUP(A6,'Données projet'!$A$217:$I$237,5,0)),0%,VLOOKUP(A6,'Données projet'!$A$217:$I$237,5,0)*VLOOKUP('Données projet'!$B$16,Paramètres!$A$1:$I$89,7,0))</f>
        <v>0</v>
      </c>
      <c r="FO6" s="16">
        <f>IF(ISNA(VLOOKUP(A6,'Données projet'!$A$217:$I$237,6,0)),0%,VLOOKUP(A6,'Données projet'!$A$217:$I$237,6,0)*VLOOKUP('Données projet'!$B$16,Paramètres!$A$1:$I$89,7,0))</f>
        <v>0</v>
      </c>
      <c r="FP6" s="16">
        <f>IF(ISNA(VLOOKUP(A6,'Données projet'!$A$217:$I$237,7,0)),0%,VLOOKUP(A6,'Données projet'!$A$217:$I$237,7,0))</f>
        <v>0</v>
      </c>
      <c r="FQ6" s="21">
        <f>EXP(-LN(2)/35)*FQ5+(1-EXP(-LN(2)/35))/(LN(2)/35)*FM6*FN6*VLOOKUP('Données projet'!$B$16,Paramètres!$A$1:$I$89,3,0)*0.475*44/12</f>
        <v>0</v>
      </c>
      <c r="FR6" s="21">
        <f>EXP(-LN(2)/25)*FR5+(1-EXP(-LN(2)/25))/(LN(2)/25)*Calculateur!FM6*Calculateur!FO6*VLOOKUP('Données projet'!$B$16,Paramètres!$A$1:$I$89,3,0)*0.475*44/12</f>
        <v>0</v>
      </c>
      <c r="FS6" s="21">
        <f>EXP(-LN(2)/2)*FS5+(1-EXP(-LN(2)/2))/(LN(2)/2)*FM6*FP6*VLOOKUP('Données projet'!$B$16,Paramètres!$A$1:$I$89,3,0)*0.475*44/12</f>
        <v>0</v>
      </c>
      <c r="FT6" s="22">
        <f t="shared" si="24"/>
        <v>0</v>
      </c>
      <c r="FU6" s="75">
        <f>('Scénario référence'!$F$8+'Scénario référence'!$F$9+'Scénario référence'!$B$17+'Scénario référence'!$B$9+'Scénario référence'!$B$10)*70+IF((45+25*(1-EXP(-0.0175*A6)))&lt;70,'Scénario référence'!$B$16*(45+25*(1-EXP(-0.0175*A6))),70*'Scénario référence'!$B$16)+IF((32+38*(1-EXP(-0.0175*A6)))&lt;70,'Scénario référence'!$B$18*(32+38*(1-EXP(-0.0175*A6))),70*'Scénario référence'!$B$18)</f>
        <v>70</v>
      </c>
      <c r="FV6" s="12">
        <f>IF(A6&gt;30,10,('Scénario référence'!$B$16+'Scénario référence'!$B$17+'Scénario référence'!$B$18+'Scénario référence'!$B$9+'Scénario référence'!$B$10)*A6*10/30+('Scénario référence'!$F$8+'Scénario référence'!$F$9)*10)</f>
        <v>10</v>
      </c>
      <c r="FW6" s="12" t="e">
        <f>VLOOKUP(A6,'Données projet'!$A$243:$I$263,2,0)</f>
        <v>#N/A</v>
      </c>
      <c r="FX6" s="12" t="e">
        <f>VLOOKUP(A6,'Données projet'!$A$243:$I$263,9,0)</f>
        <v>#N/A</v>
      </c>
      <c r="FY6" s="12">
        <f t="array" ref="FY6">INDEX(FX:FX,MIN(IF(ISNUMBER(FX6:FX202),ROW(FX6:FX202),"")))</f>
        <v>4.0628205128205126</v>
      </c>
      <c r="FZ6" s="12">
        <f>IF('Données projet'!$A$244&gt;35,FZ5+FY6-GH5,IF(A6&lt;'Données projet'!$A$244,$FW$205^A6,IF(A6='Données projet'!$A$244,'Données projet'!$B$244,FZ5+FY6-GH5)))</f>
        <v>1.6165713926559588</v>
      </c>
      <c r="GA6" s="17">
        <f>FZ6*VLOOKUP('Données projet'!$B$17,Paramètres!$A$1:$I$89,3,0)*VLOOKUP('Données projet'!$B$17,Paramètres!$A$1:$I$89,5,0)</f>
        <v>1.7400774470548741</v>
      </c>
      <c r="GB6" s="13">
        <f t="shared" si="49"/>
        <v>0.75182793882385246</v>
      </c>
      <c r="GC6" s="20">
        <f t="shared" si="25"/>
        <v>4.3400685470721152</v>
      </c>
      <c r="GD6" s="59">
        <f t="shared" si="26"/>
        <v>297.67340188040544</v>
      </c>
      <c r="GE6" s="59">
        <f ca="1">AVERAGE(OFFSET($GD$3,0,0,'Données projet'!$E$17+1,1))-AVERAGE(OFFSET($H$3,0,0,'Données projet'!$E$17+1,1))</f>
        <v>286.77702855541287</v>
      </c>
      <c r="GF6" s="59">
        <f t="shared" si="50"/>
        <v>227.12211541860779</v>
      </c>
      <c r="GG6" s="15">
        <f>IF(ISNA(VLOOKUP(A6,'Données projet'!$A$243:$I$263,3,0)),0,VLOOKUP(A6,'Données projet'!$A$243:$I$263,3,0))</f>
        <v>0</v>
      </c>
      <c r="GH6" s="15">
        <f>IF(ISNA(VLOOKUP(A6,'Données projet'!$A$243:$I$263,4,0)),0,VLOOKUP(A6,'Données projet'!$A$243:$I$263,4,0))</f>
        <v>0</v>
      </c>
      <c r="GI6" s="16">
        <f>IF(ISNA(VLOOKUP(A6,'Données projet'!$A$243:$I$263,5,0)),0%,VLOOKUP(A6,'Données projet'!$A$243:$I$263,5,0)*VLOOKUP('Données projet'!$B$17,Paramètres!$A$1:$I$89,7,0))</f>
        <v>0</v>
      </c>
      <c r="GJ6" s="16">
        <f>IF(ISNA(VLOOKUP(A6,'Données projet'!$A$243:$I$263,6,0)),0%,VLOOKUP(A6,'Données projet'!$A$243:$I$263,6,0)*VLOOKUP('Données projet'!$B$17,Paramètres!$A$1:$I$89,7,0))</f>
        <v>0</v>
      </c>
      <c r="GK6" s="16">
        <f>IF(ISNA(VLOOKUP(A6,'Données projet'!$A$243:$I$263,7,0)),0%,VLOOKUP(A6,'Données projet'!$A$243:$I$263,7,0))</f>
        <v>0</v>
      </c>
      <c r="GL6" s="21">
        <f>EXP(-LN(2)/35)*GL5+(1-EXP(-LN(2)/35))/(LN(2)/35)*GH6*GI6*VLOOKUP('Données projet'!$B$17,Paramètres!$A$1:$I$89,3,0)*0.475*44/12</f>
        <v>0</v>
      </c>
      <c r="GM6" s="21">
        <f>EXP(-LN(2)/25)*GM5+(1-EXP(-LN(2)/25))/(LN(2)/25)*Calculateur!GH6*Calculateur!GJ6*VLOOKUP('Données projet'!$B$17,Paramètres!$A$1:$I$89,3,0)*0.475*44/12</f>
        <v>0</v>
      </c>
      <c r="GN6" s="21">
        <f>EXP(-LN(2)/2)*GN5+(1-EXP(-LN(2)/2))/(LN(2)/2)*GH6*GK6*VLOOKUP('Données projet'!$B$17,Paramètres!$A$1:$I$89,3,0)*0.475*44/12</f>
        <v>0</v>
      </c>
      <c r="GO6" s="21">
        <f t="shared" si="27"/>
        <v>0</v>
      </c>
      <c r="GP6" s="75">
        <f>('Scénario référence'!$F$8+'Scénario référence'!$F$9+'Scénario référence'!$B$17+'Scénario référence'!$B$9+'Scénario référence'!$B$10)*70+IF((45+25*(1-EXP(-0.0175*A6)))&lt;70,'Scénario référence'!$B$16*(45+25*(1-EXP(-0.0175*A6))),70*'Scénario référence'!$B$16)+IF((32+38*(1-EXP(-0.0175*A6)))&lt;70,'Scénario référence'!$B$18*(32+38*(1-EXP(-0.0175*A6))),70*'Scénario référence'!$B$18)</f>
        <v>70</v>
      </c>
      <c r="GQ6" s="12">
        <f>IF(A6&gt;30,10,('Scénario référence'!$B$16+'Scénario référence'!$B$17+'Scénario référence'!$B$18+'Scénario référence'!$B$9+'Scénario référence'!$B$10)*A6*10/30+('Scénario référence'!$F$8+'Scénario référence'!$F$9)*10)</f>
        <v>10</v>
      </c>
      <c r="GR6" s="12" t="e">
        <f>VLOOKUP(A6,'Données projet'!$A$269:$I$289,2,0)</f>
        <v>#N/A</v>
      </c>
      <c r="GS6" s="12" t="e">
        <f>VLOOKUP(A6,'Données projet'!$A$269:$I$289,9,0)</f>
        <v>#N/A</v>
      </c>
      <c r="GT6" s="12">
        <f t="array" ref="GT6">INDEX(GS:GS,MIN(IF(ISNUMBER(GS6:GS202),ROW(GS6:GS202),"")))</f>
        <v>4.0628205128205126</v>
      </c>
      <c r="GU6" s="12">
        <f>IF('Données projet'!$A$270&gt;35,GU5+GT6-HC5,IF(A6&lt;'Données projet'!$A$270,$GR$205^A6,IF(A6='Données projet'!$A$270,'Données projet'!$B$270,GU5+GT6-HC5)))</f>
        <v>1.6165713926559588</v>
      </c>
      <c r="GV6" s="17">
        <f>GU6*VLOOKUP('Données projet'!$B$18,Paramètres!$A$1:$I$89,3,0)*VLOOKUP('Données projet'!$B$18,Paramètres!$A$1:$I$89,5,0)</f>
        <v>1.7400774470548741</v>
      </c>
      <c r="GW6" s="13">
        <f t="shared" si="51"/>
        <v>0.75182793882385246</v>
      </c>
      <c r="GX6" s="20">
        <f t="shared" si="28"/>
        <v>4.3400685470721152</v>
      </c>
      <c r="GY6" s="59">
        <f t="shared" si="29"/>
        <v>297.67340188040544</v>
      </c>
      <c r="GZ6" s="59">
        <f ca="1">AVERAGE(OFFSET($GY$3,0,0,'Données projet'!$E$18+1,1))-AVERAGE(OFFSET($H$3,0,0,'Données projet'!$E$18+1,1))</f>
        <v>286.77702855541287</v>
      </c>
      <c r="HA6" s="59">
        <f t="shared" si="52"/>
        <v>227.12211541860779</v>
      </c>
      <c r="HB6" s="15">
        <f>IF(ISNA(VLOOKUP(A6,'Données projet'!$A$269:$I$289,3,0)),0,VLOOKUP(A6,'Données projet'!$A$269:$I$289,3,0))</f>
        <v>0</v>
      </c>
      <c r="HC6" s="15">
        <f>IF(ISNA(VLOOKUP(A6,'Données projet'!$A$269:$I$289,4,0)),0,VLOOKUP(A6,'Données projet'!$A$269:$I$289,4,0))</f>
        <v>0</v>
      </c>
      <c r="HD6" s="16">
        <f>IF(ISNA(VLOOKUP(A6,'Données projet'!$A$269:$I$289,5,0)),0%,VLOOKUP(A6,'Données projet'!$A$269:$I$289,5,0)*VLOOKUP('Données projet'!$B$18,Paramètres!$A$1:$I$89,7,0))</f>
        <v>0</v>
      </c>
      <c r="HE6" s="16">
        <f>IF(ISNA(VLOOKUP(A6,'Données projet'!$A$269:$I$289,6,0)),0%,VLOOKUP(A6,'Données projet'!$A$269:$I$289,6,0)*VLOOKUP('Données projet'!$B$18,Paramètres!$A$1:$I$89,7,0))</f>
        <v>0</v>
      </c>
      <c r="HF6" s="16">
        <f>IF(ISNA(VLOOKUP(A6,'Données projet'!$A$269:$I$289,7,0)),0%,VLOOKUP(A6,'Données projet'!$A$269:$I$289,7,0))</f>
        <v>0</v>
      </c>
      <c r="HG6" s="21">
        <f>EXP(-LN(2)/35)*HG5+(1-EXP(-LN(2)/35))/(LN(2)/35)*HC6*HD6*VLOOKUP('Données projet'!$B$18,Paramètres!$A$1:$I$89,3,0)*0.475*44/12</f>
        <v>0</v>
      </c>
      <c r="HH6" s="21">
        <f>EXP(-LN(2)/25)*HH5+(1-EXP(-LN(2)/25))/(LN(2)/25)*Calculateur!HC6*Calculateur!HE6*VLOOKUP('Données projet'!$B$18,Paramètres!$A$1:$I$89,3,0)*0.475*44/12</f>
        <v>0</v>
      </c>
      <c r="HI6" s="21">
        <f>EXP(-LN(2)/2)*HI5+(1-EXP(-LN(2)/2))/(LN(2)/2)*HC6*HF6*VLOOKUP('Données projet'!$B$18,Paramètres!$A$1:$I$89,3,0)*0.475*44/12</f>
        <v>0</v>
      </c>
      <c r="HJ6" s="22">
        <f t="shared" si="30"/>
        <v>0</v>
      </c>
    </row>
    <row r="7" spans="1:218" x14ac:dyDescent="0.25">
      <c r="A7" s="10">
        <f t="shared" si="31"/>
        <v>4</v>
      </c>
      <c r="B7" s="73">
        <f>'Scénario référence'!$B$16*5+'Scénario référence'!$B$17*0+'Scénario référence'!$B$18*5</f>
        <v>0</v>
      </c>
      <c r="C7" s="19">
        <f>Calculateur!C6+'Scénario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3.5568</v>
      </c>
      <c r="D7" s="11">
        <f t="shared" si="32"/>
        <v>1.4140611505968179</v>
      </c>
      <c r="E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7" s="11">
        <f>IF(OR('Scénario référence'!$F$8&gt;0,'Scénario référence'!$F$9&gt;0),('Scénario référence'!$F$8+'Scénario référence'!$F$9)*10,0)</f>
        <v>10</v>
      </c>
      <c r="G7" s="11">
        <f>'Scénario référence'!$B$8*B7*44/12+'Scénario référence'!$B$9*(C7+D7)/0.475*44/12+'Scénario référence'!$B$10*(C7+D7)/0.475*44/12+'Scénario référence'!$F$8*(C7+D7)/0.475*44/12+'Scénario référence'!$F$9*(C7+D7)/0.475*44/12</f>
        <v>38.37155975899298</v>
      </c>
      <c r="H7" s="67">
        <f t="shared" si="1"/>
        <v>301.9909165039561</v>
      </c>
      <c r="I7" s="70">
        <f>('Scénario référence'!$F$8+'Scénario référence'!$F$9+'Scénario référence'!$B$17+'Scénario référence'!$B$9+'Scénario référence'!$B$10)*70+IF((45+25*(1-EXP(-0.0175*A7)))&lt;70,'Scénario référence'!$B$16*(45+25*(1-EXP(-0.0175*A7))),70*'Scénario référence'!$B$16)+IF((32+38*(1-EXP(-0.0175*A7)))&lt;70,'Scénario référence'!$B$18*(32+38*(1-EXP(-0.0175*A7))),70*'Scénario référence'!$B$18)</f>
        <v>70</v>
      </c>
      <c r="J7" s="13">
        <f>IF(A7&gt;30,10,('Scénario référence'!$B$16+'Scénario référence'!$B$17+'Scénario référence'!$B$18+'Scénario référence'!$B$9+'Scénario référence'!$B$10)*A7*10/30+('Scénario référence'!$F$8+'Scénario référence'!$F$9)*10)</f>
        <v>10</v>
      </c>
      <c r="K7" s="12" t="e">
        <f>VLOOKUP(A7,'Données projet'!$A$35:$I$55,2,0)</f>
        <v>#N/A</v>
      </c>
      <c r="L7" s="12" t="e">
        <f>VLOOKUP(A7,'Données projet'!$A$35:$I$55,9,0)</f>
        <v>#N/A</v>
      </c>
      <c r="M7" s="12">
        <f t="array" ref="M7">INDEX(L:L,MIN(IF(ISNUMBER(L7:L203),ROW(L7:L203),"")))</f>
        <v>9.3968325791855207</v>
      </c>
      <c r="N7" s="13">
        <f>IF('Données projet'!$A$36&gt;35,N6+M7-V6,IF(A7&lt;'Données projet'!$A$36,$K$205^A7,IF(A7='Données projet'!$A$36,'Données projet'!$B$36,N6+M7-V6)))</f>
        <v>3.2995462042403512</v>
      </c>
      <c r="O7" s="13">
        <f>N7*VLOOKUP('Données projet'!$B$9,Paramètres!$A$1:$I$89,3,0)*VLOOKUP('Données projet'!$B$9,Paramètres!$A$1:$I$89,5,0)</f>
        <v>1.8444463281703563</v>
      </c>
      <c r="P7" s="13">
        <f t="shared" si="33"/>
        <v>0.79153711206256949</v>
      </c>
      <c r="Q7" s="20">
        <f t="shared" si="2"/>
        <v>4.591004491739012</v>
      </c>
      <c r="R7" s="59">
        <f t="shared" si="0"/>
        <v>297.92433782507231</v>
      </c>
      <c r="S7" s="59">
        <f ca="1">AVERAGE(OFFSET($R$3,0,0,'Données projet'!$E$9+1,1))-AVERAGE(OFFSET($H$3,0,0,'Données projet'!$E$9+1,1))</f>
        <v>255.5374979188561</v>
      </c>
      <c r="T7" s="59">
        <f t="shared" si="34"/>
        <v>343.10418468620901</v>
      </c>
      <c r="U7" s="15">
        <f>IF(ISNA(VLOOKUP(A7,'Données projet'!$A$35:$I$55,3,0)),0,VLOOKUP(A7,'Données projet'!$A$35:$I$55,3,0))</f>
        <v>0</v>
      </c>
      <c r="V7" s="15">
        <f>IF(ISNA(VLOOKUP(A7,'Données projet'!$A$35:$I$55,4,0)),0,VLOOKUP(A7,'Données projet'!$A$35:$I$55,4,0))</f>
        <v>0</v>
      </c>
      <c r="W7" s="16">
        <f>IF(ISNA(VLOOKUP(A7,'Données projet'!$A$35:$I$55,5,0)),0%,VLOOKUP(A7,'Données projet'!$A$35:$I$55,5,0)*VLOOKUP('Données projet'!$B$9,Paramètres!$A$1:$I$89,7,0))</f>
        <v>0</v>
      </c>
      <c r="X7" s="16">
        <f>IF(ISNA(VLOOKUP(A7,'Données projet'!$A$35:$I$55,6,0)),0%,VLOOKUP(A7,'Données projet'!$A$35:$I$55,6,0)*VLOOKUP('Données projet'!$B$9,Paramètres!$A$1:$I$89,7,0))</f>
        <v>0</v>
      </c>
      <c r="Y7" s="16">
        <f>IF(ISNA(VLOOKUP(A7,'Données projet'!$A$35:$I$55,7,0)),0%,VLOOKUP(A7,'Données projet'!$A$35:$I$55,7,0))</f>
        <v>0</v>
      </c>
      <c r="Z7" s="21">
        <f>EXP(-LN(2)/35)*Z6+(1-EXP(-LN(2)/35))/(LN(2)/35)*V7*W7*VLOOKUP('Données projet'!$B$9,Paramètres!$A$1:$I$89,3,0)*0.475*44/12</f>
        <v>0</v>
      </c>
      <c r="AA7" s="21">
        <f>EXP(-LN(2)/25)*AA6+(1-EXP(-LN(2)/25))/(LN(2)/25)*Calculateur!V7*Calculateur!X7*VLOOKUP('Données projet'!$B$9,Paramètres!$A$1:$I$89,3,0)*0.475*44/12</f>
        <v>0</v>
      </c>
      <c r="AB7" s="21">
        <f>EXP(-LN(2)/2)*AB6+(1-EXP(-LN(2)/2))/(LN(2)/2)*V7*Y7*VLOOKUP('Données projet'!$B$9,Paramètres!$A$1:$I$89,3,0)*0.475*44/12</f>
        <v>0</v>
      </c>
      <c r="AC7" s="22">
        <f t="shared" si="3"/>
        <v>0</v>
      </c>
      <c r="AD7" s="13">
        <f>('Scénario référence'!$F$8+'Scénario référence'!$F$9+'Scénario référence'!$B$17+'Scénario référence'!$B$9+'Scénario référence'!$B$10)*70+IF((45+25*(1-EXP(-0.0175*A7)))&lt;70,'Scénario référence'!$B$16*(45+25*(1-EXP(-0.0175*A7))),70*'Scénario référence'!$B$16)+IF((32+38*(1-EXP(-0.0175*A7)))&lt;70,'Scénario référence'!$B$18*(32+38*(1-EXP(-0.0175*A7))),70*'Scénario référence'!$B$18)</f>
        <v>70</v>
      </c>
      <c r="AE7" s="13">
        <f>IF(A7&gt;30,10,('Scénario référence'!$B$16+'Scénario référence'!$B$17+'Scénario référence'!$B$18+'Scénario référence'!$B$9+'Scénario référence'!$B$10)*A7*10/30+('Scénario référence'!$F$8+'Scénario référence'!$F$9)*10)</f>
        <v>10</v>
      </c>
      <c r="AF7" s="12" t="e">
        <f>VLOOKUP(A7,'Données projet'!$A$61:$I$81,2,0)</f>
        <v>#N/A</v>
      </c>
      <c r="AG7" s="12" t="e">
        <f>VLOOKUP(A7,'Données projet'!$A$61:$I$81,9,0)</f>
        <v>#N/A</v>
      </c>
      <c r="AH7" s="12">
        <f t="array" ref="AH7">INDEX(AG:AG,MIN(IF(ISNUMBER(AG7:AG203),ROW(AG7:AG203),"")))</f>
        <v>2.6</v>
      </c>
      <c r="AI7" s="13">
        <f>IF('Données projet'!$A$62&gt;35,AI6+AH7-AQ6,IF(A7&lt;'Données projet'!$A$62,$AF$205^A7,IF(A7='Données projet'!$A$62,'Données projet'!$B$62,AI6+AH7-AQ6)))</f>
        <v>3.6811993713469082</v>
      </c>
      <c r="AJ7" s="13">
        <f>AI7*VLOOKUP('Données projet'!$B$10,Paramètres!$A$1:$I$89,3,0)*VLOOKUP('Données projet'!$B$10,Paramètres!$A$1:$I$89,5,0)</f>
        <v>2.2970684077204706</v>
      </c>
      <c r="AK7" s="13">
        <f t="shared" si="35"/>
        <v>0.96091583103462419</v>
      </c>
      <c r="AL7" s="20">
        <f t="shared" si="4"/>
        <v>5.6743225491651232</v>
      </c>
      <c r="AM7" s="59">
        <f t="shared" si="5"/>
        <v>299.00765588249845</v>
      </c>
      <c r="AN7" s="59">
        <f ca="1">AVERAGE(OFFSET($AM$3,0,0,'Données projet'!$E$10+1,1))-AVERAGE(OFFSET($H$3,0,0,'Données projet'!$E$10+1,1))</f>
        <v>261.78489480911571</v>
      </c>
      <c r="AO7" s="59">
        <f t="shared" si="36"/>
        <v>297.50513563712764</v>
      </c>
      <c r="AP7" s="15">
        <f>IF(ISNA(VLOOKUP(A7,'Données projet'!$A$61:$I$81,3,0)),0,VLOOKUP(A7,'Données projet'!$A$61:$I$81,3,0))</f>
        <v>0</v>
      </c>
      <c r="AQ7" s="15">
        <f>IF(ISNA(VLOOKUP(A7,'Données projet'!$A$61:$I$81,4,0)),0,VLOOKUP(A7,'Données projet'!$A$61:$I$81,4,0))</f>
        <v>0</v>
      </c>
      <c r="AR7" s="16">
        <f>IF(ISNA(VLOOKUP(A7,'Données projet'!$A$61:$I$81,5,0)),0%,VLOOKUP(A7,'Données projet'!$A$61:$I$81,5,0)*VLOOKUP('Données projet'!$B$10,Paramètres!$A$1:$I$89,7,0))</f>
        <v>0</v>
      </c>
      <c r="AS7" s="16">
        <f>IF(ISNA(VLOOKUP(A7,'Données projet'!$A$61:$I$81,6,0)),0%,VLOOKUP(A7,'Données projet'!$A$61:$I$81,6,0)*VLOOKUP('Données projet'!$B$10,Paramètres!$A$1:$I$89,7,0))</f>
        <v>0</v>
      </c>
      <c r="AT7" s="16">
        <f>IF(ISNA(VLOOKUP(A7,'Données projet'!$A$61:$I$81,7,0)),0%,VLOOKUP(A7,'Données projet'!$A$61:$I$81,7,0))</f>
        <v>0</v>
      </c>
      <c r="AU7" s="21">
        <f>EXP(-LN(2)/35)*AU6+(1-EXP(-LN(2)/35))/(LN(2)/35)*AQ7*AR7*VLOOKUP('Données projet'!$B$10,Paramètres!$A$1:$I$89,3,0)*0.475*44/12</f>
        <v>0</v>
      </c>
      <c r="AV7" s="21">
        <f>EXP(-LN(2)/25)*AV6+(1-EXP(-LN(2)/25))/(LN(2)/25)*Calculateur!AQ7*Calculateur!AS7*VLOOKUP('Données projet'!$B$10,Paramètres!$A$1:$I$89,3,0)*0.475*44/12</f>
        <v>0</v>
      </c>
      <c r="AW7" s="21">
        <f>EXP(-LN(2)/2)*AW6+(1-EXP(-LN(2)/2))/(LN(2)/2)*AQ7*AT7*VLOOKUP('Données projet'!$B$10,Paramètres!$A$1:$I$89,3,0)*0.475*44/12</f>
        <v>0</v>
      </c>
      <c r="AX7" s="21">
        <f t="shared" si="6"/>
        <v>0</v>
      </c>
      <c r="AY7" s="74">
        <f>('Scénario référence'!$F$8+'Scénario référence'!$F$9+'Scénario référence'!$B$17+'Scénario référence'!$B$9+'Scénario référence'!$B$10)*70+IF((45+25*(1-EXP(-0.0175*A7)))&lt;70,'Scénario référence'!$B$16*(45+25*(1-EXP(-0.0175*A7))),70*'Scénario référence'!$B$16)+IF((32+38*(1-EXP(-0.0175*A7)))&lt;70,'Scénario référence'!$B$18*(32+38*(1-EXP(-0.0175*A7))),70*'Scénario référence'!$B$18)</f>
        <v>70</v>
      </c>
      <c r="AZ7" s="12">
        <f>IF(A7&gt;30,10,('Scénario référence'!$B$16+'Scénario référence'!$B$17+'Scénario référence'!$B$18+'Scénario référence'!$B$9+'Scénario référence'!$B$10)*A7*10/30+('Scénario référence'!$F$8+'Scénario référence'!$F$9)*10)</f>
        <v>10</v>
      </c>
      <c r="BA7" s="12" t="e">
        <f>VLOOKUP(A7,'Données projet'!$A$87:$I$107,2,0)</f>
        <v>#N/A</v>
      </c>
      <c r="BB7" s="12" t="e">
        <f>VLOOKUP(A7,'Données projet'!$A$87:$I$107,9,0)</f>
        <v>#N/A</v>
      </c>
      <c r="BC7" s="12">
        <f t="array" ref="BC7">INDEX(BB:BB,MIN(IF(ISNUMBER(BB7:BB203),ROW(BB7:BB203),"")))</f>
        <v>5.3</v>
      </c>
      <c r="BD7" s="12">
        <f>IF('Données projet'!$A$88&gt;35,BD6+BC7-BL6,IF(A7&lt;'Données projet'!$A$88,$BA$205^A7,IF(A7='Données projet'!$A$88,'Données projet'!$B$88,BD6+BC7-BL6)))</f>
        <v>2.5413306424150424</v>
      </c>
      <c r="BE7" s="13">
        <f>BD7*VLOOKUP('Données projet'!$B$11,Paramètres!$A$1:$I$89,3,0)*VLOOKUP('Données projet'!$B$11,Paramètres!$A$1:$I$89,5,0)</f>
        <v>1.5197157241641954</v>
      </c>
      <c r="BF7" s="13">
        <f t="shared" si="37"/>
        <v>0.66704830286084227</v>
      </c>
      <c r="BG7" s="20">
        <f t="shared" si="7"/>
        <v>3.8086140137352733</v>
      </c>
      <c r="BH7" s="59">
        <f t="shared" si="8"/>
        <v>297.14194734706859</v>
      </c>
      <c r="BI7" s="59">
        <f ca="1">AVERAGE(OFFSET($BH$3,0,0,'Données projet'!$E$11+1,1))-AVERAGE(OFFSET($H$3,0,0,'Données projet'!$E$11+1,1))</f>
        <v>316.58509520829671</v>
      </c>
      <c r="BJ7" s="59">
        <f t="shared" si="38"/>
        <v>240.71332110643596</v>
      </c>
      <c r="BK7" s="15">
        <f>IF(ISNA(VLOOKUP(A7,'Données projet'!$A$87:$I$107,3,0)),0,VLOOKUP(A7,'Données projet'!$A$87:$I$107,3,0))</f>
        <v>0</v>
      </c>
      <c r="BL7" s="15">
        <f>IF(ISNA(VLOOKUP(A7,'Données projet'!$A$87:$I$107,4,0)),0,VLOOKUP(A7,'Données projet'!$A$87:$I$107,4,0))</f>
        <v>0</v>
      </c>
      <c r="BM7" s="16">
        <f>IF(ISNA(VLOOKUP(A7,'Données projet'!$A$87:$I$107,5,0)),0%,VLOOKUP(A7,'Données projet'!$A$87:$I$107,5,0)*VLOOKUP('Données projet'!$B$11,Paramètres!$A$1:$I$89,7,0))</f>
        <v>0</v>
      </c>
      <c r="BN7" s="16">
        <f>IF(ISNA(VLOOKUP(A7,'Données projet'!$A$87:$I$107,6,0)),0%,VLOOKUP(A7,'Données projet'!$A$87:$I$107,6,0)*VLOOKUP('Données projet'!$B$11,Paramètres!$A$1:$I$89,7,0))</f>
        <v>0</v>
      </c>
      <c r="BO7" s="16">
        <f>IF(ISNA(VLOOKUP(A7,'Données projet'!$A$87:$I$107,7,0)),0%,VLOOKUP(A7,'Données projet'!$A$87:$I$107,7,0))</f>
        <v>0</v>
      </c>
      <c r="BP7" s="21">
        <f>EXP(-LN(2)/35)*BP6+(1-EXP(-LN(2)/35))/(LN(2)/35)*BL7*BM7*VLOOKUP('Données projet'!$B$11,Paramètres!$A$1:$I$89,3,0)*0.475*44/12</f>
        <v>0</v>
      </c>
      <c r="BQ7" s="21">
        <f>EXP(-LN(2)/25)*BQ6+(1-EXP(-LN(2)/25))/(LN(2)/25)*Calculateur!BL7*Calculateur!BN7*VLOOKUP('Données projet'!$B$11,Paramètres!$A$1:$I$89,3,0)*0.475*44/12</f>
        <v>0</v>
      </c>
      <c r="BR7" s="21">
        <f>EXP(-LN(2)/2)*BR6+(1-EXP(-LN(2)/2))/(LN(2)/2)*BL7*BO7*VLOOKUP('Données projet'!$B$11,Paramètres!$A$1:$I$89,3,0)*0.475*44/12</f>
        <v>0</v>
      </c>
      <c r="BS7" s="22">
        <f t="shared" si="9"/>
        <v>0</v>
      </c>
      <c r="BT7" s="75">
        <f>('Scénario référence'!$F$8+'Scénario référence'!$F$9+'Scénario référence'!$B$17+'Scénario référence'!$B$9+'Scénario référence'!$B$10)*70+IF((45+25*(1-EXP(-0.0175*A7)))&lt;70,'Scénario référence'!$B$16*(45+25*(1-EXP(-0.0175*A7))),70*'Scénario référence'!$B$16)+IF((32+38*(1-EXP(-0.0175*A7)))&lt;70,'Scénario référence'!$B$18*(32+38*(1-EXP(-0.0175*A7))),70*'Scénario référence'!$B$18)</f>
        <v>70</v>
      </c>
      <c r="BU7" s="12">
        <f>IF(A7&gt;30,10,('Scénario référence'!$B$16+'Scénario référence'!$B$17+'Scénario référence'!$B$18+'Scénario référence'!$B$9+'Scénario référence'!$B$10)*A7*10/30+('Scénario référence'!$F$8+'Scénario référence'!$F$9)*10)</f>
        <v>10</v>
      </c>
      <c r="BV7" s="12" t="e">
        <f>VLOOKUP(A7,'Données projet'!$A$113:$I$133,2,0)</f>
        <v>#N/A</v>
      </c>
      <c r="BW7" s="12" t="e">
        <f>VLOOKUP(A7,'Données projet'!$A$113:$I$133,9,0)</f>
        <v>#N/A</v>
      </c>
      <c r="BX7" s="12">
        <f t="array" ref="BX7">INDEX(BW:BW,MIN(IF(ISNUMBER(BW7:BW203),ROW(BW7:BW203),"")))</f>
        <v>3.2</v>
      </c>
      <c r="BY7" s="12">
        <f>IF('Données projet'!$A$114&gt;35,BY6+BX7-CG6,IF(A7&lt;'Données projet'!$A$114,$BV$205^A7,IF(A7='Données projet'!$A$114,'Données projet'!$B$114,BY6+BX7-CG6)))</f>
        <v>2.8075726083494135</v>
      </c>
      <c r="BZ7" s="13">
        <f>BY7*VLOOKUP('Données projet'!$B$12,Paramètres!$A$1:$I$89,3,0)*VLOOKUP('Données projet'!$B$12,Paramètres!$A$1:$I$89,5,0)</f>
        <v>1.6059315319758645</v>
      </c>
      <c r="CA7" s="13">
        <f t="shared" si="39"/>
        <v>0.70037794968323219</v>
      </c>
      <c r="CB7" s="20">
        <f t="shared" si="10"/>
        <v>4.0168223472229263</v>
      </c>
      <c r="CC7" s="59">
        <f t="shared" si="11"/>
        <v>297.35015568055621</v>
      </c>
      <c r="CD7" s="59">
        <f ca="1">AVERAGE(OFFSET($CC$3,0,0,'Données projet'!$E$12+1,1))-AVERAGE(OFFSET($H$3,0,0,'Données projet'!$E$12+1,1))</f>
        <v>188.64374818906128</v>
      </c>
      <c r="CE7" s="59">
        <f t="shared" si="40"/>
        <v>211.95157880548652</v>
      </c>
      <c r="CF7" s="15">
        <f>IF(ISNA(VLOOKUP(A7,'Données projet'!$A$113:$I$133,3,0)),0,VLOOKUP(A7,'Données projet'!$A$113:$I$133,3,0))</f>
        <v>0</v>
      </c>
      <c r="CG7" s="15">
        <f>IF(ISNA(VLOOKUP(A7,'Données projet'!$A$113:$I$133,4,0)),0,VLOOKUP(A7,'Données projet'!$A$113:$I$133,4,0))</f>
        <v>0</v>
      </c>
      <c r="CH7" s="16">
        <f>IF(ISNA(VLOOKUP(A7,'Données projet'!$A$113:$I$133,5,0)),0%,VLOOKUP(A7,'Données projet'!$A$113:$I$133,5,0)*VLOOKUP('Données projet'!$B$12,Paramètres!$A$1:$I$89,7,0))</f>
        <v>0</v>
      </c>
      <c r="CI7" s="16">
        <f>IF(ISNA(VLOOKUP(A7,'Données projet'!$A$113:$I$133,6,0)),0%,VLOOKUP(A7,'Données projet'!$A$113:$I$133,6,0)*VLOOKUP('Données projet'!$B$12,Paramètres!$A$1:$I$89,7,0))</f>
        <v>0</v>
      </c>
      <c r="CJ7" s="16">
        <f>IF(ISNA(VLOOKUP(A7,'Données projet'!$A$113:$I$133,7,0)),0%,VLOOKUP(A7,'Données projet'!$A$113:$I$133,7,0))</f>
        <v>0</v>
      </c>
      <c r="CK7" s="21">
        <f>EXP(-LN(2)/35)*CK6+(1-EXP(-LN(2)/35))/(LN(2)/35)*CG7*CH7*VLOOKUP('Données projet'!$B$12,Paramètres!$A$1:$I$89,3,0)*0.475*44/12</f>
        <v>0</v>
      </c>
      <c r="CL7" s="21">
        <f>EXP(-LN(2)/25)*CL6+(1-EXP(-LN(2)/25))/(LN(2)/25)*Calculateur!CG7*Calculateur!CI7*VLOOKUP('Données projet'!$B$12,Paramètres!$A$1:$I$89,3,0)*0.475*44/12</f>
        <v>0</v>
      </c>
      <c r="CM7" s="21">
        <f>EXP(-LN(2)/2)*CM6+(1-EXP(-LN(2)/2))/(LN(2)/2)*CG7*CJ7*VLOOKUP('Données projet'!$B$12,Paramètres!$A$1:$I$89,3,0)*0.475*44/12</f>
        <v>0</v>
      </c>
      <c r="CN7" s="22">
        <f t="shared" si="12"/>
        <v>0</v>
      </c>
      <c r="CO7" s="75">
        <f>('Scénario référence'!$F$8+'Scénario référence'!$F$9+'Scénario référence'!$B$17+'Scénario référence'!$B$9+'Scénario référence'!$B$10)*70+IF((45+25*(1-EXP(-0.0175*A7)))&lt;70,'Scénario référence'!$B$16*(45+25*(1-EXP(-0.0175*A7))),70*'Scénario référence'!$B$16)+IF((32+38*(1-EXP(-0.0175*A7)))&lt;70,'Scénario référence'!$B$18*(32+38*(1-EXP(-0.0175*A7))),70*'Scénario référence'!$B$18)</f>
        <v>70</v>
      </c>
      <c r="CP7" s="12">
        <f>IF(A7&gt;30,10,('Scénario référence'!$B$16+'Scénario référence'!$B$17+'Scénario référence'!$B$18+'Scénario référence'!$B$9+'Scénario référence'!$B$10)*A7*10/30+('Scénario référence'!$F$8+'Scénario référence'!$F$9)*10)</f>
        <v>10</v>
      </c>
      <c r="CQ7" s="12" t="e">
        <f>VLOOKUP(A7,'Données projet'!$A$139:$I$159,2,0)</f>
        <v>#N/A</v>
      </c>
      <c r="CR7" s="12" t="e">
        <f>VLOOKUP(A7,'Données projet'!$A$139:$I$159,9,0)</f>
        <v>#N/A</v>
      </c>
      <c r="CS7" s="12">
        <f t="array" ref="CS7">INDEX(CR:CR,MIN(IF(ISNUMBER(CR7:CR203),ROW(CR7:CR203),"")))</f>
        <v>0</v>
      </c>
      <c r="CT7" s="12">
        <f>IF('Données projet'!$A$140&gt;35,CT6+CS7-DB6,IF(A7&lt;'Données projet'!$A$140,$CQ$205^A7,IF(A7='Données projet'!$A$140,'Données projet'!$B$140,CT6+CS7-DB6)))</f>
        <v>0</v>
      </c>
      <c r="CU7" s="17" t="e">
        <f>CT7*VLOOKUP('Données projet'!$B$13,Paramètres!$A$1:$I$89,3,0)*VLOOKUP('Données projet'!$B$13,Paramètres!$A$1:$I$89,5,0)</f>
        <v>#N/A</v>
      </c>
      <c r="CV7" s="13" t="e">
        <f t="shared" si="41"/>
        <v>#N/A</v>
      </c>
      <c r="CW7" s="20" t="e">
        <f t="shared" si="13"/>
        <v>#N/A</v>
      </c>
      <c r="CX7" s="59" t="e">
        <f t="shared" si="14"/>
        <v>#N/A</v>
      </c>
      <c r="CY7" s="59" t="e">
        <f ca="1">AVERAGE(OFFSET($CX$3,0,0,'Données projet'!$E$13+1,1))-AVERAGE(OFFSET($H$3,0,0,'Données projet'!$E$13+1,1))</f>
        <v>#N/A</v>
      </c>
      <c r="CZ7" s="59" t="e">
        <f t="shared" si="42"/>
        <v>#N/A</v>
      </c>
      <c r="DA7" s="15">
        <f>IF(ISNA(VLOOKUP(A7,'Données projet'!$A$139:$I$159,3,0)),0,VLOOKUP(A7,'Données projet'!$A$139:$I$159,3,0))</f>
        <v>0</v>
      </c>
      <c r="DB7" s="15">
        <f>IF(ISNA(VLOOKUP(A7,'Données projet'!$A$139:$I$159,4,0)),0,VLOOKUP(A7,'Données projet'!$A$139:$I$159,4,0))</f>
        <v>0</v>
      </c>
      <c r="DC7" s="16">
        <f>IF(ISNA(VLOOKUP(A7,'Données projet'!$A$139:$I$159,5,0)),0%,VLOOKUP(A7,'Données projet'!$A$139:$I$159,5,0)*VLOOKUP('Données projet'!$B$13,Paramètres!$A$1:$I$89,7,0))</f>
        <v>0</v>
      </c>
      <c r="DD7" s="16">
        <f>IF(ISNA(VLOOKUP(A7,'Données projet'!$A$139:$I$159,6,0)),0%,VLOOKUP(A7,'Données projet'!$A$139:$I$159,6,0)*VLOOKUP('Données projet'!$B$13,Paramètres!$A$1:$I$89,7,0))</f>
        <v>0</v>
      </c>
      <c r="DE7" s="16">
        <f>IF(ISNA(VLOOKUP(A7,'Données projet'!$A$139:$I$159,7,0)),0%,VLOOKUP(A7,'Données projet'!$A$139:$I$159,7,0))</f>
        <v>0</v>
      </c>
      <c r="DF7" s="21" t="e">
        <f>EXP(-LN(2)/35)*DF6+(1-EXP(-LN(2)/35))/(LN(2)/35)*DB7*DC7*VLOOKUP('Données projet'!$B$13,Paramètres!$A$1:$I$89,3,0)*0.475*44/12</f>
        <v>#N/A</v>
      </c>
      <c r="DG7" s="21" t="e">
        <f>EXP(-LN(2)/25)*DG6+(1-EXP(-LN(2)/25))/(LN(2)/25)*Calculateur!DB7*Calculateur!DD7*VLOOKUP('Données projet'!$B$13,Paramètres!$A$1:$I$89,3,0)*0.475*44/12</f>
        <v>#N/A</v>
      </c>
      <c r="DH7" s="21" t="e">
        <f>EXP(-LN(2)/2)*DH6+(1-EXP(-LN(2)/2))/(LN(2)/2)*DB7*DE7*VLOOKUP('Données projet'!$B$13,Paramètres!$A$1:$I$89,3,0)*0.475*44/12</f>
        <v>#N/A</v>
      </c>
      <c r="DI7" s="22" t="e">
        <f t="shared" si="15"/>
        <v>#N/A</v>
      </c>
      <c r="DJ7" s="75">
        <f>('Scénario référence'!$F$8+'Scénario référence'!$F$9+'Scénario référence'!$B$17+'Scénario référence'!$B$9+'Scénario référence'!$B$10)*70+IF((45+25*(1-EXP(-0.0175*A7)))&lt;70,'Scénario référence'!$B$16*(45+25*(1-EXP(-0.0175*A7))),70*'Scénario référence'!$B$16)+IF((32+38*(1-EXP(-0.0175*A7)))&lt;70,'Scénario référence'!$B$18*(32+38*(1-EXP(-0.0175*A7))),70*'Scénario référence'!$B$18)</f>
        <v>70</v>
      </c>
      <c r="DK7" s="12">
        <f>IF(A7&gt;30,10,('Scénario référence'!$B$16+'Scénario référence'!$B$17+'Scénario référence'!$B$18+'Scénario référence'!$B$9+'Scénario référence'!$B$10)*A7*10/30+('Scénario référence'!$F$8+'Scénario référence'!$F$9)*10)</f>
        <v>10</v>
      </c>
      <c r="DL7" s="12" t="e">
        <f>VLOOKUP(A7,'Données projet'!$A$165:$I$185,2,0)</f>
        <v>#N/A</v>
      </c>
      <c r="DM7" s="12" t="e">
        <f>VLOOKUP(A7,'Données projet'!$A$165:$I$185,9,0)</f>
        <v>#N/A</v>
      </c>
      <c r="DN7" s="12">
        <f t="array" ref="DN7">INDEX(DM:DM,MIN(IF(ISNUMBER(DM7:DM203),ROW(DM7:DM203),"")))</f>
        <v>1.3</v>
      </c>
      <c r="DO7" s="12">
        <f>IF('Données projet'!$A$166&gt;35,DO6+DN7-DW6,IF(A7&lt;'Données projet'!$A$166,$DL$205^A7,IF(A7='Données projet'!$A$166,'Données projet'!$B$166,DO6+DN7-DW6)))</f>
        <v>2.789827435889086</v>
      </c>
      <c r="DP7" s="17">
        <f>DO7*VLOOKUP('Données projet'!$B$14,Paramètres!$A$1:$I$89,3,0)*VLOOKUP('Données projet'!$B$14,Paramètres!$A$1:$I$89,5,0)</f>
        <v>1.8278949359945291</v>
      </c>
      <c r="DQ7" s="13">
        <f t="shared" si="43"/>
        <v>0.78525764170329537</v>
      </c>
      <c r="DR7" s="20">
        <f t="shared" si="16"/>
        <v>4.5512407394903773</v>
      </c>
      <c r="DS7" s="59">
        <f t="shared" si="17"/>
        <v>297.88457407282368</v>
      </c>
      <c r="DT7" s="59">
        <f ca="1">AVERAGE(OFFSET($DS$3,0,0,'Données projet'!$E$14+1,1))-AVERAGE(OFFSET($H$3,0,0,'Données projet'!$E$14+1,1))</f>
        <v>188.68915783955595</v>
      </c>
      <c r="DU7" s="59">
        <f t="shared" si="44"/>
        <v>240.82467772396944</v>
      </c>
      <c r="DV7" s="15">
        <f>IF(ISNA(VLOOKUP(A7,'Données projet'!$A$165:$I$185,3,0)),0,VLOOKUP(A7,'Données projet'!$A$165:$I$185,3,0))</f>
        <v>0</v>
      </c>
      <c r="DW7" s="15">
        <f>IF(ISNA(VLOOKUP(A7,'Données projet'!$A$165:$I$185,4,0)),0,VLOOKUP(A7,'Données projet'!$A$165:$I$185,4,0))</f>
        <v>0</v>
      </c>
      <c r="DX7" s="16">
        <f>IF(ISNA(VLOOKUP(A7,'Données projet'!$A$165:$I$185,5,0)),0%,VLOOKUP(A7,'Données projet'!$A$165:$I$185,5,0)*VLOOKUP('Données projet'!$B$14,Paramètres!$A$1:$I$89,7,0))</f>
        <v>0</v>
      </c>
      <c r="DY7" s="16">
        <f>IF(ISNA(VLOOKUP(A7,'Données projet'!$A$165:$I$185,6,0)),0%,VLOOKUP(A7,'Données projet'!$A$165:$I$185,6,0)*VLOOKUP('Données projet'!$B$14,Paramètres!$A$1:$I$89,7,0))</f>
        <v>0</v>
      </c>
      <c r="DZ7" s="16">
        <f>IF(ISNA(VLOOKUP(A7,'Données projet'!$A$165:$I$185,7,0)),0%,VLOOKUP(A7,'Données projet'!$A$165:$I$185,7,0))</f>
        <v>0</v>
      </c>
      <c r="EA7" s="21">
        <f>EXP(-LN(2)/35)*EA6+(1-EXP(-LN(2)/35))/(LN(2)/35)*DW7*DX7*VLOOKUP('Données projet'!$B$14,Paramètres!$A$1:$I$89,3,0)*0.475*44/12</f>
        <v>0</v>
      </c>
      <c r="EB7" s="21">
        <f>EXP(-LN(2)/25)*EB6+(1-EXP(-LN(2)/25))/(LN(2)/25)*Calculateur!DW7*Calculateur!DY7*VLOOKUP('Données projet'!$B$14,Paramètres!$A$1:$I$89,3,0)*0.475*44/12</f>
        <v>0</v>
      </c>
      <c r="EC7" s="21">
        <f>EXP(-LN(2)/2)*EC6+(1-EXP(-LN(2)/2))/(LN(2)/2)*DW7*DZ7*VLOOKUP('Données projet'!$B$14,Paramètres!$A$1:$I$89,3,0)*0.475*44/12</f>
        <v>0</v>
      </c>
      <c r="ED7" s="22">
        <f t="shared" si="18"/>
        <v>0</v>
      </c>
      <c r="EE7" s="75">
        <f>('Scénario référence'!$F$8+'Scénario référence'!$F$9+'Scénario référence'!$B$17+'Scénario référence'!$B$9+'Scénario référence'!$B$10)*70+IF((45+25*(1-EXP(-0.0175*A7)))&lt;70,'Scénario référence'!$B$16*(45+25*(1-EXP(-0.0175*A7))),70*'Scénario référence'!$B$16)+IF((32+38*(1-EXP(-0.0175*A7)))&lt;70,'Scénario référence'!$B$18*(32+38*(1-EXP(-0.0175*A7))),70*'Scénario référence'!$B$18)</f>
        <v>70</v>
      </c>
      <c r="EF7" s="12">
        <f>IF(A7&gt;30,10,('Scénario référence'!$B$16+'Scénario référence'!$B$17+'Scénario référence'!$B$18+'Scénario référence'!$B$9+'Scénario référence'!$B$10)*A7*10/30+('Scénario référence'!$F$8+'Scénario référence'!$F$9)*10)</f>
        <v>10</v>
      </c>
      <c r="EG7" s="12" t="e">
        <f>VLOOKUP(A7,'Données projet'!$A$191:$I$211,2,0)</f>
        <v>#N/A</v>
      </c>
      <c r="EH7" s="12" t="e">
        <f>VLOOKUP(A7,'Données projet'!$A$191:$I$211,9,0)</f>
        <v>#N/A</v>
      </c>
      <c r="EI7" s="12">
        <f t="array" ref="EI7">INDEX(EH:EH,MIN(IF(ISNUMBER(EH7:EH203),ROW(EH7:EH203),"")))</f>
        <v>2.9333333333333331</v>
      </c>
      <c r="EJ7" s="12">
        <f>IF('Données projet'!$A$192&gt;35,EJ6+EI7-ER6,IF(A7&lt;'Données projet'!$A$192,$EG$205^A7,IF(A7='Données projet'!$A$192,'Données projet'!$B$192,EJ6+EI7-ER6)))</f>
        <v>2.7431783659618496</v>
      </c>
      <c r="EK7" s="17">
        <f>EJ7*VLOOKUP('Données projet'!$B$15,Paramètres!$A$1:$I$89,3,0)*VLOOKUP('Données projet'!$B$15,Paramètres!$A$1:$I$89,5,0)</f>
        <v>2.2252662904682525</v>
      </c>
      <c r="EL7" s="13">
        <f t="shared" si="45"/>
        <v>0.93432676595194708</v>
      </c>
      <c r="EM7" s="20">
        <f t="shared" si="19"/>
        <v>5.5029579065985139</v>
      </c>
      <c r="EN7" s="59">
        <f t="shared" si="20"/>
        <v>298.83629123993182</v>
      </c>
      <c r="EO7" s="59">
        <f ca="1">AVERAGE(OFFSET($EN$3,0,0,'Données projet'!$E$15+1,1))-AVERAGE(OFFSET($H$3,0,0,'Données projet'!$E$15+1,1))</f>
        <v>205.5272583787887</v>
      </c>
      <c r="EP7" s="59">
        <f t="shared" si="46"/>
        <v>180.54762778843178</v>
      </c>
      <c r="EQ7" s="15">
        <f>IF(ISNA(VLOOKUP(A7,'Données projet'!$A$191:$I$211,3,0)),0,VLOOKUP(A7,'Données projet'!$A$191:$I$211,3,0))</f>
        <v>0</v>
      </c>
      <c r="ER7" s="15">
        <f>IF(ISNA(VLOOKUP(A7,'Données projet'!$A$191:$I$211,4,0)),0,VLOOKUP(A7,'Données projet'!$A$191:$I$211,4,0))</f>
        <v>0</v>
      </c>
      <c r="ES7" s="16">
        <f>IF(ISNA(VLOOKUP(A7,'Données projet'!$A$191:$I$211,5,0)),0%,VLOOKUP(A7,'Données projet'!$A$191:$I$211,5,0)*VLOOKUP('Données projet'!$B$15,Paramètres!$A$1:$I$89,7,0))</f>
        <v>0</v>
      </c>
      <c r="ET7" s="16">
        <f>IF(ISNA(VLOOKUP(A7,'Données projet'!$A$191:$I$211,6,0)),0%,VLOOKUP(A7,'Données projet'!$A$191:$I$211,6,0)*VLOOKUP('Données projet'!$B$15,Paramètres!$A$1:$I$89,7,0))</f>
        <v>0</v>
      </c>
      <c r="EU7" s="16">
        <f>IF(ISNA(VLOOKUP(A7,'Données projet'!$A$191:$I$211,7,0)),0%,VLOOKUP(A7,'Données projet'!$A$191:$I$211,7,0))</f>
        <v>0</v>
      </c>
      <c r="EV7" s="21">
        <f>EXP(-LN(2)/35)*EV6+(1-EXP(-LN(2)/35))/(LN(2)/35)*ER7*ES7*VLOOKUP('Données projet'!$B$15,Paramètres!$A$1:$I$89,3,0)*0.475*44/12</f>
        <v>0</v>
      </c>
      <c r="EW7" s="21">
        <f>EXP(-LN(2)/25)*EW6+(1-EXP(-LN(2)/25))/(LN(2)/25)*Calculateur!ER7*Calculateur!ET7*VLOOKUP('Données projet'!$B$15,Paramètres!$A$1:$I$89,3,0)*0.475*44/12</f>
        <v>0</v>
      </c>
      <c r="EX7" s="21">
        <f>EXP(-LN(2)/2)*EX6+(1-EXP(-LN(2)/2))/(LN(2)/2)*ER7*EU7*VLOOKUP('Données projet'!$B$15,Paramètres!$A$1:$I$89,3,0)*0.475*44/12</f>
        <v>0</v>
      </c>
      <c r="EY7" s="22">
        <f t="shared" si="21"/>
        <v>0</v>
      </c>
      <c r="EZ7" s="75">
        <f>('Scénario référence'!$F$8+'Scénario référence'!$F$9+'Scénario référence'!$B$17+'Scénario référence'!$B$9+'Scénario référence'!$B$10)*70+IF((45+25*(1-EXP(-0.0175*A7)))&lt;70,'Scénario référence'!$B$16*(45+25*(1-EXP(-0.0175*A7))),70*'Scénario référence'!$B$16)+IF((32+38*(1-EXP(-0.0175*A7)))&lt;70,'Scénario référence'!$B$18*(32+38*(1-EXP(-0.0175*A7))),70*'Scénario référence'!$B$18)</f>
        <v>70</v>
      </c>
      <c r="FA7" s="12">
        <f>IF(A7&gt;30,10,('Scénario référence'!$B$16+'Scénario référence'!$B$17+'Scénario référence'!$B$18+'Scénario référence'!$B$9+'Scénario référence'!$B$10)*A7*10/30+('Scénario référence'!$F$8+'Scénario référence'!$F$9)*10)</f>
        <v>10</v>
      </c>
      <c r="FB7" s="12" t="e">
        <f>VLOOKUP(A7,'Données projet'!$A$217:$I$237,2,0)</f>
        <v>#N/A</v>
      </c>
      <c r="FC7" s="12" t="e">
        <f>VLOOKUP(A7,'Données projet'!$A$217:$I$237,9,0)</f>
        <v>#N/A</v>
      </c>
      <c r="FD7" s="12">
        <f t="array" ref="FD7">INDEX(FC:FC,MIN(IF(ISNUMBER(FC7:FC203),ROW(FC7:FC203),"")))</f>
        <v>1.7333333333333334</v>
      </c>
      <c r="FE7" s="12">
        <f>IF('Données projet'!$A$218&gt;35,FE6+FD7-FM6,IF(A7&lt;'Données projet'!$A$218,$FB$205^A7,IF(A7='Données projet'!$A$218,'Données projet'!$B$218,FE6+FD7-FM6)))</f>
        <v>2.3841096528596739</v>
      </c>
      <c r="FF7" s="17">
        <f>FE7*VLOOKUP('Données projet'!$B$16,Paramètres!$A$1:$I$89,3,0)*VLOOKUP('Données projet'!$B$16,Paramètres!$A$1:$I$89,5,0)</f>
        <v>2.0455660821536004</v>
      </c>
      <c r="FG7" s="13">
        <f t="shared" si="47"/>
        <v>0.86733502750495206</v>
      </c>
      <c r="FH7" s="20">
        <f t="shared" si="22"/>
        <v>5.0733027659886449</v>
      </c>
      <c r="FI7" s="59">
        <f t="shared" si="23"/>
        <v>298.40663609932199</v>
      </c>
      <c r="FJ7" s="59">
        <f ca="1">AVERAGE(OFFSET($FI$3,0,0,'Données projet'!$E$16+1,1))-AVERAGE(OFFSET($H$3,0,0,'Données projet'!$E$16+1,1))</f>
        <v>383.97627237444709</v>
      </c>
      <c r="FK7" s="59">
        <f t="shared" si="48"/>
        <v>203.35476578922339</v>
      </c>
      <c r="FL7" s="15">
        <f>IF(ISNA(VLOOKUP(A7,'Données projet'!$A$217:$I$237,3,0)),0,VLOOKUP(A7,'Données projet'!$A$217:$I$237,3,0))</f>
        <v>0</v>
      </c>
      <c r="FM7" s="15">
        <f>IF(ISNA(VLOOKUP(A7,'Données projet'!$A$217:$I$237,4,0)),0,VLOOKUP(A7,'Données projet'!$A$217:$I$237,4,0))</f>
        <v>0</v>
      </c>
      <c r="FN7" s="16">
        <f>IF(ISNA(VLOOKUP(A7,'Données projet'!$A$217:$I$237,5,0)),0%,VLOOKUP(A7,'Données projet'!$A$217:$I$237,5,0)*VLOOKUP('Données projet'!$B$16,Paramètres!$A$1:$I$89,7,0))</f>
        <v>0</v>
      </c>
      <c r="FO7" s="16">
        <f>IF(ISNA(VLOOKUP(A7,'Données projet'!$A$217:$I$237,6,0)),0%,VLOOKUP(A7,'Données projet'!$A$217:$I$237,6,0)*VLOOKUP('Données projet'!$B$16,Paramètres!$A$1:$I$89,7,0))</f>
        <v>0</v>
      </c>
      <c r="FP7" s="16">
        <f>IF(ISNA(VLOOKUP(A7,'Données projet'!$A$217:$I$237,7,0)),0%,VLOOKUP(A7,'Données projet'!$A$217:$I$237,7,0))</f>
        <v>0</v>
      </c>
      <c r="FQ7" s="21">
        <f>EXP(-LN(2)/35)*FQ6+(1-EXP(-LN(2)/35))/(LN(2)/35)*FM7*FN7*VLOOKUP('Données projet'!$B$16,Paramètres!$A$1:$I$89,3,0)*0.475*44/12</f>
        <v>0</v>
      </c>
      <c r="FR7" s="21">
        <f>EXP(-LN(2)/25)*FR6+(1-EXP(-LN(2)/25))/(LN(2)/25)*Calculateur!FM7*Calculateur!FO7*VLOOKUP('Données projet'!$B$16,Paramètres!$A$1:$I$89,3,0)*0.475*44/12</f>
        <v>0</v>
      </c>
      <c r="FS7" s="21">
        <f>EXP(-LN(2)/2)*FS6+(1-EXP(-LN(2)/2))/(LN(2)/2)*FM7*FP7*VLOOKUP('Données projet'!$B$16,Paramètres!$A$1:$I$89,3,0)*0.475*44/12</f>
        <v>0</v>
      </c>
      <c r="FT7" s="22">
        <f t="shared" si="24"/>
        <v>0</v>
      </c>
      <c r="FU7" s="75">
        <f>('Scénario référence'!$F$8+'Scénario référence'!$F$9+'Scénario référence'!$B$17+'Scénario référence'!$B$9+'Scénario référence'!$B$10)*70+IF((45+25*(1-EXP(-0.0175*A7)))&lt;70,'Scénario référence'!$B$16*(45+25*(1-EXP(-0.0175*A7))),70*'Scénario référence'!$B$16)+IF((32+38*(1-EXP(-0.0175*A7)))&lt;70,'Scénario référence'!$B$18*(32+38*(1-EXP(-0.0175*A7))),70*'Scénario référence'!$B$18)</f>
        <v>70</v>
      </c>
      <c r="FV7" s="12">
        <f>IF(A7&gt;30,10,('Scénario référence'!$B$16+'Scénario référence'!$B$17+'Scénario référence'!$B$18+'Scénario référence'!$B$9+'Scénario référence'!$B$10)*A7*10/30+('Scénario référence'!$F$8+'Scénario référence'!$F$9)*10)</f>
        <v>10</v>
      </c>
      <c r="FW7" s="12" t="e">
        <f>VLOOKUP(A7,'Données projet'!$A$243:$I$263,2,0)</f>
        <v>#N/A</v>
      </c>
      <c r="FX7" s="12" t="e">
        <f>VLOOKUP(A7,'Données projet'!$A$243:$I$263,9,0)</f>
        <v>#N/A</v>
      </c>
      <c r="FY7" s="12">
        <f t="array" ref="FY7">INDEX(FX:FX,MIN(IF(ISNUMBER(FX7:FX203),ROW(FX7:FX203),"")))</f>
        <v>4.0628205128205126</v>
      </c>
      <c r="FZ7" s="12">
        <f>IF('Données projet'!$A$244&gt;35,FZ6+FY7-GH6,IF(A7&lt;'Données projet'!$A$244,$FW$205^A7,IF(A7='Données projet'!$A$244,'Données projet'!$B$244,FZ6+FY7-GH6)))</f>
        <v>1.8972585507745794</v>
      </c>
      <c r="GA7" s="17">
        <f>FZ7*VLOOKUP('Données projet'!$B$17,Paramètres!$A$1:$I$89,3,0)*VLOOKUP('Données projet'!$B$17,Paramètres!$A$1:$I$89,5,0)</f>
        <v>2.0422091040537573</v>
      </c>
      <c r="GB7" s="13">
        <f t="shared" si="49"/>
        <v>0.86607720578223124</v>
      </c>
      <c r="GC7" s="20">
        <f t="shared" si="25"/>
        <v>5.0652653229643461</v>
      </c>
      <c r="GD7" s="59">
        <f t="shared" si="26"/>
        <v>298.39859865629768</v>
      </c>
      <c r="GE7" s="59">
        <f ca="1">AVERAGE(OFFSET($GD$3,0,0,'Données projet'!$E$17+1,1))-AVERAGE(OFFSET($H$3,0,0,'Données projet'!$E$17+1,1))</f>
        <v>286.77702855541287</v>
      </c>
      <c r="GF7" s="59">
        <f t="shared" si="50"/>
        <v>227.12211541860779</v>
      </c>
      <c r="GG7" s="15">
        <f>IF(ISNA(VLOOKUP(A7,'Données projet'!$A$243:$I$263,3,0)),0,VLOOKUP(A7,'Données projet'!$A$243:$I$263,3,0))</f>
        <v>0</v>
      </c>
      <c r="GH7" s="15">
        <f>IF(ISNA(VLOOKUP(A7,'Données projet'!$A$243:$I$263,4,0)),0,VLOOKUP(A7,'Données projet'!$A$243:$I$263,4,0))</f>
        <v>0</v>
      </c>
      <c r="GI7" s="16">
        <f>IF(ISNA(VLOOKUP(A7,'Données projet'!$A$243:$I$263,5,0)),0%,VLOOKUP(A7,'Données projet'!$A$243:$I$263,5,0)*VLOOKUP('Données projet'!$B$17,Paramètres!$A$1:$I$89,7,0))</f>
        <v>0</v>
      </c>
      <c r="GJ7" s="16">
        <f>IF(ISNA(VLOOKUP(A7,'Données projet'!$A$243:$I$263,6,0)),0%,VLOOKUP(A7,'Données projet'!$A$243:$I$263,6,0)*VLOOKUP('Données projet'!$B$17,Paramètres!$A$1:$I$89,7,0))</f>
        <v>0</v>
      </c>
      <c r="GK7" s="16">
        <f>IF(ISNA(VLOOKUP(A7,'Données projet'!$A$243:$I$263,7,0)),0%,VLOOKUP(A7,'Données projet'!$A$243:$I$263,7,0))</f>
        <v>0</v>
      </c>
      <c r="GL7" s="21">
        <f>EXP(-LN(2)/35)*GL6+(1-EXP(-LN(2)/35))/(LN(2)/35)*GH7*GI7*VLOOKUP('Données projet'!$B$17,Paramètres!$A$1:$I$89,3,0)*0.475*44/12</f>
        <v>0</v>
      </c>
      <c r="GM7" s="21">
        <f>EXP(-LN(2)/25)*GM6+(1-EXP(-LN(2)/25))/(LN(2)/25)*Calculateur!GH7*Calculateur!GJ7*VLOOKUP('Données projet'!$B$17,Paramètres!$A$1:$I$89,3,0)*0.475*44/12</f>
        <v>0</v>
      </c>
      <c r="GN7" s="21">
        <f>EXP(-LN(2)/2)*GN6+(1-EXP(-LN(2)/2))/(LN(2)/2)*GH7*GK7*VLOOKUP('Données projet'!$B$17,Paramètres!$A$1:$I$89,3,0)*0.475*44/12</f>
        <v>0</v>
      </c>
      <c r="GO7" s="21">
        <f t="shared" si="27"/>
        <v>0</v>
      </c>
      <c r="GP7" s="75">
        <f>('Scénario référence'!$F$8+'Scénario référence'!$F$9+'Scénario référence'!$B$17+'Scénario référence'!$B$9+'Scénario référence'!$B$10)*70+IF((45+25*(1-EXP(-0.0175*A7)))&lt;70,'Scénario référence'!$B$16*(45+25*(1-EXP(-0.0175*A7))),70*'Scénario référence'!$B$16)+IF((32+38*(1-EXP(-0.0175*A7)))&lt;70,'Scénario référence'!$B$18*(32+38*(1-EXP(-0.0175*A7))),70*'Scénario référence'!$B$18)</f>
        <v>70</v>
      </c>
      <c r="GQ7" s="12">
        <f>IF(A7&gt;30,10,('Scénario référence'!$B$16+'Scénario référence'!$B$17+'Scénario référence'!$B$18+'Scénario référence'!$B$9+'Scénario référence'!$B$10)*A7*10/30+('Scénario référence'!$F$8+'Scénario référence'!$F$9)*10)</f>
        <v>10</v>
      </c>
      <c r="GR7" s="12" t="e">
        <f>VLOOKUP(A7,'Données projet'!$A$269:$I$289,2,0)</f>
        <v>#N/A</v>
      </c>
      <c r="GS7" s="12" t="e">
        <f>VLOOKUP(A7,'Données projet'!$A$269:$I$289,9,0)</f>
        <v>#N/A</v>
      </c>
      <c r="GT7" s="12">
        <f t="array" ref="GT7">INDEX(GS:GS,MIN(IF(ISNUMBER(GS7:GS203),ROW(GS7:GS203),"")))</f>
        <v>4.0628205128205126</v>
      </c>
      <c r="GU7" s="12">
        <f>IF('Données projet'!$A$270&gt;35,GU6+GT7-HC6,IF(A7&lt;'Données projet'!$A$270,$GR$205^A7,IF(A7='Données projet'!$A$270,'Données projet'!$B$270,GU6+GT7-HC6)))</f>
        <v>1.8972585507745794</v>
      </c>
      <c r="GV7" s="17">
        <f>GU7*VLOOKUP('Données projet'!$B$18,Paramètres!$A$1:$I$89,3,0)*VLOOKUP('Données projet'!$B$18,Paramètres!$A$1:$I$89,5,0)</f>
        <v>2.0422091040537573</v>
      </c>
      <c r="GW7" s="13">
        <f t="shared" si="51"/>
        <v>0.86607720578223124</v>
      </c>
      <c r="GX7" s="20">
        <f t="shared" si="28"/>
        <v>5.0652653229643461</v>
      </c>
      <c r="GY7" s="59">
        <f t="shared" si="29"/>
        <v>298.39859865629768</v>
      </c>
      <c r="GZ7" s="59">
        <f ca="1">AVERAGE(OFFSET($GY$3,0,0,'Données projet'!$E$18+1,1))-AVERAGE(OFFSET($H$3,0,0,'Données projet'!$E$18+1,1))</f>
        <v>286.77702855541287</v>
      </c>
      <c r="HA7" s="59">
        <f t="shared" si="52"/>
        <v>227.12211541860779</v>
      </c>
      <c r="HB7" s="15">
        <f>IF(ISNA(VLOOKUP(A7,'Données projet'!$A$269:$I$289,3,0)),0,VLOOKUP(A7,'Données projet'!$A$269:$I$289,3,0))</f>
        <v>0</v>
      </c>
      <c r="HC7" s="15">
        <f>IF(ISNA(VLOOKUP(A7,'Données projet'!$A$269:$I$289,4,0)),0,VLOOKUP(A7,'Données projet'!$A$269:$I$289,4,0))</f>
        <v>0</v>
      </c>
      <c r="HD7" s="16">
        <f>IF(ISNA(VLOOKUP(A7,'Données projet'!$A$269:$I$289,5,0)),0%,VLOOKUP(A7,'Données projet'!$A$269:$I$289,5,0)*VLOOKUP('Données projet'!$B$18,Paramètres!$A$1:$I$89,7,0))</f>
        <v>0</v>
      </c>
      <c r="HE7" s="16">
        <f>IF(ISNA(VLOOKUP(A7,'Données projet'!$A$269:$I$289,6,0)),0%,VLOOKUP(A7,'Données projet'!$A$269:$I$289,6,0)*VLOOKUP('Données projet'!$B$18,Paramètres!$A$1:$I$89,7,0))</f>
        <v>0</v>
      </c>
      <c r="HF7" s="16">
        <f>IF(ISNA(VLOOKUP(A7,'Données projet'!$A$269:$I$289,7,0)),0%,VLOOKUP(A7,'Données projet'!$A$269:$I$289,7,0))</f>
        <v>0</v>
      </c>
      <c r="HG7" s="21">
        <f>EXP(-LN(2)/35)*HG6+(1-EXP(-LN(2)/35))/(LN(2)/35)*HC7*HD7*VLOOKUP('Données projet'!$B$18,Paramètres!$A$1:$I$89,3,0)*0.475*44/12</f>
        <v>0</v>
      </c>
      <c r="HH7" s="21">
        <f>EXP(-LN(2)/25)*HH6+(1-EXP(-LN(2)/25))/(LN(2)/25)*Calculateur!HC7*Calculateur!HE7*VLOOKUP('Données projet'!$B$18,Paramètres!$A$1:$I$89,3,0)*0.475*44/12</f>
        <v>0</v>
      </c>
      <c r="HI7" s="21">
        <f>EXP(-LN(2)/2)*HI6+(1-EXP(-LN(2)/2))/(LN(2)/2)*HC7*HF7*VLOOKUP('Données projet'!$B$18,Paramètres!$A$1:$I$89,3,0)*0.475*44/12</f>
        <v>0</v>
      </c>
      <c r="HJ7" s="22">
        <f t="shared" si="30"/>
        <v>0</v>
      </c>
    </row>
    <row r="8" spans="1:218" x14ac:dyDescent="0.25">
      <c r="A8" s="10">
        <f t="shared" si="31"/>
        <v>5</v>
      </c>
      <c r="B8" s="73">
        <f>'Scénario référence'!$B$16*5+'Scénario référence'!$B$17*0+'Scénario référence'!$B$18*5</f>
        <v>0</v>
      </c>
      <c r="C8" s="19">
        <f>Calculateur!C7+'Scénario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4.4459999999999997</v>
      </c>
      <c r="D8" s="11">
        <f t="shared" si="32"/>
        <v>1.7222566815192897</v>
      </c>
      <c r="E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8" s="11">
        <f>IF(OR('Scénario référence'!$F$8&gt;0,'Scénario référence'!$F$9&gt;0),('Scénario référence'!$F$8+'Scénario référence'!$F$9)*10,0)</f>
        <v>10</v>
      </c>
      <c r="G8" s="11">
        <f>'Scénario référence'!$B$8*B8*44/12+'Scénario référence'!$B$9*(C8+D8)/0.475*44/12+'Scénario référence'!$B$10*(C8+D8)/0.475*44/12+'Scénario référence'!$F$8*(C8+D8)/0.475*44/12+'Scénario référence'!$F$9*(C8+D8)/0.475*44/12</f>
        <v>47.614612980148905</v>
      </c>
      <c r="H8" s="67">
        <f t="shared" si="1"/>
        <v>304.07638038697939</v>
      </c>
      <c r="I8" s="70">
        <f>('Scénario référence'!$F$8+'Scénario référence'!$F$9+'Scénario référence'!$B$17+'Scénario référence'!$B$9+'Scénario référence'!$B$10)*70+IF((45+25*(1-EXP(-0.0175*A8)))&lt;70,'Scénario référence'!$B$16*(45+25*(1-EXP(-0.0175*A8))),70*'Scénario référence'!$B$16)+IF((32+38*(1-EXP(-0.0175*A8)))&lt;70,'Scénario référence'!$B$18*(32+38*(1-EXP(-0.0175*A8))),70*'Scénario référence'!$B$18)</f>
        <v>70</v>
      </c>
      <c r="J8" s="13">
        <f>IF(A8&gt;30,10,('Scénario référence'!$B$16+'Scénario référence'!$B$17+'Scénario référence'!$B$18+'Scénario référence'!$B$9+'Scénario référence'!$B$10)*A8*10/30+('Scénario référence'!$F$8+'Scénario référence'!$F$9)*10)</f>
        <v>10</v>
      </c>
      <c r="K8" s="12" t="e">
        <f>VLOOKUP(A8,'Données projet'!$A$35:$I$55,2,0)</f>
        <v>#N/A</v>
      </c>
      <c r="L8" s="12" t="e">
        <f>VLOOKUP(A8,'Données projet'!$A$35:$I$55,9,0)</f>
        <v>#N/A</v>
      </c>
      <c r="M8" s="12">
        <f t="array" ref="M8">INDEX(L:L,MIN(IF(ISNUMBER(L8:L204),ROW(L8:L204),"")))</f>
        <v>9.3968325791855207</v>
      </c>
      <c r="N8" s="13">
        <f>IF('Données projet'!$A$36&gt;35,N7+M8-V7,IF(A8&lt;'Données projet'!$A$36,$K$205^A8,IF(A8='Données projet'!$A$36,'Données projet'!$B$36,N7+M8-V7)))</f>
        <v>4.4470065366897273</v>
      </c>
      <c r="O8" s="13">
        <f>N8*VLOOKUP('Données projet'!$B$9,Paramètres!$A$1:$I$89,3,0)*VLOOKUP('Données projet'!$B$9,Paramètres!$A$1:$I$89,5,0)</f>
        <v>2.4858766540095578</v>
      </c>
      <c r="P8" s="13">
        <f t="shared" si="33"/>
        <v>1.0303809434654976</v>
      </c>
      <c r="Q8" s="20">
        <f t="shared" si="2"/>
        <v>6.124148648935722</v>
      </c>
      <c r="R8" s="59">
        <f t="shared" si="0"/>
        <v>299.45748198226903</v>
      </c>
      <c r="S8" s="59">
        <f ca="1">AVERAGE(OFFSET($R$3,0,0,'Données projet'!$E$9+1,1))-AVERAGE(OFFSET($H$3,0,0,'Données projet'!$E$9+1,1))</f>
        <v>255.5374979188561</v>
      </c>
      <c r="T8" s="59">
        <f t="shared" si="34"/>
        <v>343.10418468620901</v>
      </c>
      <c r="U8" s="15">
        <f>IF(ISNA(VLOOKUP(A8,'Données projet'!$A$35:$I$55,3,0)),0,VLOOKUP(A8,'Données projet'!$A$35:$I$55,3,0))</f>
        <v>0</v>
      </c>
      <c r="V8" s="15">
        <f>IF(ISNA(VLOOKUP(A8,'Données projet'!$A$35:$I$55,4,0)),0,VLOOKUP(A8,'Données projet'!$A$35:$I$55,4,0))</f>
        <v>0</v>
      </c>
      <c r="W8" s="16">
        <f>IF(ISNA(VLOOKUP(A8,'Données projet'!$A$35:$I$55,5,0)),0%,VLOOKUP(A8,'Données projet'!$A$35:$I$55,5,0)*VLOOKUP('Données projet'!$B$9,Paramètres!$A$1:$I$89,7,0))</f>
        <v>0</v>
      </c>
      <c r="X8" s="16">
        <f>IF(ISNA(VLOOKUP(A8,'Données projet'!$A$35:$I$55,6,0)),0%,VLOOKUP(A8,'Données projet'!$A$35:$I$55,6,0)*VLOOKUP('Données projet'!$B$9,Paramètres!$A$1:$I$89,7,0))</f>
        <v>0</v>
      </c>
      <c r="Y8" s="16">
        <f>IF(ISNA(VLOOKUP(A8,'Données projet'!$A$35:$I$55,7,0)),0%,VLOOKUP(A8,'Données projet'!$A$35:$I$55,7,0))</f>
        <v>0</v>
      </c>
      <c r="Z8" s="21">
        <f>EXP(-LN(2)/35)*Z7+(1-EXP(-LN(2)/35))/(LN(2)/35)*V8*W8*VLOOKUP('Données projet'!$B$9,Paramètres!$A$1:$I$89,3,0)*0.475*44/12</f>
        <v>0</v>
      </c>
      <c r="AA8" s="21">
        <f>EXP(-LN(2)/25)*AA7+(1-EXP(-LN(2)/25))/(LN(2)/25)*Calculateur!V8*Calculateur!X8*VLOOKUP('Données projet'!$B$9,Paramètres!$A$1:$I$89,3,0)*0.475*44/12</f>
        <v>0</v>
      </c>
      <c r="AB8" s="21">
        <f>EXP(-LN(2)/2)*AB7+(1-EXP(-LN(2)/2))/(LN(2)/2)*V8*Y8*VLOOKUP('Données projet'!$B$9,Paramètres!$A$1:$I$89,3,0)*0.475*44/12</f>
        <v>0</v>
      </c>
      <c r="AC8" s="22">
        <f t="shared" si="3"/>
        <v>0</v>
      </c>
      <c r="AD8" s="13">
        <f>('Scénario référence'!$F$8+'Scénario référence'!$F$9+'Scénario référence'!$B$17+'Scénario référence'!$B$9+'Scénario référence'!$B$10)*70+IF((45+25*(1-EXP(-0.0175*A8)))&lt;70,'Scénario référence'!$B$16*(45+25*(1-EXP(-0.0175*A8))),70*'Scénario référence'!$B$16)+IF((32+38*(1-EXP(-0.0175*A8)))&lt;70,'Scénario référence'!$B$18*(32+38*(1-EXP(-0.0175*A8))),70*'Scénario référence'!$B$18)</f>
        <v>70</v>
      </c>
      <c r="AE8" s="13">
        <f>IF(A8&gt;30,10,('Scénario référence'!$B$16+'Scénario référence'!$B$17+'Scénario référence'!$B$18+'Scénario référence'!$B$9+'Scénario référence'!$B$10)*A8*10/30+('Scénario référence'!$F$8+'Scénario référence'!$F$9)*10)</f>
        <v>10</v>
      </c>
      <c r="AF8" s="12" t="e">
        <f>VLOOKUP(A8,'Données projet'!$A$61:$I$81,2,0)</f>
        <v>#N/A</v>
      </c>
      <c r="AG8" s="12" t="e">
        <f>VLOOKUP(A8,'Données projet'!$A$61:$I$81,9,0)</f>
        <v>#N/A</v>
      </c>
      <c r="AH8" s="12">
        <f t="array" ref="AH8">INDEX(AG:AG,MIN(IF(ISNUMBER(AG8:AG204),ROW(AG8:AG204),"")))</f>
        <v>2.6</v>
      </c>
      <c r="AI8" s="13">
        <f>IF('Données projet'!$A$62&gt;35,AI7+AH8-AQ7,IF(A8&lt;'Données projet'!$A$62,$AF$205^A8,IF(A8='Données projet'!$A$62,'Données projet'!$B$62,AI7+AH8-AQ7)))</f>
        <v>5.0990195135927845</v>
      </c>
      <c r="AJ8" s="13">
        <f>AI8*VLOOKUP('Données projet'!$B$10,Paramètres!$A$1:$I$89,3,0)*VLOOKUP('Données projet'!$B$10,Paramètres!$A$1:$I$89,5,0)</f>
        <v>3.1817881764818972</v>
      </c>
      <c r="AK8" s="13">
        <f t="shared" si="35"/>
        <v>1.2814816550211905</v>
      </c>
      <c r="AL8" s="20">
        <f t="shared" si="4"/>
        <v>7.773528289867877</v>
      </c>
      <c r="AM8" s="59">
        <f t="shared" si="5"/>
        <v>301.10686162320121</v>
      </c>
      <c r="AN8" s="59">
        <f ca="1">AVERAGE(OFFSET($AM$3,0,0,'Données projet'!$E$10+1,1))-AVERAGE(OFFSET($H$3,0,0,'Données projet'!$E$10+1,1))</f>
        <v>261.78489480911571</v>
      </c>
      <c r="AO8" s="59">
        <f t="shared" si="36"/>
        <v>297.50513563712764</v>
      </c>
      <c r="AP8" s="15">
        <f>IF(ISNA(VLOOKUP(A8,'Données projet'!$A$61:$I$81,3,0)),0,VLOOKUP(A8,'Données projet'!$A$61:$I$81,3,0))</f>
        <v>0</v>
      </c>
      <c r="AQ8" s="15">
        <f>IF(ISNA(VLOOKUP(A8,'Données projet'!$A$61:$I$81,4,0)),0,VLOOKUP(A8,'Données projet'!$A$61:$I$81,4,0))</f>
        <v>0</v>
      </c>
      <c r="AR8" s="16">
        <f>IF(ISNA(VLOOKUP(A8,'Données projet'!$A$61:$I$81,5,0)),0%,VLOOKUP(A8,'Données projet'!$A$61:$I$81,5,0)*VLOOKUP('Données projet'!$B$10,Paramètres!$A$1:$I$89,7,0))</f>
        <v>0</v>
      </c>
      <c r="AS8" s="16">
        <f>IF(ISNA(VLOOKUP(A8,'Données projet'!$A$61:$I$81,6,0)),0%,VLOOKUP(A8,'Données projet'!$A$61:$I$81,6,0)*VLOOKUP('Données projet'!$B$10,Paramètres!$A$1:$I$89,7,0))</f>
        <v>0</v>
      </c>
      <c r="AT8" s="16">
        <f>IF(ISNA(VLOOKUP(A8,'Données projet'!$A$61:$I$81,7,0)),0%,VLOOKUP(A8,'Données projet'!$A$61:$I$81,7,0))</f>
        <v>0</v>
      </c>
      <c r="AU8" s="21">
        <f>EXP(-LN(2)/35)*AU7+(1-EXP(-LN(2)/35))/(LN(2)/35)*AQ8*AR8*VLOOKUP('Données projet'!$B$10,Paramètres!$A$1:$I$89,3,0)*0.475*44/12</f>
        <v>0</v>
      </c>
      <c r="AV8" s="21">
        <f>EXP(-LN(2)/25)*AV7+(1-EXP(-LN(2)/25))/(LN(2)/25)*Calculateur!AQ8*Calculateur!AS8*VLOOKUP('Données projet'!$B$10,Paramètres!$A$1:$I$89,3,0)*0.475*44/12</f>
        <v>0</v>
      </c>
      <c r="AW8" s="21">
        <f>EXP(-LN(2)/2)*AW7+(1-EXP(-LN(2)/2))/(LN(2)/2)*AQ8*AT8*VLOOKUP('Données projet'!$B$10,Paramètres!$A$1:$I$89,3,0)*0.475*44/12</f>
        <v>0</v>
      </c>
      <c r="AX8" s="21">
        <f t="shared" si="6"/>
        <v>0</v>
      </c>
      <c r="AY8" s="74">
        <f>('Scénario référence'!$F$8+'Scénario référence'!$F$9+'Scénario référence'!$B$17+'Scénario référence'!$B$9+'Scénario référence'!$B$10)*70+IF((45+25*(1-EXP(-0.0175*A8)))&lt;70,'Scénario référence'!$B$16*(45+25*(1-EXP(-0.0175*A8))),70*'Scénario référence'!$B$16)+IF((32+38*(1-EXP(-0.0175*A8)))&lt;70,'Scénario référence'!$B$18*(32+38*(1-EXP(-0.0175*A8))),70*'Scénario référence'!$B$18)</f>
        <v>70</v>
      </c>
      <c r="AZ8" s="12">
        <f>IF(A8&gt;30,10,('Scénario référence'!$B$16+'Scénario référence'!$B$17+'Scénario référence'!$B$18+'Scénario référence'!$B$9+'Scénario référence'!$B$10)*A8*10/30+('Scénario référence'!$F$8+'Scénario référence'!$F$9)*10)</f>
        <v>10</v>
      </c>
      <c r="BA8" s="12" t="e">
        <f>VLOOKUP(A8,'Données projet'!$A$87:$I$107,2,0)</f>
        <v>#N/A</v>
      </c>
      <c r="BB8" s="12" t="e">
        <f>VLOOKUP(A8,'Données projet'!$A$87:$I$107,9,0)</f>
        <v>#N/A</v>
      </c>
      <c r="BC8" s="12">
        <f t="array" ref="BC8">INDEX(BB:BB,MIN(IF(ISNUMBER(BB8:BB204),ROW(BB8:BB204),"")))</f>
        <v>5.3</v>
      </c>
      <c r="BD8" s="12">
        <f>IF('Données projet'!$A$88&gt;35,BD7+BC8-BL7,IF(A8&lt;'Données projet'!$A$88,$BA$205^A8,IF(A8='Données projet'!$A$88,'Données projet'!$B$88,BD7+BC8-BL7)))</f>
        <v>3.2086804360962771</v>
      </c>
      <c r="BE8" s="13">
        <f>BD8*VLOOKUP('Données projet'!$B$11,Paramètres!$A$1:$I$89,3,0)*VLOOKUP('Données projet'!$B$11,Paramètres!$A$1:$I$89,5,0)</f>
        <v>1.9187909007855739</v>
      </c>
      <c r="BF8" s="13">
        <f t="shared" si="37"/>
        <v>0.81966293473739582</v>
      </c>
      <c r="BG8" s="20">
        <f t="shared" si="7"/>
        <v>4.7694737635358386</v>
      </c>
      <c r="BH8" s="59">
        <f t="shared" si="8"/>
        <v>298.10280709686913</v>
      </c>
      <c r="BI8" s="59">
        <f ca="1">AVERAGE(OFFSET($BH$3,0,0,'Données projet'!$E$11+1,1))-AVERAGE(OFFSET($H$3,0,0,'Données projet'!$E$11+1,1))</f>
        <v>316.58509520829671</v>
      </c>
      <c r="BJ8" s="59">
        <f t="shared" si="38"/>
        <v>240.71332110643596</v>
      </c>
      <c r="BK8" s="15">
        <f>IF(ISNA(VLOOKUP(A8,'Données projet'!$A$87:$I$107,3,0)),0,VLOOKUP(A8,'Données projet'!$A$87:$I$107,3,0))</f>
        <v>0</v>
      </c>
      <c r="BL8" s="15">
        <f>IF(ISNA(VLOOKUP(A8,'Données projet'!$A$87:$I$107,4,0)),0,VLOOKUP(A8,'Données projet'!$A$87:$I$107,4,0))</f>
        <v>0</v>
      </c>
      <c r="BM8" s="16">
        <f>IF(ISNA(VLOOKUP(A8,'Données projet'!$A$87:$I$107,5,0)),0%,VLOOKUP(A8,'Données projet'!$A$87:$I$107,5,0)*VLOOKUP('Données projet'!$B$11,Paramètres!$A$1:$I$89,7,0))</f>
        <v>0</v>
      </c>
      <c r="BN8" s="16">
        <f>IF(ISNA(VLOOKUP(A8,'Données projet'!$A$87:$I$107,6,0)),0%,VLOOKUP(A8,'Données projet'!$A$87:$I$107,6,0)*VLOOKUP('Données projet'!$B$11,Paramètres!$A$1:$I$89,7,0))</f>
        <v>0</v>
      </c>
      <c r="BO8" s="16">
        <f>IF(ISNA(VLOOKUP(A8,'Données projet'!$A$87:$I$107,7,0)),0%,VLOOKUP(A8,'Données projet'!$A$87:$I$107,7,0))</f>
        <v>0</v>
      </c>
      <c r="BP8" s="21">
        <f>EXP(-LN(2)/35)*BP7+(1-EXP(-LN(2)/35))/(LN(2)/35)*BL8*BM8*VLOOKUP('Données projet'!$B$11,Paramètres!$A$1:$I$89,3,0)*0.475*44/12</f>
        <v>0</v>
      </c>
      <c r="BQ8" s="21">
        <f>EXP(-LN(2)/25)*BQ7+(1-EXP(-LN(2)/25))/(LN(2)/25)*Calculateur!BL8*Calculateur!BN8*VLOOKUP('Données projet'!$B$11,Paramètres!$A$1:$I$89,3,0)*0.475*44/12</f>
        <v>0</v>
      </c>
      <c r="BR8" s="21">
        <f>EXP(-LN(2)/2)*BR7+(1-EXP(-LN(2)/2))/(LN(2)/2)*BL8*BO8*VLOOKUP('Données projet'!$B$11,Paramètres!$A$1:$I$89,3,0)*0.475*44/12</f>
        <v>0</v>
      </c>
      <c r="BS8" s="22">
        <f t="shared" si="9"/>
        <v>0</v>
      </c>
      <c r="BT8" s="75">
        <f>('Scénario référence'!$F$8+'Scénario référence'!$F$9+'Scénario référence'!$B$17+'Scénario référence'!$B$9+'Scénario référence'!$B$10)*70+IF((45+25*(1-EXP(-0.0175*A8)))&lt;70,'Scénario référence'!$B$16*(45+25*(1-EXP(-0.0175*A8))),70*'Scénario référence'!$B$16)+IF((32+38*(1-EXP(-0.0175*A8)))&lt;70,'Scénario référence'!$B$18*(32+38*(1-EXP(-0.0175*A8))),70*'Scénario référence'!$B$18)</f>
        <v>70</v>
      </c>
      <c r="BU8" s="12">
        <f>IF(A8&gt;30,10,('Scénario référence'!$B$16+'Scénario référence'!$B$17+'Scénario référence'!$B$18+'Scénario référence'!$B$9+'Scénario référence'!$B$10)*A8*10/30+('Scénario référence'!$F$8+'Scénario référence'!$F$9)*10)</f>
        <v>10</v>
      </c>
      <c r="BV8" s="12" t="e">
        <f>VLOOKUP(A8,'Données projet'!$A$113:$I$133,2,0)</f>
        <v>#N/A</v>
      </c>
      <c r="BW8" s="12" t="e">
        <f>VLOOKUP(A8,'Données projet'!$A$113:$I$133,9,0)</f>
        <v>#N/A</v>
      </c>
      <c r="BX8" s="12">
        <f t="array" ref="BX8">INDEX(BW:BW,MIN(IF(ISNUMBER(BW8:BW204),ROW(BW8:BW204),"")))</f>
        <v>3.2</v>
      </c>
      <c r="BY8" s="12">
        <f>IF('Données projet'!$A$114&gt;35,BY7+BX8-CG7,IF(A8&lt;'Données projet'!$A$114,$BV$205^A8,IF(A8='Données projet'!$A$114,'Données projet'!$B$114,BY7+BX8-CG7)))</f>
        <v>3.6342411856642789</v>
      </c>
      <c r="BZ8" s="13">
        <f>BY8*VLOOKUP('Données projet'!$B$12,Paramètres!$A$1:$I$89,3,0)*VLOOKUP('Données projet'!$B$12,Paramètres!$A$1:$I$89,5,0)</f>
        <v>2.0787859581999677</v>
      </c>
      <c r="CA8" s="13">
        <f t="shared" si="39"/>
        <v>0.87976925688351004</v>
      </c>
      <c r="CB8" s="20">
        <f t="shared" si="10"/>
        <v>5.152816999603723</v>
      </c>
      <c r="CC8" s="59">
        <f t="shared" si="11"/>
        <v>298.48615033293703</v>
      </c>
      <c r="CD8" s="59">
        <f ca="1">AVERAGE(OFFSET($CC$3,0,0,'Données projet'!$E$12+1,1))-AVERAGE(OFFSET($H$3,0,0,'Données projet'!$E$12+1,1))</f>
        <v>188.64374818906128</v>
      </c>
      <c r="CE8" s="59">
        <f t="shared" si="40"/>
        <v>211.95157880548652</v>
      </c>
      <c r="CF8" s="15">
        <f>IF(ISNA(VLOOKUP(A8,'Données projet'!$A$113:$I$133,3,0)),0,VLOOKUP(A8,'Données projet'!$A$113:$I$133,3,0))</f>
        <v>0</v>
      </c>
      <c r="CG8" s="15">
        <f>IF(ISNA(VLOOKUP(A8,'Données projet'!$A$113:$I$133,4,0)),0,VLOOKUP(A8,'Données projet'!$A$113:$I$133,4,0))</f>
        <v>0</v>
      </c>
      <c r="CH8" s="16">
        <f>IF(ISNA(VLOOKUP(A8,'Données projet'!$A$113:$I$133,5,0)),0%,VLOOKUP(A8,'Données projet'!$A$113:$I$133,5,0)*VLOOKUP('Données projet'!$B$12,Paramètres!$A$1:$I$89,7,0))</f>
        <v>0</v>
      </c>
      <c r="CI8" s="16">
        <f>IF(ISNA(VLOOKUP(A8,'Données projet'!$A$113:$I$133,6,0)),0%,VLOOKUP(A8,'Données projet'!$A$113:$I$133,6,0)*VLOOKUP('Données projet'!$B$12,Paramètres!$A$1:$I$89,7,0))</f>
        <v>0</v>
      </c>
      <c r="CJ8" s="16">
        <f>IF(ISNA(VLOOKUP(A8,'Données projet'!$A$113:$I$133,7,0)),0%,VLOOKUP(A8,'Données projet'!$A$113:$I$133,7,0))</f>
        <v>0</v>
      </c>
      <c r="CK8" s="21">
        <f>EXP(-LN(2)/35)*CK7+(1-EXP(-LN(2)/35))/(LN(2)/35)*CG8*CH8*VLOOKUP('Données projet'!$B$12,Paramètres!$A$1:$I$89,3,0)*0.475*44/12</f>
        <v>0</v>
      </c>
      <c r="CL8" s="21">
        <f>EXP(-LN(2)/25)*CL7+(1-EXP(-LN(2)/25))/(LN(2)/25)*Calculateur!CG8*Calculateur!CI8*VLOOKUP('Données projet'!$B$12,Paramètres!$A$1:$I$89,3,0)*0.475*44/12</f>
        <v>0</v>
      </c>
      <c r="CM8" s="21">
        <f>EXP(-LN(2)/2)*CM7+(1-EXP(-LN(2)/2))/(LN(2)/2)*CG8*CJ8*VLOOKUP('Données projet'!$B$12,Paramètres!$A$1:$I$89,3,0)*0.475*44/12</f>
        <v>0</v>
      </c>
      <c r="CN8" s="22">
        <f t="shared" si="12"/>
        <v>0</v>
      </c>
      <c r="CO8" s="75">
        <f>('Scénario référence'!$F$8+'Scénario référence'!$F$9+'Scénario référence'!$B$17+'Scénario référence'!$B$9+'Scénario référence'!$B$10)*70+IF((45+25*(1-EXP(-0.0175*A8)))&lt;70,'Scénario référence'!$B$16*(45+25*(1-EXP(-0.0175*A8))),70*'Scénario référence'!$B$16)+IF((32+38*(1-EXP(-0.0175*A8)))&lt;70,'Scénario référence'!$B$18*(32+38*(1-EXP(-0.0175*A8))),70*'Scénario référence'!$B$18)</f>
        <v>70</v>
      </c>
      <c r="CP8" s="12">
        <f>IF(A8&gt;30,10,('Scénario référence'!$B$16+'Scénario référence'!$B$17+'Scénario référence'!$B$18+'Scénario référence'!$B$9+'Scénario référence'!$B$10)*A8*10/30+('Scénario référence'!$F$8+'Scénario référence'!$F$9)*10)</f>
        <v>10</v>
      </c>
      <c r="CQ8" s="12" t="e">
        <f>VLOOKUP(A8,'Données projet'!$A$139:$I$159,2,0)</f>
        <v>#N/A</v>
      </c>
      <c r="CR8" s="12" t="e">
        <f>VLOOKUP(A8,'Données projet'!$A$139:$I$159,9,0)</f>
        <v>#N/A</v>
      </c>
      <c r="CS8" s="12">
        <f t="array" ref="CS8">INDEX(CR:CR,MIN(IF(ISNUMBER(CR8:CR204),ROW(CR8:CR204),"")))</f>
        <v>0</v>
      </c>
      <c r="CT8" s="12">
        <f>IF('Données projet'!$A$140&gt;35,CT7+CS8-DB7,IF(A8&lt;'Données projet'!$A$140,$CQ$205^A8,IF(A8='Données projet'!$A$140,'Données projet'!$B$140,CT7+CS8-DB7)))</f>
        <v>0</v>
      </c>
      <c r="CU8" s="17" t="e">
        <f>CT8*VLOOKUP('Données projet'!$B$13,Paramètres!$A$1:$I$89,3,0)*VLOOKUP('Données projet'!$B$13,Paramètres!$A$1:$I$89,5,0)</f>
        <v>#N/A</v>
      </c>
      <c r="CV8" s="13" t="e">
        <f t="shared" si="41"/>
        <v>#N/A</v>
      </c>
      <c r="CW8" s="20" t="e">
        <f t="shared" si="13"/>
        <v>#N/A</v>
      </c>
      <c r="CX8" s="59" t="e">
        <f t="shared" si="14"/>
        <v>#N/A</v>
      </c>
      <c r="CY8" s="59" t="e">
        <f ca="1">AVERAGE(OFFSET($CX$3,0,0,'Données projet'!$E$13+1,1))-AVERAGE(OFFSET($H$3,0,0,'Données projet'!$E$13+1,1))</f>
        <v>#N/A</v>
      </c>
      <c r="CZ8" s="59" t="e">
        <f t="shared" si="42"/>
        <v>#N/A</v>
      </c>
      <c r="DA8" s="15">
        <f>IF(ISNA(VLOOKUP(A8,'Données projet'!$A$139:$I$159,3,0)),0,VLOOKUP(A8,'Données projet'!$A$139:$I$159,3,0))</f>
        <v>0</v>
      </c>
      <c r="DB8" s="15">
        <f>IF(ISNA(VLOOKUP(A8,'Données projet'!$A$139:$I$159,4,0)),0,VLOOKUP(A8,'Données projet'!$A$139:$I$159,4,0))</f>
        <v>0</v>
      </c>
      <c r="DC8" s="16">
        <f>IF(ISNA(VLOOKUP(A8,'Données projet'!$A$139:$I$159,5,0)),0%,VLOOKUP(A8,'Données projet'!$A$139:$I$159,5,0)*VLOOKUP('Données projet'!$B$13,Paramètres!$A$1:$I$89,7,0))</f>
        <v>0</v>
      </c>
      <c r="DD8" s="16">
        <f>IF(ISNA(VLOOKUP(A8,'Données projet'!$A$139:$I$159,6,0)),0%,VLOOKUP(A8,'Données projet'!$A$139:$I$159,6,0)*VLOOKUP('Données projet'!$B$13,Paramètres!$A$1:$I$89,7,0))</f>
        <v>0</v>
      </c>
      <c r="DE8" s="16">
        <f>IF(ISNA(VLOOKUP(A8,'Données projet'!$A$139:$I$159,7,0)),0%,VLOOKUP(A8,'Données projet'!$A$139:$I$159,7,0))</f>
        <v>0</v>
      </c>
      <c r="DF8" s="21" t="e">
        <f>EXP(-LN(2)/35)*DF7+(1-EXP(-LN(2)/35))/(LN(2)/35)*DB8*DC8*VLOOKUP('Données projet'!$B$13,Paramètres!$A$1:$I$89,3,0)*0.475*44/12</f>
        <v>#N/A</v>
      </c>
      <c r="DG8" s="21" t="e">
        <f>EXP(-LN(2)/25)*DG7+(1-EXP(-LN(2)/25))/(LN(2)/25)*Calculateur!DB8*Calculateur!DD8*VLOOKUP('Données projet'!$B$13,Paramètres!$A$1:$I$89,3,0)*0.475*44/12</f>
        <v>#N/A</v>
      </c>
      <c r="DH8" s="21" t="e">
        <f>EXP(-LN(2)/2)*DH7+(1-EXP(-LN(2)/2))/(LN(2)/2)*DB8*DE8*VLOOKUP('Données projet'!$B$13,Paramètres!$A$1:$I$89,3,0)*0.475*44/12</f>
        <v>#N/A</v>
      </c>
      <c r="DI8" s="22" t="e">
        <f t="shared" si="15"/>
        <v>#N/A</v>
      </c>
      <c r="DJ8" s="75">
        <f>('Scénario référence'!$F$8+'Scénario référence'!$F$9+'Scénario référence'!$B$17+'Scénario référence'!$B$9+'Scénario référence'!$B$10)*70+IF((45+25*(1-EXP(-0.0175*A8)))&lt;70,'Scénario référence'!$B$16*(45+25*(1-EXP(-0.0175*A8))),70*'Scénario référence'!$B$16)+IF((32+38*(1-EXP(-0.0175*A8)))&lt;70,'Scénario référence'!$B$18*(32+38*(1-EXP(-0.0175*A8))),70*'Scénario référence'!$B$18)</f>
        <v>70</v>
      </c>
      <c r="DK8" s="12">
        <f>IF(A8&gt;30,10,('Scénario référence'!$B$16+'Scénario référence'!$B$17+'Scénario référence'!$B$18+'Scénario référence'!$B$9+'Scénario référence'!$B$10)*A8*10/30+('Scénario référence'!$F$8+'Scénario référence'!$F$9)*10)</f>
        <v>10</v>
      </c>
      <c r="DL8" s="12" t="e">
        <f>VLOOKUP(A8,'Données projet'!$A$165:$I$185,2,0)</f>
        <v>#N/A</v>
      </c>
      <c r="DM8" s="12" t="e">
        <f>VLOOKUP(A8,'Données projet'!$A$165:$I$185,9,0)</f>
        <v>#N/A</v>
      </c>
      <c r="DN8" s="12">
        <f t="array" ref="DN8">INDEX(DM:DM,MIN(IF(ISNUMBER(DM8:DM204),ROW(DM8:DM204),"")))</f>
        <v>1.3</v>
      </c>
      <c r="DO8" s="12">
        <f>IF('Données projet'!$A$166&gt;35,DO7+DN8-DW7,IF(A8&lt;'Données projet'!$A$166,$DL$205^A8,IF(A8='Données projet'!$A$166,'Données projet'!$B$166,DO7+DN8-DW7)))</f>
        <v>3.6055512754639896</v>
      </c>
      <c r="DP8" s="17">
        <f>DO8*VLOOKUP('Données projet'!$B$14,Paramètres!$A$1:$I$89,3,0)*VLOOKUP('Données projet'!$B$14,Paramètres!$A$1:$I$89,5,0)</f>
        <v>2.3623571956840062</v>
      </c>
      <c r="DQ8" s="13">
        <f t="shared" si="43"/>
        <v>0.98500901671085561</v>
      </c>
      <c r="DR8" s="20">
        <f t="shared" si="16"/>
        <v>5.8299961532543838</v>
      </c>
      <c r="DS8" s="59">
        <f t="shared" si="17"/>
        <v>299.16332948658771</v>
      </c>
      <c r="DT8" s="59">
        <f ca="1">AVERAGE(OFFSET($DS$3,0,0,'Données projet'!$E$14+1,1))-AVERAGE(OFFSET($H$3,0,0,'Données projet'!$E$14+1,1))</f>
        <v>188.68915783955595</v>
      </c>
      <c r="DU8" s="59">
        <f t="shared" si="44"/>
        <v>240.82467772396944</v>
      </c>
      <c r="DV8" s="15">
        <f>IF(ISNA(VLOOKUP(A8,'Données projet'!$A$165:$I$185,3,0)),0,VLOOKUP(A8,'Données projet'!$A$165:$I$185,3,0))</f>
        <v>0</v>
      </c>
      <c r="DW8" s="15">
        <f>IF(ISNA(VLOOKUP(A8,'Données projet'!$A$165:$I$185,4,0)),0,VLOOKUP(A8,'Données projet'!$A$165:$I$185,4,0))</f>
        <v>0</v>
      </c>
      <c r="DX8" s="16">
        <f>IF(ISNA(VLOOKUP(A8,'Données projet'!$A$165:$I$185,5,0)),0%,VLOOKUP(A8,'Données projet'!$A$165:$I$185,5,0)*VLOOKUP('Données projet'!$B$14,Paramètres!$A$1:$I$89,7,0))</f>
        <v>0</v>
      </c>
      <c r="DY8" s="16">
        <f>IF(ISNA(VLOOKUP(A8,'Données projet'!$A$165:$I$185,6,0)),0%,VLOOKUP(A8,'Données projet'!$A$165:$I$185,6,0)*VLOOKUP('Données projet'!$B$14,Paramètres!$A$1:$I$89,7,0))</f>
        <v>0</v>
      </c>
      <c r="DZ8" s="16">
        <f>IF(ISNA(VLOOKUP(A8,'Données projet'!$A$165:$I$185,7,0)),0%,VLOOKUP(A8,'Données projet'!$A$165:$I$185,7,0))</f>
        <v>0</v>
      </c>
      <c r="EA8" s="21">
        <f>EXP(-LN(2)/35)*EA7+(1-EXP(-LN(2)/35))/(LN(2)/35)*DW8*DX8*VLOOKUP('Données projet'!$B$14,Paramètres!$A$1:$I$89,3,0)*0.475*44/12</f>
        <v>0</v>
      </c>
      <c r="EB8" s="21">
        <f>EXP(-LN(2)/25)*EB7+(1-EXP(-LN(2)/25))/(LN(2)/25)*Calculateur!DW8*Calculateur!DY8*VLOOKUP('Données projet'!$B$14,Paramètres!$A$1:$I$89,3,0)*0.475*44/12</f>
        <v>0</v>
      </c>
      <c r="EC8" s="21">
        <f>EXP(-LN(2)/2)*EC7+(1-EXP(-LN(2)/2))/(LN(2)/2)*DW8*DZ8*VLOOKUP('Données projet'!$B$14,Paramètres!$A$1:$I$89,3,0)*0.475*44/12</f>
        <v>0</v>
      </c>
      <c r="ED8" s="22">
        <f t="shared" si="18"/>
        <v>0</v>
      </c>
      <c r="EE8" s="75">
        <f>('Scénario référence'!$F$8+'Scénario référence'!$F$9+'Scénario référence'!$B$17+'Scénario référence'!$B$9+'Scénario référence'!$B$10)*70+IF((45+25*(1-EXP(-0.0175*A8)))&lt;70,'Scénario référence'!$B$16*(45+25*(1-EXP(-0.0175*A8))),70*'Scénario référence'!$B$16)+IF((32+38*(1-EXP(-0.0175*A8)))&lt;70,'Scénario référence'!$B$18*(32+38*(1-EXP(-0.0175*A8))),70*'Scénario référence'!$B$18)</f>
        <v>70</v>
      </c>
      <c r="EF8" s="12">
        <f>IF(A8&gt;30,10,('Scénario référence'!$B$16+'Scénario référence'!$B$17+'Scénario référence'!$B$18+'Scénario référence'!$B$9+'Scénario référence'!$B$10)*A8*10/30+('Scénario référence'!$F$8+'Scénario référence'!$F$9)*10)</f>
        <v>10</v>
      </c>
      <c r="EG8" s="12" t="e">
        <f>VLOOKUP(A8,'Données projet'!$A$191:$I$211,2,0)</f>
        <v>#N/A</v>
      </c>
      <c r="EH8" s="12" t="e">
        <f>VLOOKUP(A8,'Données projet'!$A$191:$I$211,9,0)</f>
        <v>#N/A</v>
      </c>
      <c r="EI8" s="12">
        <f t="array" ref="EI8">INDEX(EH:EH,MIN(IF(ISNUMBER(EH8:EH204),ROW(EH8:EH204),"")))</f>
        <v>2.9333333333333331</v>
      </c>
      <c r="EJ8" s="12">
        <f>IF('Données projet'!$A$192&gt;35,EJ7+EI8-ER7,IF(A8&lt;'Données projet'!$A$192,$EG$205^A8,IF(A8='Données projet'!$A$192,'Données projet'!$B$192,EJ7+EI8-ER7)))</f>
        <v>3.5303483353260625</v>
      </c>
      <c r="EK8" s="17">
        <f>EJ8*VLOOKUP('Données projet'!$B$15,Paramètres!$A$1:$I$89,3,0)*VLOOKUP('Données projet'!$B$15,Paramètres!$A$1:$I$89,5,0)</f>
        <v>2.8638185696165022</v>
      </c>
      <c r="EL8" s="13">
        <f t="shared" si="45"/>
        <v>1.1676403902146311</v>
      </c>
      <c r="EM8" s="20">
        <f t="shared" si="19"/>
        <v>7.021457688372557</v>
      </c>
      <c r="EN8" s="59">
        <f t="shared" si="20"/>
        <v>300.35479102170586</v>
      </c>
      <c r="EO8" s="59">
        <f ca="1">AVERAGE(OFFSET($EN$3,0,0,'Données projet'!$E$15+1,1))-AVERAGE(OFFSET($H$3,0,0,'Données projet'!$E$15+1,1))</f>
        <v>205.5272583787887</v>
      </c>
      <c r="EP8" s="59">
        <f t="shared" si="46"/>
        <v>180.54762778843178</v>
      </c>
      <c r="EQ8" s="15">
        <f>IF(ISNA(VLOOKUP(A8,'Données projet'!$A$191:$I$211,3,0)),0,VLOOKUP(A8,'Données projet'!$A$191:$I$211,3,0))</f>
        <v>0</v>
      </c>
      <c r="ER8" s="15">
        <f>IF(ISNA(VLOOKUP(A8,'Données projet'!$A$191:$I$211,4,0)),0,VLOOKUP(A8,'Données projet'!$A$191:$I$211,4,0))</f>
        <v>0</v>
      </c>
      <c r="ES8" s="16">
        <f>IF(ISNA(VLOOKUP(A8,'Données projet'!$A$191:$I$211,5,0)),0%,VLOOKUP(A8,'Données projet'!$A$191:$I$211,5,0)*VLOOKUP('Données projet'!$B$15,Paramètres!$A$1:$I$89,7,0))</f>
        <v>0</v>
      </c>
      <c r="ET8" s="16">
        <f>IF(ISNA(VLOOKUP(A8,'Données projet'!$A$191:$I$211,6,0)),0%,VLOOKUP(A8,'Données projet'!$A$191:$I$211,6,0)*VLOOKUP('Données projet'!$B$15,Paramètres!$A$1:$I$89,7,0))</f>
        <v>0</v>
      </c>
      <c r="EU8" s="16">
        <f>IF(ISNA(VLOOKUP(A8,'Données projet'!$A$191:$I$211,7,0)),0%,VLOOKUP(A8,'Données projet'!$A$191:$I$211,7,0))</f>
        <v>0</v>
      </c>
      <c r="EV8" s="21">
        <f>EXP(-LN(2)/35)*EV7+(1-EXP(-LN(2)/35))/(LN(2)/35)*ER8*ES8*VLOOKUP('Données projet'!$B$15,Paramètres!$A$1:$I$89,3,0)*0.475*44/12</f>
        <v>0</v>
      </c>
      <c r="EW8" s="21">
        <f>EXP(-LN(2)/25)*EW7+(1-EXP(-LN(2)/25))/(LN(2)/25)*Calculateur!ER8*Calculateur!ET8*VLOOKUP('Données projet'!$B$15,Paramètres!$A$1:$I$89,3,0)*0.475*44/12</f>
        <v>0</v>
      </c>
      <c r="EX8" s="21">
        <f>EXP(-LN(2)/2)*EX7+(1-EXP(-LN(2)/2))/(LN(2)/2)*ER8*EU8*VLOOKUP('Données projet'!$B$15,Paramètres!$A$1:$I$89,3,0)*0.475*44/12</f>
        <v>0</v>
      </c>
      <c r="EY8" s="22">
        <f t="shared" si="21"/>
        <v>0</v>
      </c>
      <c r="EZ8" s="75">
        <f>('Scénario référence'!$F$8+'Scénario référence'!$F$9+'Scénario référence'!$B$17+'Scénario référence'!$B$9+'Scénario référence'!$B$10)*70+IF((45+25*(1-EXP(-0.0175*A8)))&lt;70,'Scénario référence'!$B$16*(45+25*(1-EXP(-0.0175*A8))),70*'Scénario référence'!$B$16)+IF((32+38*(1-EXP(-0.0175*A8)))&lt;70,'Scénario référence'!$B$18*(32+38*(1-EXP(-0.0175*A8))),70*'Scénario référence'!$B$18)</f>
        <v>70</v>
      </c>
      <c r="FA8" s="12">
        <f>IF(A8&gt;30,10,('Scénario référence'!$B$16+'Scénario référence'!$B$17+'Scénario référence'!$B$18+'Scénario référence'!$B$9+'Scénario référence'!$B$10)*A8*10/30+('Scénario référence'!$F$8+'Scénario référence'!$F$9)*10)</f>
        <v>10</v>
      </c>
      <c r="FB8" s="12" t="e">
        <f>VLOOKUP(A8,'Données projet'!$A$217:$I$237,2,0)</f>
        <v>#N/A</v>
      </c>
      <c r="FC8" s="12" t="e">
        <f>VLOOKUP(A8,'Données projet'!$A$217:$I$237,9,0)</f>
        <v>#N/A</v>
      </c>
      <c r="FD8" s="12">
        <f t="array" ref="FD8">INDEX(FC:FC,MIN(IF(ISNUMBER(FC8:FC204),ROW(FC8:FC204),"")))</f>
        <v>1.7333333333333334</v>
      </c>
      <c r="FE8" s="12">
        <f>IF('Données projet'!$A$218&gt;35,FE7+FD8-FM7,IF(A8&lt;'Données projet'!$A$218,$FB$205^A8,IF(A8='Données projet'!$A$218,'Données projet'!$B$218,FE7+FD8-FM7)))</f>
        <v>2.9624960684073702</v>
      </c>
      <c r="FF8" s="17">
        <f>FE8*VLOOKUP('Données projet'!$B$16,Paramètres!$A$1:$I$89,3,0)*VLOOKUP('Données projet'!$B$16,Paramètres!$A$1:$I$89,5,0)</f>
        <v>2.5418216266935239</v>
      </c>
      <c r="FG8" s="13">
        <f t="shared" si="47"/>
        <v>1.0508440006860218</v>
      </c>
      <c r="FH8" s="20">
        <f t="shared" si="22"/>
        <v>6.2572259676860424</v>
      </c>
      <c r="FI8" s="59">
        <f t="shared" si="23"/>
        <v>299.59055930101937</v>
      </c>
      <c r="FJ8" s="59">
        <f ca="1">AVERAGE(OFFSET($FI$3,0,0,'Données projet'!$E$16+1,1))-AVERAGE(OFFSET($H$3,0,0,'Données projet'!$E$16+1,1))</f>
        <v>383.97627237444709</v>
      </c>
      <c r="FK8" s="59">
        <f t="shared" si="48"/>
        <v>203.35476578922339</v>
      </c>
      <c r="FL8" s="15">
        <f>IF(ISNA(VLOOKUP(A8,'Données projet'!$A$217:$I$237,3,0)),0,VLOOKUP(A8,'Données projet'!$A$217:$I$237,3,0))</f>
        <v>0</v>
      </c>
      <c r="FM8" s="15">
        <f>IF(ISNA(VLOOKUP(A8,'Données projet'!$A$217:$I$237,4,0)),0,VLOOKUP(A8,'Données projet'!$A$217:$I$237,4,0))</f>
        <v>0</v>
      </c>
      <c r="FN8" s="16">
        <f>IF(ISNA(VLOOKUP(A8,'Données projet'!$A$217:$I$237,5,0)),0%,VLOOKUP(A8,'Données projet'!$A$217:$I$237,5,0)*VLOOKUP('Données projet'!$B$16,Paramètres!$A$1:$I$89,7,0))</f>
        <v>0</v>
      </c>
      <c r="FO8" s="16">
        <f>IF(ISNA(VLOOKUP(A8,'Données projet'!$A$217:$I$237,6,0)),0%,VLOOKUP(A8,'Données projet'!$A$217:$I$237,6,0)*VLOOKUP('Données projet'!$B$16,Paramètres!$A$1:$I$89,7,0))</f>
        <v>0</v>
      </c>
      <c r="FP8" s="16">
        <f>IF(ISNA(VLOOKUP(A8,'Données projet'!$A$217:$I$237,7,0)),0%,VLOOKUP(A8,'Données projet'!$A$217:$I$237,7,0))</f>
        <v>0</v>
      </c>
      <c r="FQ8" s="21">
        <f>EXP(-LN(2)/35)*FQ7+(1-EXP(-LN(2)/35))/(LN(2)/35)*FM8*FN8*VLOOKUP('Données projet'!$B$16,Paramètres!$A$1:$I$89,3,0)*0.475*44/12</f>
        <v>0</v>
      </c>
      <c r="FR8" s="21">
        <f>EXP(-LN(2)/25)*FR7+(1-EXP(-LN(2)/25))/(LN(2)/25)*Calculateur!FM8*Calculateur!FO8*VLOOKUP('Données projet'!$B$16,Paramètres!$A$1:$I$89,3,0)*0.475*44/12</f>
        <v>0</v>
      </c>
      <c r="FS8" s="21">
        <f>EXP(-LN(2)/2)*FS7+(1-EXP(-LN(2)/2))/(LN(2)/2)*FM8*FP8*VLOOKUP('Données projet'!$B$16,Paramètres!$A$1:$I$89,3,0)*0.475*44/12</f>
        <v>0</v>
      </c>
      <c r="FT8" s="22">
        <f t="shared" si="24"/>
        <v>0</v>
      </c>
      <c r="FU8" s="75">
        <f>('Scénario référence'!$F$8+'Scénario référence'!$F$9+'Scénario référence'!$B$17+'Scénario référence'!$B$9+'Scénario référence'!$B$10)*70+IF((45+25*(1-EXP(-0.0175*A8)))&lt;70,'Scénario référence'!$B$16*(45+25*(1-EXP(-0.0175*A8))),70*'Scénario référence'!$B$16)+IF((32+38*(1-EXP(-0.0175*A8)))&lt;70,'Scénario référence'!$B$18*(32+38*(1-EXP(-0.0175*A8))),70*'Scénario référence'!$B$18)</f>
        <v>70</v>
      </c>
      <c r="FV8" s="12">
        <f>IF(A8&gt;30,10,('Scénario référence'!$B$16+'Scénario référence'!$B$17+'Scénario référence'!$B$18+'Scénario référence'!$B$9+'Scénario référence'!$B$10)*A8*10/30+('Scénario référence'!$F$8+'Scénario référence'!$F$9)*10)</f>
        <v>10</v>
      </c>
      <c r="FW8" s="12" t="e">
        <f>VLOOKUP(A8,'Données projet'!$A$243:$I$263,2,0)</f>
        <v>#N/A</v>
      </c>
      <c r="FX8" s="12" t="e">
        <f>VLOOKUP(A8,'Données projet'!$A$243:$I$263,9,0)</f>
        <v>#N/A</v>
      </c>
      <c r="FY8" s="12">
        <f t="array" ref="FY8">INDEX(FX:FX,MIN(IF(ISNUMBER(FX8:FX204),ROW(FX8:FX204),"")))</f>
        <v>4.0628205128205126</v>
      </c>
      <c r="FZ8" s="12">
        <f>IF('Données projet'!$A$244&gt;35,FZ7+FY8-GH7,IF(A8&lt;'Données projet'!$A$244,$FW$205^A8,IF(A8='Données projet'!$A$244,'Données projet'!$B$244,FZ7+FY8-GH7)))</f>
        <v>2.2266817443634719</v>
      </c>
      <c r="GA8" s="17">
        <f>FZ8*VLOOKUP('Données projet'!$B$17,Paramètres!$A$1:$I$89,3,0)*VLOOKUP('Données projet'!$B$17,Paramètres!$A$1:$I$89,5,0)</f>
        <v>2.396800229632841</v>
      </c>
      <c r="GB8" s="13">
        <f t="shared" si="49"/>
        <v>0.99768801828379172</v>
      </c>
      <c r="GC8" s="20">
        <f t="shared" si="25"/>
        <v>5.9120670317881361</v>
      </c>
      <c r="GD8" s="59">
        <f t="shared" si="26"/>
        <v>299.24540036512144</v>
      </c>
      <c r="GE8" s="59">
        <f ca="1">AVERAGE(OFFSET($GD$3,0,0,'Données projet'!$E$17+1,1))-AVERAGE(OFFSET($H$3,0,0,'Données projet'!$E$17+1,1))</f>
        <v>286.77702855541287</v>
      </c>
      <c r="GF8" s="59">
        <f t="shared" si="50"/>
        <v>227.12211541860779</v>
      </c>
      <c r="GG8" s="15">
        <f>IF(ISNA(VLOOKUP(A8,'Données projet'!$A$243:$I$263,3,0)),0,VLOOKUP(A8,'Données projet'!$A$243:$I$263,3,0))</f>
        <v>0</v>
      </c>
      <c r="GH8" s="15">
        <f>IF(ISNA(VLOOKUP(A8,'Données projet'!$A$243:$I$263,4,0)),0,VLOOKUP(A8,'Données projet'!$A$243:$I$263,4,0))</f>
        <v>0</v>
      </c>
      <c r="GI8" s="16">
        <f>IF(ISNA(VLOOKUP(A8,'Données projet'!$A$243:$I$263,5,0)),0%,VLOOKUP(A8,'Données projet'!$A$243:$I$263,5,0)*VLOOKUP('Données projet'!$B$17,Paramètres!$A$1:$I$89,7,0))</f>
        <v>0</v>
      </c>
      <c r="GJ8" s="16">
        <f>IF(ISNA(VLOOKUP(A8,'Données projet'!$A$243:$I$263,6,0)),0%,VLOOKUP(A8,'Données projet'!$A$243:$I$263,6,0)*VLOOKUP('Données projet'!$B$17,Paramètres!$A$1:$I$89,7,0))</f>
        <v>0</v>
      </c>
      <c r="GK8" s="16">
        <f>IF(ISNA(VLOOKUP(A8,'Données projet'!$A$243:$I$263,7,0)),0%,VLOOKUP(A8,'Données projet'!$A$243:$I$263,7,0))</f>
        <v>0</v>
      </c>
      <c r="GL8" s="21">
        <f>EXP(-LN(2)/35)*GL7+(1-EXP(-LN(2)/35))/(LN(2)/35)*GH8*GI8*VLOOKUP('Données projet'!$B$17,Paramètres!$A$1:$I$89,3,0)*0.475*44/12</f>
        <v>0</v>
      </c>
      <c r="GM8" s="21">
        <f>EXP(-LN(2)/25)*GM7+(1-EXP(-LN(2)/25))/(LN(2)/25)*Calculateur!GH8*Calculateur!GJ8*VLOOKUP('Données projet'!$B$17,Paramètres!$A$1:$I$89,3,0)*0.475*44/12</f>
        <v>0</v>
      </c>
      <c r="GN8" s="21">
        <f>EXP(-LN(2)/2)*GN7+(1-EXP(-LN(2)/2))/(LN(2)/2)*GH8*GK8*VLOOKUP('Données projet'!$B$17,Paramètres!$A$1:$I$89,3,0)*0.475*44/12</f>
        <v>0</v>
      </c>
      <c r="GO8" s="21">
        <f t="shared" si="27"/>
        <v>0</v>
      </c>
      <c r="GP8" s="75">
        <f>('Scénario référence'!$F$8+'Scénario référence'!$F$9+'Scénario référence'!$B$17+'Scénario référence'!$B$9+'Scénario référence'!$B$10)*70+IF((45+25*(1-EXP(-0.0175*A8)))&lt;70,'Scénario référence'!$B$16*(45+25*(1-EXP(-0.0175*A8))),70*'Scénario référence'!$B$16)+IF((32+38*(1-EXP(-0.0175*A8)))&lt;70,'Scénario référence'!$B$18*(32+38*(1-EXP(-0.0175*A8))),70*'Scénario référence'!$B$18)</f>
        <v>70</v>
      </c>
      <c r="GQ8" s="12">
        <f>IF(A8&gt;30,10,('Scénario référence'!$B$16+'Scénario référence'!$B$17+'Scénario référence'!$B$18+'Scénario référence'!$B$9+'Scénario référence'!$B$10)*A8*10/30+('Scénario référence'!$F$8+'Scénario référence'!$F$9)*10)</f>
        <v>10</v>
      </c>
      <c r="GR8" s="12" t="e">
        <f>VLOOKUP(A8,'Données projet'!$A$269:$I$289,2,0)</f>
        <v>#N/A</v>
      </c>
      <c r="GS8" s="12" t="e">
        <f>VLOOKUP(A8,'Données projet'!$A$269:$I$289,9,0)</f>
        <v>#N/A</v>
      </c>
      <c r="GT8" s="12">
        <f t="array" ref="GT8">INDEX(GS:GS,MIN(IF(ISNUMBER(GS8:GS204),ROW(GS8:GS204),"")))</f>
        <v>4.0628205128205126</v>
      </c>
      <c r="GU8" s="12">
        <f>IF('Données projet'!$A$270&gt;35,GU7+GT8-HC7,IF(A8&lt;'Données projet'!$A$270,$GR$205^A8,IF(A8='Données projet'!$A$270,'Données projet'!$B$270,GU7+GT8-HC7)))</f>
        <v>2.2266817443634719</v>
      </c>
      <c r="GV8" s="17">
        <f>GU8*VLOOKUP('Données projet'!$B$18,Paramètres!$A$1:$I$89,3,0)*VLOOKUP('Données projet'!$B$18,Paramètres!$A$1:$I$89,5,0)</f>
        <v>2.396800229632841</v>
      </c>
      <c r="GW8" s="13">
        <f t="shared" si="51"/>
        <v>0.99768801828379172</v>
      </c>
      <c r="GX8" s="20">
        <f t="shared" si="28"/>
        <v>5.9120670317881361</v>
      </c>
      <c r="GY8" s="59">
        <f t="shared" si="29"/>
        <v>299.24540036512144</v>
      </c>
      <c r="GZ8" s="59">
        <f ca="1">AVERAGE(OFFSET($GY$3,0,0,'Données projet'!$E$18+1,1))-AVERAGE(OFFSET($H$3,0,0,'Données projet'!$E$18+1,1))</f>
        <v>286.77702855541287</v>
      </c>
      <c r="HA8" s="59">
        <f t="shared" si="52"/>
        <v>227.12211541860779</v>
      </c>
      <c r="HB8" s="15">
        <f>IF(ISNA(VLOOKUP(A8,'Données projet'!$A$269:$I$289,3,0)),0,VLOOKUP(A8,'Données projet'!$A$269:$I$289,3,0))</f>
        <v>0</v>
      </c>
      <c r="HC8" s="15">
        <f>IF(ISNA(VLOOKUP(A8,'Données projet'!$A$269:$I$289,4,0)),0,VLOOKUP(A8,'Données projet'!$A$269:$I$289,4,0))</f>
        <v>0</v>
      </c>
      <c r="HD8" s="16">
        <f>IF(ISNA(VLOOKUP(A8,'Données projet'!$A$269:$I$289,5,0)),0%,VLOOKUP(A8,'Données projet'!$A$269:$I$289,5,0)*VLOOKUP('Données projet'!$B$18,Paramètres!$A$1:$I$89,7,0))</f>
        <v>0</v>
      </c>
      <c r="HE8" s="16">
        <f>IF(ISNA(VLOOKUP(A8,'Données projet'!$A$269:$I$289,6,0)),0%,VLOOKUP(A8,'Données projet'!$A$269:$I$289,6,0)*VLOOKUP('Données projet'!$B$18,Paramètres!$A$1:$I$89,7,0))</f>
        <v>0</v>
      </c>
      <c r="HF8" s="16">
        <f>IF(ISNA(VLOOKUP(A8,'Données projet'!$A$269:$I$289,7,0)),0%,VLOOKUP(A8,'Données projet'!$A$269:$I$289,7,0))</f>
        <v>0</v>
      </c>
      <c r="HG8" s="21">
        <f>EXP(-LN(2)/35)*HG7+(1-EXP(-LN(2)/35))/(LN(2)/35)*HC8*HD8*VLOOKUP('Données projet'!$B$18,Paramètres!$A$1:$I$89,3,0)*0.475*44/12</f>
        <v>0</v>
      </c>
      <c r="HH8" s="21">
        <f>EXP(-LN(2)/25)*HH7+(1-EXP(-LN(2)/25))/(LN(2)/25)*Calculateur!HC8*Calculateur!HE8*VLOOKUP('Données projet'!$B$18,Paramètres!$A$1:$I$89,3,0)*0.475*44/12</f>
        <v>0</v>
      </c>
      <c r="HI8" s="21">
        <f>EXP(-LN(2)/2)*HI7+(1-EXP(-LN(2)/2))/(LN(2)/2)*HC8*HF8*VLOOKUP('Données projet'!$B$18,Paramètres!$A$1:$I$89,3,0)*0.475*44/12</f>
        <v>0</v>
      </c>
      <c r="HJ8" s="22">
        <f t="shared" si="30"/>
        <v>0</v>
      </c>
    </row>
    <row r="9" spans="1:218" x14ac:dyDescent="0.25">
      <c r="A9" s="10">
        <f t="shared" si="31"/>
        <v>6</v>
      </c>
      <c r="B9" s="73">
        <f>'Scénario référence'!$B$16*5+'Scénario référence'!$B$17*0+'Scénario référence'!$B$18*5</f>
        <v>0</v>
      </c>
      <c r="C9" s="19">
        <f>Calculateur!C8+'Scénario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5.3351999999999995</v>
      </c>
      <c r="D9" s="11">
        <f t="shared" si="32"/>
        <v>2.0233099967312578</v>
      </c>
      <c r="E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9" s="11">
        <f>IF(OR('Scénario référence'!$F$8&gt;0,'Scénario référence'!$F$9&gt;0),('Scénario référence'!$F$8+'Scénario référence'!$F$9)*10,0)</f>
        <v>10</v>
      </c>
      <c r="G9" s="11">
        <f>'Scénario référence'!$B$8*B9*44/12+'Scénario référence'!$B$9*(C9+D9)/0.475*44/12+'Scénario référence'!$B$10*(C9+D9)/0.475*44/12+'Scénario référence'!$F$8*(C9+D9)/0.475*44/12+'Scénario référence'!$F$9*(C9+D9)/0.475*44/12</f>
        <v>56.802533308100926</v>
      </c>
      <c r="H9" s="67">
        <f t="shared" si="1"/>
        <v>306.1494049109736</v>
      </c>
      <c r="I9" s="70">
        <f>('Scénario référence'!$F$8+'Scénario référence'!$F$9+'Scénario référence'!$B$17+'Scénario référence'!$B$9+'Scénario référence'!$B$10)*70+IF((45+25*(1-EXP(-0.0175*A9)))&lt;70,'Scénario référence'!$B$16*(45+25*(1-EXP(-0.0175*A9))),70*'Scénario référence'!$B$16)+IF((32+38*(1-EXP(-0.0175*A9)))&lt;70,'Scénario référence'!$B$18*(32+38*(1-EXP(-0.0175*A9))),70*'Scénario référence'!$B$18)</f>
        <v>70</v>
      </c>
      <c r="J9" s="13">
        <f>IF(A9&gt;30,10,('Scénario référence'!$B$16+'Scénario référence'!$B$17+'Scénario référence'!$B$18+'Scénario référence'!$B$9+'Scénario référence'!$B$10)*A9*10/30+('Scénario référence'!$F$8+'Scénario référence'!$F$9)*10)</f>
        <v>10</v>
      </c>
      <c r="K9" s="12" t="e">
        <f>VLOOKUP(A9,'Données projet'!$A$35:$I$55,2,0)</f>
        <v>#N/A</v>
      </c>
      <c r="L9" s="12" t="e">
        <f>VLOOKUP(A9,'Données projet'!$A$35:$I$55,9,0)</f>
        <v>#N/A</v>
      </c>
      <c r="M9" s="12">
        <f t="array" ref="M9">INDEX(L:L,MIN(IF(ISNUMBER(L9:L205),ROW(L9:L205),"")))</f>
        <v>9.3968325791855207</v>
      </c>
      <c r="N9" s="13">
        <f>IF('Données projet'!$A$36&gt;35,N8+M9-V8,IF(A9&lt;'Données projet'!$A$36,$K$205^A9,IF(A9='Données projet'!$A$36,'Données projet'!$B$36,N8+M9-V8)))</f>
        <v>5.9935112022212556</v>
      </c>
      <c r="O9" s="13">
        <f>N9*VLOOKUP('Données projet'!$B$9,Paramètres!$A$1:$I$89,3,0)*VLOOKUP('Données projet'!$B$9,Paramètres!$A$1:$I$89,5,0)</f>
        <v>3.3503727620416819</v>
      </c>
      <c r="P9" s="13">
        <f t="shared" si="33"/>
        <v>1.3412951489922369</v>
      </c>
      <c r="Q9" s="20">
        <f t="shared" si="2"/>
        <v>8.1713216117174081</v>
      </c>
      <c r="R9" s="59">
        <f t="shared" si="0"/>
        <v>301.50465494505073</v>
      </c>
      <c r="S9" s="59">
        <f ca="1">AVERAGE(OFFSET($R$3,0,0,'Données projet'!$E$9+1,1))-AVERAGE(OFFSET($H$3,0,0,'Données projet'!$E$9+1,1))</f>
        <v>255.5374979188561</v>
      </c>
      <c r="T9" s="59">
        <f t="shared" si="34"/>
        <v>343.10418468620901</v>
      </c>
      <c r="U9" s="15">
        <f>IF(ISNA(VLOOKUP(A9,'Données projet'!$A$35:$I$55,3,0)),0,VLOOKUP(A9,'Données projet'!$A$35:$I$55,3,0))</f>
        <v>0</v>
      </c>
      <c r="V9" s="15">
        <f>IF(ISNA(VLOOKUP(A9,'Données projet'!$A$35:$I$55,4,0)),0,VLOOKUP(A9,'Données projet'!$A$35:$I$55,4,0))</f>
        <v>0</v>
      </c>
      <c r="W9" s="16">
        <f>IF(ISNA(VLOOKUP(A9,'Données projet'!$A$35:$I$55,5,0)),0%,VLOOKUP(A9,'Données projet'!$A$35:$I$55,5,0)*VLOOKUP('Données projet'!$B$9,Paramètres!$A$1:$I$89,7,0))</f>
        <v>0</v>
      </c>
      <c r="X9" s="16">
        <f>IF(ISNA(VLOOKUP(A9,'Données projet'!$A$35:$I$55,6,0)),0%,VLOOKUP(A9,'Données projet'!$A$35:$I$55,6,0)*VLOOKUP('Données projet'!$B$9,Paramètres!$A$1:$I$89,7,0))</f>
        <v>0</v>
      </c>
      <c r="Y9" s="16">
        <f>IF(ISNA(VLOOKUP(A9,'Données projet'!$A$35:$I$55,7,0)),0%,VLOOKUP(A9,'Données projet'!$A$35:$I$55,7,0))</f>
        <v>0</v>
      </c>
      <c r="Z9" s="21">
        <f>EXP(-LN(2)/35)*Z8+(1-EXP(-LN(2)/35))/(LN(2)/35)*V9*W9*VLOOKUP('Données projet'!$B$9,Paramètres!$A$1:$I$89,3,0)*0.475*44/12</f>
        <v>0</v>
      </c>
      <c r="AA9" s="21">
        <f>EXP(-LN(2)/25)*AA8+(1-EXP(-LN(2)/25))/(LN(2)/25)*Calculateur!V9*Calculateur!X9*VLOOKUP('Données projet'!$B$9,Paramètres!$A$1:$I$89,3,0)*0.475*44/12</f>
        <v>0</v>
      </c>
      <c r="AB9" s="21">
        <f>EXP(-LN(2)/2)*AB8+(1-EXP(-LN(2)/2))/(LN(2)/2)*V9*Y9*VLOOKUP('Données projet'!$B$9,Paramètres!$A$1:$I$89,3,0)*0.475*44/12</f>
        <v>0</v>
      </c>
      <c r="AC9" s="22">
        <f t="shared" si="3"/>
        <v>0</v>
      </c>
      <c r="AD9" s="13">
        <f>('Scénario référence'!$F$8+'Scénario référence'!$F$9+'Scénario référence'!$B$17+'Scénario référence'!$B$9+'Scénario référence'!$B$10)*70+IF((45+25*(1-EXP(-0.0175*A9)))&lt;70,'Scénario référence'!$B$16*(45+25*(1-EXP(-0.0175*A9))),70*'Scénario référence'!$B$16)+IF((32+38*(1-EXP(-0.0175*A9)))&lt;70,'Scénario référence'!$B$18*(32+38*(1-EXP(-0.0175*A9))),70*'Scénario référence'!$B$18)</f>
        <v>70</v>
      </c>
      <c r="AE9" s="13">
        <f>IF(A9&gt;30,10,('Scénario référence'!$B$16+'Scénario référence'!$B$17+'Scénario référence'!$B$18+'Scénario référence'!$B$9+'Scénario référence'!$B$10)*A9*10/30+('Scénario référence'!$F$8+'Scénario référence'!$F$9)*10)</f>
        <v>10</v>
      </c>
      <c r="AF9" s="12" t="e">
        <f>VLOOKUP(A9,'Données projet'!$A$61:$I$81,2,0)</f>
        <v>#N/A</v>
      </c>
      <c r="AG9" s="12" t="e">
        <f>VLOOKUP(A9,'Données projet'!$A$61:$I$81,9,0)</f>
        <v>#N/A</v>
      </c>
      <c r="AH9" s="12">
        <f t="array" ref="AH9">INDEX(AG:AG,MIN(IF(ISNUMBER(AG9:AG205),ROW(AG9:AG205),"")))</f>
        <v>2.6</v>
      </c>
      <c r="AI9" s="13">
        <f>IF('Données projet'!$A$62&gt;35,AI8+AH9-AQ8,IF(A9&lt;'Données projet'!$A$62,$AF$205^A9,IF(A9='Données projet'!$A$62,'Données projet'!$B$62,AI8+AH9-AQ8)))</f>
        <v>7.0629154732488457</v>
      </c>
      <c r="AJ9" s="13">
        <f>AI9*VLOOKUP('Données projet'!$B$10,Paramètres!$A$1:$I$89,3,0)*VLOOKUP('Données projet'!$B$10,Paramètres!$A$1:$I$89,5,0)</f>
        <v>4.40725925530728</v>
      </c>
      <c r="AK9" s="13">
        <f t="shared" si="35"/>
        <v>1.7089896733074823</v>
      </c>
      <c r="AL9" s="20">
        <f t="shared" si="4"/>
        <v>10.652466884004044</v>
      </c>
      <c r="AM9" s="59">
        <f t="shared" si="5"/>
        <v>303.98580021733738</v>
      </c>
      <c r="AN9" s="59">
        <f ca="1">AVERAGE(OFFSET($AM$3,0,0,'Données projet'!$E$10+1,1))-AVERAGE(OFFSET($H$3,0,0,'Données projet'!$E$10+1,1))</f>
        <v>261.78489480911571</v>
      </c>
      <c r="AO9" s="59">
        <f t="shared" si="36"/>
        <v>297.50513563712764</v>
      </c>
      <c r="AP9" s="15">
        <f>IF(ISNA(VLOOKUP(A9,'Données projet'!$A$61:$I$81,3,0)),0,VLOOKUP(A9,'Données projet'!$A$61:$I$81,3,0))</f>
        <v>0</v>
      </c>
      <c r="AQ9" s="15">
        <f>IF(ISNA(VLOOKUP(A9,'Données projet'!$A$61:$I$81,4,0)),0,VLOOKUP(A9,'Données projet'!$A$61:$I$81,4,0))</f>
        <v>0</v>
      </c>
      <c r="AR9" s="16">
        <f>IF(ISNA(VLOOKUP(A9,'Données projet'!$A$61:$I$81,5,0)),0%,VLOOKUP(A9,'Données projet'!$A$61:$I$81,5,0)*VLOOKUP('Données projet'!$B$10,Paramètres!$A$1:$I$89,7,0))</f>
        <v>0</v>
      </c>
      <c r="AS9" s="16">
        <f>IF(ISNA(VLOOKUP(A9,'Données projet'!$A$61:$I$81,6,0)),0%,VLOOKUP(A9,'Données projet'!$A$61:$I$81,6,0)*VLOOKUP('Données projet'!$B$10,Paramètres!$A$1:$I$89,7,0))</f>
        <v>0</v>
      </c>
      <c r="AT9" s="16">
        <f>IF(ISNA(VLOOKUP(A9,'Données projet'!$A$61:$I$81,7,0)),0%,VLOOKUP(A9,'Données projet'!$A$61:$I$81,7,0))</f>
        <v>0</v>
      </c>
      <c r="AU9" s="21">
        <f>EXP(-LN(2)/35)*AU8+(1-EXP(-LN(2)/35))/(LN(2)/35)*AQ9*AR9*VLOOKUP('Données projet'!$B$10,Paramètres!$A$1:$I$89,3,0)*0.475*44/12</f>
        <v>0</v>
      </c>
      <c r="AV9" s="21">
        <f>EXP(-LN(2)/25)*AV8+(1-EXP(-LN(2)/25))/(LN(2)/25)*Calculateur!AQ9*Calculateur!AS9*VLOOKUP('Données projet'!$B$10,Paramètres!$A$1:$I$89,3,0)*0.475*44/12</f>
        <v>0</v>
      </c>
      <c r="AW9" s="21">
        <f>EXP(-LN(2)/2)*AW8+(1-EXP(-LN(2)/2))/(LN(2)/2)*AQ9*AT9*VLOOKUP('Données projet'!$B$10,Paramètres!$A$1:$I$89,3,0)*0.475*44/12</f>
        <v>0</v>
      </c>
      <c r="AX9" s="21">
        <f t="shared" si="6"/>
        <v>0</v>
      </c>
      <c r="AY9" s="74">
        <f>('Scénario référence'!$F$8+'Scénario référence'!$F$9+'Scénario référence'!$B$17+'Scénario référence'!$B$9+'Scénario référence'!$B$10)*70+IF((45+25*(1-EXP(-0.0175*A9)))&lt;70,'Scénario référence'!$B$16*(45+25*(1-EXP(-0.0175*A9))),70*'Scénario référence'!$B$16)+IF((32+38*(1-EXP(-0.0175*A9)))&lt;70,'Scénario référence'!$B$18*(32+38*(1-EXP(-0.0175*A9))),70*'Scénario référence'!$B$18)</f>
        <v>70</v>
      </c>
      <c r="AZ9" s="12">
        <f>IF(A9&gt;30,10,('Scénario référence'!$B$16+'Scénario référence'!$B$17+'Scénario référence'!$B$18+'Scénario référence'!$B$9+'Scénario référence'!$B$10)*A9*10/30+('Scénario référence'!$F$8+'Scénario référence'!$F$9)*10)</f>
        <v>10</v>
      </c>
      <c r="BA9" s="12" t="e">
        <f>VLOOKUP(A9,'Données projet'!$A$87:$I$107,2,0)</f>
        <v>#N/A</v>
      </c>
      <c r="BB9" s="12" t="e">
        <f>VLOOKUP(A9,'Données projet'!$A$87:$I$107,9,0)</f>
        <v>#N/A</v>
      </c>
      <c r="BC9" s="12">
        <f t="array" ref="BC9">INDEX(BB:BB,MIN(IF(ISNUMBER(BB9:BB205),ROW(BB9:BB205),"")))</f>
        <v>5.3</v>
      </c>
      <c r="BD9" s="12">
        <f>IF('Données projet'!$A$88&gt;35,BD8+BC9-BL8,IF(A9&lt;'Données projet'!$A$88,$BA$205^A9,IF(A9='Données projet'!$A$88,'Données projet'!$B$88,BD8+BC9-BL8)))</f>
        <v>4.0512753315731445</v>
      </c>
      <c r="BE9" s="13">
        <f>BD9*VLOOKUP('Données projet'!$B$11,Paramètres!$A$1:$I$89,3,0)*VLOOKUP('Données projet'!$B$11,Paramètres!$A$1:$I$89,5,0)</f>
        <v>2.4226626482807405</v>
      </c>
      <c r="BF9" s="13">
        <f t="shared" si="37"/>
        <v>1.0071944171072709</v>
      </c>
      <c r="BG9" s="20">
        <f t="shared" si="7"/>
        <v>5.9736677222174537</v>
      </c>
      <c r="BH9" s="59">
        <f t="shared" si="8"/>
        <v>299.30700105555076</v>
      </c>
      <c r="BI9" s="59">
        <f ca="1">AVERAGE(OFFSET($BH$3,0,0,'Données projet'!$E$11+1,1))-AVERAGE(OFFSET($H$3,0,0,'Données projet'!$E$11+1,1))</f>
        <v>316.58509520829671</v>
      </c>
      <c r="BJ9" s="59">
        <f t="shared" si="38"/>
        <v>240.71332110643596</v>
      </c>
      <c r="BK9" s="15">
        <f>IF(ISNA(VLOOKUP(A9,'Données projet'!$A$87:$I$107,3,0)),0,VLOOKUP(A9,'Données projet'!$A$87:$I$107,3,0))</f>
        <v>0</v>
      </c>
      <c r="BL9" s="15">
        <f>IF(ISNA(VLOOKUP(A9,'Données projet'!$A$87:$I$107,4,0)),0,VLOOKUP(A9,'Données projet'!$A$87:$I$107,4,0))</f>
        <v>0</v>
      </c>
      <c r="BM9" s="16">
        <f>IF(ISNA(VLOOKUP(A9,'Données projet'!$A$87:$I$107,5,0)),0%,VLOOKUP(A9,'Données projet'!$A$87:$I$107,5,0)*VLOOKUP('Données projet'!$B$11,Paramètres!$A$1:$I$89,7,0))</f>
        <v>0</v>
      </c>
      <c r="BN9" s="16">
        <f>IF(ISNA(VLOOKUP(A9,'Données projet'!$A$87:$I$107,6,0)),0%,VLOOKUP(A9,'Données projet'!$A$87:$I$107,6,0)*VLOOKUP('Données projet'!$B$11,Paramètres!$A$1:$I$89,7,0))</f>
        <v>0</v>
      </c>
      <c r="BO9" s="16">
        <f>IF(ISNA(VLOOKUP(A9,'Données projet'!$A$87:$I$107,7,0)),0%,VLOOKUP(A9,'Données projet'!$A$87:$I$107,7,0))</f>
        <v>0</v>
      </c>
      <c r="BP9" s="21">
        <f>EXP(-LN(2)/35)*BP8+(1-EXP(-LN(2)/35))/(LN(2)/35)*BL9*BM9*VLOOKUP('Données projet'!$B$11,Paramètres!$A$1:$I$89,3,0)*0.475*44/12</f>
        <v>0</v>
      </c>
      <c r="BQ9" s="21">
        <f>EXP(-LN(2)/25)*BQ8+(1-EXP(-LN(2)/25))/(LN(2)/25)*Calculateur!BL9*Calculateur!BN9*VLOOKUP('Données projet'!$B$11,Paramètres!$A$1:$I$89,3,0)*0.475*44/12</f>
        <v>0</v>
      </c>
      <c r="BR9" s="21">
        <f>EXP(-LN(2)/2)*BR8+(1-EXP(-LN(2)/2))/(LN(2)/2)*BL9*BO9*VLOOKUP('Données projet'!$B$11,Paramètres!$A$1:$I$89,3,0)*0.475*44/12</f>
        <v>0</v>
      </c>
      <c r="BS9" s="22">
        <f t="shared" si="9"/>
        <v>0</v>
      </c>
      <c r="BT9" s="75">
        <f>('Scénario référence'!$F$8+'Scénario référence'!$F$9+'Scénario référence'!$B$17+'Scénario référence'!$B$9+'Scénario référence'!$B$10)*70+IF((45+25*(1-EXP(-0.0175*A9)))&lt;70,'Scénario référence'!$B$16*(45+25*(1-EXP(-0.0175*A9))),70*'Scénario référence'!$B$16)+IF((32+38*(1-EXP(-0.0175*A9)))&lt;70,'Scénario référence'!$B$18*(32+38*(1-EXP(-0.0175*A9))),70*'Scénario référence'!$B$18)</f>
        <v>70</v>
      </c>
      <c r="BU9" s="12">
        <f>IF(A9&gt;30,10,('Scénario référence'!$B$16+'Scénario référence'!$B$17+'Scénario référence'!$B$18+'Scénario référence'!$B$9+'Scénario référence'!$B$10)*A9*10/30+('Scénario référence'!$F$8+'Scénario référence'!$F$9)*10)</f>
        <v>10</v>
      </c>
      <c r="BV9" s="12" t="e">
        <f>VLOOKUP(A9,'Données projet'!$A$113:$I$133,2,0)</f>
        <v>#N/A</v>
      </c>
      <c r="BW9" s="12" t="e">
        <f>VLOOKUP(A9,'Données projet'!$A$113:$I$133,9,0)</f>
        <v>#N/A</v>
      </c>
      <c r="BX9" s="12">
        <f t="array" ref="BX9">INDEX(BW:BW,MIN(IF(ISNUMBER(BW9:BW205),ROW(BW9:BW205),"")))</f>
        <v>3.2</v>
      </c>
      <c r="BY9" s="12">
        <f>IF('Données projet'!$A$114&gt;35,BY8+BX9-CG8,IF(A9&lt;'Données projet'!$A$114,$BV$205^A9,IF(A9='Données projet'!$A$114,'Données projet'!$B$114,BY8+BX9-CG8)))</f>
        <v>4.7043160900986933</v>
      </c>
      <c r="BZ9" s="13">
        <f>BY9*VLOOKUP('Données projet'!$B$12,Paramètres!$A$1:$I$89,3,0)*VLOOKUP('Données projet'!$B$12,Paramètres!$A$1:$I$89,5,0)</f>
        <v>2.690868803536453</v>
      </c>
      <c r="CA9" s="13">
        <f t="shared" si="39"/>
        <v>1.1051089568245638</v>
      </c>
      <c r="CB9" s="20">
        <f t="shared" si="10"/>
        <v>6.6113279326287708</v>
      </c>
      <c r="CC9" s="59">
        <f t="shared" si="11"/>
        <v>299.94466126596211</v>
      </c>
      <c r="CD9" s="59">
        <f ca="1">AVERAGE(OFFSET($CC$3,0,0,'Données projet'!$E$12+1,1))-AVERAGE(OFFSET($H$3,0,0,'Données projet'!$E$12+1,1))</f>
        <v>188.64374818906128</v>
      </c>
      <c r="CE9" s="59">
        <f t="shared" si="40"/>
        <v>211.95157880548652</v>
      </c>
      <c r="CF9" s="15">
        <f>IF(ISNA(VLOOKUP(A9,'Données projet'!$A$113:$I$133,3,0)),0,VLOOKUP(A9,'Données projet'!$A$113:$I$133,3,0))</f>
        <v>0</v>
      </c>
      <c r="CG9" s="15">
        <f>IF(ISNA(VLOOKUP(A9,'Données projet'!$A$113:$I$133,4,0)),0,VLOOKUP(A9,'Données projet'!$A$113:$I$133,4,0))</f>
        <v>0</v>
      </c>
      <c r="CH9" s="16">
        <f>IF(ISNA(VLOOKUP(A9,'Données projet'!$A$113:$I$133,5,0)),0%,VLOOKUP(A9,'Données projet'!$A$113:$I$133,5,0)*VLOOKUP('Données projet'!$B$12,Paramètres!$A$1:$I$89,7,0))</f>
        <v>0</v>
      </c>
      <c r="CI9" s="16">
        <f>IF(ISNA(VLOOKUP(A9,'Données projet'!$A$113:$I$133,6,0)),0%,VLOOKUP(A9,'Données projet'!$A$113:$I$133,6,0)*VLOOKUP('Données projet'!$B$12,Paramètres!$A$1:$I$89,7,0))</f>
        <v>0</v>
      </c>
      <c r="CJ9" s="16">
        <f>IF(ISNA(VLOOKUP(A9,'Données projet'!$A$113:$I$133,7,0)),0%,VLOOKUP(A9,'Données projet'!$A$113:$I$133,7,0))</f>
        <v>0</v>
      </c>
      <c r="CK9" s="21">
        <f>EXP(-LN(2)/35)*CK8+(1-EXP(-LN(2)/35))/(LN(2)/35)*CG9*CH9*VLOOKUP('Données projet'!$B$12,Paramètres!$A$1:$I$89,3,0)*0.475*44/12</f>
        <v>0</v>
      </c>
      <c r="CL9" s="21">
        <f>EXP(-LN(2)/25)*CL8+(1-EXP(-LN(2)/25))/(LN(2)/25)*Calculateur!CG9*Calculateur!CI9*VLOOKUP('Données projet'!$B$12,Paramètres!$A$1:$I$89,3,0)*0.475*44/12</f>
        <v>0</v>
      </c>
      <c r="CM9" s="21">
        <f>EXP(-LN(2)/2)*CM8+(1-EXP(-LN(2)/2))/(LN(2)/2)*CG9*CJ9*VLOOKUP('Données projet'!$B$12,Paramètres!$A$1:$I$89,3,0)*0.475*44/12</f>
        <v>0</v>
      </c>
      <c r="CN9" s="22">
        <f t="shared" si="12"/>
        <v>0</v>
      </c>
      <c r="CO9" s="75">
        <f>('Scénario référence'!$F$8+'Scénario référence'!$F$9+'Scénario référence'!$B$17+'Scénario référence'!$B$9+'Scénario référence'!$B$10)*70+IF((45+25*(1-EXP(-0.0175*A9)))&lt;70,'Scénario référence'!$B$16*(45+25*(1-EXP(-0.0175*A9))),70*'Scénario référence'!$B$16)+IF((32+38*(1-EXP(-0.0175*A9)))&lt;70,'Scénario référence'!$B$18*(32+38*(1-EXP(-0.0175*A9))),70*'Scénario référence'!$B$18)</f>
        <v>70</v>
      </c>
      <c r="CP9" s="12">
        <f>IF(A9&gt;30,10,('Scénario référence'!$B$16+'Scénario référence'!$B$17+'Scénario référence'!$B$18+'Scénario référence'!$B$9+'Scénario référence'!$B$10)*A9*10/30+('Scénario référence'!$F$8+'Scénario référence'!$F$9)*10)</f>
        <v>10</v>
      </c>
      <c r="CQ9" s="12" t="e">
        <f>VLOOKUP(A9,'Données projet'!$A$139:$I$159,2,0)</f>
        <v>#N/A</v>
      </c>
      <c r="CR9" s="12" t="e">
        <f>VLOOKUP(A9,'Données projet'!$A$139:$I$159,9,0)</f>
        <v>#N/A</v>
      </c>
      <c r="CS9" s="12">
        <f t="array" ref="CS9">INDEX(CR:CR,MIN(IF(ISNUMBER(CR9:CR205),ROW(CR9:CR205),"")))</f>
        <v>0</v>
      </c>
      <c r="CT9" s="12">
        <f>IF('Données projet'!$A$140&gt;35,CT8+CS9-DB8,IF(A9&lt;'Données projet'!$A$140,$CQ$205^A9,IF(A9='Données projet'!$A$140,'Données projet'!$B$140,CT8+CS9-DB8)))</f>
        <v>0</v>
      </c>
      <c r="CU9" s="17" t="e">
        <f>CT9*VLOOKUP('Données projet'!$B$13,Paramètres!$A$1:$I$89,3,0)*VLOOKUP('Données projet'!$B$13,Paramètres!$A$1:$I$89,5,0)</f>
        <v>#N/A</v>
      </c>
      <c r="CV9" s="13" t="e">
        <f t="shared" si="41"/>
        <v>#N/A</v>
      </c>
      <c r="CW9" s="20" t="e">
        <f t="shared" si="13"/>
        <v>#N/A</v>
      </c>
      <c r="CX9" s="59" t="e">
        <f t="shared" si="14"/>
        <v>#N/A</v>
      </c>
      <c r="CY9" s="59" t="e">
        <f ca="1">AVERAGE(OFFSET($CX$3,0,0,'Données projet'!$E$13+1,1))-AVERAGE(OFFSET($H$3,0,0,'Données projet'!$E$13+1,1))</f>
        <v>#N/A</v>
      </c>
      <c r="CZ9" s="59" t="e">
        <f t="shared" si="42"/>
        <v>#N/A</v>
      </c>
      <c r="DA9" s="15">
        <f>IF(ISNA(VLOOKUP(A9,'Données projet'!$A$139:$I$159,3,0)),0,VLOOKUP(A9,'Données projet'!$A$139:$I$159,3,0))</f>
        <v>0</v>
      </c>
      <c r="DB9" s="15">
        <f>IF(ISNA(VLOOKUP(A9,'Données projet'!$A$139:$I$159,4,0)),0,VLOOKUP(A9,'Données projet'!$A$139:$I$159,4,0))</f>
        <v>0</v>
      </c>
      <c r="DC9" s="16">
        <f>IF(ISNA(VLOOKUP(A9,'Données projet'!$A$139:$I$159,5,0)),0%,VLOOKUP(A9,'Données projet'!$A$139:$I$159,5,0)*VLOOKUP('Données projet'!$B$13,Paramètres!$A$1:$I$89,7,0))</f>
        <v>0</v>
      </c>
      <c r="DD9" s="16">
        <f>IF(ISNA(VLOOKUP(A9,'Données projet'!$A$139:$I$159,6,0)),0%,VLOOKUP(A9,'Données projet'!$A$139:$I$159,6,0)*VLOOKUP('Données projet'!$B$13,Paramètres!$A$1:$I$89,7,0))</f>
        <v>0</v>
      </c>
      <c r="DE9" s="16">
        <f>IF(ISNA(VLOOKUP(A9,'Données projet'!$A$139:$I$159,7,0)),0%,VLOOKUP(A9,'Données projet'!$A$139:$I$159,7,0))</f>
        <v>0</v>
      </c>
      <c r="DF9" s="21" t="e">
        <f>EXP(-LN(2)/35)*DF8+(1-EXP(-LN(2)/35))/(LN(2)/35)*DB9*DC9*VLOOKUP('Données projet'!$B$13,Paramètres!$A$1:$I$89,3,0)*0.475*44/12</f>
        <v>#N/A</v>
      </c>
      <c r="DG9" s="21" t="e">
        <f>EXP(-LN(2)/25)*DG8+(1-EXP(-LN(2)/25))/(LN(2)/25)*Calculateur!DB9*Calculateur!DD9*VLOOKUP('Données projet'!$B$13,Paramètres!$A$1:$I$89,3,0)*0.475*44/12</f>
        <v>#N/A</v>
      </c>
      <c r="DH9" s="21" t="e">
        <f>EXP(-LN(2)/2)*DH8+(1-EXP(-LN(2)/2))/(LN(2)/2)*DB9*DE9*VLOOKUP('Données projet'!$B$13,Paramètres!$A$1:$I$89,3,0)*0.475*44/12</f>
        <v>#N/A</v>
      </c>
      <c r="DI9" s="22" t="e">
        <f t="shared" si="15"/>
        <v>#N/A</v>
      </c>
      <c r="DJ9" s="75">
        <f>('Scénario référence'!$F$8+'Scénario référence'!$F$9+'Scénario référence'!$B$17+'Scénario référence'!$B$9+'Scénario référence'!$B$10)*70+IF((45+25*(1-EXP(-0.0175*A9)))&lt;70,'Scénario référence'!$B$16*(45+25*(1-EXP(-0.0175*A9))),70*'Scénario référence'!$B$16)+IF((32+38*(1-EXP(-0.0175*A9)))&lt;70,'Scénario référence'!$B$18*(32+38*(1-EXP(-0.0175*A9))),70*'Scénario référence'!$B$18)</f>
        <v>70</v>
      </c>
      <c r="DK9" s="12">
        <f>IF(A9&gt;30,10,('Scénario référence'!$B$16+'Scénario référence'!$B$17+'Scénario référence'!$B$18+'Scénario référence'!$B$9+'Scénario référence'!$B$10)*A9*10/30+('Scénario référence'!$F$8+'Scénario référence'!$F$9)*10)</f>
        <v>10</v>
      </c>
      <c r="DL9" s="12" t="e">
        <f>VLOOKUP(A9,'Données projet'!$A$165:$I$185,2,0)</f>
        <v>#N/A</v>
      </c>
      <c r="DM9" s="12" t="e">
        <f>VLOOKUP(A9,'Données projet'!$A$165:$I$185,9,0)</f>
        <v>#N/A</v>
      </c>
      <c r="DN9" s="12">
        <f t="array" ref="DN9">INDEX(DM:DM,MIN(IF(ISNUMBER(DM9:DM205),ROW(DM9:DM205),"")))</f>
        <v>1.3</v>
      </c>
      <c r="DO9" s="12">
        <f>IF('Données projet'!$A$166&gt;35,DO8+DN9-DW8,IF(A9&lt;'Données projet'!$A$166,$DL$205^A9,IF(A9='Données projet'!$A$166,'Données projet'!$B$166,DO8+DN9-DW8)))</f>
        <v>4.6597864200360659</v>
      </c>
      <c r="DP9" s="17">
        <f>DO9*VLOOKUP('Données projet'!$B$14,Paramètres!$A$1:$I$89,3,0)*VLOOKUP('Données projet'!$B$14,Paramètres!$A$1:$I$89,5,0)</f>
        <v>3.0530920624076305</v>
      </c>
      <c r="DQ9" s="13">
        <f t="shared" si="43"/>
        <v>1.2355725197365051</v>
      </c>
      <c r="DR9" s="20">
        <f t="shared" si="16"/>
        <v>7.4694241472343696</v>
      </c>
      <c r="DS9" s="59">
        <f t="shared" si="17"/>
        <v>300.80275748056766</v>
      </c>
      <c r="DT9" s="59">
        <f ca="1">AVERAGE(OFFSET($DS$3,0,0,'Données projet'!$E$14+1,1))-AVERAGE(OFFSET($H$3,0,0,'Données projet'!$E$14+1,1))</f>
        <v>188.68915783955595</v>
      </c>
      <c r="DU9" s="59">
        <f t="shared" si="44"/>
        <v>240.82467772396944</v>
      </c>
      <c r="DV9" s="15">
        <f>IF(ISNA(VLOOKUP(A9,'Données projet'!$A$165:$I$185,3,0)),0,VLOOKUP(A9,'Données projet'!$A$165:$I$185,3,0))</f>
        <v>0</v>
      </c>
      <c r="DW9" s="15">
        <f>IF(ISNA(VLOOKUP(A9,'Données projet'!$A$165:$I$185,4,0)),0,VLOOKUP(A9,'Données projet'!$A$165:$I$185,4,0))</f>
        <v>0</v>
      </c>
      <c r="DX9" s="16">
        <f>IF(ISNA(VLOOKUP(A9,'Données projet'!$A$165:$I$185,5,0)),0%,VLOOKUP(A9,'Données projet'!$A$165:$I$185,5,0)*VLOOKUP('Données projet'!$B$14,Paramètres!$A$1:$I$89,7,0))</f>
        <v>0</v>
      </c>
      <c r="DY9" s="16">
        <f>IF(ISNA(VLOOKUP(A9,'Données projet'!$A$165:$I$185,6,0)),0%,VLOOKUP(A9,'Données projet'!$A$165:$I$185,6,0)*VLOOKUP('Données projet'!$B$14,Paramètres!$A$1:$I$89,7,0))</f>
        <v>0</v>
      </c>
      <c r="DZ9" s="16">
        <f>IF(ISNA(VLOOKUP(A9,'Données projet'!$A$165:$I$185,7,0)),0%,VLOOKUP(A9,'Données projet'!$A$165:$I$185,7,0))</f>
        <v>0</v>
      </c>
      <c r="EA9" s="21">
        <f>EXP(-LN(2)/35)*EA8+(1-EXP(-LN(2)/35))/(LN(2)/35)*DW9*DX9*VLOOKUP('Données projet'!$B$14,Paramètres!$A$1:$I$89,3,0)*0.475*44/12</f>
        <v>0</v>
      </c>
      <c r="EB9" s="21">
        <f>EXP(-LN(2)/25)*EB8+(1-EXP(-LN(2)/25))/(LN(2)/25)*Calculateur!DW9*Calculateur!DY9*VLOOKUP('Données projet'!$B$14,Paramètres!$A$1:$I$89,3,0)*0.475*44/12</f>
        <v>0</v>
      </c>
      <c r="EC9" s="21">
        <f>EXP(-LN(2)/2)*EC8+(1-EXP(-LN(2)/2))/(LN(2)/2)*DW9*DZ9*VLOOKUP('Données projet'!$B$14,Paramètres!$A$1:$I$89,3,0)*0.475*44/12</f>
        <v>0</v>
      </c>
      <c r="ED9" s="22">
        <f t="shared" si="18"/>
        <v>0</v>
      </c>
      <c r="EE9" s="75">
        <f>('Scénario référence'!$F$8+'Scénario référence'!$F$9+'Scénario référence'!$B$17+'Scénario référence'!$B$9+'Scénario référence'!$B$10)*70+IF((45+25*(1-EXP(-0.0175*A9)))&lt;70,'Scénario référence'!$B$16*(45+25*(1-EXP(-0.0175*A9))),70*'Scénario référence'!$B$16)+IF((32+38*(1-EXP(-0.0175*A9)))&lt;70,'Scénario référence'!$B$18*(32+38*(1-EXP(-0.0175*A9))),70*'Scénario référence'!$B$18)</f>
        <v>70</v>
      </c>
      <c r="EF9" s="12">
        <f>IF(A9&gt;30,10,('Scénario référence'!$B$16+'Scénario référence'!$B$17+'Scénario référence'!$B$18+'Scénario référence'!$B$9+'Scénario référence'!$B$10)*A9*10/30+('Scénario référence'!$F$8+'Scénario référence'!$F$9)*10)</f>
        <v>10</v>
      </c>
      <c r="EG9" s="12" t="e">
        <f>VLOOKUP(A9,'Données projet'!$A$191:$I$211,2,0)</f>
        <v>#N/A</v>
      </c>
      <c r="EH9" s="12" t="e">
        <f>VLOOKUP(A9,'Données projet'!$A$191:$I$211,9,0)</f>
        <v>#N/A</v>
      </c>
      <c r="EI9" s="12">
        <f t="array" ref="EI9">INDEX(EH:EH,MIN(IF(ISNUMBER(EH9:EH205),ROW(EH9:EH205),"")))</f>
        <v>2.9333333333333331</v>
      </c>
      <c r="EJ9" s="12">
        <f>IF('Données projet'!$A$192&gt;35,EJ8+EI9-ER8,IF(A9&lt;'Données projet'!$A$192,$EG$205^A9,IF(A9='Données projet'!$A$192,'Données projet'!$B$192,EJ8+EI9-ER8)))</f>
        <v>4.5434010137249796</v>
      </c>
      <c r="EK9" s="17">
        <f>EJ9*VLOOKUP('Données projet'!$B$15,Paramètres!$A$1:$I$89,3,0)*VLOOKUP('Données projet'!$B$15,Paramètres!$A$1:$I$89,5,0)</f>
        <v>3.6856069023337041</v>
      </c>
      <c r="EL9" s="13">
        <f t="shared" si="45"/>
        <v>1.4592154806476936</v>
      </c>
      <c r="EM9" s="20">
        <f t="shared" si="19"/>
        <v>8.9605656503592659</v>
      </c>
      <c r="EN9" s="59">
        <f t="shared" si="20"/>
        <v>302.2938989836926</v>
      </c>
      <c r="EO9" s="59">
        <f ca="1">AVERAGE(OFFSET($EN$3,0,0,'Données projet'!$E$15+1,1))-AVERAGE(OFFSET($H$3,0,0,'Données projet'!$E$15+1,1))</f>
        <v>205.5272583787887</v>
      </c>
      <c r="EP9" s="59">
        <f t="shared" si="46"/>
        <v>180.54762778843178</v>
      </c>
      <c r="EQ9" s="15">
        <f>IF(ISNA(VLOOKUP(A9,'Données projet'!$A$191:$I$211,3,0)),0,VLOOKUP(A9,'Données projet'!$A$191:$I$211,3,0))</f>
        <v>0</v>
      </c>
      <c r="ER9" s="15">
        <f>IF(ISNA(VLOOKUP(A9,'Données projet'!$A$191:$I$211,4,0)),0,VLOOKUP(A9,'Données projet'!$A$191:$I$211,4,0))</f>
        <v>0</v>
      </c>
      <c r="ES9" s="16">
        <f>IF(ISNA(VLOOKUP(A9,'Données projet'!$A$191:$I$211,5,0)),0%,VLOOKUP(A9,'Données projet'!$A$191:$I$211,5,0)*VLOOKUP('Données projet'!$B$15,Paramètres!$A$1:$I$89,7,0))</f>
        <v>0</v>
      </c>
      <c r="ET9" s="16">
        <f>IF(ISNA(VLOOKUP(A9,'Données projet'!$A$191:$I$211,6,0)),0%,VLOOKUP(A9,'Données projet'!$A$191:$I$211,6,0)*VLOOKUP('Données projet'!$B$15,Paramètres!$A$1:$I$89,7,0))</f>
        <v>0</v>
      </c>
      <c r="EU9" s="16">
        <f>IF(ISNA(VLOOKUP(A9,'Données projet'!$A$191:$I$211,7,0)),0%,VLOOKUP(A9,'Données projet'!$A$191:$I$211,7,0))</f>
        <v>0</v>
      </c>
      <c r="EV9" s="21">
        <f>EXP(-LN(2)/35)*EV8+(1-EXP(-LN(2)/35))/(LN(2)/35)*ER9*ES9*VLOOKUP('Données projet'!$B$15,Paramètres!$A$1:$I$89,3,0)*0.475*44/12</f>
        <v>0</v>
      </c>
      <c r="EW9" s="21">
        <f>EXP(-LN(2)/25)*EW8+(1-EXP(-LN(2)/25))/(LN(2)/25)*Calculateur!ER9*Calculateur!ET9*VLOOKUP('Données projet'!$B$15,Paramètres!$A$1:$I$89,3,0)*0.475*44/12</f>
        <v>0</v>
      </c>
      <c r="EX9" s="21">
        <f>EXP(-LN(2)/2)*EX8+(1-EXP(-LN(2)/2))/(LN(2)/2)*ER9*EU9*VLOOKUP('Données projet'!$B$15,Paramètres!$A$1:$I$89,3,0)*0.475*44/12</f>
        <v>0</v>
      </c>
      <c r="EY9" s="22">
        <f t="shared" si="21"/>
        <v>0</v>
      </c>
      <c r="EZ9" s="75">
        <f>('Scénario référence'!$F$8+'Scénario référence'!$F$9+'Scénario référence'!$B$17+'Scénario référence'!$B$9+'Scénario référence'!$B$10)*70+IF((45+25*(1-EXP(-0.0175*A9)))&lt;70,'Scénario référence'!$B$16*(45+25*(1-EXP(-0.0175*A9))),70*'Scénario référence'!$B$16)+IF((32+38*(1-EXP(-0.0175*A9)))&lt;70,'Scénario référence'!$B$18*(32+38*(1-EXP(-0.0175*A9))),70*'Scénario référence'!$B$18)</f>
        <v>70</v>
      </c>
      <c r="FA9" s="12">
        <f>IF(A9&gt;30,10,('Scénario référence'!$B$16+'Scénario référence'!$B$17+'Scénario référence'!$B$18+'Scénario référence'!$B$9+'Scénario référence'!$B$10)*A9*10/30+('Scénario référence'!$F$8+'Scénario référence'!$F$9)*10)</f>
        <v>10</v>
      </c>
      <c r="FB9" s="12" t="e">
        <f>VLOOKUP(A9,'Données projet'!$A$217:$I$237,2,0)</f>
        <v>#N/A</v>
      </c>
      <c r="FC9" s="12" t="e">
        <f>VLOOKUP(A9,'Données projet'!$A$217:$I$237,9,0)</f>
        <v>#N/A</v>
      </c>
      <c r="FD9" s="12">
        <f t="array" ref="FD9">INDEX(FC:FC,MIN(IF(ISNUMBER(FC9:FC205),ROW(FC9:FC205),"")))</f>
        <v>1.7333333333333334</v>
      </c>
      <c r="FE9" s="12">
        <f>IF('Données projet'!$A$218&gt;35,FE8+FD9-FM8,IF(A9&lt;'Données projet'!$A$218,$FB$205^A9,IF(A9='Données projet'!$A$218,'Données projet'!$B$218,FE8+FD9-FM8)))</f>
        <v>3.6811993713469078</v>
      </c>
      <c r="FF9" s="17">
        <f>FE9*VLOOKUP('Données projet'!$B$16,Paramètres!$A$1:$I$89,3,0)*VLOOKUP('Données projet'!$B$16,Paramètres!$A$1:$I$89,5,0)</f>
        <v>3.1584690606156474</v>
      </c>
      <c r="FG9" s="13">
        <f t="shared" si="47"/>
        <v>1.2731794275096298</v>
      </c>
      <c r="FH9" s="20">
        <f t="shared" si="22"/>
        <v>7.7184544501515253</v>
      </c>
      <c r="FI9" s="59">
        <f t="shared" si="23"/>
        <v>301.05178778348483</v>
      </c>
      <c r="FJ9" s="59">
        <f ca="1">AVERAGE(OFFSET($FI$3,0,0,'Données projet'!$E$16+1,1))-AVERAGE(OFFSET($H$3,0,0,'Données projet'!$E$16+1,1))</f>
        <v>383.97627237444709</v>
      </c>
      <c r="FK9" s="59">
        <f t="shared" si="48"/>
        <v>203.35476578922339</v>
      </c>
      <c r="FL9" s="15">
        <f>IF(ISNA(VLOOKUP(A9,'Données projet'!$A$217:$I$237,3,0)),0,VLOOKUP(A9,'Données projet'!$A$217:$I$237,3,0))</f>
        <v>0</v>
      </c>
      <c r="FM9" s="15">
        <f>IF(ISNA(VLOOKUP(A9,'Données projet'!$A$217:$I$237,4,0)),0,VLOOKUP(A9,'Données projet'!$A$217:$I$237,4,0))</f>
        <v>0</v>
      </c>
      <c r="FN9" s="16">
        <f>IF(ISNA(VLOOKUP(A9,'Données projet'!$A$217:$I$237,5,0)),0%,VLOOKUP(A9,'Données projet'!$A$217:$I$237,5,0)*VLOOKUP('Données projet'!$B$16,Paramètres!$A$1:$I$89,7,0))</f>
        <v>0</v>
      </c>
      <c r="FO9" s="16">
        <f>IF(ISNA(VLOOKUP(A9,'Données projet'!$A$217:$I$237,6,0)),0%,VLOOKUP(A9,'Données projet'!$A$217:$I$237,6,0)*VLOOKUP('Données projet'!$B$16,Paramètres!$A$1:$I$89,7,0))</f>
        <v>0</v>
      </c>
      <c r="FP9" s="16">
        <f>IF(ISNA(VLOOKUP(A9,'Données projet'!$A$217:$I$237,7,0)),0%,VLOOKUP(A9,'Données projet'!$A$217:$I$237,7,0))</f>
        <v>0</v>
      </c>
      <c r="FQ9" s="21">
        <f>EXP(-LN(2)/35)*FQ8+(1-EXP(-LN(2)/35))/(LN(2)/35)*FM9*FN9*VLOOKUP('Données projet'!$B$16,Paramètres!$A$1:$I$89,3,0)*0.475*44/12</f>
        <v>0</v>
      </c>
      <c r="FR9" s="21">
        <f>EXP(-LN(2)/25)*FR8+(1-EXP(-LN(2)/25))/(LN(2)/25)*Calculateur!FM9*Calculateur!FO9*VLOOKUP('Données projet'!$B$16,Paramètres!$A$1:$I$89,3,0)*0.475*44/12</f>
        <v>0</v>
      </c>
      <c r="FS9" s="21">
        <f>EXP(-LN(2)/2)*FS8+(1-EXP(-LN(2)/2))/(LN(2)/2)*FM9*FP9*VLOOKUP('Données projet'!$B$16,Paramètres!$A$1:$I$89,3,0)*0.475*44/12</f>
        <v>0</v>
      </c>
      <c r="FT9" s="22">
        <f t="shared" si="24"/>
        <v>0</v>
      </c>
      <c r="FU9" s="75">
        <f>('Scénario référence'!$F$8+'Scénario référence'!$F$9+'Scénario référence'!$B$17+'Scénario référence'!$B$9+'Scénario référence'!$B$10)*70+IF((45+25*(1-EXP(-0.0175*A9)))&lt;70,'Scénario référence'!$B$16*(45+25*(1-EXP(-0.0175*A9))),70*'Scénario référence'!$B$16)+IF((32+38*(1-EXP(-0.0175*A9)))&lt;70,'Scénario référence'!$B$18*(32+38*(1-EXP(-0.0175*A9))),70*'Scénario référence'!$B$18)</f>
        <v>70</v>
      </c>
      <c r="FV9" s="12">
        <f>IF(A9&gt;30,10,('Scénario référence'!$B$16+'Scénario référence'!$B$17+'Scénario référence'!$B$18+'Scénario référence'!$B$9+'Scénario référence'!$B$10)*A9*10/30+('Scénario référence'!$F$8+'Scénario référence'!$F$9)*10)</f>
        <v>10</v>
      </c>
      <c r="FW9" s="12" t="e">
        <f>VLOOKUP(A9,'Données projet'!$A$243:$I$263,2,0)</f>
        <v>#N/A</v>
      </c>
      <c r="FX9" s="12" t="e">
        <f>VLOOKUP(A9,'Données projet'!$A$243:$I$263,9,0)</f>
        <v>#N/A</v>
      </c>
      <c r="FY9" s="12">
        <f t="array" ref="FY9">INDEX(FX:FX,MIN(IF(ISNUMBER(FX9:FX205),ROW(FX9:FX205),"")))</f>
        <v>4.0628205128205126</v>
      </c>
      <c r="FZ9" s="12">
        <f>IF('Données projet'!$A$244&gt;35,FZ8+FY9-GH8,IF(A9&lt;'Données projet'!$A$244,$FW$205^A9,IF(A9='Données projet'!$A$244,'Données projet'!$B$244,FZ8+FY9-GH8)))</f>
        <v>2.6133030675536255</v>
      </c>
      <c r="GA9" s="17">
        <f>FZ9*VLOOKUP('Données projet'!$B$17,Paramètres!$A$1:$I$89,3,0)*VLOOKUP('Données projet'!$B$17,Paramètres!$A$1:$I$89,5,0)</f>
        <v>2.8129594219147225</v>
      </c>
      <c r="GB9" s="13">
        <f t="shared" si="49"/>
        <v>1.14929867127495</v>
      </c>
      <c r="GC9" s="20">
        <f t="shared" si="25"/>
        <v>6.9009328456386783</v>
      </c>
      <c r="GD9" s="59">
        <f t="shared" si="26"/>
        <v>300.23426617897201</v>
      </c>
      <c r="GE9" s="59">
        <f ca="1">AVERAGE(OFFSET($GD$3,0,0,'Données projet'!$E$17+1,1))-AVERAGE(OFFSET($H$3,0,0,'Données projet'!$E$17+1,1))</f>
        <v>286.77702855541287</v>
      </c>
      <c r="GF9" s="59">
        <f t="shared" si="50"/>
        <v>227.12211541860779</v>
      </c>
      <c r="GG9" s="15">
        <f>IF(ISNA(VLOOKUP(A9,'Données projet'!$A$243:$I$263,3,0)),0,VLOOKUP(A9,'Données projet'!$A$243:$I$263,3,0))</f>
        <v>0</v>
      </c>
      <c r="GH9" s="15">
        <f>IF(ISNA(VLOOKUP(A9,'Données projet'!$A$243:$I$263,4,0)),0,VLOOKUP(A9,'Données projet'!$A$243:$I$263,4,0))</f>
        <v>0</v>
      </c>
      <c r="GI9" s="16">
        <f>IF(ISNA(VLOOKUP(A9,'Données projet'!$A$243:$I$263,5,0)),0%,VLOOKUP(A9,'Données projet'!$A$243:$I$263,5,0)*VLOOKUP('Données projet'!$B$17,Paramètres!$A$1:$I$89,7,0))</f>
        <v>0</v>
      </c>
      <c r="GJ9" s="16">
        <f>IF(ISNA(VLOOKUP(A9,'Données projet'!$A$243:$I$263,6,0)),0%,VLOOKUP(A9,'Données projet'!$A$243:$I$263,6,0)*VLOOKUP('Données projet'!$B$17,Paramètres!$A$1:$I$89,7,0))</f>
        <v>0</v>
      </c>
      <c r="GK9" s="16">
        <f>IF(ISNA(VLOOKUP(A9,'Données projet'!$A$243:$I$263,7,0)),0%,VLOOKUP(A9,'Données projet'!$A$243:$I$263,7,0))</f>
        <v>0</v>
      </c>
      <c r="GL9" s="21">
        <f>EXP(-LN(2)/35)*GL8+(1-EXP(-LN(2)/35))/(LN(2)/35)*GH9*GI9*VLOOKUP('Données projet'!$B$17,Paramètres!$A$1:$I$89,3,0)*0.475*44/12</f>
        <v>0</v>
      </c>
      <c r="GM9" s="21">
        <f>EXP(-LN(2)/25)*GM8+(1-EXP(-LN(2)/25))/(LN(2)/25)*Calculateur!GH9*Calculateur!GJ9*VLOOKUP('Données projet'!$B$17,Paramètres!$A$1:$I$89,3,0)*0.475*44/12</f>
        <v>0</v>
      </c>
      <c r="GN9" s="21">
        <f>EXP(-LN(2)/2)*GN8+(1-EXP(-LN(2)/2))/(LN(2)/2)*GH9*GK9*VLOOKUP('Données projet'!$B$17,Paramètres!$A$1:$I$89,3,0)*0.475*44/12</f>
        <v>0</v>
      </c>
      <c r="GO9" s="21">
        <f t="shared" si="27"/>
        <v>0</v>
      </c>
      <c r="GP9" s="75">
        <f>('Scénario référence'!$F$8+'Scénario référence'!$F$9+'Scénario référence'!$B$17+'Scénario référence'!$B$9+'Scénario référence'!$B$10)*70+IF((45+25*(1-EXP(-0.0175*A9)))&lt;70,'Scénario référence'!$B$16*(45+25*(1-EXP(-0.0175*A9))),70*'Scénario référence'!$B$16)+IF((32+38*(1-EXP(-0.0175*A9)))&lt;70,'Scénario référence'!$B$18*(32+38*(1-EXP(-0.0175*A9))),70*'Scénario référence'!$B$18)</f>
        <v>70</v>
      </c>
      <c r="GQ9" s="12">
        <f>IF(A9&gt;30,10,('Scénario référence'!$B$16+'Scénario référence'!$B$17+'Scénario référence'!$B$18+'Scénario référence'!$B$9+'Scénario référence'!$B$10)*A9*10/30+('Scénario référence'!$F$8+'Scénario référence'!$F$9)*10)</f>
        <v>10</v>
      </c>
      <c r="GR9" s="12" t="e">
        <f>VLOOKUP(A9,'Données projet'!$A$269:$I$289,2,0)</f>
        <v>#N/A</v>
      </c>
      <c r="GS9" s="12" t="e">
        <f>VLOOKUP(A9,'Données projet'!$A$269:$I$289,9,0)</f>
        <v>#N/A</v>
      </c>
      <c r="GT9" s="12">
        <f t="array" ref="GT9">INDEX(GS:GS,MIN(IF(ISNUMBER(GS9:GS205),ROW(GS9:GS205),"")))</f>
        <v>4.0628205128205126</v>
      </c>
      <c r="GU9" s="12">
        <f>IF('Données projet'!$A$270&gt;35,GU8+GT9-HC8,IF(A9&lt;'Données projet'!$A$270,$GR$205^A9,IF(A9='Données projet'!$A$270,'Données projet'!$B$270,GU8+GT9-HC8)))</f>
        <v>2.6133030675536255</v>
      </c>
      <c r="GV9" s="17">
        <f>GU9*VLOOKUP('Données projet'!$B$18,Paramètres!$A$1:$I$89,3,0)*VLOOKUP('Données projet'!$B$18,Paramètres!$A$1:$I$89,5,0)</f>
        <v>2.8129594219147225</v>
      </c>
      <c r="GW9" s="13">
        <f t="shared" si="51"/>
        <v>1.14929867127495</v>
      </c>
      <c r="GX9" s="20">
        <f t="shared" si="28"/>
        <v>6.9009328456386783</v>
      </c>
      <c r="GY9" s="59">
        <f t="shared" si="29"/>
        <v>300.23426617897201</v>
      </c>
      <c r="GZ9" s="59">
        <f ca="1">AVERAGE(OFFSET($GY$3,0,0,'Données projet'!$E$18+1,1))-AVERAGE(OFFSET($H$3,0,0,'Données projet'!$E$18+1,1))</f>
        <v>286.77702855541287</v>
      </c>
      <c r="HA9" s="59">
        <f t="shared" si="52"/>
        <v>227.12211541860779</v>
      </c>
      <c r="HB9" s="15">
        <f>IF(ISNA(VLOOKUP(A9,'Données projet'!$A$269:$I$289,3,0)),0,VLOOKUP(A9,'Données projet'!$A$269:$I$289,3,0))</f>
        <v>0</v>
      </c>
      <c r="HC9" s="15">
        <f>IF(ISNA(VLOOKUP(A9,'Données projet'!$A$269:$I$289,4,0)),0,VLOOKUP(A9,'Données projet'!$A$269:$I$289,4,0))</f>
        <v>0</v>
      </c>
      <c r="HD9" s="16">
        <f>IF(ISNA(VLOOKUP(A9,'Données projet'!$A$269:$I$289,5,0)),0%,VLOOKUP(A9,'Données projet'!$A$269:$I$289,5,0)*VLOOKUP('Données projet'!$B$18,Paramètres!$A$1:$I$89,7,0))</f>
        <v>0</v>
      </c>
      <c r="HE9" s="16">
        <f>IF(ISNA(VLOOKUP(A9,'Données projet'!$A$269:$I$289,6,0)),0%,VLOOKUP(A9,'Données projet'!$A$269:$I$289,6,0)*VLOOKUP('Données projet'!$B$18,Paramètres!$A$1:$I$89,7,0))</f>
        <v>0</v>
      </c>
      <c r="HF9" s="16">
        <f>IF(ISNA(VLOOKUP(A9,'Données projet'!$A$269:$I$289,7,0)),0%,VLOOKUP(A9,'Données projet'!$A$269:$I$289,7,0))</f>
        <v>0</v>
      </c>
      <c r="HG9" s="21">
        <f>EXP(-LN(2)/35)*HG8+(1-EXP(-LN(2)/35))/(LN(2)/35)*HC9*HD9*VLOOKUP('Données projet'!$B$18,Paramètres!$A$1:$I$89,3,0)*0.475*44/12</f>
        <v>0</v>
      </c>
      <c r="HH9" s="21">
        <f>EXP(-LN(2)/25)*HH8+(1-EXP(-LN(2)/25))/(LN(2)/25)*Calculateur!HC9*Calculateur!HE9*VLOOKUP('Données projet'!$B$18,Paramètres!$A$1:$I$89,3,0)*0.475*44/12</f>
        <v>0</v>
      </c>
      <c r="HI9" s="21">
        <f>EXP(-LN(2)/2)*HI8+(1-EXP(-LN(2)/2))/(LN(2)/2)*HC9*HF9*VLOOKUP('Données projet'!$B$18,Paramètres!$A$1:$I$89,3,0)*0.475*44/12</f>
        <v>0</v>
      </c>
      <c r="HJ9" s="22">
        <f t="shared" si="30"/>
        <v>0</v>
      </c>
    </row>
    <row r="10" spans="1:218" x14ac:dyDescent="0.25">
      <c r="A10" s="10">
        <f t="shared" si="31"/>
        <v>7</v>
      </c>
      <c r="B10" s="73">
        <f>'Scénario référence'!$B$16*5+'Scénario référence'!$B$17*0+'Scénario référence'!$B$18*5</f>
        <v>0</v>
      </c>
      <c r="C10" s="19">
        <f>Calculateur!C9+'Scénario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6.2243999999999993</v>
      </c>
      <c r="D10" s="11">
        <f t="shared" si="32"/>
        <v>2.3185507720937846</v>
      </c>
      <c r="E1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0" s="11">
        <f>IF(OR('Scénario référence'!$F$8&gt;0,'Scénario référence'!$F$9&gt;0),('Scénario référence'!$F$8+'Scénario référence'!$F$9)*10,0)</f>
        <v>10</v>
      </c>
      <c r="G10" s="11">
        <f>'Scénario référence'!$B$8*B10*44/12+'Scénario référence'!$B$9*(C10+D10)/0.475*44/12+'Scénario référence'!$B$10*(C10+D10)/0.475*44/12+'Scénario référence'!$F$8*(C10+D10)/0.475*44/12+'Scénario référence'!$F$9*(C10+D10)/0.475*44/12</f>
        <v>65.945584907390625</v>
      </c>
      <c r="H10" s="67">
        <f t="shared" si="1"/>
        <v>308.2123059280633</v>
      </c>
      <c r="I10" s="70">
        <f>('Scénario référence'!$F$8+'Scénario référence'!$F$9+'Scénario référence'!$B$17+'Scénario référence'!$B$9+'Scénario référence'!$B$10)*70+IF((45+25*(1-EXP(-0.0175*A10)))&lt;70,'Scénario référence'!$B$16*(45+25*(1-EXP(-0.0175*A10))),70*'Scénario référence'!$B$16)+IF((32+38*(1-EXP(-0.0175*A10)))&lt;70,'Scénario référence'!$B$18*(32+38*(1-EXP(-0.0175*A10))),70*'Scénario référence'!$B$18)</f>
        <v>70</v>
      </c>
      <c r="J10" s="13">
        <f>IF(A10&gt;30,10,('Scénario référence'!$B$16+'Scénario référence'!$B$17+'Scénario référence'!$B$18+'Scénario référence'!$B$9+'Scénario référence'!$B$10)*A10*10/30+('Scénario référence'!$F$8+'Scénario référence'!$F$9)*10)</f>
        <v>10</v>
      </c>
      <c r="K10" s="12" t="e">
        <f>VLOOKUP(A10,'Données projet'!$A$35:$I$55,2,0)</f>
        <v>#N/A</v>
      </c>
      <c r="L10" s="12" t="e">
        <f>VLOOKUP(A10,'Données projet'!$A$35:$I$55,9,0)</f>
        <v>#N/A</v>
      </c>
      <c r="M10" s="12">
        <f t="array" ref="M10">INDEX(L:L,MIN(IF(ISNUMBER(L10:L206),ROW(L10:L206),"")))</f>
        <v>9.3968325791855207</v>
      </c>
      <c r="N10" s="13">
        <f>IF('Données projet'!$A$36&gt;35,N9+M10-V9,IF(A10&lt;'Données projet'!$A$36,$K$205^A10,IF(A10='Données projet'!$A$36,'Données projet'!$B$36,N9+M10-V9)))</f>
        <v>8.0778330849703455</v>
      </c>
      <c r="O10" s="13">
        <f>N10*VLOOKUP('Données projet'!$B$9,Paramètres!$A$1:$I$89,3,0)*VLOOKUP('Données projet'!$B$9,Paramètres!$A$1:$I$89,5,0)</f>
        <v>4.5155086944984228</v>
      </c>
      <c r="P10" s="13">
        <f t="shared" si="33"/>
        <v>1.7460267371204046</v>
      </c>
      <c r="Q10" s="20">
        <f t="shared" si="2"/>
        <v>10.905507543402789</v>
      </c>
      <c r="R10" s="59">
        <f t="shared" si="0"/>
        <v>304.23884087673611</v>
      </c>
      <c r="S10" s="59">
        <f ca="1">AVERAGE(OFFSET($R$3,0,0,'Données projet'!$E$9+1,1))-AVERAGE(OFFSET($H$3,0,0,'Données projet'!$E$9+1,1))</f>
        <v>255.5374979188561</v>
      </c>
      <c r="T10" s="59">
        <f t="shared" si="34"/>
        <v>343.10418468620901</v>
      </c>
      <c r="U10" s="15">
        <f>IF(ISNA(VLOOKUP(A10,'Données projet'!$A$35:$I$55,3,0)),0,VLOOKUP(A10,'Données projet'!$A$35:$I$55,3,0))</f>
        <v>0</v>
      </c>
      <c r="V10" s="15">
        <f>IF(ISNA(VLOOKUP(A10,'Données projet'!$A$35:$I$55,4,0)),0,VLOOKUP(A10,'Données projet'!$A$35:$I$55,4,0))</f>
        <v>0</v>
      </c>
      <c r="W10" s="16">
        <f>IF(ISNA(VLOOKUP(A10,'Données projet'!$A$35:$I$55,5,0)),0%,VLOOKUP(A10,'Données projet'!$A$35:$I$55,5,0)*VLOOKUP('Données projet'!$B$9,Paramètres!$A$1:$I$89,7,0))</f>
        <v>0</v>
      </c>
      <c r="X10" s="16">
        <f>IF(ISNA(VLOOKUP(A10,'Données projet'!$A$35:$I$55,6,0)),0%,VLOOKUP(A10,'Données projet'!$A$35:$I$55,6,0)*VLOOKUP('Données projet'!$B$9,Paramètres!$A$1:$I$89,7,0))</f>
        <v>0</v>
      </c>
      <c r="Y10" s="16">
        <f>IF(ISNA(VLOOKUP(A10,'Données projet'!$A$35:$I$55,7,0)),0%,VLOOKUP(A10,'Données projet'!$A$35:$I$55,7,0))</f>
        <v>0</v>
      </c>
      <c r="Z10" s="21">
        <f>EXP(-LN(2)/35)*Z9+(1-EXP(-LN(2)/35))/(LN(2)/35)*V10*W10*VLOOKUP('Données projet'!$B$9,Paramètres!$A$1:$I$89,3,0)*0.475*44/12</f>
        <v>0</v>
      </c>
      <c r="AA10" s="21">
        <f>EXP(-LN(2)/25)*AA9+(1-EXP(-LN(2)/25))/(LN(2)/25)*Calculateur!V10*Calculateur!X10*VLOOKUP('Données projet'!$B$9,Paramètres!$A$1:$I$89,3,0)*0.475*44/12</f>
        <v>0</v>
      </c>
      <c r="AB10" s="21">
        <f>EXP(-LN(2)/2)*AB9+(1-EXP(-LN(2)/2))/(LN(2)/2)*V10*Y10*VLOOKUP('Données projet'!$B$9,Paramètres!$A$1:$I$89,3,0)*0.475*44/12</f>
        <v>0</v>
      </c>
      <c r="AC10" s="22">
        <f t="shared" si="3"/>
        <v>0</v>
      </c>
      <c r="AD10" s="13">
        <f>('Scénario référence'!$F$8+'Scénario référence'!$F$9+'Scénario référence'!$B$17+'Scénario référence'!$B$9+'Scénario référence'!$B$10)*70+IF((45+25*(1-EXP(-0.0175*A10)))&lt;70,'Scénario référence'!$B$16*(45+25*(1-EXP(-0.0175*A10))),70*'Scénario référence'!$B$16)+IF((32+38*(1-EXP(-0.0175*A10)))&lt;70,'Scénario référence'!$B$18*(32+38*(1-EXP(-0.0175*A10))),70*'Scénario référence'!$B$18)</f>
        <v>70</v>
      </c>
      <c r="AE10" s="13">
        <f>IF(A10&gt;30,10,('Scénario référence'!$B$16+'Scénario référence'!$B$17+'Scénario référence'!$B$18+'Scénario référence'!$B$9+'Scénario référence'!$B$10)*A10*10/30+('Scénario référence'!$F$8+'Scénario référence'!$F$9)*10)</f>
        <v>10</v>
      </c>
      <c r="AF10" s="12" t="e">
        <f>VLOOKUP(A10,'Données projet'!$A$61:$I$81,2,0)</f>
        <v>#N/A</v>
      </c>
      <c r="AG10" s="12" t="e">
        <f>VLOOKUP(A10,'Données projet'!$A$61:$I$81,9,0)</f>
        <v>#N/A</v>
      </c>
      <c r="AH10" s="12">
        <f t="array" ref="AH10">INDEX(AG:AG,MIN(IF(ISNUMBER(AG10:AG206),ROW(AG10:AG206),"")))</f>
        <v>2.6</v>
      </c>
      <c r="AI10" s="13">
        <f>IF('Données projet'!$A$62&gt;35,AI9+AH10-AQ9,IF(A10&lt;'Données projet'!$A$62,$AF$205^A10,IF(A10='Données projet'!$A$62,'Données projet'!$B$62,AI9+AH10-AQ9)))</f>
        <v>9.7832092717584054</v>
      </c>
      <c r="AJ10" s="13">
        <f>AI10*VLOOKUP('Données projet'!$B$10,Paramètres!$A$1:$I$89,3,0)*VLOOKUP('Données projet'!$B$10,Paramètres!$A$1:$I$89,5,0)</f>
        <v>6.1047225855772451</v>
      </c>
      <c r="AK10" s="13">
        <f t="shared" si="35"/>
        <v>2.2791162807736947</v>
      </c>
      <c r="AL10" s="20">
        <f t="shared" si="4"/>
        <v>14.601852692227887</v>
      </c>
      <c r="AM10" s="59">
        <f t="shared" si="5"/>
        <v>307.93518602556122</v>
      </c>
      <c r="AN10" s="59">
        <f ca="1">AVERAGE(OFFSET($AM$3,0,0,'Données projet'!$E$10+1,1))-AVERAGE(OFFSET($H$3,0,0,'Données projet'!$E$10+1,1))</f>
        <v>261.78489480911571</v>
      </c>
      <c r="AO10" s="59">
        <f t="shared" si="36"/>
        <v>297.50513563712764</v>
      </c>
      <c r="AP10" s="15">
        <f>IF(ISNA(VLOOKUP(A10,'Données projet'!$A$61:$I$81,3,0)),0,VLOOKUP(A10,'Données projet'!$A$61:$I$81,3,0))</f>
        <v>0</v>
      </c>
      <c r="AQ10" s="15">
        <f>IF(ISNA(VLOOKUP(A10,'Données projet'!$A$61:$I$81,4,0)),0,VLOOKUP(A10,'Données projet'!$A$61:$I$81,4,0))</f>
        <v>0</v>
      </c>
      <c r="AR10" s="16">
        <f>IF(ISNA(VLOOKUP(A10,'Données projet'!$A$61:$I$81,5,0)),0%,VLOOKUP(A10,'Données projet'!$A$61:$I$81,5,0)*VLOOKUP('Données projet'!$B$10,Paramètres!$A$1:$I$89,7,0))</f>
        <v>0</v>
      </c>
      <c r="AS10" s="16">
        <f>IF(ISNA(VLOOKUP(A10,'Données projet'!$A$61:$I$81,6,0)),0%,VLOOKUP(A10,'Données projet'!$A$61:$I$81,6,0)*VLOOKUP('Données projet'!$B$10,Paramètres!$A$1:$I$89,7,0))</f>
        <v>0</v>
      </c>
      <c r="AT10" s="16">
        <f>IF(ISNA(VLOOKUP(A10,'Données projet'!$A$61:$I$81,7,0)),0%,VLOOKUP(A10,'Données projet'!$A$61:$I$81,7,0))</f>
        <v>0</v>
      </c>
      <c r="AU10" s="21">
        <f>EXP(-LN(2)/35)*AU9+(1-EXP(-LN(2)/35))/(LN(2)/35)*AQ10*AR10*VLOOKUP('Données projet'!$B$10,Paramètres!$A$1:$I$89,3,0)*0.475*44/12</f>
        <v>0</v>
      </c>
      <c r="AV10" s="21">
        <f>EXP(-LN(2)/25)*AV9+(1-EXP(-LN(2)/25))/(LN(2)/25)*Calculateur!AQ10*Calculateur!AS10*VLOOKUP('Données projet'!$B$10,Paramètres!$A$1:$I$89,3,0)*0.475*44/12</f>
        <v>0</v>
      </c>
      <c r="AW10" s="21">
        <f>EXP(-LN(2)/2)*AW9+(1-EXP(-LN(2)/2))/(LN(2)/2)*AQ10*AT10*VLOOKUP('Données projet'!$B$10,Paramètres!$A$1:$I$89,3,0)*0.475*44/12</f>
        <v>0</v>
      </c>
      <c r="AX10" s="21">
        <f t="shared" si="6"/>
        <v>0</v>
      </c>
      <c r="AY10" s="74">
        <f>('Scénario référence'!$F$8+'Scénario référence'!$F$9+'Scénario référence'!$B$17+'Scénario référence'!$B$9+'Scénario référence'!$B$10)*70+IF((45+25*(1-EXP(-0.0175*A10)))&lt;70,'Scénario référence'!$B$16*(45+25*(1-EXP(-0.0175*A10))),70*'Scénario référence'!$B$16)+IF((32+38*(1-EXP(-0.0175*A10)))&lt;70,'Scénario référence'!$B$18*(32+38*(1-EXP(-0.0175*A10))),70*'Scénario référence'!$B$18)</f>
        <v>70</v>
      </c>
      <c r="AZ10" s="12">
        <f>IF(A10&gt;30,10,('Scénario référence'!$B$16+'Scénario référence'!$B$17+'Scénario référence'!$B$18+'Scénario référence'!$B$9+'Scénario référence'!$B$10)*A10*10/30+('Scénario référence'!$F$8+'Scénario référence'!$F$9)*10)</f>
        <v>10</v>
      </c>
      <c r="BA10" s="12" t="e">
        <f>VLOOKUP(A10,'Données projet'!$A$87:$I$107,2,0)</f>
        <v>#N/A</v>
      </c>
      <c r="BB10" s="12" t="e">
        <f>VLOOKUP(A10,'Données projet'!$A$87:$I$107,9,0)</f>
        <v>#N/A</v>
      </c>
      <c r="BC10" s="12">
        <f t="array" ref="BC10">INDEX(BB:BB,MIN(IF(ISNUMBER(BB10:BB206),ROW(BB10:BB206),"")))</f>
        <v>5.3</v>
      </c>
      <c r="BD10" s="12">
        <f>IF('Données projet'!$A$88&gt;35,BD9+BC10-BL9,IF(A10&lt;'Données projet'!$A$88,$BA$205^A10,IF(A10='Données projet'!$A$88,'Données projet'!$B$88,BD9+BC10-BL9)))</f>
        <v>5.1151344420515628</v>
      </c>
      <c r="BE10" s="13">
        <f>BD10*VLOOKUP('Données projet'!$B$11,Paramètres!$A$1:$I$89,3,0)*VLOOKUP('Données projet'!$B$11,Paramètres!$A$1:$I$89,5,0)</f>
        <v>3.0588503963468345</v>
      </c>
      <c r="BF10" s="13">
        <f t="shared" si="37"/>
        <v>1.2376314102540975</v>
      </c>
      <c r="BG10" s="20">
        <f t="shared" si="7"/>
        <v>7.4830391464966226</v>
      </c>
      <c r="BH10" s="59">
        <f t="shared" si="8"/>
        <v>300.81637247982997</v>
      </c>
      <c r="BI10" s="59">
        <f ca="1">AVERAGE(OFFSET($BH$3,0,0,'Données projet'!$E$11+1,1))-AVERAGE(OFFSET($H$3,0,0,'Données projet'!$E$11+1,1))</f>
        <v>316.58509520829671</v>
      </c>
      <c r="BJ10" s="59">
        <f t="shared" si="38"/>
        <v>240.71332110643596</v>
      </c>
      <c r="BK10" s="15">
        <f>IF(ISNA(VLOOKUP(A10,'Données projet'!$A$87:$I$107,3,0)),0,VLOOKUP(A10,'Données projet'!$A$87:$I$107,3,0))</f>
        <v>0</v>
      </c>
      <c r="BL10" s="15">
        <f>IF(ISNA(VLOOKUP(A10,'Données projet'!$A$87:$I$107,4,0)),0,VLOOKUP(A10,'Données projet'!$A$87:$I$107,4,0))</f>
        <v>0</v>
      </c>
      <c r="BM10" s="16">
        <f>IF(ISNA(VLOOKUP(A10,'Données projet'!$A$87:$I$107,5,0)),0%,VLOOKUP(A10,'Données projet'!$A$87:$I$107,5,0)*VLOOKUP('Données projet'!$B$11,Paramètres!$A$1:$I$89,7,0))</f>
        <v>0</v>
      </c>
      <c r="BN10" s="16">
        <f>IF(ISNA(VLOOKUP(A10,'Données projet'!$A$87:$I$107,6,0)),0%,VLOOKUP(A10,'Données projet'!$A$87:$I$107,6,0)*VLOOKUP('Données projet'!$B$11,Paramètres!$A$1:$I$89,7,0))</f>
        <v>0</v>
      </c>
      <c r="BO10" s="16">
        <f>IF(ISNA(VLOOKUP(A10,'Données projet'!$A$87:$I$107,7,0)),0%,VLOOKUP(A10,'Données projet'!$A$87:$I$107,7,0))</f>
        <v>0</v>
      </c>
      <c r="BP10" s="21">
        <f>EXP(-LN(2)/35)*BP9+(1-EXP(-LN(2)/35))/(LN(2)/35)*BL10*BM10*VLOOKUP('Données projet'!$B$11,Paramètres!$A$1:$I$89,3,0)*0.475*44/12</f>
        <v>0</v>
      </c>
      <c r="BQ10" s="21">
        <f>EXP(-LN(2)/25)*BQ9+(1-EXP(-LN(2)/25))/(LN(2)/25)*Calculateur!BL10*Calculateur!BN10*VLOOKUP('Données projet'!$B$11,Paramètres!$A$1:$I$89,3,0)*0.475*44/12</f>
        <v>0</v>
      </c>
      <c r="BR10" s="21">
        <f>EXP(-LN(2)/2)*BR9+(1-EXP(-LN(2)/2))/(LN(2)/2)*BL10*BO10*VLOOKUP('Données projet'!$B$11,Paramètres!$A$1:$I$89,3,0)*0.475*44/12</f>
        <v>0</v>
      </c>
      <c r="BS10" s="22">
        <f t="shared" si="9"/>
        <v>0</v>
      </c>
      <c r="BT10" s="75">
        <f>('Scénario référence'!$F$8+'Scénario référence'!$F$9+'Scénario référence'!$B$17+'Scénario référence'!$B$9+'Scénario référence'!$B$10)*70+IF((45+25*(1-EXP(-0.0175*A10)))&lt;70,'Scénario référence'!$B$16*(45+25*(1-EXP(-0.0175*A10))),70*'Scénario référence'!$B$16)+IF((32+38*(1-EXP(-0.0175*A10)))&lt;70,'Scénario référence'!$B$18*(32+38*(1-EXP(-0.0175*A10))),70*'Scénario référence'!$B$18)</f>
        <v>70</v>
      </c>
      <c r="BU10" s="12">
        <f>IF(A10&gt;30,10,('Scénario référence'!$B$16+'Scénario référence'!$B$17+'Scénario référence'!$B$18+'Scénario référence'!$B$9+'Scénario référence'!$B$10)*A10*10/30+('Scénario référence'!$F$8+'Scénario référence'!$F$9)*10)</f>
        <v>10</v>
      </c>
      <c r="BV10" s="12" t="e">
        <f>VLOOKUP(A10,'Données projet'!$A$113:$I$133,2,0)</f>
        <v>#N/A</v>
      </c>
      <c r="BW10" s="12" t="e">
        <f>VLOOKUP(A10,'Données projet'!$A$113:$I$133,9,0)</f>
        <v>#N/A</v>
      </c>
      <c r="BX10" s="12">
        <f t="array" ref="BX10">INDEX(BW:BW,MIN(IF(ISNUMBER(BW10:BW206),ROW(BW10:BW206),"")))</f>
        <v>3.2</v>
      </c>
      <c r="BY10" s="12">
        <f>IF('Données projet'!$A$114&gt;35,BY9+BX10-CG9,IF(A10&lt;'Données projet'!$A$114,$BV$205^A10,IF(A10='Données projet'!$A$114,'Données projet'!$B$114,BY9+BX10-CG9)))</f>
        <v>6.0894664786856616</v>
      </c>
      <c r="BZ10" s="13">
        <f>BY10*VLOOKUP('Données projet'!$B$12,Paramètres!$A$1:$I$89,3,0)*VLOOKUP('Données projet'!$B$12,Paramètres!$A$1:$I$89,5,0)</f>
        <v>3.4831748258081987</v>
      </c>
      <c r="CA10" s="13">
        <f t="shared" si="39"/>
        <v>1.3881660411504728</v>
      </c>
      <c r="CB10" s="20">
        <f t="shared" si="10"/>
        <v>8.4842520099530194</v>
      </c>
      <c r="CC10" s="59">
        <f t="shared" si="11"/>
        <v>301.81758534328634</v>
      </c>
      <c r="CD10" s="59">
        <f ca="1">AVERAGE(OFFSET($CC$3,0,0,'Données projet'!$E$12+1,1))-AVERAGE(OFFSET($H$3,0,0,'Données projet'!$E$12+1,1))</f>
        <v>188.64374818906128</v>
      </c>
      <c r="CE10" s="59">
        <f t="shared" si="40"/>
        <v>211.95157880548652</v>
      </c>
      <c r="CF10" s="15">
        <f>IF(ISNA(VLOOKUP(A10,'Données projet'!$A$113:$I$133,3,0)),0,VLOOKUP(A10,'Données projet'!$A$113:$I$133,3,0))</f>
        <v>0</v>
      </c>
      <c r="CG10" s="15">
        <f>IF(ISNA(VLOOKUP(A10,'Données projet'!$A$113:$I$133,4,0)),0,VLOOKUP(A10,'Données projet'!$A$113:$I$133,4,0))</f>
        <v>0</v>
      </c>
      <c r="CH10" s="16">
        <f>IF(ISNA(VLOOKUP(A10,'Données projet'!$A$113:$I$133,5,0)),0%,VLOOKUP(A10,'Données projet'!$A$113:$I$133,5,0)*VLOOKUP('Données projet'!$B$12,Paramètres!$A$1:$I$89,7,0))</f>
        <v>0</v>
      </c>
      <c r="CI10" s="16">
        <f>IF(ISNA(VLOOKUP(A10,'Données projet'!$A$113:$I$133,6,0)),0%,VLOOKUP(A10,'Données projet'!$A$113:$I$133,6,0)*VLOOKUP('Données projet'!$B$12,Paramètres!$A$1:$I$89,7,0))</f>
        <v>0</v>
      </c>
      <c r="CJ10" s="16">
        <f>IF(ISNA(VLOOKUP(A10,'Données projet'!$A$113:$I$133,7,0)),0%,VLOOKUP(A10,'Données projet'!$A$113:$I$133,7,0))</f>
        <v>0</v>
      </c>
      <c r="CK10" s="21">
        <f>EXP(-LN(2)/35)*CK9+(1-EXP(-LN(2)/35))/(LN(2)/35)*CG10*CH10*VLOOKUP('Données projet'!$B$12,Paramètres!$A$1:$I$89,3,0)*0.475*44/12</f>
        <v>0</v>
      </c>
      <c r="CL10" s="21">
        <f>EXP(-LN(2)/25)*CL9+(1-EXP(-LN(2)/25))/(LN(2)/25)*Calculateur!CG10*Calculateur!CI10*VLOOKUP('Données projet'!$B$12,Paramètres!$A$1:$I$89,3,0)*0.475*44/12</f>
        <v>0</v>
      </c>
      <c r="CM10" s="21">
        <f>EXP(-LN(2)/2)*CM9+(1-EXP(-LN(2)/2))/(LN(2)/2)*CG10*CJ10*VLOOKUP('Données projet'!$B$12,Paramètres!$A$1:$I$89,3,0)*0.475*44/12</f>
        <v>0</v>
      </c>
      <c r="CN10" s="22">
        <f t="shared" si="12"/>
        <v>0</v>
      </c>
      <c r="CO10" s="75">
        <f>('Scénario référence'!$F$8+'Scénario référence'!$F$9+'Scénario référence'!$B$17+'Scénario référence'!$B$9+'Scénario référence'!$B$10)*70+IF((45+25*(1-EXP(-0.0175*A10)))&lt;70,'Scénario référence'!$B$16*(45+25*(1-EXP(-0.0175*A10))),70*'Scénario référence'!$B$16)+IF((32+38*(1-EXP(-0.0175*A10)))&lt;70,'Scénario référence'!$B$18*(32+38*(1-EXP(-0.0175*A10))),70*'Scénario référence'!$B$18)</f>
        <v>70</v>
      </c>
      <c r="CP10" s="12">
        <f>IF(A10&gt;30,10,('Scénario référence'!$B$16+'Scénario référence'!$B$17+'Scénario référence'!$B$18+'Scénario référence'!$B$9+'Scénario référence'!$B$10)*A10*10/30+('Scénario référence'!$F$8+'Scénario référence'!$F$9)*10)</f>
        <v>10</v>
      </c>
      <c r="CQ10" s="12" t="e">
        <f>VLOOKUP(A10,'Données projet'!$A$139:$I$159,2,0)</f>
        <v>#N/A</v>
      </c>
      <c r="CR10" s="12" t="e">
        <f>VLOOKUP(A10,'Données projet'!$A$139:$I$159,9,0)</f>
        <v>#N/A</v>
      </c>
      <c r="CS10" s="12">
        <f t="array" ref="CS10">INDEX(CR:CR,MIN(IF(ISNUMBER(CR10:CR206),ROW(CR10:CR206),"")))</f>
        <v>0</v>
      </c>
      <c r="CT10" s="12">
        <f>IF('Données projet'!$A$140&gt;35,CT9+CS10-DB9,IF(A10&lt;'Données projet'!$A$140,$CQ$205^A10,IF(A10='Données projet'!$A$140,'Données projet'!$B$140,CT9+CS10-DB9)))</f>
        <v>0</v>
      </c>
      <c r="CU10" s="17" t="e">
        <f>CT10*VLOOKUP('Données projet'!$B$13,Paramètres!$A$1:$I$89,3,0)*VLOOKUP('Données projet'!$B$13,Paramètres!$A$1:$I$89,5,0)</f>
        <v>#N/A</v>
      </c>
      <c r="CV10" s="13" t="e">
        <f t="shared" si="41"/>
        <v>#N/A</v>
      </c>
      <c r="CW10" s="20" t="e">
        <f t="shared" si="13"/>
        <v>#N/A</v>
      </c>
      <c r="CX10" s="59" t="e">
        <f t="shared" si="14"/>
        <v>#N/A</v>
      </c>
      <c r="CY10" s="59" t="e">
        <f ca="1">AVERAGE(OFFSET($CX$3,0,0,'Données projet'!$E$13+1,1))-AVERAGE(OFFSET($H$3,0,0,'Données projet'!$E$13+1,1))</f>
        <v>#N/A</v>
      </c>
      <c r="CZ10" s="59" t="e">
        <f t="shared" si="42"/>
        <v>#N/A</v>
      </c>
      <c r="DA10" s="15">
        <f>IF(ISNA(VLOOKUP(A10,'Données projet'!$A$139:$I$159,3,0)),0,VLOOKUP(A10,'Données projet'!$A$139:$I$159,3,0))</f>
        <v>0</v>
      </c>
      <c r="DB10" s="15">
        <f>IF(ISNA(VLOOKUP(A10,'Données projet'!$A$139:$I$159,4,0)),0,VLOOKUP(A10,'Données projet'!$A$139:$I$159,4,0))</f>
        <v>0</v>
      </c>
      <c r="DC10" s="16">
        <f>IF(ISNA(VLOOKUP(A10,'Données projet'!$A$139:$I$159,5,0)),0%,VLOOKUP(A10,'Données projet'!$A$139:$I$159,5,0)*VLOOKUP('Données projet'!$B$13,Paramètres!$A$1:$I$89,7,0))</f>
        <v>0</v>
      </c>
      <c r="DD10" s="16">
        <f>IF(ISNA(VLOOKUP(A10,'Données projet'!$A$139:$I$159,6,0)),0%,VLOOKUP(A10,'Données projet'!$A$139:$I$159,6,0)*VLOOKUP('Données projet'!$B$13,Paramètres!$A$1:$I$89,7,0))</f>
        <v>0</v>
      </c>
      <c r="DE10" s="16">
        <f>IF(ISNA(VLOOKUP(A10,'Données projet'!$A$139:$I$159,7,0)),0%,VLOOKUP(A10,'Données projet'!$A$139:$I$159,7,0))</f>
        <v>0</v>
      </c>
      <c r="DF10" s="21" t="e">
        <f>EXP(-LN(2)/35)*DF9+(1-EXP(-LN(2)/35))/(LN(2)/35)*DB10*DC10*VLOOKUP('Données projet'!$B$13,Paramètres!$A$1:$I$89,3,0)*0.475*44/12</f>
        <v>#N/A</v>
      </c>
      <c r="DG10" s="21" t="e">
        <f>EXP(-LN(2)/25)*DG9+(1-EXP(-LN(2)/25))/(LN(2)/25)*Calculateur!DB10*Calculateur!DD10*VLOOKUP('Données projet'!$B$13,Paramètres!$A$1:$I$89,3,0)*0.475*44/12</f>
        <v>#N/A</v>
      </c>
      <c r="DH10" s="21" t="e">
        <f>EXP(-LN(2)/2)*DH9+(1-EXP(-LN(2)/2))/(LN(2)/2)*DB10*DE10*VLOOKUP('Données projet'!$B$13,Paramètres!$A$1:$I$89,3,0)*0.475*44/12</f>
        <v>#N/A</v>
      </c>
      <c r="DI10" s="22" t="e">
        <f t="shared" si="15"/>
        <v>#N/A</v>
      </c>
      <c r="DJ10" s="75">
        <f>('Scénario référence'!$F$8+'Scénario référence'!$F$9+'Scénario référence'!$B$17+'Scénario référence'!$B$9+'Scénario référence'!$B$10)*70+IF((45+25*(1-EXP(-0.0175*A10)))&lt;70,'Scénario référence'!$B$16*(45+25*(1-EXP(-0.0175*A10))),70*'Scénario référence'!$B$16)+IF((32+38*(1-EXP(-0.0175*A10)))&lt;70,'Scénario référence'!$B$18*(32+38*(1-EXP(-0.0175*A10))),70*'Scénario référence'!$B$18)</f>
        <v>70</v>
      </c>
      <c r="DK10" s="12">
        <f>IF(A10&gt;30,10,('Scénario référence'!$B$16+'Scénario référence'!$B$17+'Scénario référence'!$B$18+'Scénario référence'!$B$9+'Scénario référence'!$B$10)*A10*10/30+('Scénario référence'!$F$8+'Scénario référence'!$F$9)*10)</f>
        <v>10</v>
      </c>
      <c r="DL10" s="12" t="e">
        <f>VLOOKUP(A10,'Données projet'!$A$165:$I$185,2,0)</f>
        <v>#N/A</v>
      </c>
      <c r="DM10" s="12" t="e">
        <f>VLOOKUP(A10,'Données projet'!$A$165:$I$185,9,0)</f>
        <v>#N/A</v>
      </c>
      <c r="DN10" s="12">
        <f t="array" ref="DN10">INDEX(DM:DM,MIN(IF(ISNUMBER(DM10:DM206),ROW(DM10:DM206),"")))</f>
        <v>1.3</v>
      </c>
      <c r="DO10" s="12">
        <f>IF('Données projet'!$A$166&gt;35,DO9+DN10-DW9,IF(A10&lt;'Données projet'!$A$166,$DL$205^A10,IF(A10='Données projet'!$A$166,'Données projet'!$B$166,DO9+DN10-DW9)))</f>
        <v>6.0222717197547739</v>
      </c>
      <c r="DP10" s="17">
        <f>DO10*VLOOKUP('Données projet'!$B$14,Paramètres!$A$1:$I$89,3,0)*VLOOKUP('Données projet'!$B$14,Paramètres!$A$1:$I$89,5,0)</f>
        <v>3.9457924307833281</v>
      </c>
      <c r="DQ10" s="13">
        <f t="shared" si="43"/>
        <v>1.5498735804731769</v>
      </c>
      <c r="DR10" s="20">
        <f t="shared" si="16"/>
        <v>9.571618302938413</v>
      </c>
      <c r="DS10" s="59">
        <f t="shared" si="17"/>
        <v>302.90495163627173</v>
      </c>
      <c r="DT10" s="59">
        <f ca="1">AVERAGE(OFFSET($DS$3,0,0,'Données projet'!$E$14+1,1))-AVERAGE(OFFSET($H$3,0,0,'Données projet'!$E$14+1,1))</f>
        <v>188.68915783955595</v>
      </c>
      <c r="DU10" s="59">
        <f t="shared" si="44"/>
        <v>240.82467772396944</v>
      </c>
      <c r="DV10" s="15">
        <f>IF(ISNA(VLOOKUP(A10,'Données projet'!$A$165:$I$185,3,0)),0,VLOOKUP(A10,'Données projet'!$A$165:$I$185,3,0))</f>
        <v>0</v>
      </c>
      <c r="DW10" s="15">
        <f>IF(ISNA(VLOOKUP(A10,'Données projet'!$A$165:$I$185,4,0)),0,VLOOKUP(A10,'Données projet'!$A$165:$I$185,4,0))</f>
        <v>0</v>
      </c>
      <c r="DX10" s="16">
        <f>IF(ISNA(VLOOKUP(A10,'Données projet'!$A$165:$I$185,5,0)),0%,VLOOKUP(A10,'Données projet'!$A$165:$I$185,5,0)*VLOOKUP('Données projet'!$B$14,Paramètres!$A$1:$I$89,7,0))</f>
        <v>0</v>
      </c>
      <c r="DY10" s="16">
        <f>IF(ISNA(VLOOKUP(A10,'Données projet'!$A$165:$I$185,6,0)),0%,VLOOKUP(A10,'Données projet'!$A$165:$I$185,6,0)*VLOOKUP('Données projet'!$B$14,Paramètres!$A$1:$I$89,7,0))</f>
        <v>0</v>
      </c>
      <c r="DZ10" s="16">
        <f>IF(ISNA(VLOOKUP(A10,'Données projet'!$A$165:$I$185,7,0)),0%,VLOOKUP(A10,'Données projet'!$A$165:$I$185,7,0))</f>
        <v>0</v>
      </c>
      <c r="EA10" s="21">
        <f>EXP(-LN(2)/35)*EA9+(1-EXP(-LN(2)/35))/(LN(2)/35)*DW10*DX10*VLOOKUP('Données projet'!$B$14,Paramètres!$A$1:$I$89,3,0)*0.475*44/12</f>
        <v>0</v>
      </c>
      <c r="EB10" s="21">
        <f>EXP(-LN(2)/25)*EB9+(1-EXP(-LN(2)/25))/(LN(2)/25)*Calculateur!DW10*Calculateur!DY10*VLOOKUP('Données projet'!$B$14,Paramètres!$A$1:$I$89,3,0)*0.475*44/12</f>
        <v>0</v>
      </c>
      <c r="EC10" s="21">
        <f>EXP(-LN(2)/2)*EC9+(1-EXP(-LN(2)/2))/(LN(2)/2)*DW10*DZ10*VLOOKUP('Données projet'!$B$14,Paramètres!$A$1:$I$89,3,0)*0.475*44/12</f>
        <v>0</v>
      </c>
      <c r="ED10" s="22">
        <f t="shared" si="18"/>
        <v>0</v>
      </c>
      <c r="EE10" s="75">
        <f>('Scénario référence'!$F$8+'Scénario référence'!$F$9+'Scénario référence'!$B$17+'Scénario référence'!$B$9+'Scénario référence'!$B$10)*70+IF((45+25*(1-EXP(-0.0175*A10)))&lt;70,'Scénario référence'!$B$16*(45+25*(1-EXP(-0.0175*A10))),70*'Scénario référence'!$B$16)+IF((32+38*(1-EXP(-0.0175*A10)))&lt;70,'Scénario référence'!$B$18*(32+38*(1-EXP(-0.0175*A10))),70*'Scénario référence'!$B$18)</f>
        <v>70</v>
      </c>
      <c r="EF10" s="12">
        <f>IF(A10&gt;30,10,('Scénario référence'!$B$16+'Scénario référence'!$B$17+'Scénario référence'!$B$18+'Scénario référence'!$B$9+'Scénario référence'!$B$10)*A10*10/30+('Scénario référence'!$F$8+'Scénario référence'!$F$9)*10)</f>
        <v>10</v>
      </c>
      <c r="EG10" s="12" t="e">
        <f>VLOOKUP(A10,'Données projet'!$A$191:$I$211,2,0)</f>
        <v>#N/A</v>
      </c>
      <c r="EH10" s="12" t="e">
        <f>VLOOKUP(A10,'Données projet'!$A$191:$I$211,9,0)</f>
        <v>#N/A</v>
      </c>
      <c r="EI10" s="12">
        <f t="array" ref="EI10">INDEX(EH:EH,MIN(IF(ISNUMBER(EH10:EH206),ROW(EH10:EH206),"")))</f>
        <v>2.9333333333333331</v>
      </c>
      <c r="EJ10" s="12">
        <f>IF('Données projet'!$A$192&gt;35,EJ9+EI10-ER9,IF(A10&lt;'Données projet'!$A$192,$EG$205^A10,IF(A10='Données projet'!$A$192,'Données projet'!$B$192,EJ9+EI10-ER9)))</f>
        <v>5.8471546745005929</v>
      </c>
      <c r="EK10" s="17">
        <f>EJ10*VLOOKUP('Données projet'!$B$15,Paramètres!$A$1:$I$89,3,0)*VLOOKUP('Données projet'!$B$15,Paramètres!$A$1:$I$89,5,0)</f>
        <v>4.7432118719548813</v>
      </c>
      <c r="EL10" s="13">
        <f t="shared" si="45"/>
        <v>1.8236006880255984</v>
      </c>
      <c r="EM10" s="20">
        <f t="shared" si="19"/>
        <v>11.437198541966</v>
      </c>
      <c r="EN10" s="59">
        <f t="shared" si="20"/>
        <v>304.7705318752993</v>
      </c>
      <c r="EO10" s="59">
        <f ca="1">AVERAGE(OFFSET($EN$3,0,0,'Données projet'!$E$15+1,1))-AVERAGE(OFFSET($H$3,0,0,'Données projet'!$E$15+1,1))</f>
        <v>205.5272583787887</v>
      </c>
      <c r="EP10" s="59">
        <f t="shared" si="46"/>
        <v>180.54762778843178</v>
      </c>
      <c r="EQ10" s="15">
        <f>IF(ISNA(VLOOKUP(A10,'Données projet'!$A$191:$I$211,3,0)),0,VLOOKUP(A10,'Données projet'!$A$191:$I$211,3,0))</f>
        <v>0</v>
      </c>
      <c r="ER10" s="15">
        <f>IF(ISNA(VLOOKUP(A10,'Données projet'!$A$191:$I$211,4,0)),0,VLOOKUP(A10,'Données projet'!$A$191:$I$211,4,0))</f>
        <v>0</v>
      </c>
      <c r="ES10" s="16">
        <f>IF(ISNA(VLOOKUP(A10,'Données projet'!$A$191:$I$211,5,0)),0%,VLOOKUP(A10,'Données projet'!$A$191:$I$211,5,0)*VLOOKUP('Données projet'!$B$15,Paramètres!$A$1:$I$89,7,0))</f>
        <v>0</v>
      </c>
      <c r="ET10" s="16">
        <f>IF(ISNA(VLOOKUP(A10,'Données projet'!$A$191:$I$211,6,0)),0%,VLOOKUP(A10,'Données projet'!$A$191:$I$211,6,0)*VLOOKUP('Données projet'!$B$15,Paramètres!$A$1:$I$89,7,0))</f>
        <v>0</v>
      </c>
      <c r="EU10" s="16">
        <f>IF(ISNA(VLOOKUP(A10,'Données projet'!$A$191:$I$211,7,0)),0%,VLOOKUP(A10,'Données projet'!$A$191:$I$211,7,0))</f>
        <v>0</v>
      </c>
      <c r="EV10" s="21">
        <f>EXP(-LN(2)/35)*EV9+(1-EXP(-LN(2)/35))/(LN(2)/35)*ER10*ES10*VLOOKUP('Données projet'!$B$15,Paramètres!$A$1:$I$89,3,0)*0.475*44/12</f>
        <v>0</v>
      </c>
      <c r="EW10" s="21">
        <f>EXP(-LN(2)/25)*EW9+(1-EXP(-LN(2)/25))/(LN(2)/25)*Calculateur!ER10*Calculateur!ET10*VLOOKUP('Données projet'!$B$15,Paramètres!$A$1:$I$89,3,0)*0.475*44/12</f>
        <v>0</v>
      </c>
      <c r="EX10" s="21">
        <f>EXP(-LN(2)/2)*EX9+(1-EXP(-LN(2)/2))/(LN(2)/2)*ER10*EU10*VLOOKUP('Données projet'!$B$15,Paramètres!$A$1:$I$89,3,0)*0.475*44/12</f>
        <v>0</v>
      </c>
      <c r="EY10" s="22">
        <f t="shared" si="21"/>
        <v>0</v>
      </c>
      <c r="EZ10" s="75">
        <f>('Scénario référence'!$F$8+'Scénario référence'!$F$9+'Scénario référence'!$B$17+'Scénario référence'!$B$9+'Scénario référence'!$B$10)*70+IF((45+25*(1-EXP(-0.0175*A10)))&lt;70,'Scénario référence'!$B$16*(45+25*(1-EXP(-0.0175*A10))),70*'Scénario référence'!$B$16)+IF((32+38*(1-EXP(-0.0175*A10)))&lt;70,'Scénario référence'!$B$18*(32+38*(1-EXP(-0.0175*A10))),70*'Scénario référence'!$B$18)</f>
        <v>70</v>
      </c>
      <c r="FA10" s="12">
        <f>IF(A10&gt;30,10,('Scénario référence'!$B$16+'Scénario référence'!$B$17+'Scénario référence'!$B$18+'Scénario référence'!$B$9+'Scénario référence'!$B$10)*A10*10/30+('Scénario référence'!$F$8+'Scénario référence'!$F$9)*10)</f>
        <v>10</v>
      </c>
      <c r="FB10" s="12" t="e">
        <f>VLOOKUP(A10,'Données projet'!$A$217:$I$237,2,0)</f>
        <v>#N/A</v>
      </c>
      <c r="FC10" s="12" t="e">
        <f>VLOOKUP(A10,'Données projet'!$A$217:$I$237,9,0)</f>
        <v>#N/A</v>
      </c>
      <c r="FD10" s="12">
        <f t="array" ref="FD10">INDEX(FC:FC,MIN(IF(ISNUMBER(FC10:FC206),ROW(FC10:FC206),"")))</f>
        <v>1.7333333333333334</v>
      </c>
      <c r="FE10" s="12">
        <f>IF('Données projet'!$A$218&gt;35,FE9+FD10-FM9,IF(A10&lt;'Données projet'!$A$218,$FB$205^A10,IF(A10='Données projet'!$A$218,'Données projet'!$B$218,FE9+FD10-FM9)))</f>
        <v>4.574260521766691</v>
      </c>
      <c r="FF10" s="17">
        <f>FE10*VLOOKUP('Données projet'!$B$16,Paramètres!$A$1:$I$89,3,0)*VLOOKUP('Données projet'!$B$16,Paramètres!$A$1:$I$89,5,0)</f>
        <v>3.9247155276758208</v>
      </c>
      <c r="FG10" s="13">
        <f t="shared" si="47"/>
        <v>1.5425561297162291</v>
      </c>
      <c r="FH10" s="20">
        <f t="shared" si="22"/>
        <v>9.5221648032911528</v>
      </c>
      <c r="FI10" s="59">
        <f t="shared" si="23"/>
        <v>302.85549813662448</v>
      </c>
      <c r="FJ10" s="59">
        <f ca="1">AVERAGE(OFFSET($FI$3,0,0,'Données projet'!$E$16+1,1))-AVERAGE(OFFSET($H$3,0,0,'Données projet'!$E$16+1,1))</f>
        <v>383.97627237444709</v>
      </c>
      <c r="FK10" s="59">
        <f t="shared" si="48"/>
        <v>203.35476578922339</v>
      </c>
      <c r="FL10" s="15">
        <f>IF(ISNA(VLOOKUP(A10,'Données projet'!$A$217:$I$237,3,0)),0,VLOOKUP(A10,'Données projet'!$A$217:$I$237,3,0))</f>
        <v>0</v>
      </c>
      <c r="FM10" s="15">
        <f>IF(ISNA(VLOOKUP(A10,'Données projet'!$A$217:$I$237,4,0)),0,VLOOKUP(A10,'Données projet'!$A$217:$I$237,4,0))</f>
        <v>0</v>
      </c>
      <c r="FN10" s="16">
        <f>IF(ISNA(VLOOKUP(A10,'Données projet'!$A$217:$I$237,5,0)),0%,VLOOKUP(A10,'Données projet'!$A$217:$I$237,5,0)*VLOOKUP('Données projet'!$B$16,Paramètres!$A$1:$I$89,7,0))</f>
        <v>0</v>
      </c>
      <c r="FO10" s="16">
        <f>IF(ISNA(VLOOKUP(A10,'Données projet'!$A$217:$I$237,6,0)),0%,VLOOKUP(A10,'Données projet'!$A$217:$I$237,6,0)*VLOOKUP('Données projet'!$B$16,Paramètres!$A$1:$I$89,7,0))</f>
        <v>0</v>
      </c>
      <c r="FP10" s="16">
        <f>IF(ISNA(VLOOKUP(A10,'Données projet'!$A$217:$I$237,7,0)),0%,VLOOKUP(A10,'Données projet'!$A$217:$I$237,7,0))</f>
        <v>0</v>
      </c>
      <c r="FQ10" s="21">
        <f>EXP(-LN(2)/35)*FQ9+(1-EXP(-LN(2)/35))/(LN(2)/35)*FM10*FN10*VLOOKUP('Données projet'!$B$16,Paramètres!$A$1:$I$89,3,0)*0.475*44/12</f>
        <v>0</v>
      </c>
      <c r="FR10" s="21">
        <f>EXP(-LN(2)/25)*FR9+(1-EXP(-LN(2)/25))/(LN(2)/25)*Calculateur!FM10*Calculateur!FO10*VLOOKUP('Données projet'!$B$16,Paramètres!$A$1:$I$89,3,0)*0.475*44/12</f>
        <v>0</v>
      </c>
      <c r="FS10" s="21">
        <f>EXP(-LN(2)/2)*FS9+(1-EXP(-LN(2)/2))/(LN(2)/2)*FM10*FP10*VLOOKUP('Données projet'!$B$16,Paramètres!$A$1:$I$89,3,0)*0.475*44/12</f>
        <v>0</v>
      </c>
      <c r="FT10" s="22">
        <f t="shared" si="24"/>
        <v>0</v>
      </c>
      <c r="FU10" s="75">
        <f>('Scénario référence'!$F$8+'Scénario référence'!$F$9+'Scénario référence'!$B$17+'Scénario référence'!$B$9+'Scénario référence'!$B$10)*70+IF((45+25*(1-EXP(-0.0175*A10)))&lt;70,'Scénario référence'!$B$16*(45+25*(1-EXP(-0.0175*A10))),70*'Scénario référence'!$B$16)+IF((32+38*(1-EXP(-0.0175*A10)))&lt;70,'Scénario référence'!$B$18*(32+38*(1-EXP(-0.0175*A10))),70*'Scénario référence'!$B$18)</f>
        <v>70</v>
      </c>
      <c r="FV10" s="12">
        <f>IF(A10&gt;30,10,('Scénario référence'!$B$16+'Scénario référence'!$B$17+'Scénario référence'!$B$18+'Scénario référence'!$B$9+'Scénario référence'!$B$10)*A10*10/30+('Scénario référence'!$F$8+'Scénario référence'!$F$9)*10)</f>
        <v>10</v>
      </c>
      <c r="FW10" s="12" t="e">
        <f>VLOOKUP(A10,'Données projet'!$A$243:$I$263,2,0)</f>
        <v>#N/A</v>
      </c>
      <c r="FX10" s="12" t="e">
        <f>VLOOKUP(A10,'Données projet'!$A$243:$I$263,9,0)</f>
        <v>#N/A</v>
      </c>
      <c r="FY10" s="12">
        <f t="array" ref="FY10">INDEX(FX:FX,MIN(IF(ISNUMBER(FX10:FX206),ROW(FX10:FX206),"")))</f>
        <v>4.0628205128205126</v>
      </c>
      <c r="FZ10" s="12">
        <f>IF('Données projet'!$A$244&gt;35,FZ9+FY10-GH9,IF(A10&lt;'Données projet'!$A$244,$FW$205^A10,IF(A10='Données projet'!$A$244,'Données projet'!$B$244,FZ9+FY10-GH9)))</f>
        <v>3.067053897654088</v>
      </c>
      <c r="GA10" s="17">
        <f>FZ10*VLOOKUP('Données projet'!$B$17,Paramètres!$A$1:$I$89,3,0)*VLOOKUP('Données projet'!$B$17,Paramètres!$A$1:$I$89,5,0)</f>
        <v>3.3013768154348599</v>
      </c>
      <c r="GB10" s="13">
        <f t="shared" si="49"/>
        <v>1.3239483802426903</v>
      </c>
      <c r="GC10" s="20">
        <f t="shared" si="25"/>
        <v>8.0557747158050663</v>
      </c>
      <c r="GD10" s="59">
        <f t="shared" si="26"/>
        <v>301.38910804913837</v>
      </c>
      <c r="GE10" s="59">
        <f ca="1">AVERAGE(OFFSET($GD$3,0,0,'Données projet'!$E$17+1,1))-AVERAGE(OFFSET($H$3,0,0,'Données projet'!$E$17+1,1))</f>
        <v>286.77702855541287</v>
      </c>
      <c r="GF10" s="59">
        <f t="shared" si="50"/>
        <v>227.12211541860779</v>
      </c>
      <c r="GG10" s="15">
        <f>IF(ISNA(VLOOKUP(A10,'Données projet'!$A$243:$I$263,3,0)),0,VLOOKUP(A10,'Données projet'!$A$243:$I$263,3,0))</f>
        <v>0</v>
      </c>
      <c r="GH10" s="15">
        <f>IF(ISNA(VLOOKUP(A10,'Données projet'!$A$243:$I$263,4,0)),0,VLOOKUP(A10,'Données projet'!$A$243:$I$263,4,0))</f>
        <v>0</v>
      </c>
      <c r="GI10" s="16">
        <f>IF(ISNA(VLOOKUP(A10,'Données projet'!$A$243:$I$263,5,0)),0%,VLOOKUP(A10,'Données projet'!$A$243:$I$263,5,0)*VLOOKUP('Données projet'!$B$17,Paramètres!$A$1:$I$89,7,0))</f>
        <v>0</v>
      </c>
      <c r="GJ10" s="16">
        <f>IF(ISNA(VLOOKUP(A10,'Données projet'!$A$243:$I$263,6,0)),0%,VLOOKUP(A10,'Données projet'!$A$243:$I$263,6,0)*VLOOKUP('Données projet'!$B$17,Paramètres!$A$1:$I$89,7,0))</f>
        <v>0</v>
      </c>
      <c r="GK10" s="16">
        <f>IF(ISNA(VLOOKUP(A10,'Données projet'!$A$243:$I$263,7,0)),0%,VLOOKUP(A10,'Données projet'!$A$243:$I$263,7,0))</f>
        <v>0</v>
      </c>
      <c r="GL10" s="21">
        <f>EXP(-LN(2)/35)*GL9+(1-EXP(-LN(2)/35))/(LN(2)/35)*GH10*GI10*VLOOKUP('Données projet'!$B$17,Paramètres!$A$1:$I$89,3,0)*0.475*44/12</f>
        <v>0</v>
      </c>
      <c r="GM10" s="21">
        <f>EXP(-LN(2)/25)*GM9+(1-EXP(-LN(2)/25))/(LN(2)/25)*Calculateur!GH10*Calculateur!GJ10*VLOOKUP('Données projet'!$B$17,Paramètres!$A$1:$I$89,3,0)*0.475*44/12</f>
        <v>0</v>
      </c>
      <c r="GN10" s="21">
        <f>EXP(-LN(2)/2)*GN9+(1-EXP(-LN(2)/2))/(LN(2)/2)*GH10*GK10*VLOOKUP('Données projet'!$B$17,Paramètres!$A$1:$I$89,3,0)*0.475*44/12</f>
        <v>0</v>
      </c>
      <c r="GO10" s="21">
        <f t="shared" si="27"/>
        <v>0</v>
      </c>
      <c r="GP10" s="75">
        <f>('Scénario référence'!$F$8+'Scénario référence'!$F$9+'Scénario référence'!$B$17+'Scénario référence'!$B$9+'Scénario référence'!$B$10)*70+IF((45+25*(1-EXP(-0.0175*A10)))&lt;70,'Scénario référence'!$B$16*(45+25*(1-EXP(-0.0175*A10))),70*'Scénario référence'!$B$16)+IF((32+38*(1-EXP(-0.0175*A10)))&lt;70,'Scénario référence'!$B$18*(32+38*(1-EXP(-0.0175*A10))),70*'Scénario référence'!$B$18)</f>
        <v>70</v>
      </c>
      <c r="GQ10" s="12">
        <f>IF(A10&gt;30,10,('Scénario référence'!$B$16+'Scénario référence'!$B$17+'Scénario référence'!$B$18+'Scénario référence'!$B$9+'Scénario référence'!$B$10)*A10*10/30+('Scénario référence'!$F$8+'Scénario référence'!$F$9)*10)</f>
        <v>10</v>
      </c>
      <c r="GR10" s="12" t="e">
        <f>VLOOKUP(A10,'Données projet'!$A$269:$I$289,2,0)</f>
        <v>#N/A</v>
      </c>
      <c r="GS10" s="12" t="e">
        <f>VLOOKUP(A10,'Données projet'!$A$269:$I$289,9,0)</f>
        <v>#N/A</v>
      </c>
      <c r="GT10" s="12">
        <f t="array" ref="GT10">INDEX(GS:GS,MIN(IF(ISNUMBER(GS10:GS206),ROW(GS10:GS206),"")))</f>
        <v>4.0628205128205126</v>
      </c>
      <c r="GU10" s="12">
        <f>IF('Données projet'!$A$270&gt;35,GU9+GT10-HC9,IF(A10&lt;'Données projet'!$A$270,$GR$205^A10,IF(A10='Données projet'!$A$270,'Données projet'!$B$270,GU9+GT10-HC9)))</f>
        <v>3.067053897654088</v>
      </c>
      <c r="GV10" s="17">
        <f>GU10*VLOOKUP('Données projet'!$B$18,Paramètres!$A$1:$I$89,3,0)*VLOOKUP('Données projet'!$B$18,Paramètres!$A$1:$I$89,5,0)</f>
        <v>3.3013768154348599</v>
      </c>
      <c r="GW10" s="13">
        <f t="shared" si="51"/>
        <v>1.3239483802426903</v>
      </c>
      <c r="GX10" s="20">
        <f t="shared" si="28"/>
        <v>8.0557747158050663</v>
      </c>
      <c r="GY10" s="59">
        <f t="shared" si="29"/>
        <v>301.38910804913837</v>
      </c>
      <c r="GZ10" s="59">
        <f ca="1">AVERAGE(OFFSET($GY$3,0,0,'Données projet'!$E$18+1,1))-AVERAGE(OFFSET($H$3,0,0,'Données projet'!$E$18+1,1))</f>
        <v>286.77702855541287</v>
      </c>
      <c r="HA10" s="59">
        <f t="shared" si="52"/>
        <v>227.12211541860779</v>
      </c>
      <c r="HB10" s="15">
        <f>IF(ISNA(VLOOKUP(A10,'Données projet'!$A$269:$I$289,3,0)),0,VLOOKUP(A10,'Données projet'!$A$269:$I$289,3,0))</f>
        <v>0</v>
      </c>
      <c r="HC10" s="15">
        <f>IF(ISNA(VLOOKUP(A10,'Données projet'!$A$269:$I$289,4,0)),0,VLOOKUP(A10,'Données projet'!$A$269:$I$289,4,0))</f>
        <v>0</v>
      </c>
      <c r="HD10" s="16">
        <f>IF(ISNA(VLOOKUP(A10,'Données projet'!$A$269:$I$289,5,0)),0%,VLOOKUP(A10,'Données projet'!$A$269:$I$289,5,0)*VLOOKUP('Données projet'!$B$18,Paramètres!$A$1:$I$89,7,0))</f>
        <v>0</v>
      </c>
      <c r="HE10" s="16">
        <f>IF(ISNA(VLOOKUP(A10,'Données projet'!$A$269:$I$289,6,0)),0%,VLOOKUP(A10,'Données projet'!$A$269:$I$289,6,0)*VLOOKUP('Données projet'!$B$18,Paramètres!$A$1:$I$89,7,0))</f>
        <v>0</v>
      </c>
      <c r="HF10" s="16">
        <f>IF(ISNA(VLOOKUP(A10,'Données projet'!$A$269:$I$289,7,0)),0%,VLOOKUP(A10,'Données projet'!$A$269:$I$289,7,0))</f>
        <v>0</v>
      </c>
      <c r="HG10" s="21">
        <f>EXP(-LN(2)/35)*HG9+(1-EXP(-LN(2)/35))/(LN(2)/35)*HC10*HD10*VLOOKUP('Données projet'!$B$18,Paramètres!$A$1:$I$89,3,0)*0.475*44/12</f>
        <v>0</v>
      </c>
      <c r="HH10" s="21">
        <f>EXP(-LN(2)/25)*HH9+(1-EXP(-LN(2)/25))/(LN(2)/25)*Calculateur!HC10*Calculateur!HE10*VLOOKUP('Données projet'!$B$18,Paramètres!$A$1:$I$89,3,0)*0.475*44/12</f>
        <v>0</v>
      </c>
      <c r="HI10" s="21">
        <f>EXP(-LN(2)/2)*HI9+(1-EXP(-LN(2)/2))/(LN(2)/2)*HC10*HF10*VLOOKUP('Données projet'!$B$18,Paramètres!$A$1:$I$89,3,0)*0.475*44/12</f>
        <v>0</v>
      </c>
      <c r="HJ10" s="22">
        <f t="shared" si="30"/>
        <v>0</v>
      </c>
    </row>
    <row r="11" spans="1:218" x14ac:dyDescent="0.25">
      <c r="A11" s="10">
        <f t="shared" si="31"/>
        <v>8</v>
      </c>
      <c r="B11" s="73">
        <f>'Scénario référence'!$B$16*5+'Scénario référence'!$B$17*0+'Scénario référence'!$B$18*5</f>
        <v>0</v>
      </c>
      <c r="C11" s="19">
        <f>Calculateur!C10+'Scénario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7.113599999999999</v>
      </c>
      <c r="D11" s="11">
        <f t="shared" si="32"/>
        <v>2.6089051793396716</v>
      </c>
      <c r="E1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1" s="11">
        <f>IF(OR('Scénario référence'!$F$8&gt;0,'Scénario référence'!$F$9&gt;0),('Scénario référence'!$F$8+'Scénario référence'!$F$9)*10,0)</f>
        <v>10</v>
      </c>
      <c r="G11" s="11">
        <f>'Scénario référence'!$B$8*B11*44/12+'Scénario référence'!$B$9*(C11+D11)/0.475*44/12+'Scénario référence'!$B$10*(C11+D11)/0.475*44/12+'Scénario référence'!$F$8*(C11+D11)/0.475*44/12+'Scénario référence'!$F$9*(C11+D11)/0.475*44/12</f>
        <v>75.050917173850095</v>
      </c>
      <c r="H11" s="67">
        <f t="shared" si="1"/>
        <v>310.26669652068324</v>
      </c>
      <c r="I11" s="70">
        <f>('Scénario référence'!$F$8+'Scénario référence'!$F$9+'Scénario référence'!$B$17+'Scénario référence'!$B$9+'Scénario référence'!$B$10)*70+IF((45+25*(1-EXP(-0.0175*A11)))&lt;70,'Scénario référence'!$B$16*(45+25*(1-EXP(-0.0175*A11))),70*'Scénario référence'!$B$16)+IF((32+38*(1-EXP(-0.0175*A11)))&lt;70,'Scénario référence'!$B$18*(32+38*(1-EXP(-0.0175*A11))),70*'Scénario référence'!$B$18)</f>
        <v>70</v>
      </c>
      <c r="J11" s="13">
        <f>IF(A11&gt;30,10,('Scénario référence'!$B$16+'Scénario référence'!$B$17+'Scénario référence'!$B$18+'Scénario référence'!$B$9+'Scénario référence'!$B$10)*A11*10/30+('Scénario référence'!$F$8+'Scénario référence'!$F$9)*10)</f>
        <v>10</v>
      </c>
      <c r="K11" s="12" t="e">
        <f>VLOOKUP(A11,'Données projet'!$A$35:$I$55,2,0)</f>
        <v>#N/A</v>
      </c>
      <c r="L11" s="12" t="e">
        <f>VLOOKUP(A11,'Données projet'!$A$35:$I$55,9,0)</f>
        <v>#N/A</v>
      </c>
      <c r="M11" s="12">
        <f t="array" ref="M11">INDEX(L:L,MIN(IF(ISNUMBER(L11:L207),ROW(L11:L207),"")))</f>
        <v>9.3968325791855207</v>
      </c>
      <c r="N11" s="13">
        <f>IF('Données projet'!$A$36&gt;35,N10+M11-V10,IF(A11&lt;'Données projet'!$A$36,$K$205^A11,IF(A11='Données projet'!$A$36,'Données projet'!$B$36,N10+M11-V10)))</f>
        <v>10.88700515391691</v>
      </c>
      <c r="O11" s="13">
        <f>N11*VLOOKUP('Données projet'!$B$9,Paramètres!$A$1:$I$89,3,0)*VLOOKUP('Données projet'!$B$9,Paramètres!$A$1:$I$89,5,0)</f>
        <v>6.0858358810395528</v>
      </c>
      <c r="P11" s="13">
        <f t="shared" si="33"/>
        <v>2.2728848076650809</v>
      </c>
      <c r="Q11" s="20">
        <f t="shared" si="2"/>
        <v>14.558105199493902</v>
      </c>
      <c r="R11" s="59">
        <f t="shared" si="0"/>
        <v>307.89143853282724</v>
      </c>
      <c r="S11" s="59">
        <f ca="1">AVERAGE(OFFSET($R$3,0,0,'Données projet'!$E$9+1,1))-AVERAGE(OFFSET($H$3,0,0,'Données projet'!$E$9+1,1))</f>
        <v>255.5374979188561</v>
      </c>
      <c r="T11" s="59">
        <f t="shared" si="34"/>
        <v>343.10418468620901</v>
      </c>
      <c r="U11" s="15">
        <f>IF(ISNA(VLOOKUP(A11,'Données projet'!$A$35:$I$55,3,0)),0,VLOOKUP(A11,'Données projet'!$A$35:$I$55,3,0))</f>
        <v>0</v>
      </c>
      <c r="V11" s="15">
        <f>IF(ISNA(VLOOKUP(A11,'Données projet'!$A$35:$I$55,4,0)),0,VLOOKUP(A11,'Données projet'!$A$35:$I$55,4,0))</f>
        <v>0</v>
      </c>
      <c r="W11" s="16">
        <f>IF(ISNA(VLOOKUP(A11,'Données projet'!$A$35:$I$55,5,0)),0%,VLOOKUP(A11,'Données projet'!$A$35:$I$55,5,0)*VLOOKUP('Données projet'!$B$9,Paramètres!$A$1:$I$89,7,0))</f>
        <v>0</v>
      </c>
      <c r="X11" s="16">
        <f>IF(ISNA(VLOOKUP(A11,'Données projet'!$A$35:$I$55,6,0)),0%,VLOOKUP(A11,'Données projet'!$A$35:$I$55,6,0)*VLOOKUP('Données projet'!$B$9,Paramètres!$A$1:$I$89,7,0))</f>
        <v>0</v>
      </c>
      <c r="Y11" s="16">
        <f>IF(ISNA(VLOOKUP(A11,'Données projet'!$A$35:$I$55,7,0)),0%,VLOOKUP(A11,'Données projet'!$A$35:$I$55,7,0))</f>
        <v>0</v>
      </c>
      <c r="Z11" s="21">
        <f>EXP(-LN(2)/35)*Z10+(1-EXP(-LN(2)/35))/(LN(2)/35)*V11*W11*VLOOKUP('Données projet'!$B$9,Paramètres!$A$1:$I$89,3,0)*0.475*44/12</f>
        <v>0</v>
      </c>
      <c r="AA11" s="21">
        <f>EXP(-LN(2)/25)*AA10+(1-EXP(-LN(2)/25))/(LN(2)/25)*Calculateur!V11*Calculateur!X11*VLOOKUP('Données projet'!$B$9,Paramètres!$A$1:$I$89,3,0)*0.475*44/12</f>
        <v>0</v>
      </c>
      <c r="AB11" s="21">
        <f>EXP(-LN(2)/2)*AB10+(1-EXP(-LN(2)/2))/(LN(2)/2)*V11*Y11*VLOOKUP('Données projet'!$B$9,Paramètres!$A$1:$I$89,3,0)*0.475*44/12</f>
        <v>0</v>
      </c>
      <c r="AC11" s="22">
        <f t="shared" si="3"/>
        <v>0</v>
      </c>
      <c r="AD11" s="13">
        <f>('Scénario référence'!$F$8+'Scénario référence'!$F$9+'Scénario référence'!$B$17+'Scénario référence'!$B$9+'Scénario référence'!$B$10)*70+IF((45+25*(1-EXP(-0.0175*A11)))&lt;70,'Scénario référence'!$B$16*(45+25*(1-EXP(-0.0175*A11))),70*'Scénario référence'!$B$16)+IF((32+38*(1-EXP(-0.0175*A11)))&lt;70,'Scénario référence'!$B$18*(32+38*(1-EXP(-0.0175*A11))),70*'Scénario référence'!$B$18)</f>
        <v>70</v>
      </c>
      <c r="AE11" s="13">
        <f>IF(A11&gt;30,10,('Scénario référence'!$B$16+'Scénario référence'!$B$17+'Scénario référence'!$B$18+'Scénario référence'!$B$9+'Scénario référence'!$B$10)*A11*10/30+('Scénario référence'!$F$8+'Scénario référence'!$F$9)*10)</f>
        <v>10</v>
      </c>
      <c r="AF11" s="12" t="e">
        <f>VLOOKUP(A11,'Données projet'!$A$61:$I$81,2,0)</f>
        <v>#N/A</v>
      </c>
      <c r="AG11" s="12" t="e">
        <f>VLOOKUP(A11,'Données projet'!$A$61:$I$81,9,0)</f>
        <v>#N/A</v>
      </c>
      <c r="AH11" s="12">
        <f t="array" ref="AH11">INDEX(AG:AG,MIN(IF(ISNUMBER(AG11:AG207),ROW(AG11:AG207),"")))</f>
        <v>2.6</v>
      </c>
      <c r="AI11" s="13">
        <f>IF('Données projet'!$A$62&gt;35,AI10+AH11-AQ10,IF(A11&lt;'Données projet'!$A$62,$AF$205^A11,IF(A11='Données projet'!$A$62,'Données projet'!$B$62,AI10+AH11-AQ10)))</f>
        <v>13.551228811604872</v>
      </c>
      <c r="AJ11" s="13">
        <f>AI11*VLOOKUP('Données projet'!$B$10,Paramètres!$A$1:$I$89,3,0)*VLOOKUP('Données projet'!$B$10,Paramètres!$A$1:$I$89,5,0)</f>
        <v>8.4559667784414412</v>
      </c>
      <c r="AK11" s="13">
        <f t="shared" si="35"/>
        <v>3.0394396773824992</v>
      </c>
      <c r="AL11" s="20">
        <f t="shared" si="4"/>
        <v>20.021166243893362</v>
      </c>
      <c r="AM11" s="59">
        <f t="shared" si="5"/>
        <v>313.35449957722665</v>
      </c>
      <c r="AN11" s="59">
        <f ca="1">AVERAGE(OFFSET($AM$3,0,0,'Données projet'!$E$10+1,1))-AVERAGE(OFFSET($H$3,0,0,'Données projet'!$E$10+1,1))</f>
        <v>261.78489480911571</v>
      </c>
      <c r="AO11" s="59">
        <f t="shared" si="36"/>
        <v>297.50513563712764</v>
      </c>
      <c r="AP11" s="15">
        <f>IF(ISNA(VLOOKUP(A11,'Données projet'!$A$61:$I$81,3,0)),0,VLOOKUP(A11,'Données projet'!$A$61:$I$81,3,0))</f>
        <v>0</v>
      </c>
      <c r="AQ11" s="15">
        <f>IF(ISNA(VLOOKUP(A11,'Données projet'!$A$61:$I$81,4,0)),0,VLOOKUP(A11,'Données projet'!$A$61:$I$81,4,0))</f>
        <v>0</v>
      </c>
      <c r="AR11" s="16">
        <f>IF(ISNA(VLOOKUP(A11,'Données projet'!$A$61:$I$81,5,0)),0%,VLOOKUP(A11,'Données projet'!$A$61:$I$81,5,0)*VLOOKUP('Données projet'!$B$10,Paramètres!$A$1:$I$89,7,0))</f>
        <v>0</v>
      </c>
      <c r="AS11" s="16">
        <f>IF(ISNA(VLOOKUP(A11,'Données projet'!$A$61:$I$81,6,0)),0%,VLOOKUP(A11,'Données projet'!$A$61:$I$81,6,0)*VLOOKUP('Données projet'!$B$10,Paramètres!$A$1:$I$89,7,0))</f>
        <v>0</v>
      </c>
      <c r="AT11" s="16">
        <f>IF(ISNA(VLOOKUP(A11,'Données projet'!$A$61:$I$81,7,0)),0%,VLOOKUP(A11,'Données projet'!$A$61:$I$81,7,0))</f>
        <v>0</v>
      </c>
      <c r="AU11" s="21">
        <f>EXP(-LN(2)/35)*AU10+(1-EXP(-LN(2)/35))/(LN(2)/35)*AQ11*AR11*VLOOKUP('Données projet'!$B$10,Paramètres!$A$1:$I$89,3,0)*0.475*44/12</f>
        <v>0</v>
      </c>
      <c r="AV11" s="21">
        <f>EXP(-LN(2)/25)*AV10+(1-EXP(-LN(2)/25))/(LN(2)/25)*Calculateur!AQ11*Calculateur!AS11*VLOOKUP('Données projet'!$B$10,Paramètres!$A$1:$I$89,3,0)*0.475*44/12</f>
        <v>0</v>
      </c>
      <c r="AW11" s="21">
        <f>EXP(-LN(2)/2)*AW10+(1-EXP(-LN(2)/2))/(LN(2)/2)*AQ11*AT11*VLOOKUP('Données projet'!$B$10,Paramètres!$A$1:$I$89,3,0)*0.475*44/12</f>
        <v>0</v>
      </c>
      <c r="AX11" s="21">
        <f t="shared" si="6"/>
        <v>0</v>
      </c>
      <c r="AY11" s="74">
        <f>('Scénario référence'!$F$8+'Scénario référence'!$F$9+'Scénario référence'!$B$17+'Scénario référence'!$B$9+'Scénario référence'!$B$10)*70+IF((45+25*(1-EXP(-0.0175*A11)))&lt;70,'Scénario référence'!$B$16*(45+25*(1-EXP(-0.0175*A11))),70*'Scénario référence'!$B$16)+IF((32+38*(1-EXP(-0.0175*A11)))&lt;70,'Scénario référence'!$B$18*(32+38*(1-EXP(-0.0175*A11))),70*'Scénario référence'!$B$18)</f>
        <v>70</v>
      </c>
      <c r="AZ11" s="12">
        <f>IF(A11&gt;30,10,('Scénario référence'!$B$16+'Scénario référence'!$B$17+'Scénario référence'!$B$18+'Scénario référence'!$B$9+'Scénario référence'!$B$10)*A11*10/30+('Scénario référence'!$F$8+'Scénario référence'!$F$9)*10)</f>
        <v>10</v>
      </c>
      <c r="BA11" s="12" t="e">
        <f>VLOOKUP(A11,'Données projet'!$A$87:$I$107,2,0)</f>
        <v>#N/A</v>
      </c>
      <c r="BB11" s="12" t="e">
        <f>VLOOKUP(A11,'Données projet'!$A$87:$I$107,9,0)</f>
        <v>#N/A</v>
      </c>
      <c r="BC11" s="12">
        <f t="array" ref="BC11">INDEX(BB:BB,MIN(IF(ISNUMBER(BB11:BB207),ROW(BB11:BB207),"")))</f>
        <v>5.3</v>
      </c>
      <c r="BD11" s="12">
        <f>IF('Données projet'!$A$88&gt;35,BD10+BC11-BL10,IF(A11&lt;'Données projet'!$A$88,$BA$205^A11,IF(A11='Données projet'!$A$88,'Données projet'!$B$88,BD10+BC11-BL10)))</f>
        <v>6.4583614340776521</v>
      </c>
      <c r="BE11" s="13">
        <f>BD11*VLOOKUP('Données projet'!$B$11,Paramètres!$A$1:$I$89,3,0)*VLOOKUP('Données projet'!$B$11,Paramètres!$A$1:$I$89,5,0)</f>
        <v>3.8621001375784361</v>
      </c>
      <c r="BF11" s="13">
        <f t="shared" si="37"/>
        <v>1.520790307840248</v>
      </c>
      <c r="BG11" s="20">
        <f t="shared" si="7"/>
        <v>9.375200859104206</v>
      </c>
      <c r="BH11" s="59">
        <f t="shared" si="8"/>
        <v>302.70853419243753</v>
      </c>
      <c r="BI11" s="59">
        <f ca="1">AVERAGE(OFFSET($BH$3,0,0,'Données projet'!$E$11+1,1))-AVERAGE(OFFSET($H$3,0,0,'Données projet'!$E$11+1,1))</f>
        <v>316.58509520829671</v>
      </c>
      <c r="BJ11" s="59">
        <f t="shared" si="38"/>
        <v>240.71332110643596</v>
      </c>
      <c r="BK11" s="15">
        <f>IF(ISNA(VLOOKUP(A11,'Données projet'!$A$87:$I$107,3,0)),0,VLOOKUP(A11,'Données projet'!$A$87:$I$107,3,0))</f>
        <v>0</v>
      </c>
      <c r="BL11" s="15">
        <f>IF(ISNA(VLOOKUP(A11,'Données projet'!$A$87:$I$107,4,0)),0,VLOOKUP(A11,'Données projet'!$A$87:$I$107,4,0))</f>
        <v>0</v>
      </c>
      <c r="BM11" s="16">
        <f>IF(ISNA(VLOOKUP(A11,'Données projet'!$A$87:$I$107,5,0)),0%,VLOOKUP(A11,'Données projet'!$A$87:$I$107,5,0)*VLOOKUP('Données projet'!$B$11,Paramètres!$A$1:$I$89,7,0))</f>
        <v>0</v>
      </c>
      <c r="BN11" s="16">
        <f>IF(ISNA(VLOOKUP(A11,'Données projet'!$A$87:$I$107,6,0)),0%,VLOOKUP(A11,'Données projet'!$A$87:$I$107,6,0)*VLOOKUP('Données projet'!$B$11,Paramètres!$A$1:$I$89,7,0))</f>
        <v>0</v>
      </c>
      <c r="BO11" s="16">
        <f>IF(ISNA(VLOOKUP(A11,'Données projet'!$A$87:$I$107,7,0)),0%,VLOOKUP(A11,'Données projet'!$A$87:$I$107,7,0))</f>
        <v>0</v>
      </c>
      <c r="BP11" s="21">
        <f>EXP(-LN(2)/35)*BP10+(1-EXP(-LN(2)/35))/(LN(2)/35)*BL11*BM11*VLOOKUP('Données projet'!$B$11,Paramètres!$A$1:$I$89,3,0)*0.475*44/12</f>
        <v>0</v>
      </c>
      <c r="BQ11" s="21">
        <f>EXP(-LN(2)/25)*BQ10+(1-EXP(-LN(2)/25))/(LN(2)/25)*Calculateur!BL11*Calculateur!BN11*VLOOKUP('Données projet'!$B$11,Paramètres!$A$1:$I$89,3,0)*0.475*44/12</f>
        <v>0</v>
      </c>
      <c r="BR11" s="21">
        <f>EXP(-LN(2)/2)*BR10+(1-EXP(-LN(2)/2))/(LN(2)/2)*BL11*BO11*VLOOKUP('Données projet'!$B$11,Paramètres!$A$1:$I$89,3,0)*0.475*44/12</f>
        <v>0</v>
      </c>
      <c r="BS11" s="22">
        <f t="shared" si="9"/>
        <v>0</v>
      </c>
      <c r="BT11" s="75">
        <f>('Scénario référence'!$F$8+'Scénario référence'!$F$9+'Scénario référence'!$B$17+'Scénario référence'!$B$9+'Scénario référence'!$B$10)*70+IF((45+25*(1-EXP(-0.0175*A11)))&lt;70,'Scénario référence'!$B$16*(45+25*(1-EXP(-0.0175*A11))),70*'Scénario référence'!$B$16)+IF((32+38*(1-EXP(-0.0175*A11)))&lt;70,'Scénario référence'!$B$18*(32+38*(1-EXP(-0.0175*A11))),70*'Scénario référence'!$B$18)</f>
        <v>70</v>
      </c>
      <c r="BU11" s="12">
        <f>IF(A11&gt;30,10,('Scénario référence'!$B$16+'Scénario référence'!$B$17+'Scénario référence'!$B$18+'Scénario référence'!$B$9+'Scénario référence'!$B$10)*A11*10/30+('Scénario référence'!$F$8+'Scénario référence'!$F$9)*10)</f>
        <v>10</v>
      </c>
      <c r="BV11" s="12" t="e">
        <f>VLOOKUP(A11,'Données projet'!$A$113:$I$133,2,0)</f>
        <v>#N/A</v>
      </c>
      <c r="BW11" s="12" t="e">
        <f>VLOOKUP(A11,'Données projet'!$A$113:$I$133,9,0)</f>
        <v>#N/A</v>
      </c>
      <c r="BX11" s="12">
        <f t="array" ref="BX11">INDEX(BW:BW,MIN(IF(ISNUMBER(BW11:BW207),ROW(BW11:BW207),"")))</f>
        <v>3.2</v>
      </c>
      <c r="BY11" s="12">
        <f>IF('Données projet'!$A$114&gt;35,BY10+BX11-CG10,IF(A11&lt;'Données projet'!$A$114,$BV$205^A11,IF(A11='Données projet'!$A$114,'Données projet'!$B$114,BY10+BX11-CG10)))</f>
        <v>7.8824639511539294</v>
      </c>
      <c r="BZ11" s="13">
        <f>BY11*VLOOKUP('Données projet'!$B$12,Paramètres!$A$1:$I$89,3,0)*VLOOKUP('Données projet'!$B$12,Paramètres!$A$1:$I$89,5,0)</f>
        <v>4.5087693800600475</v>
      </c>
      <c r="CA11" s="13">
        <f t="shared" si="39"/>
        <v>1.7437239521978543</v>
      </c>
      <c r="CB11" s="20">
        <f t="shared" si="10"/>
        <v>10.889759220349179</v>
      </c>
      <c r="CC11" s="59">
        <f t="shared" si="11"/>
        <v>304.22309255368248</v>
      </c>
      <c r="CD11" s="59">
        <f ca="1">AVERAGE(OFFSET($CC$3,0,0,'Données projet'!$E$12+1,1))-AVERAGE(OFFSET($H$3,0,0,'Données projet'!$E$12+1,1))</f>
        <v>188.64374818906128</v>
      </c>
      <c r="CE11" s="59">
        <f t="shared" si="40"/>
        <v>211.95157880548652</v>
      </c>
      <c r="CF11" s="15">
        <f>IF(ISNA(VLOOKUP(A11,'Données projet'!$A$113:$I$133,3,0)),0,VLOOKUP(A11,'Données projet'!$A$113:$I$133,3,0))</f>
        <v>0</v>
      </c>
      <c r="CG11" s="15">
        <f>IF(ISNA(VLOOKUP(A11,'Données projet'!$A$113:$I$133,4,0)),0,VLOOKUP(A11,'Données projet'!$A$113:$I$133,4,0))</f>
        <v>0</v>
      </c>
      <c r="CH11" s="16">
        <f>IF(ISNA(VLOOKUP(A11,'Données projet'!$A$113:$I$133,5,0)),0%,VLOOKUP(A11,'Données projet'!$A$113:$I$133,5,0)*VLOOKUP('Données projet'!$B$12,Paramètres!$A$1:$I$89,7,0))</f>
        <v>0</v>
      </c>
      <c r="CI11" s="16">
        <f>IF(ISNA(VLOOKUP(A11,'Données projet'!$A$113:$I$133,6,0)),0%,VLOOKUP(A11,'Données projet'!$A$113:$I$133,6,0)*VLOOKUP('Données projet'!$B$12,Paramètres!$A$1:$I$89,7,0))</f>
        <v>0</v>
      </c>
      <c r="CJ11" s="16">
        <f>IF(ISNA(VLOOKUP(A11,'Données projet'!$A$113:$I$133,7,0)),0%,VLOOKUP(A11,'Données projet'!$A$113:$I$133,7,0))</f>
        <v>0</v>
      </c>
      <c r="CK11" s="21">
        <f>EXP(-LN(2)/35)*CK10+(1-EXP(-LN(2)/35))/(LN(2)/35)*CG11*CH11*VLOOKUP('Données projet'!$B$12,Paramètres!$A$1:$I$89,3,0)*0.475*44/12</f>
        <v>0</v>
      </c>
      <c r="CL11" s="21">
        <f>EXP(-LN(2)/25)*CL10+(1-EXP(-LN(2)/25))/(LN(2)/25)*Calculateur!CG11*Calculateur!CI11*VLOOKUP('Données projet'!$B$12,Paramètres!$A$1:$I$89,3,0)*0.475*44/12</f>
        <v>0</v>
      </c>
      <c r="CM11" s="21">
        <f>EXP(-LN(2)/2)*CM10+(1-EXP(-LN(2)/2))/(LN(2)/2)*CG11*CJ11*VLOOKUP('Données projet'!$B$12,Paramètres!$A$1:$I$89,3,0)*0.475*44/12</f>
        <v>0</v>
      </c>
      <c r="CN11" s="22">
        <f t="shared" si="12"/>
        <v>0</v>
      </c>
      <c r="CO11" s="75">
        <f>('Scénario référence'!$F$8+'Scénario référence'!$F$9+'Scénario référence'!$B$17+'Scénario référence'!$B$9+'Scénario référence'!$B$10)*70+IF((45+25*(1-EXP(-0.0175*A11)))&lt;70,'Scénario référence'!$B$16*(45+25*(1-EXP(-0.0175*A11))),70*'Scénario référence'!$B$16)+IF((32+38*(1-EXP(-0.0175*A11)))&lt;70,'Scénario référence'!$B$18*(32+38*(1-EXP(-0.0175*A11))),70*'Scénario référence'!$B$18)</f>
        <v>70</v>
      </c>
      <c r="CP11" s="12">
        <f>IF(A11&gt;30,10,('Scénario référence'!$B$16+'Scénario référence'!$B$17+'Scénario référence'!$B$18+'Scénario référence'!$B$9+'Scénario référence'!$B$10)*A11*10/30+('Scénario référence'!$F$8+'Scénario référence'!$F$9)*10)</f>
        <v>10</v>
      </c>
      <c r="CQ11" s="12" t="e">
        <f>VLOOKUP(A11,'Données projet'!$A$139:$I$159,2,0)</f>
        <v>#N/A</v>
      </c>
      <c r="CR11" s="12" t="e">
        <f>VLOOKUP(A11,'Données projet'!$A$139:$I$159,9,0)</f>
        <v>#N/A</v>
      </c>
      <c r="CS11" s="12">
        <f t="array" ref="CS11">INDEX(CR:CR,MIN(IF(ISNUMBER(CR11:CR207),ROW(CR11:CR207),"")))</f>
        <v>0</v>
      </c>
      <c r="CT11" s="12">
        <f>IF('Données projet'!$A$140&gt;35,CT10+CS11-DB10,IF(A11&lt;'Données projet'!$A$140,$CQ$205^A11,IF(A11='Données projet'!$A$140,'Données projet'!$B$140,CT10+CS11-DB10)))</f>
        <v>0</v>
      </c>
      <c r="CU11" s="17" t="e">
        <f>CT11*VLOOKUP('Données projet'!$B$13,Paramètres!$A$1:$I$89,3,0)*VLOOKUP('Données projet'!$B$13,Paramètres!$A$1:$I$89,5,0)</f>
        <v>#N/A</v>
      </c>
      <c r="CV11" s="13" t="e">
        <f t="shared" si="41"/>
        <v>#N/A</v>
      </c>
      <c r="CW11" s="20" t="e">
        <f t="shared" si="13"/>
        <v>#N/A</v>
      </c>
      <c r="CX11" s="59" t="e">
        <f t="shared" si="14"/>
        <v>#N/A</v>
      </c>
      <c r="CY11" s="59" t="e">
        <f ca="1">AVERAGE(OFFSET($CX$3,0,0,'Données projet'!$E$13+1,1))-AVERAGE(OFFSET($H$3,0,0,'Données projet'!$E$13+1,1))</f>
        <v>#N/A</v>
      </c>
      <c r="CZ11" s="59" t="e">
        <f t="shared" si="42"/>
        <v>#N/A</v>
      </c>
      <c r="DA11" s="15">
        <f>IF(ISNA(VLOOKUP(A11,'Données projet'!$A$139:$I$159,3,0)),0,VLOOKUP(A11,'Données projet'!$A$139:$I$159,3,0))</f>
        <v>0</v>
      </c>
      <c r="DB11" s="15">
        <f>IF(ISNA(VLOOKUP(A11,'Données projet'!$A$139:$I$159,4,0)),0,VLOOKUP(A11,'Données projet'!$A$139:$I$159,4,0))</f>
        <v>0</v>
      </c>
      <c r="DC11" s="16">
        <f>IF(ISNA(VLOOKUP(A11,'Données projet'!$A$139:$I$159,5,0)),0%,VLOOKUP(A11,'Données projet'!$A$139:$I$159,5,0)*VLOOKUP('Données projet'!$B$13,Paramètres!$A$1:$I$89,7,0))</f>
        <v>0</v>
      </c>
      <c r="DD11" s="16">
        <f>IF(ISNA(VLOOKUP(A11,'Données projet'!$A$139:$I$159,6,0)),0%,VLOOKUP(A11,'Données projet'!$A$139:$I$159,6,0)*VLOOKUP('Données projet'!$B$13,Paramètres!$A$1:$I$89,7,0))</f>
        <v>0</v>
      </c>
      <c r="DE11" s="16">
        <f>IF(ISNA(VLOOKUP(A11,'Données projet'!$A$139:$I$159,7,0)),0%,VLOOKUP(A11,'Données projet'!$A$139:$I$159,7,0))</f>
        <v>0</v>
      </c>
      <c r="DF11" s="21" t="e">
        <f>EXP(-LN(2)/35)*DF10+(1-EXP(-LN(2)/35))/(LN(2)/35)*DB11*DC11*VLOOKUP('Données projet'!$B$13,Paramètres!$A$1:$I$89,3,0)*0.475*44/12</f>
        <v>#N/A</v>
      </c>
      <c r="DG11" s="21" t="e">
        <f>EXP(-LN(2)/25)*DG10+(1-EXP(-LN(2)/25))/(LN(2)/25)*Calculateur!DB11*Calculateur!DD11*VLOOKUP('Données projet'!$B$13,Paramètres!$A$1:$I$89,3,0)*0.475*44/12</f>
        <v>#N/A</v>
      </c>
      <c r="DH11" s="21" t="e">
        <f>EXP(-LN(2)/2)*DH10+(1-EXP(-LN(2)/2))/(LN(2)/2)*DB11*DE11*VLOOKUP('Données projet'!$B$13,Paramètres!$A$1:$I$89,3,0)*0.475*44/12</f>
        <v>#N/A</v>
      </c>
      <c r="DI11" s="22" t="e">
        <f t="shared" si="15"/>
        <v>#N/A</v>
      </c>
      <c r="DJ11" s="75">
        <f>('Scénario référence'!$F$8+'Scénario référence'!$F$9+'Scénario référence'!$B$17+'Scénario référence'!$B$9+'Scénario référence'!$B$10)*70+IF((45+25*(1-EXP(-0.0175*A11)))&lt;70,'Scénario référence'!$B$16*(45+25*(1-EXP(-0.0175*A11))),70*'Scénario référence'!$B$16)+IF((32+38*(1-EXP(-0.0175*A11)))&lt;70,'Scénario référence'!$B$18*(32+38*(1-EXP(-0.0175*A11))),70*'Scénario référence'!$B$18)</f>
        <v>70</v>
      </c>
      <c r="DK11" s="12">
        <f>IF(A11&gt;30,10,('Scénario référence'!$B$16+'Scénario référence'!$B$17+'Scénario référence'!$B$18+'Scénario référence'!$B$9+'Scénario référence'!$B$10)*A11*10/30+('Scénario référence'!$F$8+'Scénario référence'!$F$9)*10)</f>
        <v>10</v>
      </c>
      <c r="DL11" s="12" t="e">
        <f>VLOOKUP(A11,'Données projet'!$A$165:$I$185,2,0)</f>
        <v>#N/A</v>
      </c>
      <c r="DM11" s="12" t="e">
        <f>VLOOKUP(A11,'Données projet'!$A$165:$I$185,9,0)</f>
        <v>#N/A</v>
      </c>
      <c r="DN11" s="12">
        <f t="array" ref="DN11">INDEX(DM:DM,MIN(IF(ISNUMBER(DM11:DM207),ROW(DM11:DM207),"")))</f>
        <v>1.3</v>
      </c>
      <c r="DO11" s="12">
        <f>IF('Données projet'!$A$166&gt;35,DO10+DN11-DW10,IF(A11&lt;'Données projet'!$A$166,$DL$205^A11,IF(A11='Données projet'!$A$166,'Données projet'!$B$166,DO10+DN11-DW10)))</f>
        <v>7.7831371220394718</v>
      </c>
      <c r="DP11" s="17">
        <f>DO11*VLOOKUP('Données projet'!$B$14,Paramètres!$A$1:$I$89,3,0)*VLOOKUP('Données projet'!$B$14,Paramètres!$A$1:$I$89,5,0)</f>
        <v>5.0995114423602619</v>
      </c>
      <c r="DQ11" s="13">
        <f t="shared" si="43"/>
        <v>1.9441255588631996</v>
      </c>
      <c r="DR11" s="20">
        <f t="shared" si="16"/>
        <v>12.267667777130862</v>
      </c>
      <c r="DS11" s="59">
        <f t="shared" si="17"/>
        <v>305.60100111046415</v>
      </c>
      <c r="DT11" s="59">
        <f ca="1">AVERAGE(OFFSET($DS$3,0,0,'Données projet'!$E$14+1,1))-AVERAGE(OFFSET($H$3,0,0,'Données projet'!$E$14+1,1))</f>
        <v>188.68915783955595</v>
      </c>
      <c r="DU11" s="59">
        <f t="shared" si="44"/>
        <v>240.82467772396944</v>
      </c>
      <c r="DV11" s="15">
        <f>IF(ISNA(VLOOKUP(A11,'Données projet'!$A$165:$I$185,3,0)),0,VLOOKUP(A11,'Données projet'!$A$165:$I$185,3,0))</f>
        <v>0</v>
      </c>
      <c r="DW11" s="15">
        <f>IF(ISNA(VLOOKUP(A11,'Données projet'!$A$165:$I$185,4,0)),0,VLOOKUP(A11,'Données projet'!$A$165:$I$185,4,0))</f>
        <v>0</v>
      </c>
      <c r="DX11" s="16">
        <f>IF(ISNA(VLOOKUP(A11,'Données projet'!$A$165:$I$185,5,0)),0%,VLOOKUP(A11,'Données projet'!$A$165:$I$185,5,0)*VLOOKUP('Données projet'!$B$14,Paramètres!$A$1:$I$89,7,0))</f>
        <v>0</v>
      </c>
      <c r="DY11" s="16">
        <f>IF(ISNA(VLOOKUP(A11,'Données projet'!$A$165:$I$185,6,0)),0%,VLOOKUP(A11,'Données projet'!$A$165:$I$185,6,0)*VLOOKUP('Données projet'!$B$14,Paramètres!$A$1:$I$89,7,0))</f>
        <v>0</v>
      </c>
      <c r="DZ11" s="16">
        <f>IF(ISNA(VLOOKUP(A11,'Données projet'!$A$165:$I$185,7,0)),0%,VLOOKUP(A11,'Données projet'!$A$165:$I$185,7,0))</f>
        <v>0</v>
      </c>
      <c r="EA11" s="21">
        <f>EXP(-LN(2)/35)*EA10+(1-EXP(-LN(2)/35))/(LN(2)/35)*DW11*DX11*VLOOKUP('Données projet'!$B$14,Paramètres!$A$1:$I$89,3,0)*0.475*44/12</f>
        <v>0</v>
      </c>
      <c r="EB11" s="21">
        <f>EXP(-LN(2)/25)*EB10+(1-EXP(-LN(2)/25))/(LN(2)/25)*Calculateur!DW11*Calculateur!DY11*VLOOKUP('Données projet'!$B$14,Paramètres!$A$1:$I$89,3,0)*0.475*44/12</f>
        <v>0</v>
      </c>
      <c r="EC11" s="21">
        <f>EXP(-LN(2)/2)*EC10+(1-EXP(-LN(2)/2))/(LN(2)/2)*DW11*DZ11*VLOOKUP('Données projet'!$B$14,Paramètres!$A$1:$I$89,3,0)*0.475*44/12</f>
        <v>0</v>
      </c>
      <c r="ED11" s="22">
        <f t="shared" si="18"/>
        <v>0</v>
      </c>
      <c r="EE11" s="75">
        <f>('Scénario référence'!$F$8+'Scénario référence'!$F$9+'Scénario référence'!$B$17+'Scénario référence'!$B$9+'Scénario référence'!$B$10)*70+IF((45+25*(1-EXP(-0.0175*A11)))&lt;70,'Scénario référence'!$B$16*(45+25*(1-EXP(-0.0175*A11))),70*'Scénario référence'!$B$16)+IF((32+38*(1-EXP(-0.0175*A11)))&lt;70,'Scénario référence'!$B$18*(32+38*(1-EXP(-0.0175*A11))),70*'Scénario référence'!$B$18)</f>
        <v>70</v>
      </c>
      <c r="EF11" s="12">
        <f>IF(A11&gt;30,10,('Scénario référence'!$B$16+'Scénario référence'!$B$17+'Scénario référence'!$B$18+'Scénario référence'!$B$9+'Scénario référence'!$B$10)*A11*10/30+('Scénario référence'!$F$8+'Scénario référence'!$F$9)*10)</f>
        <v>10</v>
      </c>
      <c r="EG11" s="12" t="e">
        <f>VLOOKUP(A11,'Données projet'!$A$191:$I$211,2,0)</f>
        <v>#N/A</v>
      </c>
      <c r="EH11" s="12" t="e">
        <f>VLOOKUP(A11,'Données projet'!$A$191:$I$211,9,0)</f>
        <v>#N/A</v>
      </c>
      <c r="EI11" s="12">
        <f t="array" ref="EI11">INDEX(EH:EH,MIN(IF(ISNUMBER(EH11:EH207),ROW(EH11:EH207),"")))</f>
        <v>2.9333333333333331</v>
      </c>
      <c r="EJ11" s="12">
        <f>IF('Données projet'!$A$192&gt;35,EJ10+EI11-ER10,IF(A11&lt;'Données projet'!$A$192,$EG$205^A11,IF(A11='Données projet'!$A$192,'Données projet'!$B$192,EJ10+EI11-ER10)))</f>
        <v>7.5250275474811232</v>
      </c>
      <c r="EK11" s="17">
        <f>EJ11*VLOOKUP('Données projet'!$B$15,Paramètres!$A$1:$I$89,3,0)*VLOOKUP('Données projet'!$B$15,Paramètres!$A$1:$I$89,5,0)</f>
        <v>6.104302346516687</v>
      </c>
      <c r="EL11" s="13">
        <f t="shared" si="45"/>
        <v>2.2789776516703051</v>
      </c>
      <c r="EM11" s="20">
        <f t="shared" si="19"/>
        <v>14.600879330175678</v>
      </c>
      <c r="EN11" s="59">
        <f t="shared" si="20"/>
        <v>307.93421266350902</v>
      </c>
      <c r="EO11" s="59">
        <f ca="1">AVERAGE(OFFSET($EN$3,0,0,'Données projet'!$E$15+1,1))-AVERAGE(OFFSET($H$3,0,0,'Données projet'!$E$15+1,1))</f>
        <v>205.5272583787887</v>
      </c>
      <c r="EP11" s="59">
        <f t="shared" si="46"/>
        <v>180.54762778843178</v>
      </c>
      <c r="EQ11" s="15">
        <f>IF(ISNA(VLOOKUP(A11,'Données projet'!$A$191:$I$211,3,0)),0,VLOOKUP(A11,'Données projet'!$A$191:$I$211,3,0))</f>
        <v>0</v>
      </c>
      <c r="ER11" s="15">
        <f>IF(ISNA(VLOOKUP(A11,'Données projet'!$A$191:$I$211,4,0)),0,VLOOKUP(A11,'Données projet'!$A$191:$I$211,4,0))</f>
        <v>0</v>
      </c>
      <c r="ES11" s="16">
        <f>IF(ISNA(VLOOKUP(A11,'Données projet'!$A$191:$I$211,5,0)),0%,VLOOKUP(A11,'Données projet'!$A$191:$I$211,5,0)*VLOOKUP('Données projet'!$B$15,Paramètres!$A$1:$I$89,7,0))</f>
        <v>0</v>
      </c>
      <c r="ET11" s="16">
        <f>IF(ISNA(VLOOKUP(A11,'Données projet'!$A$191:$I$211,6,0)),0%,VLOOKUP(A11,'Données projet'!$A$191:$I$211,6,0)*VLOOKUP('Données projet'!$B$15,Paramètres!$A$1:$I$89,7,0))</f>
        <v>0</v>
      </c>
      <c r="EU11" s="16">
        <f>IF(ISNA(VLOOKUP(A11,'Données projet'!$A$191:$I$211,7,0)),0%,VLOOKUP(A11,'Données projet'!$A$191:$I$211,7,0))</f>
        <v>0</v>
      </c>
      <c r="EV11" s="21">
        <f>EXP(-LN(2)/35)*EV10+(1-EXP(-LN(2)/35))/(LN(2)/35)*ER11*ES11*VLOOKUP('Données projet'!$B$15,Paramètres!$A$1:$I$89,3,0)*0.475*44/12</f>
        <v>0</v>
      </c>
      <c r="EW11" s="21">
        <f>EXP(-LN(2)/25)*EW10+(1-EXP(-LN(2)/25))/(LN(2)/25)*Calculateur!ER11*Calculateur!ET11*VLOOKUP('Données projet'!$B$15,Paramètres!$A$1:$I$89,3,0)*0.475*44/12</f>
        <v>0</v>
      </c>
      <c r="EX11" s="21">
        <f>EXP(-LN(2)/2)*EX10+(1-EXP(-LN(2)/2))/(LN(2)/2)*ER11*EU11*VLOOKUP('Données projet'!$B$15,Paramètres!$A$1:$I$89,3,0)*0.475*44/12</f>
        <v>0</v>
      </c>
      <c r="EY11" s="22">
        <f t="shared" si="21"/>
        <v>0</v>
      </c>
      <c r="EZ11" s="75">
        <f>('Scénario référence'!$F$8+'Scénario référence'!$F$9+'Scénario référence'!$B$17+'Scénario référence'!$B$9+'Scénario référence'!$B$10)*70+IF((45+25*(1-EXP(-0.0175*A11)))&lt;70,'Scénario référence'!$B$16*(45+25*(1-EXP(-0.0175*A11))),70*'Scénario référence'!$B$16)+IF((32+38*(1-EXP(-0.0175*A11)))&lt;70,'Scénario référence'!$B$18*(32+38*(1-EXP(-0.0175*A11))),70*'Scénario référence'!$B$18)</f>
        <v>70</v>
      </c>
      <c r="FA11" s="12">
        <f>IF(A11&gt;30,10,('Scénario référence'!$B$16+'Scénario référence'!$B$17+'Scénario référence'!$B$18+'Scénario référence'!$B$9+'Scénario référence'!$B$10)*A11*10/30+('Scénario référence'!$F$8+'Scénario référence'!$F$9)*10)</f>
        <v>10</v>
      </c>
      <c r="FB11" s="12" t="e">
        <f>VLOOKUP(A11,'Données projet'!$A$217:$I$237,2,0)</f>
        <v>#N/A</v>
      </c>
      <c r="FC11" s="12" t="e">
        <f>VLOOKUP(A11,'Données projet'!$A$217:$I$237,9,0)</f>
        <v>#N/A</v>
      </c>
      <c r="FD11" s="12">
        <f t="array" ref="FD11">INDEX(FC:FC,MIN(IF(ISNUMBER(FC11:FC207),ROW(FC11:FC207),"")))</f>
        <v>1.7333333333333334</v>
      </c>
      <c r="FE11" s="12">
        <f>IF('Données projet'!$A$218&gt;35,FE10+FD11-FM10,IF(A11&lt;'Données projet'!$A$218,$FB$205^A11,IF(A11='Données projet'!$A$218,'Données projet'!$B$218,FE10+FD11-FM10)))</f>
        <v>5.6839788368586746</v>
      </c>
      <c r="FF11" s="17">
        <f>FE11*VLOOKUP('Données projet'!$B$16,Paramètres!$A$1:$I$89,3,0)*VLOOKUP('Données projet'!$B$16,Paramètres!$A$1:$I$89,5,0)</f>
        <v>4.8768538420247429</v>
      </c>
      <c r="FG11" s="13">
        <f t="shared" si="47"/>
        <v>1.8689270042474944</v>
      </c>
      <c r="FH11" s="20">
        <f t="shared" si="22"/>
        <v>11.748901640590811</v>
      </c>
      <c r="FI11" s="59">
        <f t="shared" si="23"/>
        <v>305.08223497392413</v>
      </c>
      <c r="FJ11" s="59">
        <f ca="1">AVERAGE(OFFSET($FI$3,0,0,'Données projet'!$E$16+1,1))-AVERAGE(OFFSET($H$3,0,0,'Données projet'!$E$16+1,1))</f>
        <v>383.97627237444709</v>
      </c>
      <c r="FK11" s="59">
        <f t="shared" si="48"/>
        <v>203.35476578922339</v>
      </c>
      <c r="FL11" s="15">
        <f>IF(ISNA(VLOOKUP(A11,'Données projet'!$A$217:$I$237,3,0)),0,VLOOKUP(A11,'Données projet'!$A$217:$I$237,3,0))</f>
        <v>0</v>
      </c>
      <c r="FM11" s="15">
        <f>IF(ISNA(VLOOKUP(A11,'Données projet'!$A$217:$I$237,4,0)),0,VLOOKUP(A11,'Données projet'!$A$217:$I$237,4,0))</f>
        <v>0</v>
      </c>
      <c r="FN11" s="16">
        <f>IF(ISNA(VLOOKUP(A11,'Données projet'!$A$217:$I$237,5,0)),0%,VLOOKUP(A11,'Données projet'!$A$217:$I$237,5,0)*VLOOKUP('Données projet'!$B$16,Paramètres!$A$1:$I$89,7,0))</f>
        <v>0</v>
      </c>
      <c r="FO11" s="16">
        <f>IF(ISNA(VLOOKUP(A11,'Données projet'!$A$217:$I$237,6,0)),0%,VLOOKUP(A11,'Données projet'!$A$217:$I$237,6,0)*VLOOKUP('Données projet'!$B$16,Paramètres!$A$1:$I$89,7,0))</f>
        <v>0</v>
      </c>
      <c r="FP11" s="16">
        <f>IF(ISNA(VLOOKUP(A11,'Données projet'!$A$217:$I$237,7,0)),0%,VLOOKUP(A11,'Données projet'!$A$217:$I$237,7,0))</f>
        <v>0</v>
      </c>
      <c r="FQ11" s="21">
        <f>EXP(-LN(2)/35)*FQ10+(1-EXP(-LN(2)/35))/(LN(2)/35)*FM11*FN11*VLOOKUP('Données projet'!$B$16,Paramètres!$A$1:$I$89,3,0)*0.475*44/12</f>
        <v>0</v>
      </c>
      <c r="FR11" s="21">
        <f>EXP(-LN(2)/25)*FR10+(1-EXP(-LN(2)/25))/(LN(2)/25)*Calculateur!FM11*Calculateur!FO11*VLOOKUP('Données projet'!$B$16,Paramètres!$A$1:$I$89,3,0)*0.475*44/12</f>
        <v>0</v>
      </c>
      <c r="FS11" s="21">
        <f>EXP(-LN(2)/2)*FS10+(1-EXP(-LN(2)/2))/(LN(2)/2)*FM11*FP11*VLOOKUP('Données projet'!$B$16,Paramètres!$A$1:$I$89,3,0)*0.475*44/12</f>
        <v>0</v>
      </c>
      <c r="FT11" s="22">
        <f t="shared" si="24"/>
        <v>0</v>
      </c>
      <c r="FU11" s="75">
        <f>('Scénario référence'!$F$8+'Scénario référence'!$F$9+'Scénario référence'!$B$17+'Scénario référence'!$B$9+'Scénario référence'!$B$10)*70+IF((45+25*(1-EXP(-0.0175*A11)))&lt;70,'Scénario référence'!$B$16*(45+25*(1-EXP(-0.0175*A11))),70*'Scénario référence'!$B$16)+IF((32+38*(1-EXP(-0.0175*A11)))&lt;70,'Scénario référence'!$B$18*(32+38*(1-EXP(-0.0175*A11))),70*'Scénario référence'!$B$18)</f>
        <v>70</v>
      </c>
      <c r="FV11" s="12">
        <f>IF(A11&gt;30,10,('Scénario référence'!$B$16+'Scénario référence'!$B$17+'Scénario référence'!$B$18+'Scénario référence'!$B$9+'Scénario référence'!$B$10)*A11*10/30+('Scénario référence'!$F$8+'Scénario référence'!$F$9)*10)</f>
        <v>10</v>
      </c>
      <c r="FW11" s="12" t="e">
        <f>VLOOKUP(A11,'Données projet'!$A$243:$I$263,2,0)</f>
        <v>#N/A</v>
      </c>
      <c r="FX11" s="12" t="e">
        <f>VLOOKUP(A11,'Données projet'!$A$243:$I$263,9,0)</f>
        <v>#N/A</v>
      </c>
      <c r="FY11" s="12">
        <f t="array" ref="FY11">INDEX(FX:FX,MIN(IF(ISNUMBER(FX11:FX207),ROW(FX11:FX207),"")))</f>
        <v>4.0628205128205126</v>
      </c>
      <c r="FZ11" s="12">
        <f>IF('Données projet'!$A$244&gt;35,FZ10+FY11-GH10,IF(A11&lt;'Données projet'!$A$244,$FW$205^A11,IF(A11='Données projet'!$A$244,'Données projet'!$B$244,FZ10+FY11-GH10)))</f>
        <v>3.5995900084872572</v>
      </c>
      <c r="GA11" s="17">
        <f>FZ11*VLOOKUP('Données projet'!$B$17,Paramètres!$A$1:$I$89,3,0)*VLOOKUP('Données projet'!$B$17,Paramètres!$A$1:$I$89,5,0)</f>
        <v>3.8745986851356835</v>
      </c>
      <c r="GB11" s="13">
        <f t="shared" si="49"/>
        <v>1.5251382058962688</v>
      </c>
      <c r="GC11" s="20">
        <f t="shared" si="25"/>
        <v>9.4045417518806484</v>
      </c>
      <c r="GD11" s="59">
        <f t="shared" si="26"/>
        <v>302.73787508521394</v>
      </c>
      <c r="GE11" s="59">
        <f ca="1">AVERAGE(OFFSET($GD$3,0,0,'Données projet'!$E$17+1,1))-AVERAGE(OFFSET($H$3,0,0,'Données projet'!$E$17+1,1))</f>
        <v>286.77702855541287</v>
      </c>
      <c r="GF11" s="59">
        <f t="shared" si="50"/>
        <v>227.12211541860779</v>
      </c>
      <c r="GG11" s="15">
        <f>IF(ISNA(VLOOKUP(A11,'Données projet'!$A$243:$I$263,3,0)),0,VLOOKUP(A11,'Données projet'!$A$243:$I$263,3,0))</f>
        <v>0</v>
      </c>
      <c r="GH11" s="15">
        <f>IF(ISNA(VLOOKUP(A11,'Données projet'!$A$243:$I$263,4,0)),0,VLOOKUP(A11,'Données projet'!$A$243:$I$263,4,0))</f>
        <v>0</v>
      </c>
      <c r="GI11" s="16">
        <f>IF(ISNA(VLOOKUP(A11,'Données projet'!$A$243:$I$263,5,0)),0%,VLOOKUP(A11,'Données projet'!$A$243:$I$263,5,0)*VLOOKUP('Données projet'!$B$17,Paramètres!$A$1:$I$89,7,0))</f>
        <v>0</v>
      </c>
      <c r="GJ11" s="16">
        <f>IF(ISNA(VLOOKUP(A11,'Données projet'!$A$243:$I$263,6,0)),0%,VLOOKUP(A11,'Données projet'!$A$243:$I$263,6,0)*VLOOKUP('Données projet'!$B$17,Paramètres!$A$1:$I$89,7,0))</f>
        <v>0</v>
      </c>
      <c r="GK11" s="16">
        <f>IF(ISNA(VLOOKUP(A11,'Données projet'!$A$243:$I$263,7,0)),0%,VLOOKUP(A11,'Données projet'!$A$243:$I$263,7,0))</f>
        <v>0</v>
      </c>
      <c r="GL11" s="21">
        <f>EXP(-LN(2)/35)*GL10+(1-EXP(-LN(2)/35))/(LN(2)/35)*GH11*GI11*VLOOKUP('Données projet'!$B$17,Paramètres!$A$1:$I$89,3,0)*0.475*44/12</f>
        <v>0</v>
      </c>
      <c r="GM11" s="21">
        <f>EXP(-LN(2)/25)*GM10+(1-EXP(-LN(2)/25))/(LN(2)/25)*Calculateur!GH11*Calculateur!GJ11*VLOOKUP('Données projet'!$B$17,Paramètres!$A$1:$I$89,3,0)*0.475*44/12</f>
        <v>0</v>
      </c>
      <c r="GN11" s="21">
        <f>EXP(-LN(2)/2)*GN10+(1-EXP(-LN(2)/2))/(LN(2)/2)*GH11*GK11*VLOOKUP('Données projet'!$B$17,Paramètres!$A$1:$I$89,3,0)*0.475*44/12</f>
        <v>0</v>
      </c>
      <c r="GO11" s="21">
        <f t="shared" si="27"/>
        <v>0</v>
      </c>
      <c r="GP11" s="75">
        <f>('Scénario référence'!$F$8+'Scénario référence'!$F$9+'Scénario référence'!$B$17+'Scénario référence'!$B$9+'Scénario référence'!$B$10)*70+IF((45+25*(1-EXP(-0.0175*A11)))&lt;70,'Scénario référence'!$B$16*(45+25*(1-EXP(-0.0175*A11))),70*'Scénario référence'!$B$16)+IF((32+38*(1-EXP(-0.0175*A11)))&lt;70,'Scénario référence'!$B$18*(32+38*(1-EXP(-0.0175*A11))),70*'Scénario référence'!$B$18)</f>
        <v>70</v>
      </c>
      <c r="GQ11" s="12">
        <f>IF(A11&gt;30,10,('Scénario référence'!$B$16+'Scénario référence'!$B$17+'Scénario référence'!$B$18+'Scénario référence'!$B$9+'Scénario référence'!$B$10)*A11*10/30+('Scénario référence'!$F$8+'Scénario référence'!$F$9)*10)</f>
        <v>10</v>
      </c>
      <c r="GR11" s="12" t="e">
        <f>VLOOKUP(A11,'Données projet'!$A$269:$I$289,2,0)</f>
        <v>#N/A</v>
      </c>
      <c r="GS11" s="12" t="e">
        <f>VLOOKUP(A11,'Données projet'!$A$269:$I$289,9,0)</f>
        <v>#N/A</v>
      </c>
      <c r="GT11" s="12">
        <f t="array" ref="GT11">INDEX(GS:GS,MIN(IF(ISNUMBER(GS11:GS207),ROW(GS11:GS207),"")))</f>
        <v>4.0628205128205126</v>
      </c>
      <c r="GU11" s="12">
        <f>IF('Données projet'!$A$270&gt;35,GU10+GT11-HC10,IF(A11&lt;'Données projet'!$A$270,$GR$205^A11,IF(A11='Données projet'!$A$270,'Données projet'!$B$270,GU10+GT11-HC10)))</f>
        <v>3.5995900084872572</v>
      </c>
      <c r="GV11" s="17">
        <f>GU11*VLOOKUP('Données projet'!$B$18,Paramètres!$A$1:$I$89,3,0)*VLOOKUP('Données projet'!$B$18,Paramètres!$A$1:$I$89,5,0)</f>
        <v>3.8745986851356835</v>
      </c>
      <c r="GW11" s="13">
        <f t="shared" si="51"/>
        <v>1.5251382058962688</v>
      </c>
      <c r="GX11" s="20">
        <f t="shared" si="28"/>
        <v>9.4045417518806484</v>
      </c>
      <c r="GY11" s="59">
        <f t="shared" si="29"/>
        <v>302.73787508521394</v>
      </c>
      <c r="GZ11" s="59">
        <f ca="1">AVERAGE(OFFSET($GY$3,0,0,'Données projet'!$E$18+1,1))-AVERAGE(OFFSET($H$3,0,0,'Données projet'!$E$18+1,1))</f>
        <v>286.77702855541287</v>
      </c>
      <c r="HA11" s="59">
        <f t="shared" si="52"/>
        <v>227.12211541860779</v>
      </c>
      <c r="HB11" s="15">
        <f>IF(ISNA(VLOOKUP(A11,'Données projet'!$A$269:$I$289,3,0)),0,VLOOKUP(A11,'Données projet'!$A$269:$I$289,3,0))</f>
        <v>0</v>
      </c>
      <c r="HC11" s="15">
        <f>IF(ISNA(VLOOKUP(A11,'Données projet'!$A$269:$I$289,4,0)),0,VLOOKUP(A11,'Données projet'!$A$269:$I$289,4,0))</f>
        <v>0</v>
      </c>
      <c r="HD11" s="16">
        <f>IF(ISNA(VLOOKUP(A11,'Données projet'!$A$269:$I$289,5,0)),0%,VLOOKUP(A11,'Données projet'!$A$269:$I$289,5,0)*VLOOKUP('Données projet'!$B$18,Paramètres!$A$1:$I$89,7,0))</f>
        <v>0</v>
      </c>
      <c r="HE11" s="16">
        <f>IF(ISNA(VLOOKUP(A11,'Données projet'!$A$269:$I$289,6,0)),0%,VLOOKUP(A11,'Données projet'!$A$269:$I$289,6,0)*VLOOKUP('Données projet'!$B$18,Paramètres!$A$1:$I$89,7,0))</f>
        <v>0</v>
      </c>
      <c r="HF11" s="16">
        <f>IF(ISNA(VLOOKUP(A11,'Données projet'!$A$269:$I$289,7,0)),0%,VLOOKUP(A11,'Données projet'!$A$269:$I$289,7,0))</f>
        <v>0</v>
      </c>
      <c r="HG11" s="21">
        <f>EXP(-LN(2)/35)*HG10+(1-EXP(-LN(2)/35))/(LN(2)/35)*HC11*HD11*VLOOKUP('Données projet'!$B$18,Paramètres!$A$1:$I$89,3,0)*0.475*44/12</f>
        <v>0</v>
      </c>
      <c r="HH11" s="21">
        <f>EXP(-LN(2)/25)*HH10+(1-EXP(-LN(2)/25))/(LN(2)/25)*Calculateur!HC11*Calculateur!HE11*VLOOKUP('Données projet'!$B$18,Paramètres!$A$1:$I$89,3,0)*0.475*44/12</f>
        <v>0</v>
      </c>
      <c r="HI11" s="21">
        <f>EXP(-LN(2)/2)*HI10+(1-EXP(-LN(2)/2))/(LN(2)/2)*HC11*HF11*VLOOKUP('Données projet'!$B$18,Paramètres!$A$1:$I$89,3,0)*0.475*44/12</f>
        <v>0</v>
      </c>
      <c r="HJ11" s="22">
        <f t="shared" si="30"/>
        <v>0</v>
      </c>
    </row>
    <row r="12" spans="1:218" x14ac:dyDescent="0.25">
      <c r="A12" s="10">
        <f t="shared" si="31"/>
        <v>9</v>
      </c>
      <c r="B12" s="73">
        <f>'Scénario référence'!$B$16*5+'Scénario référence'!$B$17*0+'Scénario référence'!$B$18*5</f>
        <v>0</v>
      </c>
      <c r="C12" s="19">
        <f>Calculateur!C11+'Scénario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8.0027999999999988</v>
      </c>
      <c r="D12" s="11">
        <f t="shared" si="32"/>
        <v>2.8950539664743791</v>
      </c>
      <c r="E1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2" s="11">
        <f>IF(OR('Scénario référence'!$F$8&gt;0,'Scénario référence'!$F$9&gt;0),('Scénario référence'!$F$8+'Scénario référence'!$F$9)*10,0)</f>
        <v>10</v>
      </c>
      <c r="G12" s="11">
        <f>'Scénario référence'!$B$8*B12*44/12+'Scénario référence'!$B$9*(C12+D12)/0.475*44/12+'Scénario référence'!$B$10*(C12+D12)/0.475*44/12+'Scénario référence'!$F$8*(C12+D12)/0.475*44/12+'Scénario référence'!$F$9*(C12+D12)/0.475*44/12</f>
        <v>84.123785004363612</v>
      </c>
      <c r="H12" s="67">
        <f t="shared" si="1"/>
        <v>312.31376232494284</v>
      </c>
      <c r="I12" s="70">
        <f>('Scénario référence'!$F$8+'Scénario référence'!$F$9+'Scénario référence'!$B$17+'Scénario référence'!$B$9+'Scénario référence'!$B$10)*70+IF((45+25*(1-EXP(-0.0175*A12)))&lt;70,'Scénario référence'!$B$16*(45+25*(1-EXP(-0.0175*A12))),70*'Scénario référence'!$B$16)+IF((32+38*(1-EXP(-0.0175*A12)))&lt;70,'Scénario référence'!$B$18*(32+38*(1-EXP(-0.0175*A12))),70*'Scénario référence'!$B$18)</f>
        <v>70</v>
      </c>
      <c r="J12" s="13">
        <f>IF(A12&gt;30,10,('Scénario référence'!$B$16+'Scénario référence'!$B$17+'Scénario référence'!$B$18+'Scénario référence'!$B$9+'Scénario référence'!$B$10)*A12*10/30+('Scénario référence'!$F$8+'Scénario référence'!$F$9)*10)</f>
        <v>10</v>
      </c>
      <c r="K12" s="12" t="e">
        <f>VLOOKUP(A12,'Données projet'!$A$35:$I$55,2,0)</f>
        <v>#N/A</v>
      </c>
      <c r="L12" s="12" t="e">
        <f>VLOOKUP(A12,'Données projet'!$A$35:$I$55,9,0)</f>
        <v>#N/A</v>
      </c>
      <c r="M12" s="12">
        <f t="array" ref="M12">INDEX(L:L,MIN(IF(ISNUMBER(L12:L208),ROW(L12:L208),"")))</f>
        <v>9.3968325791855207</v>
      </c>
      <c r="N12" s="13">
        <f>IF('Données projet'!$A$36&gt;35,N11+M12-V11,IF(A12&lt;'Données projet'!$A$36,$K$205^A12,IF(A12='Données projet'!$A$36,'Données projet'!$B$36,N11+M12-V11)))</f>
        <v>14.673103538366622</v>
      </c>
      <c r="O12" s="13">
        <f>N12*VLOOKUP('Données projet'!$B$9,Paramètres!$A$1:$I$89,3,0)*VLOOKUP('Données projet'!$B$9,Paramètres!$A$1:$I$89,5,0)</f>
        <v>8.2022648779469414</v>
      </c>
      <c r="P12" s="13">
        <f t="shared" si="33"/>
        <v>2.9587206421790828</v>
      </c>
      <c r="Q12" s="20">
        <f t="shared" si="2"/>
        <v>19.438716447552824</v>
      </c>
      <c r="R12" s="59">
        <f t="shared" si="0"/>
        <v>312.77204978088616</v>
      </c>
      <c r="S12" s="59">
        <f ca="1">AVERAGE(OFFSET($R$3,0,0,'Données projet'!$E$9+1,1))-AVERAGE(OFFSET($H$3,0,0,'Données projet'!$E$9+1,1))</f>
        <v>255.5374979188561</v>
      </c>
      <c r="T12" s="59">
        <f t="shared" si="34"/>
        <v>343.10418468620901</v>
      </c>
      <c r="U12" s="15">
        <f>IF(ISNA(VLOOKUP(A12,'Données projet'!$A$35:$I$55,3,0)),0,VLOOKUP(A12,'Données projet'!$A$35:$I$55,3,0))</f>
        <v>0</v>
      </c>
      <c r="V12" s="15">
        <f>IF(ISNA(VLOOKUP(A12,'Données projet'!$A$35:$I$55,4,0)),0,VLOOKUP(A12,'Données projet'!$A$35:$I$55,4,0))</f>
        <v>0</v>
      </c>
      <c r="W12" s="16">
        <f>IF(ISNA(VLOOKUP(A12,'Données projet'!$A$35:$I$55,5,0)),0%,VLOOKUP(A12,'Données projet'!$A$35:$I$55,5,0)*VLOOKUP('Données projet'!$B$9,Paramètres!$A$1:$I$89,7,0))</f>
        <v>0</v>
      </c>
      <c r="X12" s="16">
        <f>IF(ISNA(VLOOKUP(A12,'Données projet'!$A$35:$I$55,6,0)),0%,VLOOKUP(A12,'Données projet'!$A$35:$I$55,6,0)*VLOOKUP('Données projet'!$B$9,Paramètres!$A$1:$I$89,7,0))</f>
        <v>0</v>
      </c>
      <c r="Y12" s="16">
        <f>IF(ISNA(VLOOKUP(A12,'Données projet'!$A$35:$I$55,7,0)),0%,VLOOKUP(A12,'Données projet'!$A$35:$I$55,7,0))</f>
        <v>0</v>
      </c>
      <c r="Z12" s="21">
        <f>EXP(-LN(2)/35)*Z11+(1-EXP(-LN(2)/35))/(LN(2)/35)*V12*W12*VLOOKUP('Données projet'!$B$9,Paramètres!$A$1:$I$89,3,0)*0.475*44/12</f>
        <v>0</v>
      </c>
      <c r="AA12" s="21">
        <f>EXP(-LN(2)/25)*AA11+(1-EXP(-LN(2)/25))/(LN(2)/25)*Calculateur!V12*Calculateur!X12*VLOOKUP('Données projet'!$B$9,Paramètres!$A$1:$I$89,3,0)*0.475*44/12</f>
        <v>0</v>
      </c>
      <c r="AB12" s="21">
        <f>EXP(-LN(2)/2)*AB11+(1-EXP(-LN(2)/2))/(LN(2)/2)*V12*Y12*VLOOKUP('Données projet'!$B$9,Paramètres!$A$1:$I$89,3,0)*0.475*44/12</f>
        <v>0</v>
      </c>
      <c r="AC12" s="22">
        <f t="shared" si="3"/>
        <v>0</v>
      </c>
      <c r="AD12" s="13">
        <f>('Scénario référence'!$F$8+'Scénario référence'!$F$9+'Scénario référence'!$B$17+'Scénario référence'!$B$9+'Scénario référence'!$B$10)*70+IF((45+25*(1-EXP(-0.0175*A12)))&lt;70,'Scénario référence'!$B$16*(45+25*(1-EXP(-0.0175*A12))),70*'Scénario référence'!$B$16)+IF((32+38*(1-EXP(-0.0175*A12)))&lt;70,'Scénario référence'!$B$18*(32+38*(1-EXP(-0.0175*A12))),70*'Scénario référence'!$B$18)</f>
        <v>70</v>
      </c>
      <c r="AE12" s="13">
        <f>IF(A12&gt;30,10,('Scénario référence'!$B$16+'Scénario référence'!$B$17+'Scénario référence'!$B$18+'Scénario référence'!$B$9+'Scénario référence'!$B$10)*A12*10/30+('Scénario référence'!$F$8+'Scénario référence'!$F$9)*10)</f>
        <v>10</v>
      </c>
      <c r="AF12" s="12" t="e">
        <f>VLOOKUP(A12,'Données projet'!$A$61:$I$81,2,0)</f>
        <v>#N/A</v>
      </c>
      <c r="AG12" s="12" t="e">
        <f>VLOOKUP(A12,'Données projet'!$A$61:$I$81,9,0)</f>
        <v>#N/A</v>
      </c>
      <c r="AH12" s="12">
        <f t="array" ref="AH12">INDEX(AG:AG,MIN(IF(ISNUMBER(AG12:AG208),ROW(AG12:AG208),"")))</f>
        <v>2.6</v>
      </c>
      <c r="AI12" s="13">
        <f>IF('Données projet'!$A$62&gt;35,AI11+AH12-AQ11,IF(A12&lt;'Données projet'!$A$62,$AF$205^A12,IF(A12='Données projet'!$A$62,'Données projet'!$B$62,AI11+AH12-AQ11)))</f>
        <v>18.770507427923377</v>
      </c>
      <c r="AJ12" s="13">
        <f>AI12*VLOOKUP('Données projet'!$B$10,Paramètres!$A$1:$I$89,3,0)*VLOOKUP('Données projet'!$B$10,Paramètres!$A$1:$I$89,5,0)</f>
        <v>11.712796635024189</v>
      </c>
      <c r="AK12" s="13">
        <f t="shared" si="35"/>
        <v>4.0534103636480259</v>
      </c>
      <c r="AL12" s="20">
        <f t="shared" si="4"/>
        <v>27.459477189354104</v>
      </c>
      <c r="AM12" s="59">
        <f t="shared" si="5"/>
        <v>320.79281052268743</v>
      </c>
      <c r="AN12" s="59">
        <f ca="1">AVERAGE(OFFSET($AM$3,0,0,'Données projet'!$E$10+1,1))-AVERAGE(OFFSET($H$3,0,0,'Données projet'!$E$10+1,1))</f>
        <v>261.78489480911571</v>
      </c>
      <c r="AO12" s="59">
        <f t="shared" si="36"/>
        <v>297.50513563712764</v>
      </c>
      <c r="AP12" s="15">
        <f>IF(ISNA(VLOOKUP(A12,'Données projet'!$A$61:$I$81,3,0)),0,VLOOKUP(A12,'Données projet'!$A$61:$I$81,3,0))</f>
        <v>0</v>
      </c>
      <c r="AQ12" s="15">
        <f>IF(ISNA(VLOOKUP(A12,'Données projet'!$A$61:$I$81,4,0)),0,VLOOKUP(A12,'Données projet'!$A$61:$I$81,4,0))</f>
        <v>0</v>
      </c>
      <c r="AR12" s="16">
        <f>IF(ISNA(VLOOKUP(A12,'Données projet'!$A$61:$I$81,5,0)),0%,VLOOKUP(A12,'Données projet'!$A$61:$I$81,5,0)*VLOOKUP('Données projet'!$B$10,Paramètres!$A$1:$I$89,7,0))</f>
        <v>0</v>
      </c>
      <c r="AS12" s="16">
        <f>IF(ISNA(VLOOKUP(A12,'Données projet'!$A$61:$I$81,6,0)),0%,VLOOKUP(A12,'Données projet'!$A$61:$I$81,6,0)*VLOOKUP('Données projet'!$B$10,Paramètres!$A$1:$I$89,7,0))</f>
        <v>0</v>
      </c>
      <c r="AT12" s="16">
        <f>IF(ISNA(VLOOKUP(A12,'Données projet'!$A$61:$I$81,7,0)),0%,VLOOKUP(A12,'Données projet'!$A$61:$I$81,7,0))</f>
        <v>0</v>
      </c>
      <c r="AU12" s="21">
        <f>EXP(-LN(2)/35)*AU11+(1-EXP(-LN(2)/35))/(LN(2)/35)*AQ12*AR12*VLOOKUP('Données projet'!$B$10,Paramètres!$A$1:$I$89,3,0)*0.475*44/12</f>
        <v>0</v>
      </c>
      <c r="AV12" s="21">
        <f>EXP(-LN(2)/25)*AV11+(1-EXP(-LN(2)/25))/(LN(2)/25)*Calculateur!AQ12*Calculateur!AS12*VLOOKUP('Données projet'!$B$10,Paramètres!$A$1:$I$89,3,0)*0.475*44/12</f>
        <v>0</v>
      </c>
      <c r="AW12" s="21">
        <f>EXP(-LN(2)/2)*AW11+(1-EXP(-LN(2)/2))/(LN(2)/2)*AQ12*AT12*VLOOKUP('Données projet'!$B$10,Paramètres!$A$1:$I$89,3,0)*0.475*44/12</f>
        <v>0</v>
      </c>
      <c r="AX12" s="21">
        <f t="shared" si="6"/>
        <v>0</v>
      </c>
      <c r="AY12" s="74">
        <f>('Scénario référence'!$F$8+'Scénario référence'!$F$9+'Scénario référence'!$B$17+'Scénario référence'!$B$9+'Scénario référence'!$B$10)*70+IF((45+25*(1-EXP(-0.0175*A12)))&lt;70,'Scénario référence'!$B$16*(45+25*(1-EXP(-0.0175*A12))),70*'Scénario référence'!$B$16)+IF((32+38*(1-EXP(-0.0175*A12)))&lt;70,'Scénario référence'!$B$18*(32+38*(1-EXP(-0.0175*A12))),70*'Scénario référence'!$B$18)</f>
        <v>70</v>
      </c>
      <c r="AZ12" s="12">
        <f>IF(A12&gt;30,10,('Scénario référence'!$B$16+'Scénario référence'!$B$17+'Scénario référence'!$B$18+'Scénario référence'!$B$9+'Scénario référence'!$B$10)*A12*10/30+('Scénario référence'!$F$8+'Scénario référence'!$F$9)*10)</f>
        <v>10</v>
      </c>
      <c r="BA12" s="12" t="e">
        <f>VLOOKUP(A12,'Données projet'!$A$87:$I$107,2,0)</f>
        <v>#N/A</v>
      </c>
      <c r="BB12" s="12" t="e">
        <f>VLOOKUP(A12,'Données projet'!$A$87:$I$107,9,0)</f>
        <v>#N/A</v>
      </c>
      <c r="BC12" s="12">
        <f t="array" ref="BC12">INDEX(BB:BB,MIN(IF(ISNUMBER(BB12:BB208),ROW(BB12:BB208),"")))</f>
        <v>5.3</v>
      </c>
      <c r="BD12" s="12">
        <f>IF('Données projet'!$A$88&gt;35,BD11+BC12-BL11,IF(A12&lt;'Données projet'!$A$88,$BA$205^A12,IF(A12='Données projet'!$A$88,'Données projet'!$B$88,BD11+BC12-BL11)))</f>
        <v>8.1543179139691304</v>
      </c>
      <c r="BE12" s="13">
        <f>BD12*VLOOKUP('Données projet'!$B$11,Paramètres!$A$1:$I$89,3,0)*VLOOKUP('Données projet'!$B$11,Paramètres!$A$1:$I$89,5,0)</f>
        <v>4.8762821125535405</v>
      </c>
      <c r="BF12" s="13">
        <f t="shared" si="37"/>
        <v>1.8687334058094056</v>
      </c>
      <c r="BG12" s="20">
        <f t="shared" si="7"/>
        <v>11.747568694482132</v>
      </c>
      <c r="BH12" s="59">
        <f t="shared" si="8"/>
        <v>305.08090202781545</v>
      </c>
      <c r="BI12" s="59">
        <f ca="1">AVERAGE(OFFSET($BH$3,0,0,'Données projet'!$E$11+1,1))-AVERAGE(OFFSET($H$3,0,0,'Données projet'!$E$11+1,1))</f>
        <v>316.58509520829671</v>
      </c>
      <c r="BJ12" s="59">
        <f t="shared" si="38"/>
        <v>240.71332110643596</v>
      </c>
      <c r="BK12" s="15">
        <f>IF(ISNA(VLOOKUP(A12,'Données projet'!$A$87:$I$107,3,0)),0,VLOOKUP(A12,'Données projet'!$A$87:$I$107,3,0))</f>
        <v>0</v>
      </c>
      <c r="BL12" s="15">
        <f>IF(ISNA(VLOOKUP(A12,'Données projet'!$A$87:$I$107,4,0)),0,VLOOKUP(A12,'Données projet'!$A$87:$I$107,4,0))</f>
        <v>0</v>
      </c>
      <c r="BM12" s="16">
        <f>IF(ISNA(VLOOKUP(A12,'Données projet'!$A$87:$I$107,5,0)),0%,VLOOKUP(A12,'Données projet'!$A$87:$I$107,5,0)*VLOOKUP('Données projet'!$B$11,Paramètres!$A$1:$I$89,7,0))</f>
        <v>0</v>
      </c>
      <c r="BN12" s="16">
        <f>IF(ISNA(VLOOKUP(A12,'Données projet'!$A$87:$I$107,6,0)),0%,VLOOKUP(A12,'Données projet'!$A$87:$I$107,6,0)*VLOOKUP('Données projet'!$B$11,Paramètres!$A$1:$I$89,7,0))</f>
        <v>0</v>
      </c>
      <c r="BO12" s="16">
        <f>IF(ISNA(VLOOKUP(A12,'Données projet'!$A$87:$I$107,7,0)),0%,VLOOKUP(A12,'Données projet'!$A$87:$I$107,7,0))</f>
        <v>0</v>
      </c>
      <c r="BP12" s="21">
        <f>EXP(-LN(2)/35)*BP11+(1-EXP(-LN(2)/35))/(LN(2)/35)*BL12*BM12*VLOOKUP('Données projet'!$B$11,Paramètres!$A$1:$I$89,3,0)*0.475*44/12</f>
        <v>0</v>
      </c>
      <c r="BQ12" s="21">
        <f>EXP(-LN(2)/25)*BQ11+(1-EXP(-LN(2)/25))/(LN(2)/25)*Calculateur!BL12*Calculateur!BN12*VLOOKUP('Données projet'!$B$11,Paramètres!$A$1:$I$89,3,0)*0.475*44/12</f>
        <v>0</v>
      </c>
      <c r="BR12" s="21">
        <f>EXP(-LN(2)/2)*BR11+(1-EXP(-LN(2)/2))/(LN(2)/2)*BL12*BO12*VLOOKUP('Données projet'!$B$11,Paramètres!$A$1:$I$89,3,0)*0.475*44/12</f>
        <v>0</v>
      </c>
      <c r="BS12" s="22">
        <f t="shared" si="9"/>
        <v>0</v>
      </c>
      <c r="BT12" s="75">
        <f>('Scénario référence'!$F$8+'Scénario référence'!$F$9+'Scénario référence'!$B$17+'Scénario référence'!$B$9+'Scénario référence'!$B$10)*70+IF((45+25*(1-EXP(-0.0175*A12)))&lt;70,'Scénario référence'!$B$16*(45+25*(1-EXP(-0.0175*A12))),70*'Scénario référence'!$B$16)+IF((32+38*(1-EXP(-0.0175*A12)))&lt;70,'Scénario référence'!$B$18*(32+38*(1-EXP(-0.0175*A12))),70*'Scénario référence'!$B$18)</f>
        <v>70</v>
      </c>
      <c r="BU12" s="12">
        <f>IF(A12&gt;30,10,('Scénario référence'!$B$16+'Scénario référence'!$B$17+'Scénario référence'!$B$18+'Scénario référence'!$B$9+'Scénario référence'!$B$10)*A12*10/30+('Scénario référence'!$F$8+'Scénario référence'!$F$9)*10)</f>
        <v>10</v>
      </c>
      <c r="BV12" s="12" t="e">
        <f>VLOOKUP(A12,'Données projet'!$A$113:$I$133,2,0)</f>
        <v>#N/A</v>
      </c>
      <c r="BW12" s="12" t="e">
        <f>VLOOKUP(A12,'Données projet'!$A$113:$I$133,9,0)</f>
        <v>#N/A</v>
      </c>
      <c r="BX12" s="12">
        <f t="array" ref="BX12">INDEX(BW:BW,MIN(IF(ISNUMBER(BW12:BW208),ROW(BW12:BW208),"")))</f>
        <v>3.2</v>
      </c>
      <c r="BY12" s="12">
        <f>IF('Données projet'!$A$114&gt;35,BY11+BX12-CG11,IF(A12&lt;'Données projet'!$A$114,$BV$205^A12,IF(A12='Données projet'!$A$114,'Données projet'!$B$114,BY11+BX12-CG11)))</f>
        <v>10.203396005006326</v>
      </c>
      <c r="BZ12" s="13">
        <f>BY12*VLOOKUP('Données projet'!$B$12,Paramètres!$A$1:$I$89,3,0)*VLOOKUP('Données projet'!$B$12,Paramètres!$A$1:$I$89,5,0)</f>
        <v>5.8363425148636194</v>
      </c>
      <c r="CA12" s="13">
        <f t="shared" si="39"/>
        <v>2.1903526893285505</v>
      </c>
      <c r="CB12" s="20">
        <f t="shared" si="10"/>
        <v>13.979827480634695</v>
      </c>
      <c r="CC12" s="59">
        <f t="shared" si="11"/>
        <v>307.31316081396801</v>
      </c>
      <c r="CD12" s="59">
        <f ca="1">AVERAGE(OFFSET($CC$3,0,0,'Données projet'!$E$12+1,1))-AVERAGE(OFFSET($H$3,0,0,'Données projet'!$E$12+1,1))</f>
        <v>188.64374818906128</v>
      </c>
      <c r="CE12" s="59">
        <f t="shared" si="40"/>
        <v>211.95157880548652</v>
      </c>
      <c r="CF12" s="15">
        <f>IF(ISNA(VLOOKUP(A12,'Données projet'!$A$113:$I$133,3,0)),0,VLOOKUP(A12,'Données projet'!$A$113:$I$133,3,0))</f>
        <v>0</v>
      </c>
      <c r="CG12" s="15">
        <f>IF(ISNA(VLOOKUP(A12,'Données projet'!$A$113:$I$133,4,0)),0,VLOOKUP(A12,'Données projet'!$A$113:$I$133,4,0))</f>
        <v>0</v>
      </c>
      <c r="CH12" s="16">
        <f>IF(ISNA(VLOOKUP(A12,'Données projet'!$A$113:$I$133,5,0)),0%,VLOOKUP(A12,'Données projet'!$A$113:$I$133,5,0)*VLOOKUP('Données projet'!$B$12,Paramètres!$A$1:$I$89,7,0))</f>
        <v>0</v>
      </c>
      <c r="CI12" s="16">
        <f>IF(ISNA(VLOOKUP(A12,'Données projet'!$A$113:$I$133,6,0)),0%,VLOOKUP(A12,'Données projet'!$A$113:$I$133,6,0)*VLOOKUP('Données projet'!$B$12,Paramètres!$A$1:$I$89,7,0))</f>
        <v>0</v>
      </c>
      <c r="CJ12" s="16">
        <f>IF(ISNA(VLOOKUP(A12,'Données projet'!$A$113:$I$133,7,0)),0%,VLOOKUP(A12,'Données projet'!$A$113:$I$133,7,0))</f>
        <v>0</v>
      </c>
      <c r="CK12" s="21">
        <f>EXP(-LN(2)/35)*CK11+(1-EXP(-LN(2)/35))/(LN(2)/35)*CG12*CH12*VLOOKUP('Données projet'!$B$12,Paramètres!$A$1:$I$89,3,0)*0.475*44/12</f>
        <v>0</v>
      </c>
      <c r="CL12" s="21">
        <f>EXP(-LN(2)/25)*CL11+(1-EXP(-LN(2)/25))/(LN(2)/25)*Calculateur!CG12*Calculateur!CI12*VLOOKUP('Données projet'!$B$12,Paramètres!$A$1:$I$89,3,0)*0.475*44/12</f>
        <v>0</v>
      </c>
      <c r="CM12" s="21">
        <f>EXP(-LN(2)/2)*CM11+(1-EXP(-LN(2)/2))/(LN(2)/2)*CG12*CJ12*VLOOKUP('Données projet'!$B$12,Paramètres!$A$1:$I$89,3,0)*0.475*44/12</f>
        <v>0</v>
      </c>
      <c r="CN12" s="22">
        <f t="shared" si="12"/>
        <v>0</v>
      </c>
      <c r="CO12" s="75">
        <f>('Scénario référence'!$F$8+'Scénario référence'!$F$9+'Scénario référence'!$B$17+'Scénario référence'!$B$9+'Scénario référence'!$B$10)*70+IF((45+25*(1-EXP(-0.0175*A12)))&lt;70,'Scénario référence'!$B$16*(45+25*(1-EXP(-0.0175*A12))),70*'Scénario référence'!$B$16)+IF((32+38*(1-EXP(-0.0175*A12)))&lt;70,'Scénario référence'!$B$18*(32+38*(1-EXP(-0.0175*A12))),70*'Scénario référence'!$B$18)</f>
        <v>70</v>
      </c>
      <c r="CP12" s="12">
        <f>IF(A12&gt;30,10,('Scénario référence'!$B$16+'Scénario référence'!$B$17+'Scénario référence'!$B$18+'Scénario référence'!$B$9+'Scénario référence'!$B$10)*A12*10/30+('Scénario référence'!$F$8+'Scénario référence'!$F$9)*10)</f>
        <v>10</v>
      </c>
      <c r="CQ12" s="12" t="e">
        <f>VLOOKUP(A12,'Données projet'!$A$139:$I$159,2,0)</f>
        <v>#N/A</v>
      </c>
      <c r="CR12" s="12" t="e">
        <f>VLOOKUP(A12,'Données projet'!$A$139:$I$159,9,0)</f>
        <v>#N/A</v>
      </c>
      <c r="CS12" s="12">
        <f t="array" ref="CS12">INDEX(CR:CR,MIN(IF(ISNUMBER(CR12:CR208),ROW(CR12:CR208),"")))</f>
        <v>0</v>
      </c>
      <c r="CT12" s="12">
        <f>IF('Données projet'!$A$140&gt;35,CT11+CS12-DB11,IF(A12&lt;'Données projet'!$A$140,$CQ$205^A12,IF(A12='Données projet'!$A$140,'Données projet'!$B$140,CT11+CS12-DB11)))</f>
        <v>0</v>
      </c>
      <c r="CU12" s="17" t="e">
        <f>CT12*VLOOKUP('Données projet'!$B$13,Paramètres!$A$1:$I$89,3,0)*VLOOKUP('Données projet'!$B$13,Paramètres!$A$1:$I$89,5,0)</f>
        <v>#N/A</v>
      </c>
      <c r="CV12" s="13" t="e">
        <f t="shared" si="41"/>
        <v>#N/A</v>
      </c>
      <c r="CW12" s="20" t="e">
        <f t="shared" si="13"/>
        <v>#N/A</v>
      </c>
      <c r="CX12" s="59" t="e">
        <f t="shared" si="14"/>
        <v>#N/A</v>
      </c>
      <c r="CY12" s="59" t="e">
        <f ca="1">AVERAGE(OFFSET($CX$3,0,0,'Données projet'!$E$13+1,1))-AVERAGE(OFFSET($H$3,0,0,'Données projet'!$E$13+1,1))</f>
        <v>#N/A</v>
      </c>
      <c r="CZ12" s="59" t="e">
        <f t="shared" si="42"/>
        <v>#N/A</v>
      </c>
      <c r="DA12" s="15">
        <f>IF(ISNA(VLOOKUP(A12,'Données projet'!$A$139:$I$159,3,0)),0,VLOOKUP(A12,'Données projet'!$A$139:$I$159,3,0))</f>
        <v>0</v>
      </c>
      <c r="DB12" s="15">
        <f>IF(ISNA(VLOOKUP(A12,'Données projet'!$A$139:$I$159,4,0)),0,VLOOKUP(A12,'Données projet'!$A$139:$I$159,4,0))</f>
        <v>0</v>
      </c>
      <c r="DC12" s="16">
        <f>IF(ISNA(VLOOKUP(A12,'Données projet'!$A$139:$I$159,5,0)),0%,VLOOKUP(A12,'Données projet'!$A$139:$I$159,5,0)*VLOOKUP('Données projet'!$B$13,Paramètres!$A$1:$I$89,7,0))</f>
        <v>0</v>
      </c>
      <c r="DD12" s="16">
        <f>IF(ISNA(VLOOKUP(A12,'Données projet'!$A$139:$I$159,6,0)),0%,VLOOKUP(A12,'Données projet'!$A$139:$I$159,6,0)*VLOOKUP('Données projet'!$B$13,Paramètres!$A$1:$I$89,7,0))</f>
        <v>0</v>
      </c>
      <c r="DE12" s="16">
        <f>IF(ISNA(VLOOKUP(A12,'Données projet'!$A$139:$I$159,7,0)),0%,VLOOKUP(A12,'Données projet'!$A$139:$I$159,7,0))</f>
        <v>0</v>
      </c>
      <c r="DF12" s="21" t="e">
        <f>EXP(-LN(2)/35)*DF11+(1-EXP(-LN(2)/35))/(LN(2)/35)*DB12*DC12*VLOOKUP('Données projet'!$B$13,Paramètres!$A$1:$I$89,3,0)*0.475*44/12</f>
        <v>#N/A</v>
      </c>
      <c r="DG12" s="21" t="e">
        <f>EXP(-LN(2)/25)*DG11+(1-EXP(-LN(2)/25))/(LN(2)/25)*Calculateur!DB12*Calculateur!DD12*VLOOKUP('Données projet'!$B$13,Paramètres!$A$1:$I$89,3,0)*0.475*44/12</f>
        <v>#N/A</v>
      </c>
      <c r="DH12" s="21" t="e">
        <f>EXP(-LN(2)/2)*DH11+(1-EXP(-LN(2)/2))/(LN(2)/2)*DB12*DE12*VLOOKUP('Données projet'!$B$13,Paramètres!$A$1:$I$89,3,0)*0.475*44/12</f>
        <v>#N/A</v>
      </c>
      <c r="DI12" s="22" t="e">
        <f t="shared" si="15"/>
        <v>#N/A</v>
      </c>
      <c r="DJ12" s="75">
        <f>('Scénario référence'!$F$8+'Scénario référence'!$F$9+'Scénario référence'!$B$17+'Scénario référence'!$B$9+'Scénario référence'!$B$10)*70+IF((45+25*(1-EXP(-0.0175*A12)))&lt;70,'Scénario référence'!$B$16*(45+25*(1-EXP(-0.0175*A12))),70*'Scénario référence'!$B$16)+IF((32+38*(1-EXP(-0.0175*A12)))&lt;70,'Scénario référence'!$B$18*(32+38*(1-EXP(-0.0175*A12))),70*'Scénario référence'!$B$18)</f>
        <v>70</v>
      </c>
      <c r="DK12" s="12">
        <f>IF(A12&gt;30,10,('Scénario référence'!$B$16+'Scénario référence'!$B$17+'Scénario référence'!$B$18+'Scénario référence'!$B$9+'Scénario référence'!$B$10)*A12*10/30+('Scénario référence'!$F$8+'Scénario référence'!$F$9)*10)</f>
        <v>10</v>
      </c>
      <c r="DL12" s="12" t="e">
        <f>VLOOKUP(A12,'Données projet'!$A$165:$I$185,2,0)</f>
        <v>#N/A</v>
      </c>
      <c r="DM12" s="12" t="e">
        <f>VLOOKUP(A12,'Données projet'!$A$165:$I$185,9,0)</f>
        <v>#N/A</v>
      </c>
      <c r="DN12" s="12">
        <f t="array" ref="DN12">INDEX(DM:DM,MIN(IF(ISNUMBER(DM12:DM208),ROW(DM12:DM208),"")))</f>
        <v>1.3</v>
      </c>
      <c r="DO12" s="12">
        <f>IF('Données projet'!$A$166&gt;35,DO11+DN12-DW11,IF(A12&lt;'Données projet'!$A$166,$DL$205^A12,IF(A12='Données projet'!$A$166,'Données projet'!$B$166,DO11+DN12-DW11)))</f>
        <v>10.058865869794325</v>
      </c>
      <c r="DP12" s="17">
        <f>DO12*VLOOKUP('Données projet'!$B$14,Paramètres!$A$1:$I$89,3,0)*VLOOKUP('Données projet'!$B$14,Paramètres!$A$1:$I$89,5,0)</f>
        <v>6.5905689178892404</v>
      </c>
      <c r="DQ12" s="13">
        <f t="shared" si="43"/>
        <v>2.4386661184786611</v>
      </c>
      <c r="DR12" s="20">
        <f t="shared" si="16"/>
        <v>15.725917688340758</v>
      </c>
      <c r="DS12" s="59">
        <f t="shared" si="17"/>
        <v>309.05925102167407</v>
      </c>
      <c r="DT12" s="59">
        <f ca="1">AVERAGE(OFFSET($DS$3,0,0,'Données projet'!$E$14+1,1))-AVERAGE(OFFSET($H$3,0,0,'Données projet'!$E$14+1,1))</f>
        <v>188.68915783955595</v>
      </c>
      <c r="DU12" s="59">
        <f t="shared" si="44"/>
        <v>240.82467772396944</v>
      </c>
      <c r="DV12" s="15">
        <f>IF(ISNA(VLOOKUP(A12,'Données projet'!$A$165:$I$185,3,0)),0,VLOOKUP(A12,'Données projet'!$A$165:$I$185,3,0))</f>
        <v>0</v>
      </c>
      <c r="DW12" s="15">
        <f>IF(ISNA(VLOOKUP(A12,'Données projet'!$A$165:$I$185,4,0)),0,VLOOKUP(A12,'Données projet'!$A$165:$I$185,4,0))</f>
        <v>0</v>
      </c>
      <c r="DX12" s="16">
        <f>IF(ISNA(VLOOKUP(A12,'Données projet'!$A$165:$I$185,5,0)),0%,VLOOKUP(A12,'Données projet'!$A$165:$I$185,5,0)*VLOOKUP('Données projet'!$B$14,Paramètres!$A$1:$I$89,7,0))</f>
        <v>0</v>
      </c>
      <c r="DY12" s="16">
        <f>IF(ISNA(VLOOKUP(A12,'Données projet'!$A$165:$I$185,6,0)),0%,VLOOKUP(A12,'Données projet'!$A$165:$I$185,6,0)*VLOOKUP('Données projet'!$B$14,Paramètres!$A$1:$I$89,7,0))</f>
        <v>0</v>
      </c>
      <c r="DZ12" s="16">
        <f>IF(ISNA(VLOOKUP(A12,'Données projet'!$A$165:$I$185,7,0)),0%,VLOOKUP(A12,'Données projet'!$A$165:$I$185,7,0))</f>
        <v>0</v>
      </c>
      <c r="EA12" s="21">
        <f>EXP(-LN(2)/35)*EA11+(1-EXP(-LN(2)/35))/(LN(2)/35)*DW12*DX12*VLOOKUP('Données projet'!$B$14,Paramètres!$A$1:$I$89,3,0)*0.475*44/12</f>
        <v>0</v>
      </c>
      <c r="EB12" s="21">
        <f>EXP(-LN(2)/25)*EB11+(1-EXP(-LN(2)/25))/(LN(2)/25)*Calculateur!DW12*Calculateur!DY12*VLOOKUP('Données projet'!$B$14,Paramètres!$A$1:$I$89,3,0)*0.475*44/12</f>
        <v>0</v>
      </c>
      <c r="EC12" s="21">
        <f>EXP(-LN(2)/2)*EC11+(1-EXP(-LN(2)/2))/(LN(2)/2)*DW12*DZ12*VLOOKUP('Données projet'!$B$14,Paramètres!$A$1:$I$89,3,0)*0.475*44/12</f>
        <v>0</v>
      </c>
      <c r="ED12" s="22">
        <f t="shared" si="18"/>
        <v>0</v>
      </c>
      <c r="EE12" s="75">
        <f>('Scénario référence'!$F$8+'Scénario référence'!$F$9+'Scénario référence'!$B$17+'Scénario référence'!$B$9+'Scénario référence'!$B$10)*70+IF((45+25*(1-EXP(-0.0175*A12)))&lt;70,'Scénario référence'!$B$16*(45+25*(1-EXP(-0.0175*A12))),70*'Scénario référence'!$B$16)+IF((32+38*(1-EXP(-0.0175*A12)))&lt;70,'Scénario référence'!$B$18*(32+38*(1-EXP(-0.0175*A12))),70*'Scénario référence'!$B$18)</f>
        <v>70</v>
      </c>
      <c r="EF12" s="12">
        <f>IF(A12&gt;30,10,('Scénario référence'!$B$16+'Scénario référence'!$B$17+'Scénario référence'!$B$18+'Scénario référence'!$B$9+'Scénario référence'!$B$10)*A12*10/30+('Scénario référence'!$F$8+'Scénario référence'!$F$9)*10)</f>
        <v>10</v>
      </c>
      <c r="EG12" s="12" t="e">
        <f>VLOOKUP(A12,'Données projet'!$A$191:$I$211,2,0)</f>
        <v>#N/A</v>
      </c>
      <c r="EH12" s="12" t="e">
        <f>VLOOKUP(A12,'Données projet'!$A$191:$I$211,9,0)</f>
        <v>#N/A</v>
      </c>
      <c r="EI12" s="12">
        <f t="array" ref="EI12">INDEX(EH:EH,MIN(IF(ISNUMBER(EH12:EH208),ROW(EH12:EH208),"")))</f>
        <v>2.9333333333333331</v>
      </c>
      <c r="EJ12" s="12">
        <f>IF('Données projet'!$A$192&gt;35,EJ11+EI12-ER11,IF(A12&lt;'Données projet'!$A$192,$EG$205^A12,IF(A12='Données projet'!$A$192,'Données projet'!$B$192,EJ11+EI12-ER11)))</f>
        <v>9.684375177775884</v>
      </c>
      <c r="EK12" s="17">
        <f>EJ12*VLOOKUP('Données projet'!$B$15,Paramètres!$A$1:$I$89,3,0)*VLOOKUP('Données projet'!$B$15,Paramètres!$A$1:$I$89,5,0)</f>
        <v>7.8559651442117975</v>
      </c>
      <c r="EL12" s="13">
        <f t="shared" si="45"/>
        <v>2.8480682042492131</v>
      </c>
      <c r="EM12" s="20">
        <f t="shared" si="19"/>
        <v>18.642858081902926</v>
      </c>
      <c r="EN12" s="59">
        <f t="shared" si="20"/>
        <v>311.97619141523626</v>
      </c>
      <c r="EO12" s="59">
        <f ca="1">AVERAGE(OFFSET($EN$3,0,0,'Données projet'!$E$15+1,1))-AVERAGE(OFFSET($H$3,0,0,'Données projet'!$E$15+1,1))</f>
        <v>205.5272583787887</v>
      </c>
      <c r="EP12" s="59">
        <f t="shared" si="46"/>
        <v>180.54762778843178</v>
      </c>
      <c r="EQ12" s="15">
        <f>IF(ISNA(VLOOKUP(A12,'Données projet'!$A$191:$I$211,3,0)),0,VLOOKUP(A12,'Données projet'!$A$191:$I$211,3,0))</f>
        <v>0</v>
      </c>
      <c r="ER12" s="15">
        <f>IF(ISNA(VLOOKUP(A12,'Données projet'!$A$191:$I$211,4,0)),0,VLOOKUP(A12,'Données projet'!$A$191:$I$211,4,0))</f>
        <v>0</v>
      </c>
      <c r="ES12" s="16">
        <f>IF(ISNA(VLOOKUP(A12,'Données projet'!$A$191:$I$211,5,0)),0%,VLOOKUP(A12,'Données projet'!$A$191:$I$211,5,0)*VLOOKUP('Données projet'!$B$15,Paramètres!$A$1:$I$89,7,0))</f>
        <v>0</v>
      </c>
      <c r="ET12" s="16">
        <f>IF(ISNA(VLOOKUP(A12,'Données projet'!$A$191:$I$211,6,0)),0%,VLOOKUP(A12,'Données projet'!$A$191:$I$211,6,0)*VLOOKUP('Données projet'!$B$15,Paramètres!$A$1:$I$89,7,0))</f>
        <v>0</v>
      </c>
      <c r="EU12" s="16">
        <f>IF(ISNA(VLOOKUP(A12,'Données projet'!$A$191:$I$211,7,0)),0%,VLOOKUP(A12,'Données projet'!$A$191:$I$211,7,0))</f>
        <v>0</v>
      </c>
      <c r="EV12" s="21">
        <f>EXP(-LN(2)/35)*EV11+(1-EXP(-LN(2)/35))/(LN(2)/35)*ER12*ES12*VLOOKUP('Données projet'!$B$15,Paramètres!$A$1:$I$89,3,0)*0.475*44/12</f>
        <v>0</v>
      </c>
      <c r="EW12" s="21">
        <f>EXP(-LN(2)/25)*EW11+(1-EXP(-LN(2)/25))/(LN(2)/25)*Calculateur!ER12*Calculateur!ET12*VLOOKUP('Données projet'!$B$15,Paramètres!$A$1:$I$89,3,0)*0.475*44/12</f>
        <v>0</v>
      </c>
      <c r="EX12" s="21">
        <f>EXP(-LN(2)/2)*EX11+(1-EXP(-LN(2)/2))/(LN(2)/2)*ER12*EU12*VLOOKUP('Données projet'!$B$15,Paramètres!$A$1:$I$89,3,0)*0.475*44/12</f>
        <v>0</v>
      </c>
      <c r="EY12" s="22">
        <f t="shared" si="21"/>
        <v>0</v>
      </c>
      <c r="EZ12" s="75">
        <f>('Scénario référence'!$F$8+'Scénario référence'!$F$9+'Scénario référence'!$B$17+'Scénario référence'!$B$9+'Scénario référence'!$B$10)*70+IF((45+25*(1-EXP(-0.0175*A12)))&lt;70,'Scénario référence'!$B$16*(45+25*(1-EXP(-0.0175*A12))),70*'Scénario référence'!$B$16)+IF((32+38*(1-EXP(-0.0175*A12)))&lt;70,'Scénario référence'!$B$18*(32+38*(1-EXP(-0.0175*A12))),70*'Scénario référence'!$B$18)</f>
        <v>70</v>
      </c>
      <c r="FA12" s="12">
        <f>IF(A12&gt;30,10,('Scénario référence'!$B$16+'Scénario référence'!$B$17+'Scénario référence'!$B$18+'Scénario référence'!$B$9+'Scénario référence'!$B$10)*A12*10/30+('Scénario référence'!$F$8+'Scénario référence'!$F$9)*10)</f>
        <v>10</v>
      </c>
      <c r="FB12" s="12" t="e">
        <f>VLOOKUP(A12,'Données projet'!$A$217:$I$237,2,0)</f>
        <v>#N/A</v>
      </c>
      <c r="FC12" s="12" t="e">
        <f>VLOOKUP(A12,'Données projet'!$A$217:$I$237,9,0)</f>
        <v>#N/A</v>
      </c>
      <c r="FD12" s="12">
        <f t="array" ref="FD12">INDEX(FC:FC,MIN(IF(ISNUMBER(FC12:FC208),ROW(FC12:FC208),"")))</f>
        <v>1.7333333333333334</v>
      </c>
      <c r="FE12" s="12">
        <f>IF('Données projet'!$A$218&gt;35,FE11+FD12-FM11,IF(A12&lt;'Données projet'!$A$218,$FB$205^A12,IF(A12='Données projet'!$A$218,'Données projet'!$B$218,FE11+FD12-FM11)))</f>
        <v>7.0629154732488439</v>
      </c>
      <c r="FF12" s="17">
        <f>FE12*VLOOKUP('Données projet'!$B$16,Paramètres!$A$1:$I$89,3,0)*VLOOKUP('Données projet'!$B$16,Paramètres!$A$1:$I$89,5,0)</f>
        <v>6.0599814760475086</v>
      </c>
      <c r="FG12" s="13">
        <f t="shared" si="47"/>
        <v>2.2643507616465608</v>
      </c>
      <c r="FH12" s="20">
        <f t="shared" si="22"/>
        <v>14.498211980650503</v>
      </c>
      <c r="FI12" s="59">
        <f t="shared" si="23"/>
        <v>307.83154531398384</v>
      </c>
      <c r="FJ12" s="59">
        <f ca="1">AVERAGE(OFFSET($FI$3,0,0,'Données projet'!$E$16+1,1))-AVERAGE(OFFSET($H$3,0,0,'Données projet'!$E$16+1,1))</f>
        <v>383.97627237444709</v>
      </c>
      <c r="FK12" s="59">
        <f t="shared" si="48"/>
        <v>203.35476578922339</v>
      </c>
      <c r="FL12" s="15">
        <f>IF(ISNA(VLOOKUP(A12,'Données projet'!$A$217:$I$237,3,0)),0,VLOOKUP(A12,'Données projet'!$A$217:$I$237,3,0))</f>
        <v>0</v>
      </c>
      <c r="FM12" s="15">
        <f>IF(ISNA(VLOOKUP(A12,'Données projet'!$A$217:$I$237,4,0)),0,VLOOKUP(A12,'Données projet'!$A$217:$I$237,4,0))</f>
        <v>0</v>
      </c>
      <c r="FN12" s="16">
        <f>IF(ISNA(VLOOKUP(A12,'Données projet'!$A$217:$I$237,5,0)),0%,VLOOKUP(A12,'Données projet'!$A$217:$I$237,5,0)*VLOOKUP('Données projet'!$B$16,Paramètres!$A$1:$I$89,7,0))</f>
        <v>0</v>
      </c>
      <c r="FO12" s="16">
        <f>IF(ISNA(VLOOKUP(A12,'Données projet'!$A$217:$I$237,6,0)),0%,VLOOKUP(A12,'Données projet'!$A$217:$I$237,6,0)*VLOOKUP('Données projet'!$B$16,Paramètres!$A$1:$I$89,7,0))</f>
        <v>0</v>
      </c>
      <c r="FP12" s="16">
        <f>IF(ISNA(VLOOKUP(A12,'Données projet'!$A$217:$I$237,7,0)),0%,VLOOKUP(A12,'Données projet'!$A$217:$I$237,7,0))</f>
        <v>0</v>
      </c>
      <c r="FQ12" s="21">
        <f>EXP(-LN(2)/35)*FQ11+(1-EXP(-LN(2)/35))/(LN(2)/35)*FM12*FN12*VLOOKUP('Données projet'!$B$16,Paramètres!$A$1:$I$89,3,0)*0.475*44/12</f>
        <v>0</v>
      </c>
      <c r="FR12" s="21">
        <f>EXP(-LN(2)/25)*FR11+(1-EXP(-LN(2)/25))/(LN(2)/25)*Calculateur!FM12*Calculateur!FO12*VLOOKUP('Données projet'!$B$16,Paramètres!$A$1:$I$89,3,0)*0.475*44/12</f>
        <v>0</v>
      </c>
      <c r="FS12" s="21">
        <f>EXP(-LN(2)/2)*FS11+(1-EXP(-LN(2)/2))/(LN(2)/2)*FM12*FP12*VLOOKUP('Données projet'!$B$16,Paramètres!$A$1:$I$89,3,0)*0.475*44/12</f>
        <v>0</v>
      </c>
      <c r="FT12" s="22">
        <f t="shared" si="24"/>
        <v>0</v>
      </c>
      <c r="FU12" s="75">
        <f>('Scénario référence'!$F$8+'Scénario référence'!$F$9+'Scénario référence'!$B$17+'Scénario référence'!$B$9+'Scénario référence'!$B$10)*70+IF((45+25*(1-EXP(-0.0175*A12)))&lt;70,'Scénario référence'!$B$16*(45+25*(1-EXP(-0.0175*A12))),70*'Scénario référence'!$B$16)+IF((32+38*(1-EXP(-0.0175*A12)))&lt;70,'Scénario référence'!$B$18*(32+38*(1-EXP(-0.0175*A12))),70*'Scénario référence'!$B$18)</f>
        <v>70</v>
      </c>
      <c r="FV12" s="12">
        <f>IF(A12&gt;30,10,('Scénario référence'!$B$16+'Scénario référence'!$B$17+'Scénario référence'!$B$18+'Scénario référence'!$B$9+'Scénario référence'!$B$10)*A12*10/30+('Scénario référence'!$F$8+'Scénario référence'!$F$9)*10)</f>
        <v>10</v>
      </c>
      <c r="FW12" s="12" t="e">
        <f>VLOOKUP(A12,'Données projet'!$A$243:$I$263,2,0)</f>
        <v>#N/A</v>
      </c>
      <c r="FX12" s="12" t="e">
        <f>VLOOKUP(A12,'Données projet'!$A$243:$I$263,9,0)</f>
        <v>#N/A</v>
      </c>
      <c r="FY12" s="12">
        <f t="array" ref="FY12">INDEX(FX:FX,MIN(IF(ISNUMBER(FX12:FX208),ROW(FX12:FX208),"")))</f>
        <v>4.0628205128205126</v>
      </c>
      <c r="FZ12" s="12">
        <f>IF('Données projet'!$A$244&gt;35,FZ11+FY12-GH11,IF(A12&lt;'Données projet'!$A$244,$FW$205^A12,IF(A12='Données projet'!$A$244,'Données projet'!$B$244,FZ11+FY12-GH11)))</f>
        <v>4.2245909793472531</v>
      </c>
      <c r="GA12" s="17">
        <f>FZ12*VLOOKUP('Données projet'!$B$17,Paramètres!$A$1:$I$89,3,0)*VLOOKUP('Données projet'!$B$17,Paramètres!$A$1:$I$89,5,0)</f>
        <v>4.5473497301693833</v>
      </c>
      <c r="GB12" s="13">
        <f t="shared" si="49"/>
        <v>1.756901237084566</v>
      </c>
      <c r="GC12" s="20">
        <f t="shared" si="25"/>
        <v>10.979903767967294</v>
      </c>
      <c r="GD12" s="59">
        <f t="shared" si="26"/>
        <v>304.31323710130061</v>
      </c>
      <c r="GE12" s="59">
        <f ca="1">AVERAGE(OFFSET($GD$3,0,0,'Données projet'!$E$17+1,1))-AVERAGE(OFFSET($H$3,0,0,'Données projet'!$E$17+1,1))</f>
        <v>286.77702855541287</v>
      </c>
      <c r="GF12" s="59">
        <f t="shared" si="50"/>
        <v>227.12211541860779</v>
      </c>
      <c r="GG12" s="15">
        <f>IF(ISNA(VLOOKUP(A12,'Données projet'!$A$243:$I$263,3,0)),0,VLOOKUP(A12,'Données projet'!$A$243:$I$263,3,0))</f>
        <v>0</v>
      </c>
      <c r="GH12" s="15">
        <f>IF(ISNA(VLOOKUP(A12,'Données projet'!$A$243:$I$263,4,0)),0,VLOOKUP(A12,'Données projet'!$A$243:$I$263,4,0))</f>
        <v>0</v>
      </c>
      <c r="GI12" s="16">
        <f>IF(ISNA(VLOOKUP(A12,'Données projet'!$A$243:$I$263,5,0)),0%,VLOOKUP(A12,'Données projet'!$A$243:$I$263,5,0)*VLOOKUP('Données projet'!$B$17,Paramètres!$A$1:$I$89,7,0))</f>
        <v>0</v>
      </c>
      <c r="GJ12" s="16">
        <f>IF(ISNA(VLOOKUP(A12,'Données projet'!$A$243:$I$263,6,0)),0%,VLOOKUP(A12,'Données projet'!$A$243:$I$263,6,0)*VLOOKUP('Données projet'!$B$17,Paramètres!$A$1:$I$89,7,0))</f>
        <v>0</v>
      </c>
      <c r="GK12" s="16">
        <f>IF(ISNA(VLOOKUP(A12,'Données projet'!$A$243:$I$263,7,0)),0%,VLOOKUP(A12,'Données projet'!$A$243:$I$263,7,0))</f>
        <v>0</v>
      </c>
      <c r="GL12" s="21">
        <f>EXP(-LN(2)/35)*GL11+(1-EXP(-LN(2)/35))/(LN(2)/35)*GH12*GI12*VLOOKUP('Données projet'!$B$17,Paramètres!$A$1:$I$89,3,0)*0.475*44/12</f>
        <v>0</v>
      </c>
      <c r="GM12" s="21">
        <f>EXP(-LN(2)/25)*GM11+(1-EXP(-LN(2)/25))/(LN(2)/25)*Calculateur!GH12*Calculateur!GJ12*VLOOKUP('Données projet'!$B$17,Paramètres!$A$1:$I$89,3,0)*0.475*44/12</f>
        <v>0</v>
      </c>
      <c r="GN12" s="21">
        <f>EXP(-LN(2)/2)*GN11+(1-EXP(-LN(2)/2))/(LN(2)/2)*GH12*GK12*VLOOKUP('Données projet'!$B$17,Paramètres!$A$1:$I$89,3,0)*0.475*44/12</f>
        <v>0</v>
      </c>
      <c r="GO12" s="21">
        <f t="shared" si="27"/>
        <v>0</v>
      </c>
      <c r="GP12" s="75">
        <f>('Scénario référence'!$F$8+'Scénario référence'!$F$9+'Scénario référence'!$B$17+'Scénario référence'!$B$9+'Scénario référence'!$B$10)*70+IF((45+25*(1-EXP(-0.0175*A12)))&lt;70,'Scénario référence'!$B$16*(45+25*(1-EXP(-0.0175*A12))),70*'Scénario référence'!$B$16)+IF((32+38*(1-EXP(-0.0175*A12)))&lt;70,'Scénario référence'!$B$18*(32+38*(1-EXP(-0.0175*A12))),70*'Scénario référence'!$B$18)</f>
        <v>70</v>
      </c>
      <c r="GQ12" s="12">
        <f>IF(A12&gt;30,10,('Scénario référence'!$B$16+'Scénario référence'!$B$17+'Scénario référence'!$B$18+'Scénario référence'!$B$9+'Scénario référence'!$B$10)*A12*10/30+('Scénario référence'!$F$8+'Scénario référence'!$F$9)*10)</f>
        <v>10</v>
      </c>
      <c r="GR12" s="12" t="e">
        <f>VLOOKUP(A12,'Données projet'!$A$269:$I$289,2,0)</f>
        <v>#N/A</v>
      </c>
      <c r="GS12" s="12" t="e">
        <f>VLOOKUP(A12,'Données projet'!$A$269:$I$289,9,0)</f>
        <v>#N/A</v>
      </c>
      <c r="GT12" s="12">
        <f t="array" ref="GT12">INDEX(GS:GS,MIN(IF(ISNUMBER(GS12:GS208),ROW(GS12:GS208),"")))</f>
        <v>4.0628205128205126</v>
      </c>
      <c r="GU12" s="12">
        <f>IF('Données projet'!$A$270&gt;35,GU11+GT12-HC11,IF(A12&lt;'Données projet'!$A$270,$GR$205^A12,IF(A12='Données projet'!$A$270,'Données projet'!$B$270,GU11+GT12-HC11)))</f>
        <v>4.2245909793472531</v>
      </c>
      <c r="GV12" s="17">
        <f>GU12*VLOOKUP('Données projet'!$B$18,Paramètres!$A$1:$I$89,3,0)*VLOOKUP('Données projet'!$B$18,Paramètres!$A$1:$I$89,5,0)</f>
        <v>4.5473497301693833</v>
      </c>
      <c r="GW12" s="13">
        <f t="shared" si="51"/>
        <v>1.756901237084566</v>
      </c>
      <c r="GX12" s="20">
        <f t="shared" si="28"/>
        <v>10.979903767967294</v>
      </c>
      <c r="GY12" s="59">
        <f t="shared" si="29"/>
        <v>304.31323710130061</v>
      </c>
      <c r="GZ12" s="59">
        <f ca="1">AVERAGE(OFFSET($GY$3,0,0,'Données projet'!$E$18+1,1))-AVERAGE(OFFSET($H$3,0,0,'Données projet'!$E$18+1,1))</f>
        <v>286.77702855541287</v>
      </c>
      <c r="HA12" s="59">
        <f t="shared" si="52"/>
        <v>227.12211541860779</v>
      </c>
      <c r="HB12" s="15">
        <f>IF(ISNA(VLOOKUP(A12,'Données projet'!$A$269:$I$289,3,0)),0,VLOOKUP(A12,'Données projet'!$A$269:$I$289,3,0))</f>
        <v>0</v>
      </c>
      <c r="HC12" s="15">
        <f>IF(ISNA(VLOOKUP(A12,'Données projet'!$A$269:$I$289,4,0)),0,VLOOKUP(A12,'Données projet'!$A$269:$I$289,4,0))</f>
        <v>0</v>
      </c>
      <c r="HD12" s="16">
        <f>IF(ISNA(VLOOKUP(A12,'Données projet'!$A$269:$I$289,5,0)),0%,VLOOKUP(A12,'Données projet'!$A$269:$I$289,5,0)*VLOOKUP('Données projet'!$B$18,Paramètres!$A$1:$I$89,7,0))</f>
        <v>0</v>
      </c>
      <c r="HE12" s="16">
        <f>IF(ISNA(VLOOKUP(A12,'Données projet'!$A$269:$I$289,6,0)),0%,VLOOKUP(A12,'Données projet'!$A$269:$I$289,6,0)*VLOOKUP('Données projet'!$B$18,Paramètres!$A$1:$I$89,7,0))</f>
        <v>0</v>
      </c>
      <c r="HF12" s="16">
        <f>IF(ISNA(VLOOKUP(A12,'Données projet'!$A$269:$I$289,7,0)),0%,VLOOKUP(A12,'Données projet'!$A$269:$I$289,7,0))</f>
        <v>0</v>
      </c>
      <c r="HG12" s="21">
        <f>EXP(-LN(2)/35)*HG11+(1-EXP(-LN(2)/35))/(LN(2)/35)*HC12*HD12*VLOOKUP('Données projet'!$B$18,Paramètres!$A$1:$I$89,3,0)*0.475*44/12</f>
        <v>0</v>
      </c>
      <c r="HH12" s="21">
        <f>EXP(-LN(2)/25)*HH11+(1-EXP(-LN(2)/25))/(LN(2)/25)*Calculateur!HC12*Calculateur!HE12*VLOOKUP('Données projet'!$B$18,Paramètres!$A$1:$I$89,3,0)*0.475*44/12</f>
        <v>0</v>
      </c>
      <c r="HI12" s="21">
        <f>EXP(-LN(2)/2)*HI11+(1-EXP(-LN(2)/2))/(LN(2)/2)*HC12*HF12*VLOOKUP('Données projet'!$B$18,Paramètres!$A$1:$I$89,3,0)*0.475*44/12</f>
        <v>0</v>
      </c>
      <c r="HJ12" s="22">
        <f t="shared" si="30"/>
        <v>0</v>
      </c>
    </row>
    <row r="13" spans="1:218" x14ac:dyDescent="0.25">
      <c r="A13" s="10">
        <f t="shared" si="31"/>
        <v>10</v>
      </c>
      <c r="B13" s="73">
        <f>'Scénario référence'!$B$16*5+'Scénario référence'!$B$17*0+'Scénario référence'!$B$18*5</f>
        <v>0</v>
      </c>
      <c r="C13" s="19">
        <f>Calculateur!C12+'Scénario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8.8919999999999995</v>
      </c>
      <c r="D13" s="11">
        <f t="shared" si="32"/>
        <v>3.177517729464268</v>
      </c>
      <c r="E1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3" s="11">
        <f>IF(OR('Scénario référence'!$F$8&gt;0,'Scénario référence'!$F$9&gt;0),('Scénario référence'!$F$8+'Scénario référence'!$F$9)*10,0)</f>
        <v>10</v>
      </c>
      <c r="G13" s="11">
        <f>'Scénario référence'!$B$8*B13*44/12+'Scénario référence'!$B$9*(C13+D13)/0.475*44/12+'Scénario référence'!$B$10*(C13+D13)/0.475*44/12+'Scénario référence'!$F$8*(C13+D13)/0.475*44/12+'Scénario référence'!$F$9*(C13+D13)/0.475*44/12</f>
        <v>93.16820703446102</v>
      </c>
      <c r="H13" s="67">
        <f t="shared" si="1"/>
        <v>314.35441004548358</v>
      </c>
      <c r="I13" s="70">
        <f>('Scénario référence'!$F$8+'Scénario référence'!$F$9+'Scénario référence'!$B$17+'Scénario référence'!$B$9+'Scénario référence'!$B$10)*70+IF((45+25*(1-EXP(-0.0175*A13)))&lt;70,'Scénario référence'!$B$16*(45+25*(1-EXP(-0.0175*A13))),70*'Scénario référence'!$B$16)+IF((32+38*(1-EXP(-0.0175*A13)))&lt;70,'Scénario référence'!$B$18*(32+38*(1-EXP(-0.0175*A13))),70*'Scénario référence'!$B$18)</f>
        <v>70</v>
      </c>
      <c r="J13" s="13">
        <f>IF(A13&gt;30,10,('Scénario référence'!$B$16+'Scénario référence'!$B$17+'Scénario référence'!$B$18+'Scénario référence'!$B$9+'Scénario référence'!$B$10)*A13*10/30+('Scénario référence'!$F$8+'Scénario référence'!$F$9)*10)</f>
        <v>10</v>
      </c>
      <c r="K13" s="12" t="e">
        <f>VLOOKUP(A13,'Données projet'!$A$35:$I$55,2,0)</f>
        <v>#N/A</v>
      </c>
      <c r="L13" s="12" t="e">
        <f>VLOOKUP(A13,'Données projet'!$A$35:$I$55,9,0)</f>
        <v>#N/A</v>
      </c>
      <c r="M13" s="12">
        <f t="array" ref="M13">INDEX(L:L,MIN(IF(ISNUMBER(L13:L209),ROW(L13:L209),"")))</f>
        <v>9.3968325791855207</v>
      </c>
      <c r="N13" s="13">
        <f>IF('Données projet'!$A$36&gt;35,N12+M13-V12,IF(A13&lt;'Données projet'!$A$36,$K$205^A13,IF(A13='Données projet'!$A$36,'Données projet'!$B$36,N12+M13-V12)))</f>
        <v>19.775867137361168</v>
      </c>
      <c r="O13" s="13">
        <f>N13*VLOOKUP('Données projet'!$B$9,Paramètres!$A$1:$I$89,3,0)*VLOOKUP('Données projet'!$B$9,Paramètres!$A$1:$I$89,5,0)</f>
        <v>11.054709729784893</v>
      </c>
      <c r="P13" s="13">
        <f t="shared" si="33"/>
        <v>3.851505280397189</v>
      </c>
      <c r="Q13" s="20">
        <f t="shared" si="2"/>
        <v>25.96165780940046</v>
      </c>
      <c r="R13" s="59">
        <f t="shared" si="0"/>
        <v>319.29499114273375</v>
      </c>
      <c r="S13" s="59">
        <f ca="1">AVERAGE(OFFSET($R$3,0,0,'Données projet'!$E$9+1,1))-AVERAGE(OFFSET($H$3,0,0,'Données projet'!$E$9+1,1))</f>
        <v>255.5374979188561</v>
      </c>
      <c r="T13" s="59">
        <f t="shared" si="34"/>
        <v>343.10418468620901</v>
      </c>
      <c r="U13" s="15">
        <f>IF(ISNA(VLOOKUP(A13,'Données projet'!$A$35:$I$55,3,0)),0,VLOOKUP(A13,'Données projet'!$A$35:$I$55,3,0))</f>
        <v>0</v>
      </c>
      <c r="V13" s="15">
        <f>IF(ISNA(VLOOKUP(A13,'Données projet'!$A$35:$I$55,4,0)),0,VLOOKUP(A13,'Données projet'!$A$35:$I$55,4,0))</f>
        <v>0</v>
      </c>
      <c r="W13" s="16">
        <f>IF(ISNA(VLOOKUP(A13,'Données projet'!$A$35:$I$55,5,0)),0%,VLOOKUP(A13,'Données projet'!$A$35:$I$55,5,0)*VLOOKUP('Données projet'!$B$9,Paramètres!$A$1:$I$89,7,0))</f>
        <v>0</v>
      </c>
      <c r="X13" s="16">
        <f>IF(ISNA(VLOOKUP(A13,'Données projet'!$A$35:$I$55,6,0)),0%,VLOOKUP(A13,'Données projet'!$A$35:$I$55,6,0)*VLOOKUP('Données projet'!$B$9,Paramètres!$A$1:$I$89,7,0))</f>
        <v>0</v>
      </c>
      <c r="Y13" s="16">
        <f>IF(ISNA(VLOOKUP(A13,'Données projet'!$A$35:$I$55,7,0)),0%,VLOOKUP(A13,'Données projet'!$A$35:$I$55,7,0))</f>
        <v>0</v>
      </c>
      <c r="Z13" s="21">
        <f>EXP(-LN(2)/35)*Z12+(1-EXP(-LN(2)/35))/(LN(2)/35)*V13*W13*VLOOKUP('Données projet'!$B$9,Paramètres!$A$1:$I$89,3,0)*0.475*44/12</f>
        <v>0</v>
      </c>
      <c r="AA13" s="21">
        <f>EXP(-LN(2)/25)*AA12+(1-EXP(-LN(2)/25))/(LN(2)/25)*Calculateur!V13*Calculateur!X13*VLOOKUP('Données projet'!$B$9,Paramètres!$A$1:$I$89,3,0)*0.475*44/12</f>
        <v>0</v>
      </c>
      <c r="AB13" s="21">
        <f>EXP(-LN(2)/2)*AB12+(1-EXP(-LN(2)/2))/(LN(2)/2)*V13*Y13*VLOOKUP('Données projet'!$B$9,Paramètres!$A$1:$I$89,3,0)*0.475*44/12</f>
        <v>0</v>
      </c>
      <c r="AC13" s="22">
        <f t="shared" si="3"/>
        <v>0</v>
      </c>
      <c r="AD13" s="13">
        <f>('Scénario référence'!$F$8+'Scénario référence'!$F$9+'Scénario référence'!$B$17+'Scénario référence'!$B$9+'Scénario référence'!$B$10)*70+IF((45+25*(1-EXP(-0.0175*A13)))&lt;70,'Scénario référence'!$B$16*(45+25*(1-EXP(-0.0175*A13))),70*'Scénario référence'!$B$16)+IF((32+38*(1-EXP(-0.0175*A13)))&lt;70,'Scénario référence'!$B$18*(32+38*(1-EXP(-0.0175*A13))),70*'Scénario référence'!$B$18)</f>
        <v>70</v>
      </c>
      <c r="AE13" s="13">
        <f>IF(A13&gt;30,10,('Scénario référence'!$B$16+'Scénario référence'!$B$17+'Scénario référence'!$B$18+'Scénario référence'!$B$9+'Scénario référence'!$B$10)*A13*10/30+('Scénario référence'!$F$8+'Scénario référence'!$F$9)*10)</f>
        <v>10</v>
      </c>
      <c r="AF13" s="12">
        <f>VLOOKUP(A13,'Données projet'!$A$61:$I$81,2,0)</f>
        <v>26</v>
      </c>
      <c r="AG13" s="12">
        <f>VLOOKUP(A13,'Données projet'!$A$61:$I$81,9,0)</f>
        <v>2.6</v>
      </c>
      <c r="AH13" s="12">
        <f t="array" ref="AH13">INDEX(AG:AG,MIN(IF(ISNUMBER(AG13:AG209),ROW(AG13:AG209),"")))</f>
        <v>2.6</v>
      </c>
      <c r="AI13" s="13">
        <f>IF('Données projet'!$A$62&gt;35,AI12+AH13-AQ12,IF(A13&lt;'Données projet'!$A$62,$AF$205^A13,IF(A13='Données projet'!$A$62,'Données projet'!$B$62,AI12+AH13-AQ12)))</f>
        <v>26</v>
      </c>
      <c r="AJ13" s="13">
        <f>AI13*VLOOKUP('Données projet'!$B$10,Paramètres!$A$1:$I$89,3,0)*VLOOKUP('Données projet'!$B$10,Paramètres!$A$1:$I$89,5,0)</f>
        <v>16.224</v>
      </c>
      <c r="AK13" s="13">
        <f t="shared" si="35"/>
        <v>5.4056462111722139</v>
      </c>
      <c r="AL13" s="20">
        <f t="shared" si="4"/>
        <v>37.671633817791609</v>
      </c>
      <c r="AM13" s="59">
        <f t="shared" si="5"/>
        <v>331.0049671511249</v>
      </c>
      <c r="AN13" s="59">
        <f ca="1">AVERAGE(OFFSET($AM$3,0,0,'Données projet'!$E$10+1,1))-AVERAGE(OFFSET($H$3,0,0,'Données projet'!$E$10+1,1))</f>
        <v>261.78489480911571</v>
      </c>
      <c r="AO13" s="59">
        <f t="shared" si="36"/>
        <v>297.50513563712764</v>
      </c>
      <c r="AP13" s="15">
        <f>IF(ISNA(VLOOKUP(A13,'Données projet'!$A$61:$I$81,3,0)),0,VLOOKUP(A13,'Données projet'!$A$61:$I$81,3,0))</f>
        <v>0</v>
      </c>
      <c r="AQ13" s="15">
        <f>IF(ISNA(VLOOKUP(A13,'Données projet'!$A$61:$I$81,4,0)),0,VLOOKUP(A13,'Données projet'!$A$61:$I$81,4,0))</f>
        <v>0</v>
      </c>
      <c r="AR13" s="16">
        <f>IF(ISNA(VLOOKUP(A13,'Données projet'!$A$61:$I$81,5,0)),0%,VLOOKUP(A13,'Données projet'!$A$61:$I$81,5,0)*VLOOKUP('Données projet'!$B$10,Paramètres!$A$1:$I$89,7,0))</f>
        <v>0</v>
      </c>
      <c r="AS13" s="16">
        <f>IF(ISNA(VLOOKUP(A13,'Données projet'!$A$61:$I$81,6,0)),0%,VLOOKUP(A13,'Données projet'!$A$61:$I$81,6,0)*VLOOKUP('Données projet'!$B$10,Paramètres!$A$1:$I$89,7,0))</f>
        <v>0</v>
      </c>
      <c r="AT13" s="16">
        <f>IF(ISNA(VLOOKUP(A13,'Données projet'!$A$61:$I$81,7,0)),0%,VLOOKUP(A13,'Données projet'!$A$61:$I$81,7,0))</f>
        <v>0</v>
      </c>
      <c r="AU13" s="21">
        <f>EXP(-LN(2)/35)*AU12+(1-EXP(-LN(2)/35))/(LN(2)/35)*AQ13*AR13*VLOOKUP('Données projet'!$B$10,Paramètres!$A$1:$I$89,3,0)*0.475*44/12</f>
        <v>0</v>
      </c>
      <c r="AV13" s="21">
        <f>EXP(-LN(2)/25)*AV12+(1-EXP(-LN(2)/25))/(LN(2)/25)*Calculateur!AQ13*Calculateur!AS13*VLOOKUP('Données projet'!$B$10,Paramètres!$A$1:$I$89,3,0)*0.475*44/12</f>
        <v>0</v>
      </c>
      <c r="AW13" s="21">
        <f>EXP(-LN(2)/2)*AW12+(1-EXP(-LN(2)/2))/(LN(2)/2)*AQ13*AT13*VLOOKUP('Données projet'!$B$10,Paramètres!$A$1:$I$89,3,0)*0.475*44/12</f>
        <v>0</v>
      </c>
      <c r="AX13" s="21">
        <f t="shared" si="6"/>
        <v>0</v>
      </c>
      <c r="AY13" s="74">
        <f>('Scénario référence'!$F$8+'Scénario référence'!$F$9+'Scénario référence'!$B$17+'Scénario référence'!$B$9+'Scénario référence'!$B$10)*70+IF((45+25*(1-EXP(-0.0175*A13)))&lt;70,'Scénario référence'!$B$16*(45+25*(1-EXP(-0.0175*A13))),70*'Scénario référence'!$B$16)+IF((32+38*(1-EXP(-0.0175*A13)))&lt;70,'Scénario référence'!$B$18*(32+38*(1-EXP(-0.0175*A13))),70*'Scénario référence'!$B$18)</f>
        <v>70</v>
      </c>
      <c r="AZ13" s="12">
        <f>IF(A13&gt;30,10,('Scénario référence'!$B$16+'Scénario référence'!$B$17+'Scénario référence'!$B$18+'Scénario référence'!$B$9+'Scénario référence'!$B$10)*A13*10/30+('Scénario référence'!$F$8+'Scénario référence'!$F$9)*10)</f>
        <v>10</v>
      </c>
      <c r="BA13" s="12" t="e">
        <f>VLOOKUP(A13,'Données projet'!$A$87:$I$107,2,0)</f>
        <v>#N/A</v>
      </c>
      <c r="BB13" s="12" t="e">
        <f>VLOOKUP(A13,'Données projet'!$A$87:$I$107,9,0)</f>
        <v>#N/A</v>
      </c>
      <c r="BC13" s="12">
        <f t="array" ref="BC13">INDEX(BB:BB,MIN(IF(ISNUMBER(BB13:BB209),ROW(BB13:BB209),"")))</f>
        <v>5.3</v>
      </c>
      <c r="BD13" s="12">
        <f>IF('Données projet'!$A$88&gt;35,BD12+BC13-BL12,IF(A13&lt;'Données projet'!$A$88,$BA$205^A13,IF(A13='Données projet'!$A$88,'Données projet'!$B$88,BD12+BC13-BL12)))</f>
        <v>10.295630140986994</v>
      </c>
      <c r="BE13" s="13">
        <f>BD13*VLOOKUP('Données projet'!$B$11,Paramètres!$A$1:$I$89,3,0)*VLOOKUP('Données projet'!$B$11,Paramètres!$A$1:$I$89,5,0)</f>
        <v>6.1567868243102231</v>
      </c>
      <c r="BF13" s="13">
        <f t="shared" si="37"/>
        <v>2.2962827445602421</v>
      </c>
      <c r="BG13" s="20">
        <f t="shared" si="7"/>
        <v>14.722429499116059</v>
      </c>
      <c r="BH13" s="59">
        <f t="shared" si="8"/>
        <v>308.05576283244937</v>
      </c>
      <c r="BI13" s="59">
        <f ca="1">AVERAGE(OFFSET($BH$3,0,0,'Données projet'!$E$11+1,1))-AVERAGE(OFFSET($H$3,0,0,'Données projet'!$E$11+1,1))</f>
        <v>316.58509520829671</v>
      </c>
      <c r="BJ13" s="59">
        <f t="shared" si="38"/>
        <v>240.71332110643596</v>
      </c>
      <c r="BK13" s="15">
        <f>IF(ISNA(VLOOKUP(A13,'Données projet'!$A$87:$I$107,3,0)),0,VLOOKUP(A13,'Données projet'!$A$87:$I$107,3,0))</f>
        <v>0</v>
      </c>
      <c r="BL13" s="15">
        <f>IF(ISNA(VLOOKUP(A13,'Données projet'!$A$87:$I$107,4,0)),0,VLOOKUP(A13,'Données projet'!$A$87:$I$107,4,0))</f>
        <v>0</v>
      </c>
      <c r="BM13" s="16">
        <f>IF(ISNA(VLOOKUP(A13,'Données projet'!$A$87:$I$107,5,0)),0%,VLOOKUP(A13,'Données projet'!$A$87:$I$107,5,0)*VLOOKUP('Données projet'!$B$11,Paramètres!$A$1:$I$89,7,0))</f>
        <v>0</v>
      </c>
      <c r="BN13" s="16">
        <f>IF(ISNA(VLOOKUP(A13,'Données projet'!$A$87:$I$107,6,0)),0%,VLOOKUP(A13,'Données projet'!$A$87:$I$107,6,0)*VLOOKUP('Données projet'!$B$11,Paramètres!$A$1:$I$89,7,0))</f>
        <v>0</v>
      </c>
      <c r="BO13" s="16">
        <f>IF(ISNA(VLOOKUP(A13,'Données projet'!$A$87:$I$107,7,0)),0%,VLOOKUP(A13,'Données projet'!$A$87:$I$107,7,0))</f>
        <v>0</v>
      </c>
      <c r="BP13" s="21">
        <f>EXP(-LN(2)/35)*BP12+(1-EXP(-LN(2)/35))/(LN(2)/35)*BL13*BM13*VLOOKUP('Données projet'!$B$11,Paramètres!$A$1:$I$89,3,0)*0.475*44/12</f>
        <v>0</v>
      </c>
      <c r="BQ13" s="21">
        <f>EXP(-LN(2)/25)*BQ12+(1-EXP(-LN(2)/25))/(LN(2)/25)*Calculateur!BL13*Calculateur!BN13*VLOOKUP('Données projet'!$B$11,Paramètres!$A$1:$I$89,3,0)*0.475*44/12</f>
        <v>0</v>
      </c>
      <c r="BR13" s="21">
        <f>EXP(-LN(2)/2)*BR12+(1-EXP(-LN(2)/2))/(LN(2)/2)*BL13*BO13*VLOOKUP('Données projet'!$B$11,Paramètres!$A$1:$I$89,3,0)*0.475*44/12</f>
        <v>0</v>
      </c>
      <c r="BS13" s="22">
        <f t="shared" si="9"/>
        <v>0</v>
      </c>
      <c r="BT13" s="75">
        <f>('Scénario référence'!$F$8+'Scénario référence'!$F$9+'Scénario référence'!$B$17+'Scénario référence'!$B$9+'Scénario référence'!$B$10)*70+IF((45+25*(1-EXP(-0.0175*A13)))&lt;70,'Scénario référence'!$B$16*(45+25*(1-EXP(-0.0175*A13))),70*'Scénario référence'!$B$16)+IF((32+38*(1-EXP(-0.0175*A13)))&lt;70,'Scénario référence'!$B$18*(32+38*(1-EXP(-0.0175*A13))),70*'Scénario référence'!$B$18)</f>
        <v>70</v>
      </c>
      <c r="BU13" s="12">
        <f>IF(A13&gt;30,10,('Scénario référence'!$B$16+'Scénario référence'!$B$17+'Scénario référence'!$B$18+'Scénario référence'!$B$9+'Scénario référence'!$B$10)*A13*10/30+('Scénario référence'!$F$8+'Scénario référence'!$F$9)*10)</f>
        <v>10</v>
      </c>
      <c r="BV13" s="12" t="e">
        <f>VLOOKUP(A13,'Données projet'!$A$113:$I$133,2,0)</f>
        <v>#N/A</v>
      </c>
      <c r="BW13" s="12" t="e">
        <f>VLOOKUP(A13,'Données projet'!$A$113:$I$133,9,0)</f>
        <v>#N/A</v>
      </c>
      <c r="BX13" s="12">
        <f t="array" ref="BX13">INDEX(BW:BW,MIN(IF(ISNUMBER(BW13:BW209),ROW(BW13:BW209),"")))</f>
        <v>3.2</v>
      </c>
      <c r="BY13" s="12">
        <f>IF('Données projet'!$A$114&gt;35,BY12+BX13-CG12,IF(A13&lt;'Données projet'!$A$114,$BV$205^A13,IF(A13='Données projet'!$A$114,'Données projet'!$B$114,BY12+BX13-CG12)))</f>
        <v>13.207708995578503</v>
      </c>
      <c r="BZ13" s="13">
        <f>BY13*VLOOKUP('Données projet'!$B$12,Paramètres!$A$1:$I$89,3,0)*VLOOKUP('Données projet'!$B$12,Paramètres!$A$1:$I$89,5,0)</f>
        <v>7.5548095454709046</v>
      </c>
      <c r="CA13" s="13">
        <f t="shared" si="39"/>
        <v>2.7513786787190044</v>
      </c>
      <c r="CB13" s="20">
        <f t="shared" si="10"/>
        <v>17.949944490464095</v>
      </c>
      <c r="CC13" s="59">
        <f t="shared" si="11"/>
        <v>311.28327782379739</v>
      </c>
      <c r="CD13" s="59">
        <f ca="1">AVERAGE(OFFSET($CC$3,0,0,'Données projet'!$E$12+1,1))-AVERAGE(OFFSET($H$3,0,0,'Données projet'!$E$12+1,1))</f>
        <v>188.64374818906128</v>
      </c>
      <c r="CE13" s="59">
        <f t="shared" si="40"/>
        <v>211.95157880548652</v>
      </c>
      <c r="CF13" s="15">
        <f>IF(ISNA(VLOOKUP(A13,'Données projet'!$A$113:$I$133,3,0)),0,VLOOKUP(A13,'Données projet'!$A$113:$I$133,3,0))</f>
        <v>0</v>
      </c>
      <c r="CG13" s="15">
        <f>IF(ISNA(VLOOKUP(A13,'Données projet'!$A$113:$I$133,4,0)),0,VLOOKUP(A13,'Données projet'!$A$113:$I$133,4,0))</f>
        <v>0</v>
      </c>
      <c r="CH13" s="16">
        <f>IF(ISNA(VLOOKUP(A13,'Données projet'!$A$113:$I$133,5,0)),0%,VLOOKUP(A13,'Données projet'!$A$113:$I$133,5,0)*VLOOKUP('Données projet'!$B$12,Paramètres!$A$1:$I$89,7,0))</f>
        <v>0</v>
      </c>
      <c r="CI13" s="16">
        <f>IF(ISNA(VLOOKUP(A13,'Données projet'!$A$113:$I$133,6,0)),0%,VLOOKUP(A13,'Données projet'!$A$113:$I$133,6,0)*VLOOKUP('Données projet'!$B$12,Paramètres!$A$1:$I$89,7,0))</f>
        <v>0</v>
      </c>
      <c r="CJ13" s="16">
        <f>IF(ISNA(VLOOKUP(A13,'Données projet'!$A$113:$I$133,7,0)),0%,VLOOKUP(A13,'Données projet'!$A$113:$I$133,7,0))</f>
        <v>0</v>
      </c>
      <c r="CK13" s="21">
        <f>EXP(-LN(2)/35)*CK12+(1-EXP(-LN(2)/35))/(LN(2)/35)*CG13*CH13*VLOOKUP('Données projet'!$B$12,Paramètres!$A$1:$I$89,3,0)*0.475*44/12</f>
        <v>0</v>
      </c>
      <c r="CL13" s="21">
        <f>EXP(-LN(2)/25)*CL12+(1-EXP(-LN(2)/25))/(LN(2)/25)*Calculateur!CG13*Calculateur!CI13*VLOOKUP('Données projet'!$B$12,Paramètres!$A$1:$I$89,3,0)*0.475*44/12</f>
        <v>0</v>
      </c>
      <c r="CM13" s="21">
        <f>EXP(-LN(2)/2)*CM12+(1-EXP(-LN(2)/2))/(LN(2)/2)*CG13*CJ13*VLOOKUP('Données projet'!$B$12,Paramètres!$A$1:$I$89,3,0)*0.475*44/12</f>
        <v>0</v>
      </c>
      <c r="CN13" s="22">
        <f t="shared" si="12"/>
        <v>0</v>
      </c>
      <c r="CO13" s="75">
        <f>('Scénario référence'!$F$8+'Scénario référence'!$F$9+'Scénario référence'!$B$17+'Scénario référence'!$B$9+'Scénario référence'!$B$10)*70+IF((45+25*(1-EXP(-0.0175*A13)))&lt;70,'Scénario référence'!$B$16*(45+25*(1-EXP(-0.0175*A13))),70*'Scénario référence'!$B$16)+IF((32+38*(1-EXP(-0.0175*A13)))&lt;70,'Scénario référence'!$B$18*(32+38*(1-EXP(-0.0175*A13))),70*'Scénario référence'!$B$18)</f>
        <v>70</v>
      </c>
      <c r="CP13" s="12">
        <f>IF(A13&gt;30,10,('Scénario référence'!$B$16+'Scénario référence'!$B$17+'Scénario référence'!$B$18+'Scénario référence'!$B$9+'Scénario référence'!$B$10)*A13*10/30+('Scénario référence'!$F$8+'Scénario référence'!$F$9)*10)</f>
        <v>10</v>
      </c>
      <c r="CQ13" s="12" t="e">
        <f>VLOOKUP(A13,'Données projet'!$A$139:$I$159,2,0)</f>
        <v>#N/A</v>
      </c>
      <c r="CR13" s="12" t="e">
        <f>VLOOKUP(A13,'Données projet'!$A$139:$I$159,9,0)</f>
        <v>#N/A</v>
      </c>
      <c r="CS13" s="12">
        <f t="array" ref="CS13">INDEX(CR:CR,MIN(IF(ISNUMBER(CR13:CR209),ROW(CR13:CR209),"")))</f>
        <v>0</v>
      </c>
      <c r="CT13" s="12">
        <f>IF('Données projet'!$A$140&gt;35,CT12+CS13-DB12,IF(A13&lt;'Données projet'!$A$140,$CQ$205^A13,IF(A13='Données projet'!$A$140,'Données projet'!$B$140,CT12+CS13-DB12)))</f>
        <v>0</v>
      </c>
      <c r="CU13" s="17" t="e">
        <f>CT13*VLOOKUP('Données projet'!$B$13,Paramètres!$A$1:$I$89,3,0)*VLOOKUP('Données projet'!$B$13,Paramètres!$A$1:$I$89,5,0)</f>
        <v>#N/A</v>
      </c>
      <c r="CV13" s="13" t="e">
        <f t="shared" si="41"/>
        <v>#N/A</v>
      </c>
      <c r="CW13" s="20" t="e">
        <f t="shared" si="13"/>
        <v>#N/A</v>
      </c>
      <c r="CX13" s="59" t="e">
        <f t="shared" si="14"/>
        <v>#N/A</v>
      </c>
      <c r="CY13" s="59" t="e">
        <f ca="1">AVERAGE(OFFSET($CX$3,0,0,'Données projet'!$E$13+1,1))-AVERAGE(OFFSET($H$3,0,0,'Données projet'!$E$13+1,1))</f>
        <v>#N/A</v>
      </c>
      <c r="CZ13" s="59" t="e">
        <f t="shared" si="42"/>
        <v>#N/A</v>
      </c>
      <c r="DA13" s="15">
        <f>IF(ISNA(VLOOKUP(A13,'Données projet'!$A$139:$I$159,3,0)),0,VLOOKUP(A13,'Données projet'!$A$139:$I$159,3,0))</f>
        <v>0</v>
      </c>
      <c r="DB13" s="15">
        <f>IF(ISNA(VLOOKUP(A13,'Données projet'!$A$139:$I$159,4,0)),0,VLOOKUP(A13,'Données projet'!$A$139:$I$159,4,0))</f>
        <v>0</v>
      </c>
      <c r="DC13" s="16">
        <f>IF(ISNA(VLOOKUP(A13,'Données projet'!$A$139:$I$159,5,0)),0%,VLOOKUP(A13,'Données projet'!$A$139:$I$159,5,0)*VLOOKUP('Données projet'!$B$13,Paramètres!$A$1:$I$89,7,0))</f>
        <v>0</v>
      </c>
      <c r="DD13" s="16">
        <f>IF(ISNA(VLOOKUP(A13,'Données projet'!$A$139:$I$159,6,0)),0%,VLOOKUP(A13,'Données projet'!$A$139:$I$159,6,0)*VLOOKUP('Données projet'!$B$13,Paramètres!$A$1:$I$89,7,0))</f>
        <v>0</v>
      </c>
      <c r="DE13" s="16">
        <f>IF(ISNA(VLOOKUP(A13,'Données projet'!$A$139:$I$159,7,0)),0%,VLOOKUP(A13,'Données projet'!$A$139:$I$159,7,0))</f>
        <v>0</v>
      </c>
      <c r="DF13" s="21" t="e">
        <f>EXP(-LN(2)/35)*DF12+(1-EXP(-LN(2)/35))/(LN(2)/35)*DB13*DC13*VLOOKUP('Données projet'!$B$13,Paramètres!$A$1:$I$89,3,0)*0.475*44/12</f>
        <v>#N/A</v>
      </c>
      <c r="DG13" s="21" t="e">
        <f>EXP(-LN(2)/25)*DG12+(1-EXP(-LN(2)/25))/(LN(2)/25)*Calculateur!DB13*Calculateur!DD13*VLOOKUP('Données projet'!$B$13,Paramètres!$A$1:$I$89,3,0)*0.475*44/12</f>
        <v>#N/A</v>
      </c>
      <c r="DH13" s="21" t="e">
        <f>EXP(-LN(2)/2)*DH12+(1-EXP(-LN(2)/2))/(LN(2)/2)*DB13*DE13*VLOOKUP('Données projet'!$B$13,Paramètres!$A$1:$I$89,3,0)*0.475*44/12</f>
        <v>#N/A</v>
      </c>
      <c r="DI13" s="22" t="e">
        <f t="shared" si="15"/>
        <v>#N/A</v>
      </c>
      <c r="DJ13" s="75">
        <f>('Scénario référence'!$F$8+'Scénario référence'!$F$9+'Scénario référence'!$B$17+'Scénario référence'!$B$9+'Scénario référence'!$B$10)*70+IF((45+25*(1-EXP(-0.0175*A13)))&lt;70,'Scénario référence'!$B$16*(45+25*(1-EXP(-0.0175*A13))),70*'Scénario référence'!$B$16)+IF((32+38*(1-EXP(-0.0175*A13)))&lt;70,'Scénario référence'!$B$18*(32+38*(1-EXP(-0.0175*A13))),70*'Scénario référence'!$B$18)</f>
        <v>70</v>
      </c>
      <c r="DK13" s="12">
        <f>IF(A13&gt;30,10,('Scénario référence'!$B$16+'Scénario référence'!$B$17+'Scénario référence'!$B$18+'Scénario référence'!$B$9+'Scénario référence'!$B$10)*A13*10/30+('Scénario référence'!$F$8+'Scénario référence'!$F$9)*10)</f>
        <v>10</v>
      </c>
      <c r="DL13" s="12">
        <f>VLOOKUP(A13,'Données projet'!$A$165:$I$185,2,0)</f>
        <v>13</v>
      </c>
      <c r="DM13" s="12">
        <f>VLOOKUP(A13,'Données projet'!$A$165:$I$185,9,0)</f>
        <v>1.3</v>
      </c>
      <c r="DN13" s="12">
        <f t="array" ref="DN13">INDEX(DM:DM,MIN(IF(ISNUMBER(DM13:DM209),ROW(DM13:DM209),"")))</f>
        <v>1.3</v>
      </c>
      <c r="DO13" s="12">
        <f>IF('Données projet'!$A$166&gt;35,DO12+DN13-DW12,IF(A13&lt;'Données projet'!$A$166,$DL$205^A13,IF(A13='Données projet'!$A$166,'Données projet'!$B$166,DO12+DN13-DW12)))</f>
        <v>13</v>
      </c>
      <c r="DP13" s="17">
        <f>DO13*VLOOKUP('Données projet'!$B$14,Paramètres!$A$1:$I$89,3,0)*VLOOKUP('Données projet'!$B$14,Paramètres!$A$1:$I$89,5,0)</f>
        <v>8.5175999999999998</v>
      </c>
      <c r="DQ13" s="13">
        <f t="shared" si="43"/>
        <v>3.0590063539379937</v>
      </c>
      <c r="DR13" s="20">
        <f t="shared" si="16"/>
        <v>20.162589399775339</v>
      </c>
      <c r="DS13" s="59">
        <f t="shared" si="17"/>
        <v>313.49592273310867</v>
      </c>
      <c r="DT13" s="59">
        <f ca="1">AVERAGE(OFFSET($DS$3,0,0,'Données projet'!$E$14+1,1))-AVERAGE(OFFSET($H$3,0,0,'Données projet'!$E$14+1,1))</f>
        <v>188.68915783955595</v>
      </c>
      <c r="DU13" s="59">
        <f t="shared" si="44"/>
        <v>240.82467772396944</v>
      </c>
      <c r="DV13" s="15">
        <f>IF(ISNA(VLOOKUP(A13,'Données projet'!$A$165:$I$185,3,0)),0,VLOOKUP(A13,'Données projet'!$A$165:$I$185,3,0))</f>
        <v>0</v>
      </c>
      <c r="DW13" s="15">
        <f>IF(ISNA(VLOOKUP(A13,'Données projet'!$A$165:$I$185,4,0)),0,VLOOKUP(A13,'Données projet'!$A$165:$I$185,4,0))</f>
        <v>0</v>
      </c>
      <c r="DX13" s="16">
        <f>IF(ISNA(VLOOKUP(A13,'Données projet'!$A$165:$I$185,5,0)),0%,VLOOKUP(A13,'Données projet'!$A$165:$I$185,5,0)*VLOOKUP('Données projet'!$B$14,Paramètres!$A$1:$I$89,7,0))</f>
        <v>0</v>
      </c>
      <c r="DY13" s="16">
        <f>IF(ISNA(VLOOKUP(A13,'Données projet'!$A$165:$I$185,6,0)),0%,VLOOKUP(A13,'Données projet'!$A$165:$I$185,6,0)*VLOOKUP('Données projet'!$B$14,Paramètres!$A$1:$I$89,7,0))</f>
        <v>0</v>
      </c>
      <c r="DZ13" s="16">
        <f>IF(ISNA(VLOOKUP(A13,'Données projet'!$A$165:$I$185,7,0)),0%,VLOOKUP(A13,'Données projet'!$A$165:$I$185,7,0))</f>
        <v>0</v>
      </c>
      <c r="EA13" s="21">
        <f>EXP(-LN(2)/35)*EA12+(1-EXP(-LN(2)/35))/(LN(2)/35)*DW13*DX13*VLOOKUP('Données projet'!$B$14,Paramètres!$A$1:$I$89,3,0)*0.475*44/12</f>
        <v>0</v>
      </c>
      <c r="EB13" s="21">
        <f>EXP(-LN(2)/25)*EB12+(1-EXP(-LN(2)/25))/(LN(2)/25)*Calculateur!DW13*Calculateur!DY13*VLOOKUP('Données projet'!$B$14,Paramètres!$A$1:$I$89,3,0)*0.475*44/12</f>
        <v>0</v>
      </c>
      <c r="EC13" s="21">
        <f>EXP(-LN(2)/2)*EC12+(1-EXP(-LN(2)/2))/(LN(2)/2)*DW13*DZ13*VLOOKUP('Données projet'!$B$14,Paramètres!$A$1:$I$89,3,0)*0.475*44/12</f>
        <v>0</v>
      </c>
      <c r="ED13" s="22">
        <f t="shared" si="18"/>
        <v>0</v>
      </c>
      <c r="EE13" s="75">
        <f>('Scénario référence'!$F$8+'Scénario référence'!$F$9+'Scénario référence'!$B$17+'Scénario référence'!$B$9+'Scénario référence'!$B$10)*70+IF((45+25*(1-EXP(-0.0175*A13)))&lt;70,'Scénario référence'!$B$16*(45+25*(1-EXP(-0.0175*A13))),70*'Scénario référence'!$B$16)+IF((32+38*(1-EXP(-0.0175*A13)))&lt;70,'Scénario référence'!$B$18*(32+38*(1-EXP(-0.0175*A13))),70*'Scénario référence'!$B$18)</f>
        <v>70</v>
      </c>
      <c r="EF13" s="12">
        <f>IF(A13&gt;30,10,('Scénario référence'!$B$16+'Scénario référence'!$B$17+'Scénario référence'!$B$18+'Scénario référence'!$B$9+'Scénario référence'!$B$10)*A13*10/30+('Scénario référence'!$F$8+'Scénario référence'!$F$9)*10)</f>
        <v>10</v>
      </c>
      <c r="EG13" s="12" t="e">
        <f>VLOOKUP(A13,'Données projet'!$A$191:$I$211,2,0)</f>
        <v>#N/A</v>
      </c>
      <c r="EH13" s="12" t="e">
        <f>VLOOKUP(A13,'Données projet'!$A$191:$I$211,9,0)</f>
        <v>#N/A</v>
      </c>
      <c r="EI13" s="12">
        <f t="array" ref="EI13">INDEX(EH:EH,MIN(IF(ISNUMBER(EH13:EH209),ROW(EH13:EH209),"")))</f>
        <v>2.9333333333333331</v>
      </c>
      <c r="EJ13" s="12">
        <f>IF('Données projet'!$A$192&gt;35,EJ12+EI13-ER12,IF(A13&lt;'Données projet'!$A$192,$EG$205^A13,IF(A13='Données projet'!$A$192,'Données projet'!$B$192,EJ12+EI13-ER12)))</f>
        <v>12.4633593687395</v>
      </c>
      <c r="EK13" s="17">
        <f>EJ13*VLOOKUP('Données projet'!$B$15,Paramètres!$A$1:$I$89,3,0)*VLOOKUP('Données projet'!$B$15,Paramètres!$A$1:$I$89,5,0)</f>
        <v>10.110277119921482</v>
      </c>
      <c r="EL13" s="13">
        <f t="shared" si="45"/>
        <v>3.5592681174869267</v>
      </c>
      <c r="EM13" s="20">
        <f t="shared" si="19"/>
        <v>23.807791288486314</v>
      </c>
      <c r="EN13" s="59">
        <f t="shared" si="20"/>
        <v>317.14112462181964</v>
      </c>
      <c r="EO13" s="59">
        <f ca="1">AVERAGE(OFFSET($EN$3,0,0,'Données projet'!$E$15+1,1))-AVERAGE(OFFSET($H$3,0,0,'Données projet'!$E$15+1,1))</f>
        <v>205.5272583787887</v>
      </c>
      <c r="EP13" s="59">
        <f t="shared" si="46"/>
        <v>180.54762778843178</v>
      </c>
      <c r="EQ13" s="15">
        <f>IF(ISNA(VLOOKUP(A13,'Données projet'!$A$191:$I$211,3,0)),0,VLOOKUP(A13,'Données projet'!$A$191:$I$211,3,0))</f>
        <v>0</v>
      </c>
      <c r="ER13" s="15">
        <f>IF(ISNA(VLOOKUP(A13,'Données projet'!$A$191:$I$211,4,0)),0,VLOOKUP(A13,'Données projet'!$A$191:$I$211,4,0))</f>
        <v>0</v>
      </c>
      <c r="ES13" s="16">
        <f>IF(ISNA(VLOOKUP(A13,'Données projet'!$A$191:$I$211,5,0)),0%,VLOOKUP(A13,'Données projet'!$A$191:$I$211,5,0)*VLOOKUP('Données projet'!$B$15,Paramètres!$A$1:$I$89,7,0))</f>
        <v>0</v>
      </c>
      <c r="ET13" s="16">
        <f>IF(ISNA(VLOOKUP(A13,'Données projet'!$A$191:$I$211,6,0)),0%,VLOOKUP(A13,'Données projet'!$A$191:$I$211,6,0)*VLOOKUP('Données projet'!$B$15,Paramètres!$A$1:$I$89,7,0))</f>
        <v>0</v>
      </c>
      <c r="EU13" s="16">
        <f>IF(ISNA(VLOOKUP(A13,'Données projet'!$A$191:$I$211,7,0)),0%,VLOOKUP(A13,'Données projet'!$A$191:$I$211,7,0))</f>
        <v>0</v>
      </c>
      <c r="EV13" s="21">
        <f>EXP(-LN(2)/35)*EV12+(1-EXP(-LN(2)/35))/(LN(2)/35)*ER13*ES13*VLOOKUP('Données projet'!$B$15,Paramètres!$A$1:$I$89,3,0)*0.475*44/12</f>
        <v>0</v>
      </c>
      <c r="EW13" s="21">
        <f>EXP(-LN(2)/25)*EW12+(1-EXP(-LN(2)/25))/(LN(2)/25)*Calculateur!ER13*Calculateur!ET13*VLOOKUP('Données projet'!$B$15,Paramètres!$A$1:$I$89,3,0)*0.475*44/12</f>
        <v>0</v>
      </c>
      <c r="EX13" s="21">
        <f>EXP(-LN(2)/2)*EX12+(1-EXP(-LN(2)/2))/(LN(2)/2)*ER13*EU13*VLOOKUP('Données projet'!$B$15,Paramètres!$A$1:$I$89,3,0)*0.475*44/12</f>
        <v>0</v>
      </c>
      <c r="EY13" s="22">
        <f t="shared" si="21"/>
        <v>0</v>
      </c>
      <c r="EZ13" s="75">
        <f>('Scénario référence'!$F$8+'Scénario référence'!$F$9+'Scénario référence'!$B$17+'Scénario référence'!$B$9+'Scénario référence'!$B$10)*70+IF((45+25*(1-EXP(-0.0175*A13)))&lt;70,'Scénario référence'!$B$16*(45+25*(1-EXP(-0.0175*A13))),70*'Scénario référence'!$B$16)+IF((32+38*(1-EXP(-0.0175*A13)))&lt;70,'Scénario référence'!$B$18*(32+38*(1-EXP(-0.0175*A13))),70*'Scénario référence'!$B$18)</f>
        <v>70</v>
      </c>
      <c r="FA13" s="12">
        <f>IF(A13&gt;30,10,('Scénario référence'!$B$16+'Scénario référence'!$B$17+'Scénario référence'!$B$18+'Scénario référence'!$B$9+'Scénario référence'!$B$10)*A13*10/30+('Scénario référence'!$F$8+'Scénario référence'!$F$9)*10)</f>
        <v>10</v>
      </c>
      <c r="FB13" s="12" t="e">
        <f>VLOOKUP(A13,'Données projet'!$A$217:$I$237,2,0)</f>
        <v>#N/A</v>
      </c>
      <c r="FC13" s="12" t="e">
        <f>VLOOKUP(A13,'Données projet'!$A$217:$I$237,9,0)</f>
        <v>#N/A</v>
      </c>
      <c r="FD13" s="12">
        <f t="array" ref="FD13">INDEX(FC:FC,MIN(IF(ISNUMBER(FC13:FC209),ROW(FC13:FC209),"")))</f>
        <v>1.7333333333333334</v>
      </c>
      <c r="FE13" s="12">
        <f>IF('Données projet'!$A$218&gt;35,FE12+FD13-FM12,IF(A13&lt;'Données projet'!$A$218,$FB$205^A13,IF(A13='Données projet'!$A$218,'Données projet'!$B$218,FE12+FD13-FM12)))</f>
        <v>8.7763829553291259</v>
      </c>
      <c r="FF13" s="17">
        <f>FE13*VLOOKUP('Données projet'!$B$16,Paramètres!$A$1:$I$89,3,0)*VLOOKUP('Données projet'!$B$16,Paramètres!$A$1:$I$89,5,0)</f>
        <v>7.5301365756723904</v>
      </c>
      <c r="FG13" s="13">
        <f t="shared" si="47"/>
        <v>2.7434374697977089</v>
      </c>
      <c r="FH13" s="20">
        <f t="shared" si="22"/>
        <v>17.893141462527087</v>
      </c>
      <c r="FI13" s="59">
        <f t="shared" si="23"/>
        <v>311.22647479586038</v>
      </c>
      <c r="FJ13" s="59">
        <f ca="1">AVERAGE(OFFSET($FI$3,0,0,'Données projet'!$E$16+1,1))-AVERAGE(OFFSET($H$3,0,0,'Données projet'!$E$16+1,1))</f>
        <v>383.97627237444709</v>
      </c>
      <c r="FK13" s="59">
        <f t="shared" si="48"/>
        <v>203.35476578922339</v>
      </c>
      <c r="FL13" s="15">
        <f>IF(ISNA(VLOOKUP(A13,'Données projet'!$A$217:$I$237,3,0)),0,VLOOKUP(A13,'Données projet'!$A$217:$I$237,3,0))</f>
        <v>0</v>
      </c>
      <c r="FM13" s="15">
        <f>IF(ISNA(VLOOKUP(A13,'Données projet'!$A$217:$I$237,4,0)),0,VLOOKUP(A13,'Données projet'!$A$217:$I$237,4,0))</f>
        <v>0</v>
      </c>
      <c r="FN13" s="16">
        <f>IF(ISNA(VLOOKUP(A13,'Données projet'!$A$217:$I$237,5,0)),0%,VLOOKUP(A13,'Données projet'!$A$217:$I$237,5,0)*VLOOKUP('Données projet'!$B$16,Paramètres!$A$1:$I$89,7,0))</f>
        <v>0</v>
      </c>
      <c r="FO13" s="16">
        <f>IF(ISNA(VLOOKUP(A13,'Données projet'!$A$217:$I$237,6,0)),0%,VLOOKUP(A13,'Données projet'!$A$217:$I$237,6,0)*VLOOKUP('Données projet'!$B$16,Paramètres!$A$1:$I$89,7,0))</f>
        <v>0</v>
      </c>
      <c r="FP13" s="16">
        <f>IF(ISNA(VLOOKUP(A13,'Données projet'!$A$217:$I$237,7,0)),0%,VLOOKUP(A13,'Données projet'!$A$217:$I$237,7,0))</f>
        <v>0</v>
      </c>
      <c r="FQ13" s="21">
        <f>EXP(-LN(2)/35)*FQ12+(1-EXP(-LN(2)/35))/(LN(2)/35)*FM13*FN13*VLOOKUP('Données projet'!$B$16,Paramètres!$A$1:$I$89,3,0)*0.475*44/12</f>
        <v>0</v>
      </c>
      <c r="FR13" s="21">
        <f>EXP(-LN(2)/25)*FR12+(1-EXP(-LN(2)/25))/(LN(2)/25)*Calculateur!FM13*Calculateur!FO13*VLOOKUP('Données projet'!$B$16,Paramètres!$A$1:$I$89,3,0)*0.475*44/12</f>
        <v>0</v>
      </c>
      <c r="FS13" s="21">
        <f>EXP(-LN(2)/2)*FS12+(1-EXP(-LN(2)/2))/(LN(2)/2)*FM13*FP13*VLOOKUP('Données projet'!$B$16,Paramètres!$A$1:$I$89,3,0)*0.475*44/12</f>
        <v>0</v>
      </c>
      <c r="FT13" s="22">
        <f t="shared" si="24"/>
        <v>0</v>
      </c>
      <c r="FU13" s="75">
        <f>('Scénario référence'!$F$8+'Scénario référence'!$F$9+'Scénario référence'!$B$17+'Scénario référence'!$B$9+'Scénario référence'!$B$10)*70+IF((45+25*(1-EXP(-0.0175*A13)))&lt;70,'Scénario référence'!$B$16*(45+25*(1-EXP(-0.0175*A13))),70*'Scénario référence'!$B$16)+IF((32+38*(1-EXP(-0.0175*A13)))&lt;70,'Scénario référence'!$B$18*(32+38*(1-EXP(-0.0175*A13))),70*'Scénario référence'!$B$18)</f>
        <v>70</v>
      </c>
      <c r="FV13" s="12">
        <f>IF(A13&gt;30,10,('Scénario référence'!$B$16+'Scénario référence'!$B$17+'Scénario référence'!$B$18+'Scénario référence'!$B$9+'Scénario référence'!$B$10)*A13*10/30+('Scénario référence'!$F$8+'Scénario référence'!$F$9)*10)</f>
        <v>10</v>
      </c>
      <c r="FW13" s="12" t="e">
        <f>VLOOKUP(A13,'Données projet'!$A$243:$I$263,2,0)</f>
        <v>#N/A</v>
      </c>
      <c r="FX13" s="12" t="e">
        <f>VLOOKUP(A13,'Données projet'!$A$243:$I$263,9,0)</f>
        <v>#N/A</v>
      </c>
      <c r="FY13" s="12">
        <f t="array" ref="FY13">INDEX(FX:FX,MIN(IF(ISNUMBER(FX13:FX209),ROW(FX13:FX209),"")))</f>
        <v>4.0628205128205126</v>
      </c>
      <c r="FZ13" s="12">
        <f>IF('Données projet'!$A$244&gt;35,FZ12+FY13-GH12,IF(A13&lt;'Données projet'!$A$244,$FW$205^A13,IF(A13='Données projet'!$A$244,'Données projet'!$B$244,FZ12+FY13-GH12)))</f>
        <v>4.9581115906815549</v>
      </c>
      <c r="GA13" s="17">
        <f>FZ13*VLOOKUP('Données projet'!$B$17,Paramètres!$A$1:$I$89,3,0)*VLOOKUP('Données projet'!$B$17,Paramètres!$A$1:$I$89,5,0)</f>
        <v>5.3369113162096253</v>
      </c>
      <c r="GB13" s="13">
        <f t="shared" si="49"/>
        <v>2.023883438848963</v>
      </c>
      <c r="GC13" s="20">
        <f t="shared" si="25"/>
        <v>12.820050865060374</v>
      </c>
      <c r="GD13" s="59">
        <f t="shared" si="26"/>
        <v>306.15338419839367</v>
      </c>
      <c r="GE13" s="59">
        <f ca="1">AVERAGE(OFFSET($GD$3,0,0,'Données projet'!$E$17+1,1))-AVERAGE(OFFSET($H$3,0,0,'Données projet'!$E$17+1,1))</f>
        <v>286.77702855541287</v>
      </c>
      <c r="GF13" s="59">
        <f t="shared" si="50"/>
        <v>227.12211541860779</v>
      </c>
      <c r="GG13" s="15">
        <f>IF(ISNA(VLOOKUP(A13,'Données projet'!$A$243:$I$263,3,0)),0,VLOOKUP(A13,'Données projet'!$A$243:$I$263,3,0))</f>
        <v>0</v>
      </c>
      <c r="GH13" s="15">
        <f>IF(ISNA(VLOOKUP(A13,'Données projet'!$A$243:$I$263,4,0)),0,VLOOKUP(A13,'Données projet'!$A$243:$I$263,4,0))</f>
        <v>0</v>
      </c>
      <c r="GI13" s="16">
        <f>IF(ISNA(VLOOKUP(A13,'Données projet'!$A$243:$I$263,5,0)),0%,VLOOKUP(A13,'Données projet'!$A$243:$I$263,5,0)*VLOOKUP('Données projet'!$B$17,Paramètres!$A$1:$I$89,7,0))</f>
        <v>0</v>
      </c>
      <c r="GJ13" s="16">
        <f>IF(ISNA(VLOOKUP(A13,'Données projet'!$A$243:$I$263,6,0)),0%,VLOOKUP(A13,'Données projet'!$A$243:$I$263,6,0)*VLOOKUP('Données projet'!$B$17,Paramètres!$A$1:$I$89,7,0))</f>
        <v>0</v>
      </c>
      <c r="GK13" s="16">
        <f>IF(ISNA(VLOOKUP(A13,'Données projet'!$A$243:$I$263,7,0)),0%,VLOOKUP(A13,'Données projet'!$A$243:$I$263,7,0))</f>
        <v>0</v>
      </c>
      <c r="GL13" s="21">
        <f>EXP(-LN(2)/35)*GL12+(1-EXP(-LN(2)/35))/(LN(2)/35)*GH13*GI13*VLOOKUP('Données projet'!$B$17,Paramètres!$A$1:$I$89,3,0)*0.475*44/12</f>
        <v>0</v>
      </c>
      <c r="GM13" s="21">
        <f>EXP(-LN(2)/25)*GM12+(1-EXP(-LN(2)/25))/(LN(2)/25)*Calculateur!GH13*Calculateur!GJ13*VLOOKUP('Données projet'!$B$17,Paramètres!$A$1:$I$89,3,0)*0.475*44/12</f>
        <v>0</v>
      </c>
      <c r="GN13" s="21">
        <f>EXP(-LN(2)/2)*GN12+(1-EXP(-LN(2)/2))/(LN(2)/2)*GH13*GK13*VLOOKUP('Données projet'!$B$17,Paramètres!$A$1:$I$89,3,0)*0.475*44/12</f>
        <v>0</v>
      </c>
      <c r="GO13" s="21">
        <f t="shared" si="27"/>
        <v>0</v>
      </c>
      <c r="GP13" s="75">
        <f>('Scénario référence'!$F$8+'Scénario référence'!$F$9+'Scénario référence'!$B$17+'Scénario référence'!$B$9+'Scénario référence'!$B$10)*70+IF((45+25*(1-EXP(-0.0175*A13)))&lt;70,'Scénario référence'!$B$16*(45+25*(1-EXP(-0.0175*A13))),70*'Scénario référence'!$B$16)+IF((32+38*(1-EXP(-0.0175*A13)))&lt;70,'Scénario référence'!$B$18*(32+38*(1-EXP(-0.0175*A13))),70*'Scénario référence'!$B$18)</f>
        <v>70</v>
      </c>
      <c r="GQ13" s="12">
        <f>IF(A13&gt;30,10,('Scénario référence'!$B$16+'Scénario référence'!$B$17+'Scénario référence'!$B$18+'Scénario référence'!$B$9+'Scénario référence'!$B$10)*A13*10/30+('Scénario référence'!$F$8+'Scénario référence'!$F$9)*10)</f>
        <v>10</v>
      </c>
      <c r="GR13" s="12" t="e">
        <f>VLOOKUP(A13,'Données projet'!$A$269:$I$289,2,0)</f>
        <v>#N/A</v>
      </c>
      <c r="GS13" s="12" t="e">
        <f>VLOOKUP(A13,'Données projet'!$A$269:$I$289,9,0)</f>
        <v>#N/A</v>
      </c>
      <c r="GT13" s="12">
        <f t="array" ref="GT13">INDEX(GS:GS,MIN(IF(ISNUMBER(GS13:GS209),ROW(GS13:GS209),"")))</f>
        <v>4.0628205128205126</v>
      </c>
      <c r="GU13" s="12">
        <f>IF('Données projet'!$A$270&gt;35,GU12+GT13-HC12,IF(A13&lt;'Données projet'!$A$270,$GR$205^A13,IF(A13='Données projet'!$A$270,'Données projet'!$B$270,GU12+GT13-HC12)))</f>
        <v>4.9581115906815549</v>
      </c>
      <c r="GV13" s="17">
        <f>GU13*VLOOKUP('Données projet'!$B$18,Paramètres!$A$1:$I$89,3,0)*VLOOKUP('Données projet'!$B$18,Paramètres!$A$1:$I$89,5,0)</f>
        <v>5.3369113162096253</v>
      </c>
      <c r="GW13" s="13">
        <f t="shared" si="51"/>
        <v>2.023883438848963</v>
      </c>
      <c r="GX13" s="20">
        <f t="shared" si="28"/>
        <v>12.820050865060374</v>
      </c>
      <c r="GY13" s="59">
        <f t="shared" si="29"/>
        <v>306.15338419839367</v>
      </c>
      <c r="GZ13" s="59">
        <f ca="1">AVERAGE(OFFSET($GY$3,0,0,'Données projet'!$E$18+1,1))-AVERAGE(OFFSET($H$3,0,0,'Données projet'!$E$18+1,1))</f>
        <v>286.77702855541287</v>
      </c>
      <c r="HA13" s="59">
        <f t="shared" si="52"/>
        <v>227.12211541860779</v>
      </c>
      <c r="HB13" s="15">
        <f>IF(ISNA(VLOOKUP(A13,'Données projet'!$A$269:$I$289,3,0)),0,VLOOKUP(A13,'Données projet'!$A$269:$I$289,3,0))</f>
        <v>0</v>
      </c>
      <c r="HC13" s="15">
        <f>IF(ISNA(VLOOKUP(A13,'Données projet'!$A$269:$I$289,4,0)),0,VLOOKUP(A13,'Données projet'!$A$269:$I$289,4,0))</f>
        <v>0</v>
      </c>
      <c r="HD13" s="16">
        <f>IF(ISNA(VLOOKUP(A13,'Données projet'!$A$269:$I$289,5,0)),0%,VLOOKUP(A13,'Données projet'!$A$269:$I$289,5,0)*VLOOKUP('Données projet'!$B$18,Paramètres!$A$1:$I$89,7,0))</f>
        <v>0</v>
      </c>
      <c r="HE13" s="16">
        <f>IF(ISNA(VLOOKUP(A13,'Données projet'!$A$269:$I$289,6,0)),0%,VLOOKUP(A13,'Données projet'!$A$269:$I$289,6,0)*VLOOKUP('Données projet'!$B$18,Paramètres!$A$1:$I$89,7,0))</f>
        <v>0</v>
      </c>
      <c r="HF13" s="16">
        <f>IF(ISNA(VLOOKUP(A13,'Données projet'!$A$269:$I$289,7,0)),0%,VLOOKUP(A13,'Données projet'!$A$269:$I$289,7,0))</f>
        <v>0</v>
      </c>
      <c r="HG13" s="21">
        <f>EXP(-LN(2)/35)*HG12+(1-EXP(-LN(2)/35))/(LN(2)/35)*HC13*HD13*VLOOKUP('Données projet'!$B$18,Paramètres!$A$1:$I$89,3,0)*0.475*44/12</f>
        <v>0</v>
      </c>
      <c r="HH13" s="21">
        <f>EXP(-LN(2)/25)*HH12+(1-EXP(-LN(2)/25))/(LN(2)/25)*Calculateur!HC13*Calculateur!HE13*VLOOKUP('Données projet'!$B$18,Paramètres!$A$1:$I$89,3,0)*0.475*44/12</f>
        <v>0</v>
      </c>
      <c r="HI13" s="21">
        <f>EXP(-LN(2)/2)*HI12+(1-EXP(-LN(2)/2))/(LN(2)/2)*HC13*HF13*VLOOKUP('Données projet'!$B$18,Paramètres!$A$1:$I$89,3,0)*0.475*44/12</f>
        <v>0</v>
      </c>
      <c r="HJ13" s="22">
        <f t="shared" si="30"/>
        <v>0</v>
      </c>
    </row>
    <row r="14" spans="1:218" x14ac:dyDescent="0.25">
      <c r="A14" s="10">
        <f t="shared" si="31"/>
        <v>11</v>
      </c>
      <c r="B14" s="73">
        <f>'Scénario référence'!$B$16*5+'Scénario référence'!$B$17*0+'Scénario référence'!$B$18*5</f>
        <v>0</v>
      </c>
      <c r="C14" s="19">
        <f>Calculateur!C13+'Scénario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9.7812000000000001</v>
      </c>
      <c r="D14" s="11">
        <f t="shared" si="32"/>
        <v>3.4567069199829903</v>
      </c>
      <c r="E1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4" s="11">
        <f>IF(OR('Scénario référence'!$F$8&gt;0,'Scénario référence'!$F$9&gt;0),('Scénario référence'!$F$8+'Scénario référence'!$F$9)*10,0)</f>
        <v>10</v>
      </c>
      <c r="G14" s="11">
        <f>'Scénario référence'!$B$8*B14*44/12+'Scénario référence'!$B$9*(C14+D14)/0.475*44/12+'Scénario référence'!$B$10*(C14+D14)/0.475*44/12+'Scénario référence'!$F$8*(C14+D14)/0.475*44/12+'Scénario référence'!$F$9*(C14+D14)/0.475*44/12</f>
        <v>102.18735166302658</v>
      </c>
      <c r="H14" s="67">
        <f t="shared" si="1"/>
        <v>316.3893545523037</v>
      </c>
      <c r="I14" s="70">
        <f>('Scénario référence'!$F$8+'Scénario référence'!$F$9+'Scénario référence'!$B$17+'Scénario référence'!$B$9+'Scénario référence'!$B$10)*70+IF((45+25*(1-EXP(-0.0175*A14)))&lt;70,'Scénario référence'!$B$16*(45+25*(1-EXP(-0.0175*A14))),70*'Scénario référence'!$B$16)+IF((32+38*(1-EXP(-0.0175*A14)))&lt;70,'Scénario référence'!$B$18*(32+38*(1-EXP(-0.0175*A14))),70*'Scénario référence'!$B$18)</f>
        <v>70</v>
      </c>
      <c r="J14" s="13">
        <f>IF(A14&gt;30,10,('Scénario référence'!$B$16+'Scénario référence'!$B$17+'Scénario référence'!$B$18+'Scénario référence'!$B$9+'Scénario référence'!$B$10)*A14*10/30+('Scénario référence'!$F$8+'Scénario référence'!$F$9)*10)</f>
        <v>10</v>
      </c>
      <c r="K14" s="12" t="e">
        <f>VLOOKUP(A14,'Données projet'!$A$35:$I$55,2,0)</f>
        <v>#N/A</v>
      </c>
      <c r="L14" s="12" t="e">
        <f>VLOOKUP(A14,'Données projet'!$A$35:$I$55,9,0)</f>
        <v>#N/A</v>
      </c>
      <c r="M14" s="12">
        <f t="array" ref="M14">INDEX(L:L,MIN(IF(ISNUMBER(L14:L210),ROW(L14:L210),"")))</f>
        <v>9.3968325791855207</v>
      </c>
      <c r="N14" s="13">
        <f>IF('Données projet'!$A$36&gt;35,N13+M14-V13,IF(A14&lt;'Données projet'!$A$36,$K$205^A14,IF(A14='Données projet'!$A$36,'Données projet'!$B$36,N13+M14-V13)))</f>
        <v>26.653183494001031</v>
      </c>
      <c r="O14" s="13">
        <f>N14*VLOOKUP('Données projet'!$B$9,Paramètres!$A$1:$I$89,3,0)*VLOOKUP('Données projet'!$B$9,Paramètres!$A$1:$I$89,5,0)</f>
        <v>14.899129573146578</v>
      </c>
      <c r="P14" s="13">
        <f t="shared" si="33"/>
        <v>5.013684872256877</v>
      </c>
      <c r="Q14" s="20">
        <f t="shared" si="2"/>
        <v>34.681485159077681</v>
      </c>
      <c r="R14" s="59">
        <f t="shared" si="0"/>
        <v>328.014818492411</v>
      </c>
      <c r="S14" s="59">
        <f ca="1">AVERAGE(OFFSET($R$3,0,0,'Données projet'!$E$9+1,1))-AVERAGE(OFFSET($H$3,0,0,'Données projet'!$E$9+1,1))</f>
        <v>255.5374979188561</v>
      </c>
      <c r="T14" s="59">
        <f t="shared" si="34"/>
        <v>343.10418468620901</v>
      </c>
      <c r="U14" s="15">
        <f>IF(ISNA(VLOOKUP(A14,'Données projet'!$A$35:$I$55,3,0)),0,VLOOKUP(A14,'Données projet'!$A$35:$I$55,3,0))</f>
        <v>0</v>
      </c>
      <c r="V14" s="15">
        <f>IF(ISNA(VLOOKUP(A14,'Données projet'!$A$35:$I$55,4,0)),0,VLOOKUP(A14,'Données projet'!$A$35:$I$55,4,0))</f>
        <v>0</v>
      </c>
      <c r="W14" s="16">
        <f>IF(ISNA(VLOOKUP(A14,'Données projet'!$A$35:$I$55,5,0)),0%,VLOOKUP(A14,'Données projet'!$A$35:$I$55,5,0)*VLOOKUP('Données projet'!$B$9,Paramètres!$A$1:$I$89,7,0))</f>
        <v>0</v>
      </c>
      <c r="X14" s="16">
        <f>IF(ISNA(VLOOKUP(A14,'Données projet'!$A$35:$I$55,6,0)),0%,VLOOKUP(A14,'Données projet'!$A$35:$I$55,6,0)*VLOOKUP('Données projet'!$B$9,Paramètres!$A$1:$I$89,7,0))</f>
        <v>0</v>
      </c>
      <c r="Y14" s="16">
        <f>IF(ISNA(VLOOKUP(A14,'Données projet'!$A$35:$I$55,7,0)),0%,VLOOKUP(A14,'Données projet'!$A$35:$I$55,7,0))</f>
        <v>0</v>
      </c>
      <c r="Z14" s="21">
        <f>EXP(-LN(2)/35)*Z13+(1-EXP(-LN(2)/35))/(LN(2)/35)*V14*W14*VLOOKUP('Données projet'!$B$9,Paramètres!$A$1:$I$89,3,0)*0.475*44/12</f>
        <v>0</v>
      </c>
      <c r="AA14" s="21">
        <f>EXP(-LN(2)/25)*AA13+(1-EXP(-LN(2)/25))/(LN(2)/25)*Calculateur!V14*Calculateur!X14*VLOOKUP('Données projet'!$B$9,Paramètres!$A$1:$I$89,3,0)*0.475*44/12</f>
        <v>0</v>
      </c>
      <c r="AB14" s="21">
        <f>EXP(-LN(2)/2)*AB13+(1-EXP(-LN(2)/2))/(LN(2)/2)*V14*Y14*VLOOKUP('Données projet'!$B$9,Paramètres!$A$1:$I$89,3,0)*0.475*44/12</f>
        <v>0</v>
      </c>
      <c r="AC14" s="22">
        <f t="shared" si="3"/>
        <v>0</v>
      </c>
      <c r="AD14" s="13">
        <f>('Scénario référence'!$F$8+'Scénario référence'!$F$9+'Scénario référence'!$B$17+'Scénario référence'!$B$9+'Scénario référence'!$B$10)*70+IF((45+25*(1-EXP(-0.0175*A14)))&lt;70,'Scénario référence'!$B$16*(45+25*(1-EXP(-0.0175*A14))),70*'Scénario référence'!$B$16)+IF((32+38*(1-EXP(-0.0175*A14)))&lt;70,'Scénario référence'!$B$18*(32+38*(1-EXP(-0.0175*A14))),70*'Scénario référence'!$B$18)</f>
        <v>70</v>
      </c>
      <c r="AE14" s="13">
        <f>IF(A14&gt;30,10,('Scénario référence'!$B$16+'Scénario référence'!$B$17+'Scénario référence'!$B$18+'Scénario référence'!$B$9+'Scénario référence'!$B$10)*A14*10/30+('Scénario référence'!$F$8+'Scénario référence'!$F$9)*10)</f>
        <v>10</v>
      </c>
      <c r="AF14" s="12" t="e">
        <f>VLOOKUP(A14,'Données projet'!$A$61:$I$81,2,0)</f>
        <v>#N/A</v>
      </c>
      <c r="AG14" s="12" t="e">
        <f>VLOOKUP(A14,'Données projet'!$A$61:$I$81,9,0)</f>
        <v>#N/A</v>
      </c>
      <c r="AH14" s="12">
        <f t="array" ref="AH14">INDEX(AG:AG,MIN(IF(ISNUMBER(AG14:AG210),ROW(AG14:AG210),"")))</f>
        <v>13.2</v>
      </c>
      <c r="AI14" s="13">
        <f>IF('Données projet'!$A$62&gt;35,AI13+AH14-AQ13,IF(A14&lt;'Données projet'!$A$62,$AF$205^A14,IF(A14='Données projet'!$A$62,'Données projet'!$B$62,AI13+AH14-AQ13)))</f>
        <v>39.200000000000003</v>
      </c>
      <c r="AJ14" s="13">
        <f>AI14*VLOOKUP('Données projet'!$B$10,Paramètres!$A$1:$I$89,3,0)*VLOOKUP('Données projet'!$B$10,Paramètres!$A$1:$I$89,5,0)</f>
        <v>24.460799999999999</v>
      </c>
      <c r="AK14" s="13">
        <f t="shared" si="35"/>
        <v>7.7697087087225771</v>
      </c>
      <c r="AL14" s="20">
        <f t="shared" si="4"/>
        <v>56.134802667691815</v>
      </c>
      <c r="AM14" s="59">
        <f t="shared" si="5"/>
        <v>349.46813600102513</v>
      </c>
      <c r="AN14" s="59">
        <f ca="1">AVERAGE(OFFSET($AM$3,0,0,'Données projet'!$E$10+1,1))-AVERAGE(OFFSET($H$3,0,0,'Données projet'!$E$10+1,1))</f>
        <v>261.78489480911571</v>
      </c>
      <c r="AO14" s="59">
        <f t="shared" si="36"/>
        <v>297.50513563712764</v>
      </c>
      <c r="AP14" s="15">
        <f>IF(ISNA(VLOOKUP(A14,'Données projet'!$A$61:$I$81,3,0)),0,VLOOKUP(A14,'Données projet'!$A$61:$I$81,3,0))</f>
        <v>0</v>
      </c>
      <c r="AQ14" s="15">
        <f>IF(ISNA(VLOOKUP(A14,'Données projet'!$A$61:$I$81,4,0)),0,VLOOKUP(A14,'Données projet'!$A$61:$I$81,4,0))</f>
        <v>0</v>
      </c>
      <c r="AR14" s="16">
        <f>IF(ISNA(VLOOKUP(A14,'Données projet'!$A$61:$I$81,5,0)),0%,VLOOKUP(A14,'Données projet'!$A$61:$I$81,5,0)*VLOOKUP('Données projet'!$B$10,Paramètres!$A$1:$I$89,7,0))</f>
        <v>0</v>
      </c>
      <c r="AS14" s="16">
        <f>IF(ISNA(VLOOKUP(A14,'Données projet'!$A$61:$I$81,6,0)),0%,VLOOKUP(A14,'Données projet'!$A$61:$I$81,6,0)*VLOOKUP('Données projet'!$B$10,Paramètres!$A$1:$I$89,7,0))</f>
        <v>0</v>
      </c>
      <c r="AT14" s="16">
        <f>IF(ISNA(VLOOKUP(A14,'Données projet'!$A$61:$I$81,7,0)),0%,VLOOKUP(A14,'Données projet'!$A$61:$I$81,7,0))</f>
        <v>0</v>
      </c>
      <c r="AU14" s="21">
        <f>EXP(-LN(2)/35)*AU13+(1-EXP(-LN(2)/35))/(LN(2)/35)*AQ14*AR14*VLOOKUP('Données projet'!$B$10,Paramètres!$A$1:$I$89,3,0)*0.475*44/12</f>
        <v>0</v>
      </c>
      <c r="AV14" s="21">
        <f>EXP(-LN(2)/25)*AV13+(1-EXP(-LN(2)/25))/(LN(2)/25)*Calculateur!AQ14*Calculateur!AS14*VLOOKUP('Données projet'!$B$10,Paramètres!$A$1:$I$89,3,0)*0.475*44/12</f>
        <v>0</v>
      </c>
      <c r="AW14" s="21">
        <f>EXP(-LN(2)/2)*AW13+(1-EXP(-LN(2)/2))/(LN(2)/2)*AQ14*AT14*VLOOKUP('Données projet'!$B$10,Paramètres!$A$1:$I$89,3,0)*0.475*44/12</f>
        <v>0</v>
      </c>
      <c r="AX14" s="21">
        <f t="shared" si="6"/>
        <v>0</v>
      </c>
      <c r="AY14" s="74">
        <f>('Scénario référence'!$F$8+'Scénario référence'!$F$9+'Scénario référence'!$B$17+'Scénario référence'!$B$9+'Scénario référence'!$B$10)*70+IF((45+25*(1-EXP(-0.0175*A14)))&lt;70,'Scénario référence'!$B$16*(45+25*(1-EXP(-0.0175*A14))),70*'Scénario référence'!$B$16)+IF((32+38*(1-EXP(-0.0175*A14)))&lt;70,'Scénario référence'!$B$18*(32+38*(1-EXP(-0.0175*A14))),70*'Scénario référence'!$B$18)</f>
        <v>70</v>
      </c>
      <c r="AZ14" s="12">
        <f>IF(A14&gt;30,10,('Scénario référence'!$B$16+'Scénario référence'!$B$17+'Scénario référence'!$B$18+'Scénario référence'!$B$9+'Scénario référence'!$B$10)*A14*10/30+('Scénario référence'!$F$8+'Scénario référence'!$F$9)*10)</f>
        <v>10</v>
      </c>
      <c r="BA14" s="12" t="e">
        <f>VLOOKUP(A14,'Données projet'!$A$87:$I$107,2,0)</f>
        <v>#N/A</v>
      </c>
      <c r="BB14" s="12" t="e">
        <f>VLOOKUP(A14,'Données projet'!$A$87:$I$107,9,0)</f>
        <v>#N/A</v>
      </c>
      <c r="BC14" s="12">
        <f t="array" ref="BC14">INDEX(BB:BB,MIN(IF(ISNUMBER(BB14:BB210),ROW(BB14:BB210),"")))</f>
        <v>5.3</v>
      </c>
      <c r="BD14" s="12">
        <f>IF('Données projet'!$A$88&gt;35,BD13+BC14-BL13,IF(A14&lt;'Données projet'!$A$88,$BA$205^A14,IF(A14='Données projet'!$A$88,'Données projet'!$B$88,BD13+BC14-BL13)))</f>
        <v>12.999247897658208</v>
      </c>
      <c r="BE14" s="13">
        <f>BD14*VLOOKUP('Données projet'!$B$11,Paramètres!$A$1:$I$89,3,0)*VLOOKUP('Données projet'!$B$11,Paramètres!$A$1:$I$89,5,0)</f>
        <v>7.7735502427996082</v>
      </c>
      <c r="BF14" s="13">
        <f t="shared" si="37"/>
        <v>2.8216515135722404</v>
      </c>
      <c r="BG14" s="20">
        <f t="shared" si="7"/>
        <v>18.453309725680967</v>
      </c>
      <c r="BH14" s="59">
        <f t="shared" si="8"/>
        <v>311.7866430590143</v>
      </c>
      <c r="BI14" s="59">
        <f ca="1">AVERAGE(OFFSET($BH$3,0,0,'Données projet'!$E$11+1,1))-AVERAGE(OFFSET($H$3,0,0,'Données projet'!$E$11+1,1))</f>
        <v>316.58509520829671</v>
      </c>
      <c r="BJ14" s="59">
        <f t="shared" si="38"/>
        <v>240.71332110643596</v>
      </c>
      <c r="BK14" s="15">
        <f>IF(ISNA(VLOOKUP(A14,'Données projet'!$A$87:$I$107,3,0)),0,VLOOKUP(A14,'Données projet'!$A$87:$I$107,3,0))</f>
        <v>0</v>
      </c>
      <c r="BL14" s="15">
        <f>IF(ISNA(VLOOKUP(A14,'Données projet'!$A$87:$I$107,4,0)),0,VLOOKUP(A14,'Données projet'!$A$87:$I$107,4,0))</f>
        <v>0</v>
      </c>
      <c r="BM14" s="16">
        <f>IF(ISNA(VLOOKUP(A14,'Données projet'!$A$87:$I$107,5,0)),0%,VLOOKUP(A14,'Données projet'!$A$87:$I$107,5,0)*VLOOKUP('Données projet'!$B$11,Paramètres!$A$1:$I$89,7,0))</f>
        <v>0</v>
      </c>
      <c r="BN14" s="16">
        <f>IF(ISNA(VLOOKUP(A14,'Données projet'!$A$87:$I$107,6,0)),0%,VLOOKUP(A14,'Données projet'!$A$87:$I$107,6,0)*VLOOKUP('Données projet'!$B$11,Paramètres!$A$1:$I$89,7,0))</f>
        <v>0</v>
      </c>
      <c r="BO14" s="16">
        <f>IF(ISNA(VLOOKUP(A14,'Données projet'!$A$87:$I$107,7,0)),0%,VLOOKUP(A14,'Données projet'!$A$87:$I$107,7,0))</f>
        <v>0</v>
      </c>
      <c r="BP14" s="21">
        <f>EXP(-LN(2)/35)*BP13+(1-EXP(-LN(2)/35))/(LN(2)/35)*BL14*BM14*VLOOKUP('Données projet'!$B$11,Paramètres!$A$1:$I$89,3,0)*0.475*44/12</f>
        <v>0</v>
      </c>
      <c r="BQ14" s="21">
        <f>EXP(-LN(2)/25)*BQ13+(1-EXP(-LN(2)/25))/(LN(2)/25)*Calculateur!BL14*Calculateur!BN14*VLOOKUP('Données projet'!$B$11,Paramètres!$A$1:$I$89,3,0)*0.475*44/12</f>
        <v>0</v>
      </c>
      <c r="BR14" s="21">
        <f>EXP(-LN(2)/2)*BR13+(1-EXP(-LN(2)/2))/(LN(2)/2)*BL14*BO14*VLOOKUP('Données projet'!$B$11,Paramètres!$A$1:$I$89,3,0)*0.475*44/12</f>
        <v>0</v>
      </c>
      <c r="BS14" s="22">
        <f t="shared" si="9"/>
        <v>0</v>
      </c>
      <c r="BT14" s="75">
        <f>('Scénario référence'!$F$8+'Scénario référence'!$F$9+'Scénario référence'!$B$17+'Scénario référence'!$B$9+'Scénario référence'!$B$10)*70+IF((45+25*(1-EXP(-0.0175*A14)))&lt;70,'Scénario référence'!$B$16*(45+25*(1-EXP(-0.0175*A14))),70*'Scénario référence'!$B$16)+IF((32+38*(1-EXP(-0.0175*A14)))&lt;70,'Scénario référence'!$B$18*(32+38*(1-EXP(-0.0175*A14))),70*'Scénario référence'!$B$18)</f>
        <v>70</v>
      </c>
      <c r="BU14" s="12">
        <f>IF(A14&gt;30,10,('Scénario référence'!$B$16+'Scénario référence'!$B$17+'Scénario référence'!$B$18+'Scénario référence'!$B$9+'Scénario référence'!$B$10)*A14*10/30+('Scénario référence'!$F$8+'Scénario référence'!$F$9)*10)</f>
        <v>10</v>
      </c>
      <c r="BV14" s="12" t="e">
        <f>VLOOKUP(A14,'Données projet'!$A$113:$I$133,2,0)</f>
        <v>#N/A</v>
      </c>
      <c r="BW14" s="12" t="e">
        <f>VLOOKUP(A14,'Données projet'!$A$113:$I$133,9,0)</f>
        <v>#N/A</v>
      </c>
      <c r="BX14" s="12">
        <f t="array" ref="BX14">INDEX(BW:BW,MIN(IF(ISNUMBER(BW14:BW210),ROW(BW14:BW210),"")))</f>
        <v>3.2</v>
      </c>
      <c r="BY14" s="12">
        <f>IF('Données projet'!$A$114&gt;35,BY13+BX14-CG13,IF(A14&lt;'Données projet'!$A$114,$BV$205^A14,IF(A14='Données projet'!$A$114,'Données projet'!$B$114,BY13+BX14-CG13)))</f>
        <v>17.096619285019823</v>
      </c>
      <c r="BZ14" s="13">
        <f>BY14*VLOOKUP('Données projet'!$B$12,Paramètres!$A$1:$I$89,3,0)*VLOOKUP('Données projet'!$B$12,Paramètres!$A$1:$I$89,5,0)</f>
        <v>9.7792662310313396</v>
      </c>
      <c r="CA14" s="13">
        <f t="shared" si="39"/>
        <v>3.4561030607496064</v>
      </c>
      <c r="CB14" s="20">
        <f t="shared" si="10"/>
        <v>23.051601516518478</v>
      </c>
      <c r="CC14" s="59">
        <f t="shared" si="11"/>
        <v>316.38493484985179</v>
      </c>
      <c r="CD14" s="59">
        <f ca="1">AVERAGE(OFFSET($CC$3,0,0,'Données projet'!$E$12+1,1))-AVERAGE(OFFSET($H$3,0,0,'Données projet'!$E$12+1,1))</f>
        <v>188.64374818906128</v>
      </c>
      <c r="CE14" s="59">
        <f t="shared" si="40"/>
        <v>211.95157880548652</v>
      </c>
      <c r="CF14" s="15">
        <f>IF(ISNA(VLOOKUP(A14,'Données projet'!$A$113:$I$133,3,0)),0,VLOOKUP(A14,'Données projet'!$A$113:$I$133,3,0))</f>
        <v>0</v>
      </c>
      <c r="CG14" s="15">
        <f>IF(ISNA(VLOOKUP(A14,'Données projet'!$A$113:$I$133,4,0)),0,VLOOKUP(A14,'Données projet'!$A$113:$I$133,4,0))</f>
        <v>0</v>
      </c>
      <c r="CH14" s="16">
        <f>IF(ISNA(VLOOKUP(A14,'Données projet'!$A$113:$I$133,5,0)),0%,VLOOKUP(A14,'Données projet'!$A$113:$I$133,5,0)*VLOOKUP('Données projet'!$B$12,Paramètres!$A$1:$I$89,7,0))</f>
        <v>0</v>
      </c>
      <c r="CI14" s="16">
        <f>IF(ISNA(VLOOKUP(A14,'Données projet'!$A$113:$I$133,6,0)),0%,VLOOKUP(A14,'Données projet'!$A$113:$I$133,6,0)*VLOOKUP('Données projet'!$B$12,Paramètres!$A$1:$I$89,7,0))</f>
        <v>0</v>
      </c>
      <c r="CJ14" s="16">
        <f>IF(ISNA(VLOOKUP(A14,'Données projet'!$A$113:$I$133,7,0)),0%,VLOOKUP(A14,'Données projet'!$A$113:$I$133,7,0))</f>
        <v>0</v>
      </c>
      <c r="CK14" s="21">
        <f>EXP(-LN(2)/35)*CK13+(1-EXP(-LN(2)/35))/(LN(2)/35)*CG14*CH14*VLOOKUP('Données projet'!$B$12,Paramètres!$A$1:$I$89,3,0)*0.475*44/12</f>
        <v>0</v>
      </c>
      <c r="CL14" s="21">
        <f>EXP(-LN(2)/25)*CL13+(1-EXP(-LN(2)/25))/(LN(2)/25)*Calculateur!CG14*Calculateur!CI14*VLOOKUP('Données projet'!$B$12,Paramètres!$A$1:$I$89,3,0)*0.475*44/12</f>
        <v>0</v>
      </c>
      <c r="CM14" s="21">
        <f>EXP(-LN(2)/2)*CM13+(1-EXP(-LN(2)/2))/(LN(2)/2)*CG14*CJ14*VLOOKUP('Données projet'!$B$12,Paramètres!$A$1:$I$89,3,0)*0.475*44/12</f>
        <v>0</v>
      </c>
      <c r="CN14" s="22">
        <f t="shared" si="12"/>
        <v>0</v>
      </c>
      <c r="CO14" s="75">
        <f>('Scénario référence'!$F$8+'Scénario référence'!$F$9+'Scénario référence'!$B$17+'Scénario référence'!$B$9+'Scénario référence'!$B$10)*70+IF((45+25*(1-EXP(-0.0175*A14)))&lt;70,'Scénario référence'!$B$16*(45+25*(1-EXP(-0.0175*A14))),70*'Scénario référence'!$B$16)+IF((32+38*(1-EXP(-0.0175*A14)))&lt;70,'Scénario référence'!$B$18*(32+38*(1-EXP(-0.0175*A14))),70*'Scénario référence'!$B$18)</f>
        <v>70</v>
      </c>
      <c r="CP14" s="12">
        <f>IF(A14&gt;30,10,('Scénario référence'!$B$16+'Scénario référence'!$B$17+'Scénario référence'!$B$18+'Scénario référence'!$B$9+'Scénario référence'!$B$10)*A14*10/30+('Scénario référence'!$F$8+'Scénario référence'!$F$9)*10)</f>
        <v>10</v>
      </c>
      <c r="CQ14" s="12" t="e">
        <f>VLOOKUP(A14,'Données projet'!$A$139:$I$159,2,0)</f>
        <v>#N/A</v>
      </c>
      <c r="CR14" s="12" t="e">
        <f>VLOOKUP(A14,'Données projet'!$A$139:$I$159,9,0)</f>
        <v>#N/A</v>
      </c>
      <c r="CS14" s="12">
        <f t="array" ref="CS14">INDEX(CR:CR,MIN(IF(ISNUMBER(CR14:CR210),ROW(CR14:CR210),"")))</f>
        <v>0</v>
      </c>
      <c r="CT14" s="12">
        <f>IF('Données projet'!$A$140&gt;35,CT13+CS14-DB13,IF(A14&lt;'Données projet'!$A$140,$CQ$205^A14,IF(A14='Données projet'!$A$140,'Données projet'!$B$140,CT13+CS14-DB13)))</f>
        <v>0</v>
      </c>
      <c r="CU14" s="17" t="e">
        <f>CT14*VLOOKUP('Données projet'!$B$13,Paramètres!$A$1:$I$89,3,0)*VLOOKUP('Données projet'!$B$13,Paramètres!$A$1:$I$89,5,0)</f>
        <v>#N/A</v>
      </c>
      <c r="CV14" s="13" t="e">
        <f t="shared" si="41"/>
        <v>#N/A</v>
      </c>
      <c r="CW14" s="20" t="e">
        <f t="shared" si="13"/>
        <v>#N/A</v>
      </c>
      <c r="CX14" s="59" t="e">
        <f t="shared" si="14"/>
        <v>#N/A</v>
      </c>
      <c r="CY14" s="59" t="e">
        <f ca="1">AVERAGE(OFFSET($CX$3,0,0,'Données projet'!$E$13+1,1))-AVERAGE(OFFSET($H$3,0,0,'Données projet'!$E$13+1,1))</f>
        <v>#N/A</v>
      </c>
      <c r="CZ14" s="59" t="e">
        <f t="shared" si="42"/>
        <v>#N/A</v>
      </c>
      <c r="DA14" s="15">
        <f>IF(ISNA(VLOOKUP(A14,'Données projet'!$A$139:$I$159,3,0)),0,VLOOKUP(A14,'Données projet'!$A$139:$I$159,3,0))</f>
        <v>0</v>
      </c>
      <c r="DB14" s="15">
        <f>IF(ISNA(VLOOKUP(A14,'Données projet'!$A$139:$I$159,4,0)),0,VLOOKUP(A14,'Données projet'!$A$139:$I$159,4,0))</f>
        <v>0</v>
      </c>
      <c r="DC14" s="16">
        <f>IF(ISNA(VLOOKUP(A14,'Données projet'!$A$139:$I$159,5,0)),0%,VLOOKUP(A14,'Données projet'!$A$139:$I$159,5,0)*VLOOKUP('Données projet'!$B$13,Paramètres!$A$1:$I$89,7,0))</f>
        <v>0</v>
      </c>
      <c r="DD14" s="16">
        <f>IF(ISNA(VLOOKUP(A14,'Données projet'!$A$139:$I$159,6,0)),0%,VLOOKUP(A14,'Données projet'!$A$139:$I$159,6,0)*VLOOKUP('Données projet'!$B$13,Paramètres!$A$1:$I$89,7,0))</f>
        <v>0</v>
      </c>
      <c r="DE14" s="16">
        <f>IF(ISNA(VLOOKUP(A14,'Données projet'!$A$139:$I$159,7,0)),0%,VLOOKUP(A14,'Données projet'!$A$139:$I$159,7,0))</f>
        <v>0</v>
      </c>
      <c r="DF14" s="21" t="e">
        <f>EXP(-LN(2)/35)*DF13+(1-EXP(-LN(2)/35))/(LN(2)/35)*DB14*DC14*VLOOKUP('Données projet'!$B$13,Paramètres!$A$1:$I$89,3,0)*0.475*44/12</f>
        <v>#N/A</v>
      </c>
      <c r="DG14" s="21" t="e">
        <f>EXP(-LN(2)/25)*DG13+(1-EXP(-LN(2)/25))/(LN(2)/25)*Calculateur!DB14*Calculateur!DD14*VLOOKUP('Données projet'!$B$13,Paramètres!$A$1:$I$89,3,0)*0.475*44/12</f>
        <v>#N/A</v>
      </c>
      <c r="DH14" s="21" t="e">
        <f>EXP(-LN(2)/2)*DH13+(1-EXP(-LN(2)/2))/(LN(2)/2)*DB14*DE14*VLOOKUP('Données projet'!$B$13,Paramètres!$A$1:$I$89,3,0)*0.475*44/12</f>
        <v>#N/A</v>
      </c>
      <c r="DI14" s="22" t="e">
        <f t="shared" si="15"/>
        <v>#N/A</v>
      </c>
      <c r="DJ14" s="75">
        <f>('Scénario référence'!$F$8+'Scénario référence'!$F$9+'Scénario référence'!$B$17+'Scénario référence'!$B$9+'Scénario référence'!$B$10)*70+IF((45+25*(1-EXP(-0.0175*A14)))&lt;70,'Scénario référence'!$B$16*(45+25*(1-EXP(-0.0175*A14))),70*'Scénario référence'!$B$16)+IF((32+38*(1-EXP(-0.0175*A14)))&lt;70,'Scénario référence'!$B$18*(32+38*(1-EXP(-0.0175*A14))),70*'Scénario référence'!$B$18)</f>
        <v>70</v>
      </c>
      <c r="DK14" s="12">
        <f>IF(A14&gt;30,10,('Scénario référence'!$B$16+'Scénario référence'!$B$17+'Scénario référence'!$B$18+'Scénario référence'!$B$9+'Scénario référence'!$B$10)*A14*10/30+('Scénario référence'!$F$8+'Scénario référence'!$F$9)*10)</f>
        <v>10</v>
      </c>
      <c r="DL14" s="12" t="e">
        <f>VLOOKUP(A14,'Données projet'!$A$165:$I$185,2,0)</f>
        <v>#N/A</v>
      </c>
      <c r="DM14" s="12" t="e">
        <f>VLOOKUP(A14,'Données projet'!$A$165:$I$185,9,0)</f>
        <v>#N/A</v>
      </c>
      <c r="DN14" s="12">
        <f t="array" ref="DN14">INDEX(DM:DM,MIN(IF(ISNUMBER(DM14:DM210),ROW(DM14:DM210),"")))</f>
        <v>11</v>
      </c>
      <c r="DO14" s="12">
        <f>IF('Données projet'!$A$166&gt;35,DO13+DN14-DW13,IF(A14&lt;'Données projet'!$A$166,$DL$205^A14,IF(A14='Données projet'!$A$166,'Données projet'!$B$166,DO13+DN14-DW13)))</f>
        <v>24</v>
      </c>
      <c r="DP14" s="17">
        <f>DO14*VLOOKUP('Données projet'!$B$14,Paramètres!$A$1:$I$89,3,0)*VLOOKUP('Données projet'!$B$14,Paramètres!$A$1:$I$89,5,0)</f>
        <v>15.7248</v>
      </c>
      <c r="DQ14" s="13">
        <f t="shared" si="43"/>
        <v>5.2584129176484726</v>
      </c>
      <c r="DR14" s="20">
        <f t="shared" si="16"/>
        <v>36.545762498237757</v>
      </c>
      <c r="DS14" s="59">
        <f t="shared" si="17"/>
        <v>329.87909583157108</v>
      </c>
      <c r="DT14" s="59">
        <f ca="1">AVERAGE(OFFSET($DS$3,0,0,'Données projet'!$E$14+1,1))-AVERAGE(OFFSET($H$3,0,0,'Données projet'!$E$14+1,1))</f>
        <v>188.68915783955595</v>
      </c>
      <c r="DU14" s="59">
        <f t="shared" si="44"/>
        <v>240.82467772396944</v>
      </c>
      <c r="DV14" s="15">
        <f>IF(ISNA(VLOOKUP(A14,'Données projet'!$A$165:$I$185,3,0)),0,VLOOKUP(A14,'Données projet'!$A$165:$I$185,3,0))</f>
        <v>0</v>
      </c>
      <c r="DW14" s="15">
        <f>IF(ISNA(VLOOKUP(A14,'Données projet'!$A$165:$I$185,4,0)),0,VLOOKUP(A14,'Données projet'!$A$165:$I$185,4,0))</f>
        <v>0</v>
      </c>
      <c r="DX14" s="16">
        <f>IF(ISNA(VLOOKUP(A14,'Données projet'!$A$165:$I$185,5,0)),0%,VLOOKUP(A14,'Données projet'!$A$165:$I$185,5,0)*VLOOKUP('Données projet'!$B$14,Paramètres!$A$1:$I$89,7,0))</f>
        <v>0</v>
      </c>
      <c r="DY14" s="16">
        <f>IF(ISNA(VLOOKUP(A14,'Données projet'!$A$165:$I$185,6,0)),0%,VLOOKUP(A14,'Données projet'!$A$165:$I$185,6,0)*VLOOKUP('Données projet'!$B$14,Paramètres!$A$1:$I$89,7,0))</f>
        <v>0</v>
      </c>
      <c r="DZ14" s="16">
        <f>IF(ISNA(VLOOKUP(A14,'Données projet'!$A$165:$I$185,7,0)),0%,VLOOKUP(A14,'Données projet'!$A$165:$I$185,7,0))</f>
        <v>0</v>
      </c>
      <c r="EA14" s="21">
        <f>EXP(-LN(2)/35)*EA13+(1-EXP(-LN(2)/35))/(LN(2)/35)*DW14*DX14*VLOOKUP('Données projet'!$B$14,Paramètres!$A$1:$I$89,3,0)*0.475*44/12</f>
        <v>0</v>
      </c>
      <c r="EB14" s="21">
        <f>EXP(-LN(2)/25)*EB13+(1-EXP(-LN(2)/25))/(LN(2)/25)*Calculateur!DW14*Calculateur!DY14*VLOOKUP('Données projet'!$B$14,Paramètres!$A$1:$I$89,3,0)*0.475*44/12</f>
        <v>0</v>
      </c>
      <c r="EC14" s="21">
        <f>EXP(-LN(2)/2)*EC13+(1-EXP(-LN(2)/2))/(LN(2)/2)*DW14*DZ14*VLOOKUP('Données projet'!$B$14,Paramètres!$A$1:$I$89,3,0)*0.475*44/12</f>
        <v>0</v>
      </c>
      <c r="ED14" s="22">
        <f t="shared" si="18"/>
        <v>0</v>
      </c>
      <c r="EE14" s="75">
        <f>('Scénario référence'!$F$8+'Scénario référence'!$F$9+'Scénario référence'!$B$17+'Scénario référence'!$B$9+'Scénario référence'!$B$10)*70+IF((45+25*(1-EXP(-0.0175*A14)))&lt;70,'Scénario référence'!$B$16*(45+25*(1-EXP(-0.0175*A14))),70*'Scénario référence'!$B$16)+IF((32+38*(1-EXP(-0.0175*A14)))&lt;70,'Scénario référence'!$B$18*(32+38*(1-EXP(-0.0175*A14))),70*'Scénario référence'!$B$18)</f>
        <v>70</v>
      </c>
      <c r="EF14" s="12">
        <f>IF(A14&gt;30,10,('Scénario référence'!$B$16+'Scénario référence'!$B$17+'Scénario référence'!$B$18+'Scénario référence'!$B$9+'Scénario référence'!$B$10)*A14*10/30+('Scénario référence'!$F$8+'Scénario référence'!$F$9)*10)</f>
        <v>10</v>
      </c>
      <c r="EG14" s="12" t="e">
        <f>VLOOKUP(A14,'Données projet'!$A$191:$I$211,2,0)</f>
        <v>#N/A</v>
      </c>
      <c r="EH14" s="12" t="e">
        <f>VLOOKUP(A14,'Données projet'!$A$191:$I$211,9,0)</f>
        <v>#N/A</v>
      </c>
      <c r="EI14" s="12">
        <f t="array" ref="EI14">INDEX(EH:EH,MIN(IF(ISNUMBER(EH14:EH210),ROW(EH14:EH210),"")))</f>
        <v>2.9333333333333331</v>
      </c>
      <c r="EJ14" s="12">
        <f>IF('Données projet'!$A$192&gt;35,EJ13+EI14-ER13,IF(A14&lt;'Données projet'!$A$192,$EG$205^A14,IF(A14='Données projet'!$A$192,'Données projet'!$B$192,EJ13+EI14-ER13)))</f>
        <v>16.039788205522726</v>
      </c>
      <c r="EK14" s="17">
        <f>EJ14*VLOOKUP('Données projet'!$B$15,Paramètres!$A$1:$I$89,3,0)*VLOOKUP('Données projet'!$B$15,Paramètres!$A$1:$I$89,5,0)</f>
        <v>13.011476192320037</v>
      </c>
      <c r="EL14" s="13">
        <f t="shared" si="45"/>
        <v>4.4480639590225231</v>
      </c>
      <c r="EM14" s="20">
        <f t="shared" si="19"/>
        <v>30.40869909692162</v>
      </c>
      <c r="EN14" s="59">
        <f t="shared" si="20"/>
        <v>323.74203243025494</v>
      </c>
      <c r="EO14" s="59">
        <f ca="1">AVERAGE(OFFSET($EN$3,0,0,'Données projet'!$E$15+1,1))-AVERAGE(OFFSET($H$3,0,0,'Données projet'!$E$15+1,1))</f>
        <v>205.5272583787887</v>
      </c>
      <c r="EP14" s="59">
        <f t="shared" si="46"/>
        <v>180.54762778843178</v>
      </c>
      <c r="EQ14" s="15">
        <f>IF(ISNA(VLOOKUP(A14,'Données projet'!$A$191:$I$211,3,0)),0,VLOOKUP(A14,'Données projet'!$A$191:$I$211,3,0))</f>
        <v>0</v>
      </c>
      <c r="ER14" s="15">
        <f>IF(ISNA(VLOOKUP(A14,'Données projet'!$A$191:$I$211,4,0)),0,VLOOKUP(A14,'Données projet'!$A$191:$I$211,4,0))</f>
        <v>0</v>
      </c>
      <c r="ES14" s="16">
        <f>IF(ISNA(VLOOKUP(A14,'Données projet'!$A$191:$I$211,5,0)),0%,VLOOKUP(A14,'Données projet'!$A$191:$I$211,5,0)*VLOOKUP('Données projet'!$B$15,Paramètres!$A$1:$I$89,7,0))</f>
        <v>0</v>
      </c>
      <c r="ET14" s="16">
        <f>IF(ISNA(VLOOKUP(A14,'Données projet'!$A$191:$I$211,6,0)),0%,VLOOKUP(A14,'Données projet'!$A$191:$I$211,6,0)*VLOOKUP('Données projet'!$B$15,Paramètres!$A$1:$I$89,7,0))</f>
        <v>0</v>
      </c>
      <c r="EU14" s="16">
        <f>IF(ISNA(VLOOKUP(A14,'Données projet'!$A$191:$I$211,7,0)),0%,VLOOKUP(A14,'Données projet'!$A$191:$I$211,7,0))</f>
        <v>0</v>
      </c>
      <c r="EV14" s="21">
        <f>EXP(-LN(2)/35)*EV13+(1-EXP(-LN(2)/35))/(LN(2)/35)*ER14*ES14*VLOOKUP('Données projet'!$B$15,Paramètres!$A$1:$I$89,3,0)*0.475*44/12</f>
        <v>0</v>
      </c>
      <c r="EW14" s="21">
        <f>EXP(-LN(2)/25)*EW13+(1-EXP(-LN(2)/25))/(LN(2)/25)*Calculateur!ER14*Calculateur!ET14*VLOOKUP('Données projet'!$B$15,Paramètres!$A$1:$I$89,3,0)*0.475*44/12</f>
        <v>0</v>
      </c>
      <c r="EX14" s="21">
        <f>EXP(-LN(2)/2)*EX13+(1-EXP(-LN(2)/2))/(LN(2)/2)*ER14*EU14*VLOOKUP('Données projet'!$B$15,Paramètres!$A$1:$I$89,3,0)*0.475*44/12</f>
        <v>0</v>
      </c>
      <c r="EY14" s="22">
        <f t="shared" si="21"/>
        <v>0</v>
      </c>
      <c r="EZ14" s="75">
        <f>('Scénario référence'!$F$8+'Scénario référence'!$F$9+'Scénario référence'!$B$17+'Scénario référence'!$B$9+'Scénario référence'!$B$10)*70+IF((45+25*(1-EXP(-0.0175*A14)))&lt;70,'Scénario référence'!$B$16*(45+25*(1-EXP(-0.0175*A14))),70*'Scénario référence'!$B$16)+IF((32+38*(1-EXP(-0.0175*A14)))&lt;70,'Scénario référence'!$B$18*(32+38*(1-EXP(-0.0175*A14))),70*'Scénario référence'!$B$18)</f>
        <v>70</v>
      </c>
      <c r="FA14" s="12">
        <f>IF(A14&gt;30,10,('Scénario référence'!$B$16+'Scénario référence'!$B$17+'Scénario référence'!$B$18+'Scénario référence'!$B$9+'Scénario référence'!$B$10)*A14*10/30+('Scénario référence'!$F$8+'Scénario référence'!$F$9)*10)</f>
        <v>10</v>
      </c>
      <c r="FB14" s="12" t="e">
        <f>VLOOKUP(A14,'Données projet'!$A$217:$I$237,2,0)</f>
        <v>#N/A</v>
      </c>
      <c r="FC14" s="12" t="e">
        <f>VLOOKUP(A14,'Données projet'!$A$217:$I$237,9,0)</f>
        <v>#N/A</v>
      </c>
      <c r="FD14" s="12">
        <f t="array" ref="FD14">INDEX(FC:FC,MIN(IF(ISNUMBER(FC14:FC210),ROW(FC14:FC210),"")))</f>
        <v>1.7333333333333334</v>
      </c>
      <c r="FE14" s="12">
        <f>IF('Données projet'!$A$218&gt;35,FE13+FD14-FM13,IF(A14&lt;'Données projet'!$A$218,$FB$205^A14,IF(A14='Données projet'!$A$218,'Données projet'!$B$218,FE13+FD14-FM13)))</f>
        <v>10.905538664638895</v>
      </c>
      <c r="FF14" s="17">
        <f>FE14*VLOOKUP('Données projet'!$B$16,Paramètres!$A$1:$I$89,3,0)*VLOOKUP('Données projet'!$B$16,Paramètres!$A$1:$I$89,5,0)</f>
        <v>9.356952174260174</v>
      </c>
      <c r="FG14" s="13">
        <f t="shared" si="47"/>
        <v>3.3238883649002648</v>
      </c>
      <c r="FH14" s="20">
        <f t="shared" si="22"/>
        <v>22.085797272371096</v>
      </c>
      <c r="FI14" s="59">
        <f t="shared" si="23"/>
        <v>315.41913060570442</v>
      </c>
      <c r="FJ14" s="59">
        <f ca="1">AVERAGE(OFFSET($FI$3,0,0,'Données projet'!$E$16+1,1))-AVERAGE(OFFSET($H$3,0,0,'Données projet'!$E$16+1,1))</f>
        <v>383.97627237444709</v>
      </c>
      <c r="FK14" s="59">
        <f t="shared" si="48"/>
        <v>203.35476578922339</v>
      </c>
      <c r="FL14" s="15">
        <f>IF(ISNA(VLOOKUP(A14,'Données projet'!$A$217:$I$237,3,0)),0,VLOOKUP(A14,'Données projet'!$A$217:$I$237,3,0))</f>
        <v>0</v>
      </c>
      <c r="FM14" s="15">
        <f>IF(ISNA(VLOOKUP(A14,'Données projet'!$A$217:$I$237,4,0)),0,VLOOKUP(A14,'Données projet'!$A$217:$I$237,4,0))</f>
        <v>0</v>
      </c>
      <c r="FN14" s="16">
        <f>IF(ISNA(VLOOKUP(A14,'Données projet'!$A$217:$I$237,5,0)),0%,VLOOKUP(A14,'Données projet'!$A$217:$I$237,5,0)*VLOOKUP('Données projet'!$B$16,Paramètres!$A$1:$I$89,7,0))</f>
        <v>0</v>
      </c>
      <c r="FO14" s="16">
        <f>IF(ISNA(VLOOKUP(A14,'Données projet'!$A$217:$I$237,6,0)),0%,VLOOKUP(A14,'Données projet'!$A$217:$I$237,6,0)*VLOOKUP('Données projet'!$B$16,Paramètres!$A$1:$I$89,7,0))</f>
        <v>0</v>
      </c>
      <c r="FP14" s="16">
        <f>IF(ISNA(VLOOKUP(A14,'Données projet'!$A$217:$I$237,7,0)),0%,VLOOKUP(A14,'Données projet'!$A$217:$I$237,7,0))</f>
        <v>0</v>
      </c>
      <c r="FQ14" s="21">
        <f>EXP(-LN(2)/35)*FQ13+(1-EXP(-LN(2)/35))/(LN(2)/35)*FM14*FN14*VLOOKUP('Données projet'!$B$16,Paramètres!$A$1:$I$89,3,0)*0.475*44/12</f>
        <v>0</v>
      </c>
      <c r="FR14" s="21">
        <f>EXP(-LN(2)/25)*FR13+(1-EXP(-LN(2)/25))/(LN(2)/25)*Calculateur!FM14*Calculateur!FO14*VLOOKUP('Données projet'!$B$16,Paramètres!$A$1:$I$89,3,0)*0.475*44/12</f>
        <v>0</v>
      </c>
      <c r="FS14" s="21">
        <f>EXP(-LN(2)/2)*FS13+(1-EXP(-LN(2)/2))/(LN(2)/2)*FM14*FP14*VLOOKUP('Données projet'!$B$16,Paramètres!$A$1:$I$89,3,0)*0.475*44/12</f>
        <v>0</v>
      </c>
      <c r="FT14" s="22">
        <f t="shared" si="24"/>
        <v>0</v>
      </c>
      <c r="FU14" s="75">
        <f>('Scénario référence'!$F$8+'Scénario référence'!$F$9+'Scénario référence'!$B$17+'Scénario référence'!$B$9+'Scénario référence'!$B$10)*70+IF((45+25*(1-EXP(-0.0175*A14)))&lt;70,'Scénario référence'!$B$16*(45+25*(1-EXP(-0.0175*A14))),70*'Scénario référence'!$B$16)+IF((32+38*(1-EXP(-0.0175*A14)))&lt;70,'Scénario référence'!$B$18*(32+38*(1-EXP(-0.0175*A14))),70*'Scénario référence'!$B$18)</f>
        <v>70</v>
      </c>
      <c r="FV14" s="12">
        <f>IF(A14&gt;30,10,('Scénario référence'!$B$16+'Scénario référence'!$B$17+'Scénario référence'!$B$18+'Scénario référence'!$B$9+'Scénario référence'!$B$10)*A14*10/30+('Scénario référence'!$F$8+'Scénario référence'!$F$9)*10)</f>
        <v>10</v>
      </c>
      <c r="FW14" s="12" t="e">
        <f>VLOOKUP(A14,'Données projet'!$A$243:$I$263,2,0)</f>
        <v>#N/A</v>
      </c>
      <c r="FX14" s="12" t="e">
        <f>VLOOKUP(A14,'Données projet'!$A$243:$I$263,9,0)</f>
        <v>#N/A</v>
      </c>
      <c r="FY14" s="12">
        <f t="array" ref="FY14">INDEX(FX:FX,MIN(IF(ISNUMBER(FX14:FX210),ROW(FX14:FX210),"")))</f>
        <v>4.0628205128205126</v>
      </c>
      <c r="FZ14" s="12">
        <f>IF('Données projet'!$A$244&gt;35,FZ13+FY14-GH13,IF(A14&lt;'Données projet'!$A$244,$FW$205^A14,IF(A14='Données projet'!$A$244,'Données projet'!$B$244,FZ13+FY14-GH13)))</f>
        <v>5.8189942330107201</v>
      </c>
      <c r="GA14" s="17">
        <f>FZ14*VLOOKUP('Données projet'!$B$17,Paramètres!$A$1:$I$89,3,0)*VLOOKUP('Données projet'!$B$17,Paramètres!$A$1:$I$89,5,0)</f>
        <v>6.2635653924127377</v>
      </c>
      <c r="GB14" s="13">
        <f t="shared" si="49"/>
        <v>2.3314367863069263</v>
      </c>
      <c r="GC14" s="20">
        <f t="shared" si="25"/>
        <v>14.969628794603414</v>
      </c>
      <c r="GD14" s="59">
        <f t="shared" si="26"/>
        <v>308.30296212793672</v>
      </c>
      <c r="GE14" s="59">
        <f ca="1">AVERAGE(OFFSET($GD$3,0,0,'Données projet'!$E$17+1,1))-AVERAGE(OFFSET($H$3,0,0,'Données projet'!$E$17+1,1))</f>
        <v>286.77702855541287</v>
      </c>
      <c r="GF14" s="59">
        <f t="shared" si="50"/>
        <v>227.12211541860779</v>
      </c>
      <c r="GG14" s="15">
        <f>IF(ISNA(VLOOKUP(A14,'Données projet'!$A$243:$I$263,3,0)),0,VLOOKUP(A14,'Données projet'!$A$243:$I$263,3,0))</f>
        <v>0</v>
      </c>
      <c r="GH14" s="15">
        <f>IF(ISNA(VLOOKUP(A14,'Données projet'!$A$243:$I$263,4,0)),0,VLOOKUP(A14,'Données projet'!$A$243:$I$263,4,0))</f>
        <v>0</v>
      </c>
      <c r="GI14" s="16">
        <f>IF(ISNA(VLOOKUP(A14,'Données projet'!$A$243:$I$263,5,0)),0%,VLOOKUP(A14,'Données projet'!$A$243:$I$263,5,0)*VLOOKUP('Données projet'!$B$17,Paramètres!$A$1:$I$89,7,0))</f>
        <v>0</v>
      </c>
      <c r="GJ14" s="16">
        <f>IF(ISNA(VLOOKUP(A14,'Données projet'!$A$243:$I$263,6,0)),0%,VLOOKUP(A14,'Données projet'!$A$243:$I$263,6,0)*VLOOKUP('Données projet'!$B$17,Paramètres!$A$1:$I$89,7,0))</f>
        <v>0</v>
      </c>
      <c r="GK14" s="16">
        <f>IF(ISNA(VLOOKUP(A14,'Données projet'!$A$243:$I$263,7,0)),0%,VLOOKUP(A14,'Données projet'!$A$243:$I$263,7,0))</f>
        <v>0</v>
      </c>
      <c r="GL14" s="21">
        <f>EXP(-LN(2)/35)*GL13+(1-EXP(-LN(2)/35))/(LN(2)/35)*GH14*GI14*VLOOKUP('Données projet'!$B$17,Paramètres!$A$1:$I$89,3,0)*0.475*44/12</f>
        <v>0</v>
      </c>
      <c r="GM14" s="21">
        <f>EXP(-LN(2)/25)*GM13+(1-EXP(-LN(2)/25))/(LN(2)/25)*Calculateur!GH14*Calculateur!GJ14*VLOOKUP('Données projet'!$B$17,Paramètres!$A$1:$I$89,3,0)*0.475*44/12</f>
        <v>0</v>
      </c>
      <c r="GN14" s="21">
        <f>EXP(-LN(2)/2)*GN13+(1-EXP(-LN(2)/2))/(LN(2)/2)*GH14*GK14*VLOOKUP('Données projet'!$B$17,Paramètres!$A$1:$I$89,3,0)*0.475*44/12</f>
        <v>0</v>
      </c>
      <c r="GO14" s="21">
        <f t="shared" si="27"/>
        <v>0</v>
      </c>
      <c r="GP14" s="75">
        <f>('Scénario référence'!$F$8+'Scénario référence'!$F$9+'Scénario référence'!$B$17+'Scénario référence'!$B$9+'Scénario référence'!$B$10)*70+IF((45+25*(1-EXP(-0.0175*A14)))&lt;70,'Scénario référence'!$B$16*(45+25*(1-EXP(-0.0175*A14))),70*'Scénario référence'!$B$16)+IF((32+38*(1-EXP(-0.0175*A14)))&lt;70,'Scénario référence'!$B$18*(32+38*(1-EXP(-0.0175*A14))),70*'Scénario référence'!$B$18)</f>
        <v>70</v>
      </c>
      <c r="GQ14" s="12">
        <f>IF(A14&gt;30,10,('Scénario référence'!$B$16+'Scénario référence'!$B$17+'Scénario référence'!$B$18+'Scénario référence'!$B$9+'Scénario référence'!$B$10)*A14*10/30+('Scénario référence'!$F$8+'Scénario référence'!$F$9)*10)</f>
        <v>10</v>
      </c>
      <c r="GR14" s="12" t="e">
        <f>VLOOKUP(A14,'Données projet'!$A$269:$I$289,2,0)</f>
        <v>#N/A</v>
      </c>
      <c r="GS14" s="12" t="e">
        <f>VLOOKUP(A14,'Données projet'!$A$269:$I$289,9,0)</f>
        <v>#N/A</v>
      </c>
      <c r="GT14" s="12">
        <f t="array" ref="GT14">INDEX(GS:GS,MIN(IF(ISNUMBER(GS14:GS210),ROW(GS14:GS210),"")))</f>
        <v>4.0628205128205126</v>
      </c>
      <c r="GU14" s="12">
        <f>IF('Données projet'!$A$270&gt;35,GU13+GT14-HC13,IF(A14&lt;'Données projet'!$A$270,$GR$205^A14,IF(A14='Données projet'!$A$270,'Données projet'!$B$270,GU13+GT14-HC13)))</f>
        <v>5.8189942330107201</v>
      </c>
      <c r="GV14" s="17">
        <f>GU14*VLOOKUP('Données projet'!$B$18,Paramètres!$A$1:$I$89,3,0)*VLOOKUP('Données projet'!$B$18,Paramètres!$A$1:$I$89,5,0)</f>
        <v>6.2635653924127377</v>
      </c>
      <c r="GW14" s="13">
        <f t="shared" si="51"/>
        <v>2.3314367863069263</v>
      </c>
      <c r="GX14" s="20">
        <f t="shared" si="28"/>
        <v>14.969628794603414</v>
      </c>
      <c r="GY14" s="59">
        <f t="shared" si="29"/>
        <v>308.30296212793672</v>
      </c>
      <c r="GZ14" s="59">
        <f ca="1">AVERAGE(OFFSET($GY$3,0,0,'Données projet'!$E$18+1,1))-AVERAGE(OFFSET($H$3,0,0,'Données projet'!$E$18+1,1))</f>
        <v>286.77702855541287</v>
      </c>
      <c r="HA14" s="59">
        <f t="shared" si="52"/>
        <v>227.12211541860779</v>
      </c>
      <c r="HB14" s="15">
        <f>IF(ISNA(VLOOKUP(A14,'Données projet'!$A$269:$I$289,3,0)),0,VLOOKUP(A14,'Données projet'!$A$269:$I$289,3,0))</f>
        <v>0</v>
      </c>
      <c r="HC14" s="15">
        <f>IF(ISNA(VLOOKUP(A14,'Données projet'!$A$269:$I$289,4,0)),0,VLOOKUP(A14,'Données projet'!$A$269:$I$289,4,0))</f>
        <v>0</v>
      </c>
      <c r="HD14" s="16">
        <f>IF(ISNA(VLOOKUP(A14,'Données projet'!$A$269:$I$289,5,0)),0%,VLOOKUP(A14,'Données projet'!$A$269:$I$289,5,0)*VLOOKUP('Données projet'!$B$18,Paramètres!$A$1:$I$89,7,0))</f>
        <v>0</v>
      </c>
      <c r="HE14" s="16">
        <f>IF(ISNA(VLOOKUP(A14,'Données projet'!$A$269:$I$289,6,0)),0%,VLOOKUP(A14,'Données projet'!$A$269:$I$289,6,0)*VLOOKUP('Données projet'!$B$18,Paramètres!$A$1:$I$89,7,0))</f>
        <v>0</v>
      </c>
      <c r="HF14" s="16">
        <f>IF(ISNA(VLOOKUP(A14,'Données projet'!$A$269:$I$289,7,0)),0%,VLOOKUP(A14,'Données projet'!$A$269:$I$289,7,0))</f>
        <v>0</v>
      </c>
      <c r="HG14" s="21">
        <f>EXP(-LN(2)/35)*HG13+(1-EXP(-LN(2)/35))/(LN(2)/35)*HC14*HD14*VLOOKUP('Données projet'!$B$18,Paramètres!$A$1:$I$89,3,0)*0.475*44/12</f>
        <v>0</v>
      </c>
      <c r="HH14" s="21">
        <f>EXP(-LN(2)/25)*HH13+(1-EXP(-LN(2)/25))/(LN(2)/25)*Calculateur!HC14*Calculateur!HE14*VLOOKUP('Données projet'!$B$18,Paramètres!$A$1:$I$89,3,0)*0.475*44/12</f>
        <v>0</v>
      </c>
      <c r="HI14" s="21">
        <f>EXP(-LN(2)/2)*HI13+(1-EXP(-LN(2)/2))/(LN(2)/2)*HC14*HF14*VLOOKUP('Données projet'!$B$18,Paramètres!$A$1:$I$89,3,0)*0.475*44/12</f>
        <v>0</v>
      </c>
      <c r="HJ14" s="22">
        <f t="shared" si="30"/>
        <v>0</v>
      </c>
    </row>
    <row r="15" spans="1:218" x14ac:dyDescent="0.25">
      <c r="A15" s="10">
        <f t="shared" si="31"/>
        <v>12</v>
      </c>
      <c r="B15" s="73">
        <f>'Scénario référence'!$B$16*5+'Scénario référence'!$B$17*0+'Scénario référence'!$B$18*5</f>
        <v>0</v>
      </c>
      <c r="C15" s="19">
        <f>Calculateur!C14+'Scénario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10.670400000000001</v>
      </c>
      <c r="D15" s="11">
        <f t="shared" si="32"/>
        <v>3.7329530817348471</v>
      </c>
      <c r="E1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5" s="11">
        <f>IF(OR('Scénario référence'!$F$8&gt;0,'Scénario référence'!$F$9&gt;0),('Scénario référence'!$F$8+'Scénario référence'!$F$9)*10,0)</f>
        <v>10</v>
      </c>
      <c r="G15" s="11">
        <f>'Scénario référence'!$B$8*B15*44/12+'Scénario référence'!$B$9*(C15+D15)/0.475*44/12+'Scénario référence'!$B$10*(C15+D15)/0.475*44/12+'Scénario référence'!$F$8*(C15+D15)/0.475*44/12+'Scénario référence'!$F$9*(C15+D15)/0.475*44/12</f>
        <v>111.18377817479534</v>
      </c>
      <c r="H15" s="67">
        <f t="shared" si="1"/>
        <v>318.4191732840215</v>
      </c>
      <c r="I15" s="70">
        <f>('Scénario référence'!$F$8+'Scénario référence'!$F$9+'Scénario référence'!$B$17+'Scénario référence'!$B$9+'Scénario référence'!$B$10)*70+IF((45+25*(1-EXP(-0.0175*A15)))&lt;70,'Scénario référence'!$B$16*(45+25*(1-EXP(-0.0175*A15))),70*'Scénario référence'!$B$16)+IF((32+38*(1-EXP(-0.0175*A15)))&lt;70,'Scénario référence'!$B$18*(32+38*(1-EXP(-0.0175*A15))),70*'Scénario référence'!$B$18)</f>
        <v>70</v>
      </c>
      <c r="J15" s="13">
        <f>IF(A15&gt;30,10,('Scénario référence'!$B$16+'Scénario référence'!$B$17+'Scénario référence'!$B$18+'Scénario référence'!$B$9+'Scénario référence'!$B$10)*A15*10/30+('Scénario référence'!$F$8+'Scénario référence'!$F$9)*10)</f>
        <v>10</v>
      </c>
      <c r="K15" s="12" t="e">
        <f>VLOOKUP(A15,'Données projet'!$A$35:$I$55,2,0)</f>
        <v>#N/A</v>
      </c>
      <c r="L15" s="12" t="e">
        <f>VLOOKUP(A15,'Données projet'!$A$35:$I$55,9,0)</f>
        <v>#N/A</v>
      </c>
      <c r="M15" s="12">
        <f t="array" ref="M15">INDEX(L:L,MIN(IF(ISNUMBER(L15:L211),ROW(L15:L211),"")))</f>
        <v>9.3968325791855207</v>
      </c>
      <c r="N15" s="13">
        <f>IF('Données projet'!$A$36&gt;35,N14+M15-V14,IF(A15&lt;'Données projet'!$A$36,$K$205^A15,IF(A15='Données projet'!$A$36,'Données projet'!$B$36,N14+M15-V14)))</f>
        <v>35.922176531151678</v>
      </c>
      <c r="O15" s="13">
        <f>N15*VLOOKUP('Données projet'!$B$9,Paramètres!$A$1:$I$89,3,0)*VLOOKUP('Données projet'!$B$9,Paramètres!$A$1:$I$89,5,0)</f>
        <v>20.080496680913789</v>
      </c>
      <c r="P15" s="13">
        <f t="shared" si="33"/>
        <v>6.5265484968269822</v>
      </c>
      <c r="Q15" s="20">
        <f t="shared" si="2"/>
        <v>46.340603684565174</v>
      </c>
      <c r="R15" s="59">
        <f t="shared" si="0"/>
        <v>339.67393701789848</v>
      </c>
      <c r="S15" s="59">
        <f ca="1">AVERAGE(OFFSET($R$3,0,0,'Données projet'!$E$9+1,1))-AVERAGE(OFFSET($H$3,0,0,'Données projet'!$E$9+1,1))</f>
        <v>255.5374979188561</v>
      </c>
      <c r="T15" s="59">
        <f t="shared" si="34"/>
        <v>343.10418468620901</v>
      </c>
      <c r="U15" s="15">
        <f>IF(ISNA(VLOOKUP(A15,'Données projet'!$A$35:$I$55,3,0)),0,VLOOKUP(A15,'Données projet'!$A$35:$I$55,3,0))</f>
        <v>0</v>
      </c>
      <c r="V15" s="15">
        <f>IF(ISNA(VLOOKUP(A15,'Données projet'!$A$35:$I$55,4,0)),0,VLOOKUP(A15,'Données projet'!$A$35:$I$55,4,0))</f>
        <v>0</v>
      </c>
      <c r="W15" s="16">
        <f>IF(ISNA(VLOOKUP(A15,'Données projet'!$A$35:$I$55,5,0)),0%,VLOOKUP(A15,'Données projet'!$A$35:$I$55,5,0)*VLOOKUP('Données projet'!$B$9,Paramètres!$A$1:$I$89,7,0))</f>
        <v>0</v>
      </c>
      <c r="X15" s="16">
        <f>IF(ISNA(VLOOKUP(A15,'Données projet'!$A$35:$I$55,6,0)),0%,VLOOKUP(A15,'Données projet'!$A$35:$I$55,6,0)*VLOOKUP('Données projet'!$B$9,Paramètres!$A$1:$I$89,7,0))</f>
        <v>0</v>
      </c>
      <c r="Y15" s="16">
        <f>IF(ISNA(VLOOKUP(A15,'Données projet'!$A$35:$I$55,7,0)),0%,VLOOKUP(A15,'Données projet'!$A$35:$I$55,7,0))</f>
        <v>0</v>
      </c>
      <c r="Z15" s="21">
        <f>EXP(-LN(2)/35)*Z14+(1-EXP(-LN(2)/35))/(LN(2)/35)*V15*W15*VLOOKUP('Données projet'!$B$9,Paramètres!$A$1:$I$89,3,0)*0.475*44/12</f>
        <v>0</v>
      </c>
      <c r="AA15" s="21">
        <f>EXP(-LN(2)/25)*AA14+(1-EXP(-LN(2)/25))/(LN(2)/25)*Calculateur!V15*Calculateur!X15*VLOOKUP('Données projet'!$B$9,Paramètres!$A$1:$I$89,3,0)*0.475*44/12</f>
        <v>0</v>
      </c>
      <c r="AB15" s="21">
        <f>EXP(-LN(2)/2)*AB14+(1-EXP(-LN(2)/2))/(LN(2)/2)*V15*Y15*VLOOKUP('Données projet'!$B$9,Paramètres!$A$1:$I$89,3,0)*0.475*44/12</f>
        <v>0</v>
      </c>
      <c r="AC15" s="22">
        <f t="shared" si="3"/>
        <v>0</v>
      </c>
      <c r="AD15" s="13">
        <f>('Scénario référence'!$F$8+'Scénario référence'!$F$9+'Scénario référence'!$B$17+'Scénario référence'!$B$9+'Scénario référence'!$B$10)*70+IF((45+25*(1-EXP(-0.0175*A15)))&lt;70,'Scénario référence'!$B$16*(45+25*(1-EXP(-0.0175*A15))),70*'Scénario référence'!$B$16)+IF((32+38*(1-EXP(-0.0175*A15)))&lt;70,'Scénario référence'!$B$18*(32+38*(1-EXP(-0.0175*A15))),70*'Scénario référence'!$B$18)</f>
        <v>70</v>
      </c>
      <c r="AE15" s="13">
        <f>IF(A15&gt;30,10,('Scénario référence'!$B$16+'Scénario référence'!$B$17+'Scénario référence'!$B$18+'Scénario référence'!$B$9+'Scénario référence'!$B$10)*A15*10/30+('Scénario référence'!$F$8+'Scénario référence'!$F$9)*10)</f>
        <v>10</v>
      </c>
      <c r="AF15" s="12" t="e">
        <f>VLOOKUP(A15,'Données projet'!$A$61:$I$81,2,0)</f>
        <v>#N/A</v>
      </c>
      <c r="AG15" s="12" t="e">
        <f>VLOOKUP(A15,'Données projet'!$A$61:$I$81,9,0)</f>
        <v>#N/A</v>
      </c>
      <c r="AH15" s="12">
        <f t="array" ref="AH15">INDEX(AG:AG,MIN(IF(ISNUMBER(AG15:AG211),ROW(AG15:AG211),"")))</f>
        <v>13.2</v>
      </c>
      <c r="AI15" s="13">
        <f>IF('Données projet'!$A$62&gt;35,AI14+AH15-AQ14,IF(A15&lt;'Données projet'!$A$62,$AF$205^A15,IF(A15='Données projet'!$A$62,'Données projet'!$B$62,AI14+AH15-AQ14)))</f>
        <v>52.400000000000006</v>
      </c>
      <c r="AJ15" s="13">
        <f>AI15*VLOOKUP('Données projet'!$B$10,Paramètres!$A$1:$I$89,3,0)*VLOOKUP('Données projet'!$B$10,Paramètres!$A$1:$I$89,5,0)</f>
        <v>32.697600000000001</v>
      </c>
      <c r="AK15" s="13">
        <f t="shared" si="35"/>
        <v>10.041030667086734</v>
      </c>
      <c r="AL15" s="20">
        <f t="shared" si="4"/>
        <v>74.436448411842733</v>
      </c>
      <c r="AM15" s="59">
        <f t="shared" si="5"/>
        <v>367.76978174517603</v>
      </c>
      <c r="AN15" s="59">
        <f ca="1">AVERAGE(OFFSET($AM$3,0,0,'Données projet'!$E$10+1,1))-AVERAGE(OFFSET($H$3,0,0,'Données projet'!$E$10+1,1))</f>
        <v>261.78489480911571</v>
      </c>
      <c r="AO15" s="59">
        <f t="shared" si="36"/>
        <v>297.50513563712764</v>
      </c>
      <c r="AP15" s="15">
        <f>IF(ISNA(VLOOKUP(A15,'Données projet'!$A$61:$I$81,3,0)),0,VLOOKUP(A15,'Données projet'!$A$61:$I$81,3,0))</f>
        <v>0</v>
      </c>
      <c r="AQ15" s="15">
        <f>IF(ISNA(VLOOKUP(A15,'Données projet'!$A$61:$I$81,4,0)),0,VLOOKUP(A15,'Données projet'!$A$61:$I$81,4,0))</f>
        <v>0</v>
      </c>
      <c r="AR15" s="16">
        <f>IF(ISNA(VLOOKUP(A15,'Données projet'!$A$61:$I$81,5,0)),0%,VLOOKUP(A15,'Données projet'!$A$61:$I$81,5,0)*VLOOKUP('Données projet'!$B$10,Paramètres!$A$1:$I$89,7,0))</f>
        <v>0</v>
      </c>
      <c r="AS15" s="16">
        <f>IF(ISNA(VLOOKUP(A15,'Données projet'!$A$61:$I$81,6,0)),0%,VLOOKUP(A15,'Données projet'!$A$61:$I$81,6,0)*VLOOKUP('Données projet'!$B$10,Paramètres!$A$1:$I$89,7,0))</f>
        <v>0</v>
      </c>
      <c r="AT15" s="16">
        <f>IF(ISNA(VLOOKUP(A15,'Données projet'!$A$61:$I$81,7,0)),0%,VLOOKUP(A15,'Données projet'!$A$61:$I$81,7,0))</f>
        <v>0</v>
      </c>
      <c r="AU15" s="21">
        <f>EXP(-LN(2)/35)*AU14+(1-EXP(-LN(2)/35))/(LN(2)/35)*AQ15*AR15*VLOOKUP('Données projet'!$B$10,Paramètres!$A$1:$I$89,3,0)*0.475*44/12</f>
        <v>0</v>
      </c>
      <c r="AV15" s="21">
        <f>EXP(-LN(2)/25)*AV14+(1-EXP(-LN(2)/25))/(LN(2)/25)*Calculateur!AQ15*Calculateur!AS15*VLOOKUP('Données projet'!$B$10,Paramètres!$A$1:$I$89,3,0)*0.475*44/12</f>
        <v>0</v>
      </c>
      <c r="AW15" s="21">
        <f>EXP(-LN(2)/2)*AW14+(1-EXP(-LN(2)/2))/(LN(2)/2)*AQ15*AT15*VLOOKUP('Données projet'!$B$10,Paramètres!$A$1:$I$89,3,0)*0.475*44/12</f>
        <v>0</v>
      </c>
      <c r="AX15" s="21">
        <f t="shared" si="6"/>
        <v>0</v>
      </c>
      <c r="AY15" s="74">
        <f>('Scénario référence'!$F$8+'Scénario référence'!$F$9+'Scénario référence'!$B$17+'Scénario référence'!$B$9+'Scénario référence'!$B$10)*70+IF((45+25*(1-EXP(-0.0175*A15)))&lt;70,'Scénario référence'!$B$16*(45+25*(1-EXP(-0.0175*A15))),70*'Scénario référence'!$B$16)+IF((32+38*(1-EXP(-0.0175*A15)))&lt;70,'Scénario référence'!$B$18*(32+38*(1-EXP(-0.0175*A15))),70*'Scénario référence'!$B$18)</f>
        <v>70</v>
      </c>
      <c r="AZ15" s="12">
        <f>IF(A15&gt;30,10,('Scénario référence'!$B$16+'Scénario référence'!$B$17+'Scénario référence'!$B$18+'Scénario référence'!$B$9+'Scénario référence'!$B$10)*A15*10/30+('Scénario référence'!$F$8+'Scénario référence'!$F$9)*10)</f>
        <v>10</v>
      </c>
      <c r="BA15" s="12" t="e">
        <f>VLOOKUP(A15,'Données projet'!$A$87:$I$107,2,0)</f>
        <v>#N/A</v>
      </c>
      <c r="BB15" s="12" t="e">
        <f>VLOOKUP(A15,'Données projet'!$A$87:$I$107,9,0)</f>
        <v>#N/A</v>
      </c>
      <c r="BC15" s="12">
        <f t="array" ref="BC15">INDEX(BB:BB,MIN(IF(ISNUMBER(BB15:BB211),ROW(BB15:BB211),"")))</f>
        <v>5.3</v>
      </c>
      <c r="BD15" s="12">
        <f>IF('Données projet'!$A$88&gt;35,BD14+BC15-BL14,IF(A15&lt;'Données projet'!$A$88,$BA$205^A15,IF(A15='Données projet'!$A$88,'Données projet'!$B$88,BD14+BC15-BL14)))</f>
        <v>16.412831812213092</v>
      </c>
      <c r="BE15" s="13">
        <f>BD15*VLOOKUP('Données projet'!$B$11,Paramètres!$A$1:$I$89,3,0)*VLOOKUP('Données projet'!$B$11,Paramètres!$A$1:$I$89,5,0)</f>
        <v>9.8148734237034301</v>
      </c>
      <c r="BF15" s="13">
        <f t="shared" si="37"/>
        <v>3.4672199157117518</v>
      </c>
      <c r="BG15" s="20">
        <f t="shared" si="7"/>
        <v>23.132979232814776</v>
      </c>
      <c r="BH15" s="59">
        <f t="shared" si="8"/>
        <v>316.46631256614808</v>
      </c>
      <c r="BI15" s="59">
        <f ca="1">AVERAGE(OFFSET($BH$3,0,0,'Données projet'!$E$11+1,1))-AVERAGE(OFFSET($H$3,0,0,'Données projet'!$E$11+1,1))</f>
        <v>316.58509520829671</v>
      </c>
      <c r="BJ15" s="59">
        <f t="shared" si="38"/>
        <v>240.71332110643596</v>
      </c>
      <c r="BK15" s="15">
        <f>IF(ISNA(VLOOKUP(A15,'Données projet'!$A$87:$I$107,3,0)),0,VLOOKUP(A15,'Données projet'!$A$87:$I$107,3,0))</f>
        <v>0</v>
      </c>
      <c r="BL15" s="15">
        <f>IF(ISNA(VLOOKUP(A15,'Données projet'!$A$87:$I$107,4,0)),0,VLOOKUP(A15,'Données projet'!$A$87:$I$107,4,0))</f>
        <v>0</v>
      </c>
      <c r="BM15" s="16">
        <f>IF(ISNA(VLOOKUP(A15,'Données projet'!$A$87:$I$107,5,0)),0%,VLOOKUP(A15,'Données projet'!$A$87:$I$107,5,0)*VLOOKUP('Données projet'!$B$11,Paramètres!$A$1:$I$89,7,0))</f>
        <v>0</v>
      </c>
      <c r="BN15" s="16">
        <f>IF(ISNA(VLOOKUP(A15,'Données projet'!$A$87:$I$107,6,0)),0%,VLOOKUP(A15,'Données projet'!$A$87:$I$107,6,0)*VLOOKUP('Données projet'!$B$11,Paramètres!$A$1:$I$89,7,0))</f>
        <v>0</v>
      </c>
      <c r="BO15" s="16">
        <f>IF(ISNA(VLOOKUP(A15,'Données projet'!$A$87:$I$107,7,0)),0%,VLOOKUP(A15,'Données projet'!$A$87:$I$107,7,0))</f>
        <v>0</v>
      </c>
      <c r="BP15" s="21">
        <f>EXP(-LN(2)/35)*BP14+(1-EXP(-LN(2)/35))/(LN(2)/35)*BL15*BM15*VLOOKUP('Données projet'!$B$11,Paramètres!$A$1:$I$89,3,0)*0.475*44/12</f>
        <v>0</v>
      </c>
      <c r="BQ15" s="21">
        <f>EXP(-LN(2)/25)*BQ14+(1-EXP(-LN(2)/25))/(LN(2)/25)*Calculateur!BL15*Calculateur!BN15*VLOOKUP('Données projet'!$B$11,Paramètres!$A$1:$I$89,3,0)*0.475*44/12</f>
        <v>0</v>
      </c>
      <c r="BR15" s="21">
        <f>EXP(-LN(2)/2)*BR14+(1-EXP(-LN(2)/2))/(LN(2)/2)*BL15*BO15*VLOOKUP('Données projet'!$B$11,Paramètres!$A$1:$I$89,3,0)*0.475*44/12</f>
        <v>0</v>
      </c>
      <c r="BS15" s="22">
        <f t="shared" si="9"/>
        <v>0</v>
      </c>
      <c r="BT15" s="75">
        <f>('Scénario référence'!$F$8+'Scénario référence'!$F$9+'Scénario référence'!$B$17+'Scénario référence'!$B$9+'Scénario référence'!$B$10)*70+IF((45+25*(1-EXP(-0.0175*A15)))&lt;70,'Scénario référence'!$B$16*(45+25*(1-EXP(-0.0175*A15))),70*'Scénario référence'!$B$16)+IF((32+38*(1-EXP(-0.0175*A15)))&lt;70,'Scénario référence'!$B$18*(32+38*(1-EXP(-0.0175*A15))),70*'Scénario référence'!$B$18)</f>
        <v>70</v>
      </c>
      <c r="BU15" s="12">
        <f>IF(A15&gt;30,10,('Scénario référence'!$B$16+'Scénario référence'!$B$17+'Scénario référence'!$B$18+'Scénario référence'!$B$9+'Scénario référence'!$B$10)*A15*10/30+('Scénario référence'!$F$8+'Scénario référence'!$F$9)*10)</f>
        <v>10</v>
      </c>
      <c r="BV15" s="12" t="e">
        <f>VLOOKUP(A15,'Données projet'!$A$113:$I$133,2,0)</f>
        <v>#N/A</v>
      </c>
      <c r="BW15" s="12" t="e">
        <f>VLOOKUP(A15,'Données projet'!$A$113:$I$133,9,0)</f>
        <v>#N/A</v>
      </c>
      <c r="BX15" s="12">
        <f t="array" ref="BX15">INDEX(BW:BW,MIN(IF(ISNUMBER(BW15:BW211),ROW(BW15:BW211),"")))</f>
        <v>3.2</v>
      </c>
      <c r="BY15" s="12">
        <f>IF('Données projet'!$A$114&gt;35,BY14+BX15-CG14,IF(A15&lt;'Données projet'!$A$114,$BV$205^A15,IF(A15='Données projet'!$A$114,'Données projet'!$B$114,BY14+BX15-CG14)))</f>
        <v>22.130589875561462</v>
      </c>
      <c r="BZ15" s="13">
        <f>BY15*VLOOKUP('Données projet'!$B$12,Paramètres!$A$1:$I$89,3,0)*VLOOKUP('Données projet'!$B$12,Paramètres!$A$1:$I$89,5,0)</f>
        <v>12.658697408821157</v>
      </c>
      <c r="CA15" s="13">
        <f t="shared" si="39"/>
        <v>4.3413320234363448</v>
      </c>
      <c r="CB15" s="20">
        <f t="shared" si="10"/>
        <v>29.608384594515144</v>
      </c>
      <c r="CC15" s="59">
        <f t="shared" si="11"/>
        <v>322.94171792784846</v>
      </c>
      <c r="CD15" s="59">
        <f ca="1">AVERAGE(OFFSET($CC$3,0,0,'Données projet'!$E$12+1,1))-AVERAGE(OFFSET($H$3,0,0,'Données projet'!$E$12+1,1))</f>
        <v>188.64374818906128</v>
      </c>
      <c r="CE15" s="59">
        <f t="shared" si="40"/>
        <v>211.95157880548652</v>
      </c>
      <c r="CF15" s="15">
        <f>IF(ISNA(VLOOKUP(A15,'Données projet'!$A$113:$I$133,3,0)),0,VLOOKUP(A15,'Données projet'!$A$113:$I$133,3,0))</f>
        <v>0</v>
      </c>
      <c r="CG15" s="15">
        <f>IF(ISNA(VLOOKUP(A15,'Données projet'!$A$113:$I$133,4,0)),0,VLOOKUP(A15,'Données projet'!$A$113:$I$133,4,0))</f>
        <v>0</v>
      </c>
      <c r="CH15" s="16">
        <f>IF(ISNA(VLOOKUP(A15,'Données projet'!$A$113:$I$133,5,0)),0%,VLOOKUP(A15,'Données projet'!$A$113:$I$133,5,0)*VLOOKUP('Données projet'!$B$12,Paramètres!$A$1:$I$89,7,0))</f>
        <v>0</v>
      </c>
      <c r="CI15" s="16">
        <f>IF(ISNA(VLOOKUP(A15,'Données projet'!$A$113:$I$133,6,0)),0%,VLOOKUP(A15,'Données projet'!$A$113:$I$133,6,0)*VLOOKUP('Données projet'!$B$12,Paramètres!$A$1:$I$89,7,0))</f>
        <v>0</v>
      </c>
      <c r="CJ15" s="16">
        <f>IF(ISNA(VLOOKUP(A15,'Données projet'!$A$113:$I$133,7,0)),0%,VLOOKUP(A15,'Données projet'!$A$113:$I$133,7,0))</f>
        <v>0</v>
      </c>
      <c r="CK15" s="21">
        <f>EXP(-LN(2)/35)*CK14+(1-EXP(-LN(2)/35))/(LN(2)/35)*CG15*CH15*VLOOKUP('Données projet'!$B$12,Paramètres!$A$1:$I$89,3,0)*0.475*44/12</f>
        <v>0</v>
      </c>
      <c r="CL15" s="21">
        <f>EXP(-LN(2)/25)*CL14+(1-EXP(-LN(2)/25))/(LN(2)/25)*Calculateur!CG15*Calculateur!CI15*VLOOKUP('Données projet'!$B$12,Paramètres!$A$1:$I$89,3,0)*0.475*44/12</f>
        <v>0</v>
      </c>
      <c r="CM15" s="21">
        <f>EXP(-LN(2)/2)*CM14+(1-EXP(-LN(2)/2))/(LN(2)/2)*CG15*CJ15*VLOOKUP('Données projet'!$B$12,Paramètres!$A$1:$I$89,3,0)*0.475*44/12</f>
        <v>0</v>
      </c>
      <c r="CN15" s="22">
        <f t="shared" si="12"/>
        <v>0</v>
      </c>
      <c r="CO15" s="75">
        <f>('Scénario référence'!$F$8+'Scénario référence'!$F$9+'Scénario référence'!$B$17+'Scénario référence'!$B$9+'Scénario référence'!$B$10)*70+IF((45+25*(1-EXP(-0.0175*A15)))&lt;70,'Scénario référence'!$B$16*(45+25*(1-EXP(-0.0175*A15))),70*'Scénario référence'!$B$16)+IF((32+38*(1-EXP(-0.0175*A15)))&lt;70,'Scénario référence'!$B$18*(32+38*(1-EXP(-0.0175*A15))),70*'Scénario référence'!$B$18)</f>
        <v>70</v>
      </c>
      <c r="CP15" s="12">
        <f>IF(A15&gt;30,10,('Scénario référence'!$B$16+'Scénario référence'!$B$17+'Scénario référence'!$B$18+'Scénario référence'!$B$9+'Scénario référence'!$B$10)*A15*10/30+('Scénario référence'!$F$8+'Scénario référence'!$F$9)*10)</f>
        <v>10</v>
      </c>
      <c r="CQ15" s="12" t="e">
        <f>VLOOKUP(A15,'Données projet'!$A$139:$I$159,2,0)</f>
        <v>#N/A</v>
      </c>
      <c r="CR15" s="12" t="e">
        <f>VLOOKUP(A15,'Données projet'!$A$139:$I$159,9,0)</f>
        <v>#N/A</v>
      </c>
      <c r="CS15" s="12">
        <f t="array" ref="CS15">INDEX(CR:CR,MIN(IF(ISNUMBER(CR15:CR211),ROW(CR15:CR211),"")))</f>
        <v>0</v>
      </c>
      <c r="CT15" s="12">
        <f>IF('Données projet'!$A$140&gt;35,CT14+CS15-DB14,IF(A15&lt;'Données projet'!$A$140,$CQ$205^A15,IF(A15='Données projet'!$A$140,'Données projet'!$B$140,CT14+CS15-DB14)))</f>
        <v>0</v>
      </c>
      <c r="CU15" s="17" t="e">
        <f>CT15*VLOOKUP('Données projet'!$B$13,Paramètres!$A$1:$I$89,3,0)*VLOOKUP('Données projet'!$B$13,Paramètres!$A$1:$I$89,5,0)</f>
        <v>#N/A</v>
      </c>
      <c r="CV15" s="13" t="e">
        <f t="shared" si="41"/>
        <v>#N/A</v>
      </c>
      <c r="CW15" s="20" t="e">
        <f t="shared" si="13"/>
        <v>#N/A</v>
      </c>
      <c r="CX15" s="59" t="e">
        <f t="shared" si="14"/>
        <v>#N/A</v>
      </c>
      <c r="CY15" s="59" t="e">
        <f ca="1">AVERAGE(OFFSET($CX$3,0,0,'Données projet'!$E$13+1,1))-AVERAGE(OFFSET($H$3,0,0,'Données projet'!$E$13+1,1))</f>
        <v>#N/A</v>
      </c>
      <c r="CZ15" s="59" t="e">
        <f t="shared" si="42"/>
        <v>#N/A</v>
      </c>
      <c r="DA15" s="15">
        <f>IF(ISNA(VLOOKUP(A15,'Données projet'!$A$139:$I$159,3,0)),0,VLOOKUP(A15,'Données projet'!$A$139:$I$159,3,0))</f>
        <v>0</v>
      </c>
      <c r="DB15" s="15">
        <f>IF(ISNA(VLOOKUP(A15,'Données projet'!$A$139:$I$159,4,0)),0,VLOOKUP(A15,'Données projet'!$A$139:$I$159,4,0))</f>
        <v>0</v>
      </c>
      <c r="DC15" s="16">
        <f>IF(ISNA(VLOOKUP(A15,'Données projet'!$A$139:$I$159,5,0)),0%,VLOOKUP(A15,'Données projet'!$A$139:$I$159,5,0)*VLOOKUP('Données projet'!$B$13,Paramètres!$A$1:$I$89,7,0))</f>
        <v>0</v>
      </c>
      <c r="DD15" s="16">
        <f>IF(ISNA(VLOOKUP(A15,'Données projet'!$A$139:$I$159,6,0)),0%,VLOOKUP(A15,'Données projet'!$A$139:$I$159,6,0)*VLOOKUP('Données projet'!$B$13,Paramètres!$A$1:$I$89,7,0))</f>
        <v>0</v>
      </c>
      <c r="DE15" s="16">
        <f>IF(ISNA(VLOOKUP(A15,'Données projet'!$A$139:$I$159,7,0)),0%,VLOOKUP(A15,'Données projet'!$A$139:$I$159,7,0))</f>
        <v>0</v>
      </c>
      <c r="DF15" s="21" t="e">
        <f>EXP(-LN(2)/35)*DF14+(1-EXP(-LN(2)/35))/(LN(2)/35)*DB15*DC15*VLOOKUP('Données projet'!$B$13,Paramètres!$A$1:$I$89,3,0)*0.475*44/12</f>
        <v>#N/A</v>
      </c>
      <c r="DG15" s="21" t="e">
        <f>EXP(-LN(2)/25)*DG14+(1-EXP(-LN(2)/25))/(LN(2)/25)*Calculateur!DB15*Calculateur!DD15*VLOOKUP('Données projet'!$B$13,Paramètres!$A$1:$I$89,3,0)*0.475*44/12</f>
        <v>#N/A</v>
      </c>
      <c r="DH15" s="21" t="e">
        <f>EXP(-LN(2)/2)*DH14+(1-EXP(-LN(2)/2))/(LN(2)/2)*DB15*DE15*VLOOKUP('Données projet'!$B$13,Paramètres!$A$1:$I$89,3,0)*0.475*44/12</f>
        <v>#N/A</v>
      </c>
      <c r="DI15" s="22" t="e">
        <f t="shared" si="15"/>
        <v>#N/A</v>
      </c>
      <c r="DJ15" s="75">
        <f>('Scénario référence'!$F$8+'Scénario référence'!$F$9+'Scénario référence'!$B$17+'Scénario référence'!$B$9+'Scénario référence'!$B$10)*70+IF((45+25*(1-EXP(-0.0175*A15)))&lt;70,'Scénario référence'!$B$16*(45+25*(1-EXP(-0.0175*A15))),70*'Scénario référence'!$B$16)+IF((32+38*(1-EXP(-0.0175*A15)))&lt;70,'Scénario référence'!$B$18*(32+38*(1-EXP(-0.0175*A15))),70*'Scénario référence'!$B$18)</f>
        <v>70</v>
      </c>
      <c r="DK15" s="12">
        <f>IF(A15&gt;30,10,('Scénario référence'!$B$16+'Scénario référence'!$B$17+'Scénario référence'!$B$18+'Scénario référence'!$B$9+'Scénario référence'!$B$10)*A15*10/30+('Scénario référence'!$F$8+'Scénario référence'!$F$9)*10)</f>
        <v>10</v>
      </c>
      <c r="DL15" s="12" t="e">
        <f>VLOOKUP(A15,'Données projet'!$A$165:$I$185,2,0)</f>
        <v>#N/A</v>
      </c>
      <c r="DM15" s="12" t="e">
        <f>VLOOKUP(A15,'Données projet'!$A$165:$I$185,9,0)</f>
        <v>#N/A</v>
      </c>
      <c r="DN15" s="12">
        <f t="array" ref="DN15">INDEX(DM:DM,MIN(IF(ISNUMBER(DM15:DM211),ROW(DM15:DM211),"")))</f>
        <v>11</v>
      </c>
      <c r="DO15" s="12">
        <f>IF('Données projet'!$A$166&gt;35,DO14+DN15-DW14,IF(A15&lt;'Données projet'!$A$166,$DL$205^A15,IF(A15='Données projet'!$A$166,'Données projet'!$B$166,DO14+DN15-DW14)))</f>
        <v>35</v>
      </c>
      <c r="DP15" s="17">
        <f>DO15*VLOOKUP('Données projet'!$B$14,Paramètres!$A$1:$I$89,3,0)*VLOOKUP('Données projet'!$B$14,Paramètres!$A$1:$I$89,5,0)</f>
        <v>22.931999999999999</v>
      </c>
      <c r="DQ15" s="13">
        <f t="shared" si="43"/>
        <v>7.3390282083215084</v>
      </c>
      <c r="DR15" s="20">
        <f t="shared" si="16"/>
        <v>52.722040796159952</v>
      </c>
      <c r="DS15" s="59">
        <f t="shared" si="17"/>
        <v>346.05537412949326</v>
      </c>
      <c r="DT15" s="59">
        <f ca="1">AVERAGE(OFFSET($DS$3,0,0,'Données projet'!$E$14+1,1))-AVERAGE(OFFSET($H$3,0,0,'Données projet'!$E$14+1,1))</f>
        <v>188.68915783955595</v>
      </c>
      <c r="DU15" s="59">
        <f t="shared" si="44"/>
        <v>240.82467772396944</v>
      </c>
      <c r="DV15" s="15">
        <f>IF(ISNA(VLOOKUP(A15,'Données projet'!$A$165:$I$185,3,0)),0,VLOOKUP(A15,'Données projet'!$A$165:$I$185,3,0))</f>
        <v>0</v>
      </c>
      <c r="DW15" s="15">
        <f>IF(ISNA(VLOOKUP(A15,'Données projet'!$A$165:$I$185,4,0)),0,VLOOKUP(A15,'Données projet'!$A$165:$I$185,4,0))</f>
        <v>0</v>
      </c>
      <c r="DX15" s="16">
        <f>IF(ISNA(VLOOKUP(A15,'Données projet'!$A$165:$I$185,5,0)),0%,VLOOKUP(A15,'Données projet'!$A$165:$I$185,5,0)*VLOOKUP('Données projet'!$B$14,Paramètres!$A$1:$I$89,7,0))</f>
        <v>0</v>
      </c>
      <c r="DY15" s="16">
        <f>IF(ISNA(VLOOKUP(A15,'Données projet'!$A$165:$I$185,6,0)),0%,VLOOKUP(A15,'Données projet'!$A$165:$I$185,6,0)*VLOOKUP('Données projet'!$B$14,Paramètres!$A$1:$I$89,7,0))</f>
        <v>0</v>
      </c>
      <c r="DZ15" s="16">
        <f>IF(ISNA(VLOOKUP(A15,'Données projet'!$A$165:$I$185,7,0)),0%,VLOOKUP(A15,'Données projet'!$A$165:$I$185,7,0))</f>
        <v>0</v>
      </c>
      <c r="EA15" s="21">
        <f>EXP(-LN(2)/35)*EA14+(1-EXP(-LN(2)/35))/(LN(2)/35)*DW15*DX15*VLOOKUP('Données projet'!$B$14,Paramètres!$A$1:$I$89,3,0)*0.475*44/12</f>
        <v>0</v>
      </c>
      <c r="EB15" s="21">
        <f>EXP(-LN(2)/25)*EB14+(1-EXP(-LN(2)/25))/(LN(2)/25)*Calculateur!DW15*Calculateur!DY15*VLOOKUP('Données projet'!$B$14,Paramètres!$A$1:$I$89,3,0)*0.475*44/12</f>
        <v>0</v>
      </c>
      <c r="EC15" s="21">
        <f>EXP(-LN(2)/2)*EC14+(1-EXP(-LN(2)/2))/(LN(2)/2)*DW15*DZ15*VLOOKUP('Données projet'!$B$14,Paramètres!$A$1:$I$89,3,0)*0.475*44/12</f>
        <v>0</v>
      </c>
      <c r="ED15" s="22">
        <f t="shared" si="18"/>
        <v>0</v>
      </c>
      <c r="EE15" s="75">
        <f>('Scénario référence'!$F$8+'Scénario référence'!$F$9+'Scénario référence'!$B$17+'Scénario référence'!$B$9+'Scénario référence'!$B$10)*70+IF((45+25*(1-EXP(-0.0175*A15)))&lt;70,'Scénario référence'!$B$16*(45+25*(1-EXP(-0.0175*A15))),70*'Scénario référence'!$B$16)+IF((32+38*(1-EXP(-0.0175*A15)))&lt;70,'Scénario référence'!$B$18*(32+38*(1-EXP(-0.0175*A15))),70*'Scénario référence'!$B$18)</f>
        <v>70</v>
      </c>
      <c r="EF15" s="12">
        <f>IF(A15&gt;30,10,('Scénario référence'!$B$16+'Scénario référence'!$B$17+'Scénario référence'!$B$18+'Scénario référence'!$B$9+'Scénario référence'!$B$10)*A15*10/30+('Scénario référence'!$F$8+'Scénario référence'!$F$9)*10)</f>
        <v>10</v>
      </c>
      <c r="EG15" s="12" t="e">
        <f>VLOOKUP(A15,'Données projet'!$A$191:$I$211,2,0)</f>
        <v>#N/A</v>
      </c>
      <c r="EH15" s="12" t="e">
        <f>VLOOKUP(A15,'Données projet'!$A$191:$I$211,9,0)</f>
        <v>#N/A</v>
      </c>
      <c r="EI15" s="12">
        <f t="array" ref="EI15">INDEX(EH:EH,MIN(IF(ISNUMBER(EH15:EH211),ROW(EH15:EH211),"")))</f>
        <v>2.9333333333333331</v>
      </c>
      <c r="EJ15" s="12">
        <f>IF('Données projet'!$A$192&gt;35,EJ14+EI15-ER14,IF(A15&lt;'Données projet'!$A$192,$EG$205^A15,IF(A15='Données projet'!$A$192,'Données projet'!$B$192,EJ14+EI15-ER14)))</f>
        <v>20.642492771517173</v>
      </c>
      <c r="EK15" s="17">
        <f>EJ15*VLOOKUP('Données projet'!$B$15,Paramètres!$A$1:$I$89,3,0)*VLOOKUP('Données projet'!$B$15,Paramètres!$A$1:$I$89,5,0)</f>
        <v>16.745190136254731</v>
      </c>
      <c r="EL15" s="13">
        <f t="shared" si="45"/>
        <v>5.5588037569714812</v>
      </c>
      <c r="EM15" s="20">
        <f t="shared" si="19"/>
        <v>38.84612269736899</v>
      </c>
      <c r="EN15" s="59">
        <f t="shared" si="20"/>
        <v>332.17945603070228</v>
      </c>
      <c r="EO15" s="59">
        <f ca="1">AVERAGE(OFFSET($EN$3,0,0,'Données projet'!$E$15+1,1))-AVERAGE(OFFSET($H$3,0,0,'Données projet'!$E$15+1,1))</f>
        <v>205.5272583787887</v>
      </c>
      <c r="EP15" s="59">
        <f t="shared" si="46"/>
        <v>180.54762778843178</v>
      </c>
      <c r="EQ15" s="15">
        <f>IF(ISNA(VLOOKUP(A15,'Données projet'!$A$191:$I$211,3,0)),0,VLOOKUP(A15,'Données projet'!$A$191:$I$211,3,0))</f>
        <v>0</v>
      </c>
      <c r="ER15" s="15">
        <f>IF(ISNA(VLOOKUP(A15,'Données projet'!$A$191:$I$211,4,0)),0,VLOOKUP(A15,'Données projet'!$A$191:$I$211,4,0))</f>
        <v>0</v>
      </c>
      <c r="ES15" s="16">
        <f>IF(ISNA(VLOOKUP(A15,'Données projet'!$A$191:$I$211,5,0)),0%,VLOOKUP(A15,'Données projet'!$A$191:$I$211,5,0)*VLOOKUP('Données projet'!$B$15,Paramètres!$A$1:$I$89,7,0))</f>
        <v>0</v>
      </c>
      <c r="ET15" s="16">
        <f>IF(ISNA(VLOOKUP(A15,'Données projet'!$A$191:$I$211,6,0)),0%,VLOOKUP(A15,'Données projet'!$A$191:$I$211,6,0)*VLOOKUP('Données projet'!$B$15,Paramètres!$A$1:$I$89,7,0))</f>
        <v>0</v>
      </c>
      <c r="EU15" s="16">
        <f>IF(ISNA(VLOOKUP(A15,'Données projet'!$A$191:$I$211,7,0)),0%,VLOOKUP(A15,'Données projet'!$A$191:$I$211,7,0))</f>
        <v>0</v>
      </c>
      <c r="EV15" s="21">
        <f>EXP(-LN(2)/35)*EV14+(1-EXP(-LN(2)/35))/(LN(2)/35)*ER15*ES15*VLOOKUP('Données projet'!$B$15,Paramètres!$A$1:$I$89,3,0)*0.475*44/12</f>
        <v>0</v>
      </c>
      <c r="EW15" s="21">
        <f>EXP(-LN(2)/25)*EW14+(1-EXP(-LN(2)/25))/(LN(2)/25)*Calculateur!ER15*Calculateur!ET15*VLOOKUP('Données projet'!$B$15,Paramètres!$A$1:$I$89,3,0)*0.475*44/12</f>
        <v>0</v>
      </c>
      <c r="EX15" s="21">
        <f>EXP(-LN(2)/2)*EX14+(1-EXP(-LN(2)/2))/(LN(2)/2)*ER15*EU15*VLOOKUP('Données projet'!$B$15,Paramètres!$A$1:$I$89,3,0)*0.475*44/12</f>
        <v>0</v>
      </c>
      <c r="EY15" s="22">
        <f t="shared" si="21"/>
        <v>0</v>
      </c>
      <c r="EZ15" s="75">
        <f>('Scénario référence'!$F$8+'Scénario référence'!$F$9+'Scénario référence'!$B$17+'Scénario référence'!$B$9+'Scénario référence'!$B$10)*70+IF((45+25*(1-EXP(-0.0175*A15)))&lt;70,'Scénario référence'!$B$16*(45+25*(1-EXP(-0.0175*A15))),70*'Scénario référence'!$B$16)+IF((32+38*(1-EXP(-0.0175*A15)))&lt;70,'Scénario référence'!$B$18*(32+38*(1-EXP(-0.0175*A15))),70*'Scénario référence'!$B$18)</f>
        <v>70</v>
      </c>
      <c r="FA15" s="12">
        <f>IF(A15&gt;30,10,('Scénario référence'!$B$16+'Scénario référence'!$B$17+'Scénario référence'!$B$18+'Scénario référence'!$B$9+'Scénario référence'!$B$10)*A15*10/30+('Scénario référence'!$F$8+'Scénario référence'!$F$9)*10)</f>
        <v>10</v>
      </c>
      <c r="FB15" s="12" t="e">
        <f>VLOOKUP(A15,'Données projet'!$A$217:$I$237,2,0)</f>
        <v>#N/A</v>
      </c>
      <c r="FC15" s="12" t="e">
        <f>VLOOKUP(A15,'Données projet'!$A$217:$I$237,9,0)</f>
        <v>#N/A</v>
      </c>
      <c r="FD15" s="12">
        <f t="array" ref="FD15">INDEX(FC:FC,MIN(IF(ISNUMBER(FC15:FC211),ROW(FC15:FC211),"")))</f>
        <v>1.7333333333333334</v>
      </c>
      <c r="FE15" s="12">
        <f>IF('Données projet'!$A$218&gt;35,FE14+FD15-FM14,IF(A15&lt;'Données projet'!$A$218,$FB$205^A15,IF(A15='Données projet'!$A$218,'Données projet'!$B$218,FE14+FD15-FM14)))</f>
        <v>13.551228811604867</v>
      </c>
      <c r="FF15" s="17">
        <f>FE15*VLOOKUP('Données projet'!$B$16,Paramètres!$A$1:$I$89,3,0)*VLOOKUP('Données projet'!$B$16,Paramètres!$A$1:$I$89,5,0)</f>
        <v>11.626954320356978</v>
      </c>
      <c r="FG15" s="13">
        <f t="shared" si="47"/>
        <v>4.0271498745455343</v>
      </c>
      <c r="FH15" s="20">
        <f t="shared" si="22"/>
        <v>27.264231472788541</v>
      </c>
      <c r="FI15" s="59">
        <f t="shared" si="23"/>
        <v>320.59756480612185</v>
      </c>
      <c r="FJ15" s="59">
        <f ca="1">AVERAGE(OFFSET($FI$3,0,0,'Données projet'!$E$16+1,1))-AVERAGE(OFFSET($H$3,0,0,'Données projet'!$E$16+1,1))</f>
        <v>383.97627237444709</v>
      </c>
      <c r="FK15" s="59">
        <f t="shared" si="48"/>
        <v>203.35476578922339</v>
      </c>
      <c r="FL15" s="15">
        <f>IF(ISNA(VLOOKUP(A15,'Données projet'!$A$217:$I$237,3,0)),0,VLOOKUP(A15,'Données projet'!$A$217:$I$237,3,0))</f>
        <v>0</v>
      </c>
      <c r="FM15" s="15">
        <f>IF(ISNA(VLOOKUP(A15,'Données projet'!$A$217:$I$237,4,0)),0,VLOOKUP(A15,'Données projet'!$A$217:$I$237,4,0))</f>
        <v>0</v>
      </c>
      <c r="FN15" s="16">
        <f>IF(ISNA(VLOOKUP(A15,'Données projet'!$A$217:$I$237,5,0)),0%,VLOOKUP(A15,'Données projet'!$A$217:$I$237,5,0)*VLOOKUP('Données projet'!$B$16,Paramètres!$A$1:$I$89,7,0))</f>
        <v>0</v>
      </c>
      <c r="FO15" s="16">
        <f>IF(ISNA(VLOOKUP(A15,'Données projet'!$A$217:$I$237,6,0)),0%,VLOOKUP(A15,'Données projet'!$A$217:$I$237,6,0)*VLOOKUP('Données projet'!$B$16,Paramètres!$A$1:$I$89,7,0))</f>
        <v>0</v>
      </c>
      <c r="FP15" s="16">
        <f>IF(ISNA(VLOOKUP(A15,'Données projet'!$A$217:$I$237,7,0)),0%,VLOOKUP(A15,'Données projet'!$A$217:$I$237,7,0))</f>
        <v>0</v>
      </c>
      <c r="FQ15" s="21">
        <f>EXP(-LN(2)/35)*FQ14+(1-EXP(-LN(2)/35))/(LN(2)/35)*FM15*FN15*VLOOKUP('Données projet'!$B$16,Paramètres!$A$1:$I$89,3,0)*0.475*44/12</f>
        <v>0</v>
      </c>
      <c r="FR15" s="21">
        <f>EXP(-LN(2)/25)*FR14+(1-EXP(-LN(2)/25))/(LN(2)/25)*Calculateur!FM15*Calculateur!FO15*VLOOKUP('Données projet'!$B$16,Paramètres!$A$1:$I$89,3,0)*0.475*44/12</f>
        <v>0</v>
      </c>
      <c r="FS15" s="21">
        <f>EXP(-LN(2)/2)*FS14+(1-EXP(-LN(2)/2))/(LN(2)/2)*FM15*FP15*VLOOKUP('Données projet'!$B$16,Paramètres!$A$1:$I$89,3,0)*0.475*44/12</f>
        <v>0</v>
      </c>
      <c r="FT15" s="22">
        <f t="shared" si="24"/>
        <v>0</v>
      </c>
      <c r="FU15" s="75">
        <f>('Scénario référence'!$F$8+'Scénario référence'!$F$9+'Scénario référence'!$B$17+'Scénario référence'!$B$9+'Scénario référence'!$B$10)*70+IF((45+25*(1-EXP(-0.0175*A15)))&lt;70,'Scénario référence'!$B$16*(45+25*(1-EXP(-0.0175*A15))),70*'Scénario référence'!$B$16)+IF((32+38*(1-EXP(-0.0175*A15)))&lt;70,'Scénario référence'!$B$18*(32+38*(1-EXP(-0.0175*A15))),70*'Scénario référence'!$B$18)</f>
        <v>70</v>
      </c>
      <c r="FV15" s="12">
        <f>IF(A15&gt;30,10,('Scénario référence'!$B$16+'Scénario référence'!$B$17+'Scénario référence'!$B$18+'Scénario référence'!$B$9+'Scénario référence'!$B$10)*A15*10/30+('Scénario référence'!$F$8+'Scénario référence'!$F$9)*10)</f>
        <v>10</v>
      </c>
      <c r="FW15" s="12" t="e">
        <f>VLOOKUP(A15,'Données projet'!$A$243:$I$263,2,0)</f>
        <v>#N/A</v>
      </c>
      <c r="FX15" s="12" t="e">
        <f>VLOOKUP(A15,'Données projet'!$A$243:$I$263,9,0)</f>
        <v>#N/A</v>
      </c>
      <c r="FY15" s="12">
        <f t="array" ref="FY15">INDEX(FX:FX,MIN(IF(ISNUMBER(FX15:FX211),ROW(FX15:FX211),"")))</f>
        <v>4.0628205128205126</v>
      </c>
      <c r="FZ15" s="12">
        <f>IF('Données projet'!$A$244&gt;35,FZ14+FY15-GH14,IF(A15&lt;'Données projet'!$A$244,$FW$205^A15,IF(A15='Données projet'!$A$244,'Données projet'!$B$244,FZ14+FY15-GH14)))</f>
        <v>6.8293529228851897</v>
      </c>
      <c r="GA15" s="17">
        <f>FZ15*VLOOKUP('Données projet'!$B$17,Paramètres!$A$1:$I$89,3,0)*VLOOKUP('Données projet'!$B$17,Paramètres!$A$1:$I$89,5,0)</f>
        <v>7.3511154861936179</v>
      </c>
      <c r="GB15" s="13">
        <f t="shared" si="49"/>
        <v>2.6857265513455357</v>
      </c>
      <c r="GC15" s="20">
        <f t="shared" si="25"/>
        <v>17.480833215380692</v>
      </c>
      <c r="GD15" s="59">
        <f t="shared" si="26"/>
        <v>310.81416654871401</v>
      </c>
      <c r="GE15" s="59">
        <f ca="1">AVERAGE(OFFSET($GD$3,0,0,'Données projet'!$E$17+1,1))-AVERAGE(OFFSET($H$3,0,0,'Données projet'!$E$17+1,1))</f>
        <v>286.77702855541287</v>
      </c>
      <c r="GF15" s="59">
        <f t="shared" si="50"/>
        <v>227.12211541860779</v>
      </c>
      <c r="GG15" s="15">
        <f>IF(ISNA(VLOOKUP(A15,'Données projet'!$A$243:$I$263,3,0)),0,VLOOKUP(A15,'Données projet'!$A$243:$I$263,3,0))</f>
        <v>0</v>
      </c>
      <c r="GH15" s="15">
        <f>IF(ISNA(VLOOKUP(A15,'Données projet'!$A$243:$I$263,4,0)),0,VLOOKUP(A15,'Données projet'!$A$243:$I$263,4,0))</f>
        <v>0</v>
      </c>
      <c r="GI15" s="16">
        <f>IF(ISNA(VLOOKUP(A15,'Données projet'!$A$243:$I$263,5,0)),0%,VLOOKUP(A15,'Données projet'!$A$243:$I$263,5,0)*VLOOKUP('Données projet'!$B$17,Paramètres!$A$1:$I$89,7,0))</f>
        <v>0</v>
      </c>
      <c r="GJ15" s="16">
        <f>IF(ISNA(VLOOKUP(A15,'Données projet'!$A$243:$I$263,6,0)),0%,VLOOKUP(A15,'Données projet'!$A$243:$I$263,6,0)*VLOOKUP('Données projet'!$B$17,Paramètres!$A$1:$I$89,7,0))</f>
        <v>0</v>
      </c>
      <c r="GK15" s="16">
        <f>IF(ISNA(VLOOKUP(A15,'Données projet'!$A$243:$I$263,7,0)),0%,VLOOKUP(A15,'Données projet'!$A$243:$I$263,7,0))</f>
        <v>0</v>
      </c>
      <c r="GL15" s="21">
        <f>EXP(-LN(2)/35)*GL14+(1-EXP(-LN(2)/35))/(LN(2)/35)*GH15*GI15*VLOOKUP('Données projet'!$B$17,Paramètres!$A$1:$I$89,3,0)*0.475*44/12</f>
        <v>0</v>
      </c>
      <c r="GM15" s="21">
        <f>EXP(-LN(2)/25)*GM14+(1-EXP(-LN(2)/25))/(LN(2)/25)*Calculateur!GH15*Calculateur!GJ15*VLOOKUP('Données projet'!$B$17,Paramètres!$A$1:$I$89,3,0)*0.475*44/12</f>
        <v>0</v>
      </c>
      <c r="GN15" s="21">
        <f>EXP(-LN(2)/2)*GN14+(1-EXP(-LN(2)/2))/(LN(2)/2)*GH15*GK15*VLOOKUP('Données projet'!$B$17,Paramètres!$A$1:$I$89,3,0)*0.475*44/12</f>
        <v>0</v>
      </c>
      <c r="GO15" s="21">
        <f t="shared" si="27"/>
        <v>0</v>
      </c>
      <c r="GP15" s="75">
        <f>('Scénario référence'!$F$8+'Scénario référence'!$F$9+'Scénario référence'!$B$17+'Scénario référence'!$B$9+'Scénario référence'!$B$10)*70+IF((45+25*(1-EXP(-0.0175*A15)))&lt;70,'Scénario référence'!$B$16*(45+25*(1-EXP(-0.0175*A15))),70*'Scénario référence'!$B$16)+IF((32+38*(1-EXP(-0.0175*A15)))&lt;70,'Scénario référence'!$B$18*(32+38*(1-EXP(-0.0175*A15))),70*'Scénario référence'!$B$18)</f>
        <v>70</v>
      </c>
      <c r="GQ15" s="12">
        <f>IF(A15&gt;30,10,('Scénario référence'!$B$16+'Scénario référence'!$B$17+'Scénario référence'!$B$18+'Scénario référence'!$B$9+'Scénario référence'!$B$10)*A15*10/30+('Scénario référence'!$F$8+'Scénario référence'!$F$9)*10)</f>
        <v>10</v>
      </c>
      <c r="GR15" s="12" t="e">
        <f>VLOOKUP(A15,'Données projet'!$A$269:$I$289,2,0)</f>
        <v>#N/A</v>
      </c>
      <c r="GS15" s="12" t="e">
        <f>VLOOKUP(A15,'Données projet'!$A$269:$I$289,9,0)</f>
        <v>#N/A</v>
      </c>
      <c r="GT15" s="12">
        <f t="array" ref="GT15">INDEX(GS:GS,MIN(IF(ISNUMBER(GS15:GS211),ROW(GS15:GS211),"")))</f>
        <v>4.0628205128205126</v>
      </c>
      <c r="GU15" s="12">
        <f>IF('Données projet'!$A$270&gt;35,GU14+GT15-HC14,IF(A15&lt;'Données projet'!$A$270,$GR$205^A15,IF(A15='Données projet'!$A$270,'Données projet'!$B$270,GU14+GT15-HC14)))</f>
        <v>6.8293529228851897</v>
      </c>
      <c r="GV15" s="17">
        <f>GU15*VLOOKUP('Données projet'!$B$18,Paramètres!$A$1:$I$89,3,0)*VLOOKUP('Données projet'!$B$18,Paramètres!$A$1:$I$89,5,0)</f>
        <v>7.3511154861936179</v>
      </c>
      <c r="GW15" s="13">
        <f t="shared" si="51"/>
        <v>2.6857265513455357</v>
      </c>
      <c r="GX15" s="20">
        <f t="shared" si="28"/>
        <v>17.480833215380692</v>
      </c>
      <c r="GY15" s="59">
        <f t="shared" si="29"/>
        <v>310.81416654871401</v>
      </c>
      <c r="GZ15" s="59">
        <f ca="1">AVERAGE(OFFSET($GY$3,0,0,'Données projet'!$E$18+1,1))-AVERAGE(OFFSET($H$3,0,0,'Données projet'!$E$18+1,1))</f>
        <v>286.77702855541287</v>
      </c>
      <c r="HA15" s="59">
        <f t="shared" si="52"/>
        <v>227.12211541860779</v>
      </c>
      <c r="HB15" s="15">
        <f>IF(ISNA(VLOOKUP(A15,'Données projet'!$A$269:$I$289,3,0)),0,VLOOKUP(A15,'Données projet'!$A$269:$I$289,3,0))</f>
        <v>0</v>
      </c>
      <c r="HC15" s="15">
        <f>IF(ISNA(VLOOKUP(A15,'Données projet'!$A$269:$I$289,4,0)),0,VLOOKUP(A15,'Données projet'!$A$269:$I$289,4,0))</f>
        <v>0</v>
      </c>
      <c r="HD15" s="16">
        <f>IF(ISNA(VLOOKUP(A15,'Données projet'!$A$269:$I$289,5,0)),0%,VLOOKUP(A15,'Données projet'!$A$269:$I$289,5,0)*VLOOKUP('Données projet'!$B$18,Paramètres!$A$1:$I$89,7,0))</f>
        <v>0</v>
      </c>
      <c r="HE15" s="16">
        <f>IF(ISNA(VLOOKUP(A15,'Données projet'!$A$269:$I$289,6,0)),0%,VLOOKUP(A15,'Données projet'!$A$269:$I$289,6,0)*VLOOKUP('Données projet'!$B$18,Paramètres!$A$1:$I$89,7,0))</f>
        <v>0</v>
      </c>
      <c r="HF15" s="16">
        <f>IF(ISNA(VLOOKUP(A15,'Données projet'!$A$269:$I$289,7,0)),0%,VLOOKUP(A15,'Données projet'!$A$269:$I$289,7,0))</f>
        <v>0</v>
      </c>
      <c r="HG15" s="21">
        <f>EXP(-LN(2)/35)*HG14+(1-EXP(-LN(2)/35))/(LN(2)/35)*HC15*HD15*VLOOKUP('Données projet'!$B$18,Paramètres!$A$1:$I$89,3,0)*0.475*44/12</f>
        <v>0</v>
      </c>
      <c r="HH15" s="21">
        <f>EXP(-LN(2)/25)*HH14+(1-EXP(-LN(2)/25))/(LN(2)/25)*Calculateur!HC15*Calculateur!HE15*VLOOKUP('Données projet'!$B$18,Paramètres!$A$1:$I$89,3,0)*0.475*44/12</f>
        <v>0</v>
      </c>
      <c r="HI15" s="21">
        <f>EXP(-LN(2)/2)*HI14+(1-EXP(-LN(2)/2))/(LN(2)/2)*HC15*HF15*VLOOKUP('Données projet'!$B$18,Paramètres!$A$1:$I$89,3,0)*0.475*44/12</f>
        <v>0</v>
      </c>
      <c r="HJ15" s="22">
        <f t="shared" si="30"/>
        <v>0</v>
      </c>
    </row>
    <row r="16" spans="1:218" x14ac:dyDescent="0.25">
      <c r="A16" s="10">
        <f t="shared" si="31"/>
        <v>13</v>
      </c>
      <c r="B16" s="73">
        <f>'Scénario référence'!$B$16*5+'Scénario référence'!$B$17*0+'Scénario référence'!$B$18*5</f>
        <v>0</v>
      </c>
      <c r="C16" s="19">
        <f>Calculateur!C15+'Scénario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11.559600000000001</v>
      </c>
      <c r="D16" s="11">
        <f t="shared" si="32"/>
        <v>4.0065293501366055</v>
      </c>
      <c r="E1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6" s="11">
        <f>IF(OR('Scénario référence'!$F$8&gt;0,'Scénario référence'!$F$9&gt;0),('Scénario référence'!$F$8+'Scénario référence'!$F$9)*10,0)</f>
        <v>10</v>
      </c>
      <c r="G16" s="11">
        <f>'Scénario référence'!$B$8*B16*44/12+'Scénario référence'!$B$9*(C16+D16)/0.475*44/12+'Scénario référence'!$B$10*(C16+D16)/0.475*44/12+'Scénario référence'!$F$8*(C16+D16)/0.475*44/12+'Scénario référence'!$F$9*(C16+D16)/0.475*44/12</f>
        <v>120.15959498351064</v>
      </c>
      <c r="H16" s="67">
        <f t="shared" si="1"/>
        <v>320.4443419514879</v>
      </c>
      <c r="I16" s="70">
        <f>('Scénario référence'!$F$8+'Scénario référence'!$F$9+'Scénario référence'!$B$17+'Scénario référence'!$B$9+'Scénario référence'!$B$10)*70+IF((45+25*(1-EXP(-0.0175*A16)))&lt;70,'Scénario référence'!$B$16*(45+25*(1-EXP(-0.0175*A16))),70*'Scénario référence'!$B$16)+IF((32+38*(1-EXP(-0.0175*A16)))&lt;70,'Scénario référence'!$B$18*(32+38*(1-EXP(-0.0175*A16))),70*'Scénario référence'!$B$18)</f>
        <v>70</v>
      </c>
      <c r="J16" s="13">
        <f>IF(A16&gt;30,10,('Scénario référence'!$B$16+'Scénario référence'!$B$17+'Scénario référence'!$B$18+'Scénario référence'!$B$9+'Scénario référence'!$B$10)*A16*10/30+('Scénario référence'!$F$8+'Scénario référence'!$F$9)*10)</f>
        <v>10</v>
      </c>
      <c r="K16" s="12" t="e">
        <f>VLOOKUP(A16,'Données projet'!$A$35:$I$55,2,0)</f>
        <v>#N/A</v>
      </c>
      <c r="L16" s="12" t="e">
        <f>VLOOKUP(A16,'Données projet'!$A$35:$I$55,9,0)</f>
        <v>#N/A</v>
      </c>
      <c r="M16" s="12">
        <f t="array" ref="M16">INDEX(L:L,MIN(IF(ISNUMBER(L16:L212),ROW(L16:L212),"")))</f>
        <v>9.3968325791855207</v>
      </c>
      <c r="N16" s="13">
        <f>IF('Données projet'!$A$36&gt;35,N15+M16-V15,IF(A16&lt;'Données projet'!$A$36,$K$205^A16,IF(A16='Données projet'!$A$36,'Données projet'!$B$36,N15+M16-V15)))</f>
        <v>48.414583084443251</v>
      </c>
      <c r="O16" s="13">
        <f>N16*VLOOKUP('Données projet'!$B$9,Paramètres!$A$1:$I$89,3,0)*VLOOKUP('Données projet'!$B$9,Paramètres!$A$1:$I$89,5,0)</f>
        <v>27.063751944203776</v>
      </c>
      <c r="P16" s="13">
        <f t="shared" si="33"/>
        <v>8.4959139568459339</v>
      </c>
      <c r="Q16" s="20">
        <f t="shared" si="2"/>
        <v>61.933084777661577</v>
      </c>
      <c r="R16" s="59">
        <f t="shared" si="0"/>
        <v>355.26641811099489</v>
      </c>
      <c r="S16" s="59">
        <f ca="1">AVERAGE(OFFSET($R$3,0,0,'Données projet'!$E$9+1,1))-AVERAGE(OFFSET($H$3,0,0,'Données projet'!$E$9+1,1))</f>
        <v>255.5374979188561</v>
      </c>
      <c r="T16" s="59">
        <f t="shared" si="34"/>
        <v>343.10418468620901</v>
      </c>
      <c r="U16" s="15">
        <f>IF(ISNA(VLOOKUP(A16,'Données projet'!$A$35:$I$55,3,0)),0,VLOOKUP(A16,'Données projet'!$A$35:$I$55,3,0))</f>
        <v>0</v>
      </c>
      <c r="V16" s="15">
        <f>IF(ISNA(VLOOKUP(A16,'Données projet'!$A$35:$I$55,4,0)),0,VLOOKUP(A16,'Données projet'!$A$35:$I$55,4,0))</f>
        <v>0</v>
      </c>
      <c r="W16" s="16">
        <f>IF(ISNA(VLOOKUP(A16,'Données projet'!$A$35:$I$55,5,0)),0%,VLOOKUP(A16,'Données projet'!$A$35:$I$55,5,0)*VLOOKUP('Données projet'!$B$9,Paramètres!$A$1:$I$89,7,0))</f>
        <v>0</v>
      </c>
      <c r="X16" s="16">
        <f>IF(ISNA(VLOOKUP(A16,'Données projet'!$A$35:$I$55,6,0)),0%,VLOOKUP(A16,'Données projet'!$A$35:$I$55,6,0)*VLOOKUP('Données projet'!$B$9,Paramètres!$A$1:$I$89,7,0))</f>
        <v>0</v>
      </c>
      <c r="Y16" s="16">
        <f>IF(ISNA(VLOOKUP(A16,'Données projet'!$A$35:$I$55,7,0)),0%,VLOOKUP(A16,'Données projet'!$A$35:$I$55,7,0))</f>
        <v>0</v>
      </c>
      <c r="Z16" s="21">
        <f>EXP(-LN(2)/35)*Z15+(1-EXP(-LN(2)/35))/(LN(2)/35)*V16*W16*VLOOKUP('Données projet'!$B$9,Paramètres!$A$1:$I$89,3,0)*0.475*44/12</f>
        <v>0</v>
      </c>
      <c r="AA16" s="21">
        <f>EXP(-LN(2)/25)*AA15+(1-EXP(-LN(2)/25))/(LN(2)/25)*Calculateur!V16*Calculateur!X16*VLOOKUP('Données projet'!$B$9,Paramètres!$A$1:$I$89,3,0)*0.475*44/12</f>
        <v>0</v>
      </c>
      <c r="AB16" s="21">
        <f>EXP(-LN(2)/2)*AB15+(1-EXP(-LN(2)/2))/(LN(2)/2)*V16*Y16*VLOOKUP('Données projet'!$B$9,Paramètres!$A$1:$I$89,3,0)*0.475*44/12</f>
        <v>0</v>
      </c>
      <c r="AC16" s="22">
        <f t="shared" si="3"/>
        <v>0</v>
      </c>
      <c r="AD16" s="13">
        <f>('Scénario référence'!$F$8+'Scénario référence'!$F$9+'Scénario référence'!$B$17+'Scénario référence'!$B$9+'Scénario référence'!$B$10)*70+IF((45+25*(1-EXP(-0.0175*A16)))&lt;70,'Scénario référence'!$B$16*(45+25*(1-EXP(-0.0175*A16))),70*'Scénario référence'!$B$16)+IF((32+38*(1-EXP(-0.0175*A16)))&lt;70,'Scénario référence'!$B$18*(32+38*(1-EXP(-0.0175*A16))),70*'Scénario référence'!$B$18)</f>
        <v>70</v>
      </c>
      <c r="AE16" s="13">
        <f>IF(A16&gt;30,10,('Scénario référence'!$B$16+'Scénario référence'!$B$17+'Scénario référence'!$B$18+'Scénario référence'!$B$9+'Scénario référence'!$B$10)*A16*10/30+('Scénario référence'!$F$8+'Scénario référence'!$F$9)*10)</f>
        <v>10</v>
      </c>
      <c r="AF16" s="12" t="e">
        <f>VLOOKUP(A16,'Données projet'!$A$61:$I$81,2,0)</f>
        <v>#N/A</v>
      </c>
      <c r="AG16" s="12" t="e">
        <f>VLOOKUP(A16,'Données projet'!$A$61:$I$81,9,0)</f>
        <v>#N/A</v>
      </c>
      <c r="AH16" s="12">
        <f t="array" ref="AH16">INDEX(AG:AG,MIN(IF(ISNUMBER(AG16:AG212),ROW(AG16:AG212),"")))</f>
        <v>13.2</v>
      </c>
      <c r="AI16" s="13">
        <f>IF('Données projet'!$A$62&gt;35,AI15+AH16-AQ15,IF(A16&lt;'Données projet'!$A$62,$AF$205^A16,IF(A16='Données projet'!$A$62,'Données projet'!$B$62,AI15+AH16-AQ15)))</f>
        <v>65.600000000000009</v>
      </c>
      <c r="AJ16" s="13">
        <f>AI16*VLOOKUP('Données projet'!$B$10,Paramètres!$A$1:$I$89,3,0)*VLOOKUP('Données projet'!$B$10,Paramètres!$A$1:$I$89,5,0)</f>
        <v>40.934400000000004</v>
      </c>
      <c r="AK16" s="13">
        <f t="shared" si="35"/>
        <v>12.245975910528967</v>
      </c>
      <c r="AL16" s="20">
        <f t="shared" si="4"/>
        <v>92.622488044171291</v>
      </c>
      <c r="AM16" s="59">
        <f t="shared" si="5"/>
        <v>385.95582137750461</v>
      </c>
      <c r="AN16" s="59">
        <f ca="1">AVERAGE(OFFSET($AM$3,0,0,'Données projet'!$E$10+1,1))-AVERAGE(OFFSET($H$3,0,0,'Données projet'!$E$10+1,1))</f>
        <v>261.78489480911571</v>
      </c>
      <c r="AO16" s="59">
        <f t="shared" si="36"/>
        <v>297.50513563712764</v>
      </c>
      <c r="AP16" s="15">
        <f>IF(ISNA(VLOOKUP(A16,'Données projet'!$A$61:$I$81,3,0)),0,VLOOKUP(A16,'Données projet'!$A$61:$I$81,3,0))</f>
        <v>0</v>
      </c>
      <c r="AQ16" s="15">
        <f>IF(ISNA(VLOOKUP(A16,'Données projet'!$A$61:$I$81,4,0)),0,VLOOKUP(A16,'Données projet'!$A$61:$I$81,4,0))</f>
        <v>0</v>
      </c>
      <c r="AR16" s="16">
        <f>IF(ISNA(VLOOKUP(A16,'Données projet'!$A$61:$I$81,5,0)),0%,VLOOKUP(A16,'Données projet'!$A$61:$I$81,5,0)*VLOOKUP('Données projet'!$B$10,Paramètres!$A$1:$I$89,7,0))</f>
        <v>0</v>
      </c>
      <c r="AS16" s="16">
        <f>IF(ISNA(VLOOKUP(A16,'Données projet'!$A$61:$I$81,6,0)),0%,VLOOKUP(A16,'Données projet'!$A$61:$I$81,6,0)*VLOOKUP('Données projet'!$B$10,Paramètres!$A$1:$I$89,7,0))</f>
        <v>0</v>
      </c>
      <c r="AT16" s="16">
        <f>IF(ISNA(VLOOKUP(A16,'Données projet'!$A$61:$I$81,7,0)),0%,VLOOKUP(A16,'Données projet'!$A$61:$I$81,7,0))</f>
        <v>0</v>
      </c>
      <c r="AU16" s="21">
        <f>EXP(-LN(2)/35)*AU15+(1-EXP(-LN(2)/35))/(LN(2)/35)*AQ16*AR16*VLOOKUP('Données projet'!$B$10,Paramètres!$A$1:$I$89,3,0)*0.475*44/12</f>
        <v>0</v>
      </c>
      <c r="AV16" s="21">
        <f>EXP(-LN(2)/25)*AV15+(1-EXP(-LN(2)/25))/(LN(2)/25)*Calculateur!AQ16*Calculateur!AS16*VLOOKUP('Données projet'!$B$10,Paramètres!$A$1:$I$89,3,0)*0.475*44/12</f>
        <v>0</v>
      </c>
      <c r="AW16" s="21">
        <f>EXP(-LN(2)/2)*AW15+(1-EXP(-LN(2)/2))/(LN(2)/2)*AQ16*AT16*VLOOKUP('Données projet'!$B$10,Paramètres!$A$1:$I$89,3,0)*0.475*44/12</f>
        <v>0</v>
      </c>
      <c r="AX16" s="21">
        <f t="shared" si="6"/>
        <v>0</v>
      </c>
      <c r="AY16" s="74">
        <f>('Scénario référence'!$F$8+'Scénario référence'!$F$9+'Scénario référence'!$B$17+'Scénario référence'!$B$9+'Scénario référence'!$B$10)*70+IF((45+25*(1-EXP(-0.0175*A16)))&lt;70,'Scénario référence'!$B$16*(45+25*(1-EXP(-0.0175*A16))),70*'Scénario référence'!$B$16)+IF((32+38*(1-EXP(-0.0175*A16)))&lt;70,'Scénario référence'!$B$18*(32+38*(1-EXP(-0.0175*A16))),70*'Scénario référence'!$B$18)</f>
        <v>70</v>
      </c>
      <c r="AZ16" s="12">
        <f>IF(A16&gt;30,10,('Scénario référence'!$B$16+'Scénario référence'!$B$17+'Scénario référence'!$B$18+'Scénario référence'!$B$9+'Scénario référence'!$B$10)*A16*10/30+('Scénario référence'!$F$8+'Scénario référence'!$F$9)*10)</f>
        <v>10</v>
      </c>
      <c r="BA16" s="12" t="e">
        <f>VLOOKUP(A16,'Données projet'!$A$87:$I$107,2,0)</f>
        <v>#N/A</v>
      </c>
      <c r="BB16" s="12" t="e">
        <f>VLOOKUP(A16,'Données projet'!$A$87:$I$107,9,0)</f>
        <v>#N/A</v>
      </c>
      <c r="BC16" s="12">
        <f t="array" ref="BC16">INDEX(BB:BB,MIN(IF(ISNUMBER(BB16:BB212),ROW(BB16:BB212),"")))</f>
        <v>5.3</v>
      </c>
      <c r="BD16" s="12">
        <f>IF('Données projet'!$A$88&gt;35,BD15+BC16-BL15,IF(A16&lt;'Données projet'!$A$88,$BA$205^A16,IF(A16='Données projet'!$A$88,'Données projet'!$B$88,BD15+BC16-BL15)))</f>
        <v>20.722817982763658</v>
      </c>
      <c r="BE16" s="13">
        <f>BD16*VLOOKUP('Données projet'!$B$11,Paramètres!$A$1:$I$89,3,0)*VLOOKUP('Données projet'!$B$11,Paramètres!$A$1:$I$89,5,0)</f>
        <v>12.392245153692668</v>
      </c>
      <c r="BF16" s="13">
        <f t="shared" si="37"/>
        <v>4.2604885422894494</v>
      </c>
      <c r="BG16" s="20">
        <f t="shared" si="7"/>
        <v>29.003511187168854</v>
      </c>
      <c r="BH16" s="59">
        <f t="shared" si="8"/>
        <v>322.33684452050215</v>
      </c>
      <c r="BI16" s="59">
        <f ca="1">AVERAGE(OFFSET($BH$3,0,0,'Données projet'!$E$11+1,1))-AVERAGE(OFFSET($H$3,0,0,'Données projet'!$E$11+1,1))</f>
        <v>316.58509520829671</v>
      </c>
      <c r="BJ16" s="59">
        <f t="shared" si="38"/>
        <v>240.71332110643596</v>
      </c>
      <c r="BK16" s="15">
        <f>IF(ISNA(VLOOKUP(A16,'Données projet'!$A$87:$I$107,3,0)),0,VLOOKUP(A16,'Données projet'!$A$87:$I$107,3,0))</f>
        <v>0</v>
      </c>
      <c r="BL16" s="15">
        <f>IF(ISNA(VLOOKUP(A16,'Données projet'!$A$87:$I$107,4,0)),0,VLOOKUP(A16,'Données projet'!$A$87:$I$107,4,0))</f>
        <v>0</v>
      </c>
      <c r="BM16" s="16">
        <f>IF(ISNA(VLOOKUP(A16,'Données projet'!$A$87:$I$107,5,0)),0%,VLOOKUP(A16,'Données projet'!$A$87:$I$107,5,0)*VLOOKUP('Données projet'!$B$11,Paramètres!$A$1:$I$89,7,0))</f>
        <v>0</v>
      </c>
      <c r="BN16" s="16">
        <f>IF(ISNA(VLOOKUP(A16,'Données projet'!$A$87:$I$107,6,0)),0%,VLOOKUP(A16,'Données projet'!$A$87:$I$107,6,0)*VLOOKUP('Données projet'!$B$11,Paramètres!$A$1:$I$89,7,0))</f>
        <v>0</v>
      </c>
      <c r="BO16" s="16">
        <f>IF(ISNA(VLOOKUP(A16,'Données projet'!$A$87:$I$107,7,0)),0%,VLOOKUP(A16,'Données projet'!$A$87:$I$107,7,0))</f>
        <v>0</v>
      </c>
      <c r="BP16" s="21">
        <f>EXP(-LN(2)/35)*BP15+(1-EXP(-LN(2)/35))/(LN(2)/35)*BL16*BM16*VLOOKUP('Données projet'!$B$11,Paramètres!$A$1:$I$89,3,0)*0.475*44/12</f>
        <v>0</v>
      </c>
      <c r="BQ16" s="21">
        <f>EXP(-LN(2)/25)*BQ15+(1-EXP(-LN(2)/25))/(LN(2)/25)*Calculateur!BL16*Calculateur!BN16*VLOOKUP('Données projet'!$B$11,Paramètres!$A$1:$I$89,3,0)*0.475*44/12</f>
        <v>0</v>
      </c>
      <c r="BR16" s="21">
        <f>EXP(-LN(2)/2)*BR15+(1-EXP(-LN(2)/2))/(LN(2)/2)*BL16*BO16*VLOOKUP('Données projet'!$B$11,Paramètres!$A$1:$I$89,3,0)*0.475*44/12</f>
        <v>0</v>
      </c>
      <c r="BS16" s="22">
        <f t="shared" si="9"/>
        <v>0</v>
      </c>
      <c r="BT16" s="75">
        <f>('Scénario référence'!$F$8+'Scénario référence'!$F$9+'Scénario référence'!$B$17+'Scénario référence'!$B$9+'Scénario référence'!$B$10)*70+IF((45+25*(1-EXP(-0.0175*A16)))&lt;70,'Scénario référence'!$B$16*(45+25*(1-EXP(-0.0175*A16))),70*'Scénario référence'!$B$16)+IF((32+38*(1-EXP(-0.0175*A16)))&lt;70,'Scénario référence'!$B$18*(32+38*(1-EXP(-0.0175*A16))),70*'Scénario référence'!$B$18)</f>
        <v>70</v>
      </c>
      <c r="BU16" s="12">
        <f>IF(A16&gt;30,10,('Scénario référence'!$B$16+'Scénario référence'!$B$17+'Scénario référence'!$B$18+'Scénario référence'!$B$9+'Scénario référence'!$B$10)*A16*10/30+('Scénario référence'!$F$8+'Scénario référence'!$F$9)*10)</f>
        <v>10</v>
      </c>
      <c r="BV16" s="12" t="e">
        <f>VLOOKUP(A16,'Données projet'!$A$113:$I$133,2,0)</f>
        <v>#N/A</v>
      </c>
      <c r="BW16" s="12" t="e">
        <f>VLOOKUP(A16,'Données projet'!$A$113:$I$133,9,0)</f>
        <v>#N/A</v>
      </c>
      <c r="BX16" s="12">
        <f t="array" ref="BX16">INDEX(BW:BW,MIN(IF(ISNUMBER(BW16:BW212),ROW(BW16:BW212),"")))</f>
        <v>3.2</v>
      </c>
      <c r="BY16" s="12">
        <f>IF('Données projet'!$A$114&gt;35,BY15+BX16-CG15,IF(A16&lt;'Données projet'!$A$114,$BV$205^A16,IF(A16='Données projet'!$A$114,'Données projet'!$B$114,BY15+BX16-CG15)))</f>
        <v>28.646775135797593</v>
      </c>
      <c r="BZ16" s="13">
        <f>BY16*VLOOKUP('Données projet'!$B$12,Paramètres!$A$1:$I$89,3,0)*VLOOKUP('Données projet'!$B$12,Paramètres!$A$1:$I$89,5,0)</f>
        <v>16.385955377676225</v>
      </c>
      <c r="CA16" s="13">
        <f t="shared" si="39"/>
        <v>5.4532991078182977</v>
      </c>
      <c r="CB16" s="20">
        <f t="shared" si="10"/>
        <v>38.036701562236296</v>
      </c>
      <c r="CC16" s="59">
        <f t="shared" si="11"/>
        <v>331.37003489556963</v>
      </c>
      <c r="CD16" s="59">
        <f ca="1">AVERAGE(OFFSET($CC$3,0,0,'Données projet'!$E$12+1,1))-AVERAGE(OFFSET($H$3,0,0,'Données projet'!$E$12+1,1))</f>
        <v>188.64374818906128</v>
      </c>
      <c r="CE16" s="59">
        <f t="shared" si="40"/>
        <v>211.95157880548652</v>
      </c>
      <c r="CF16" s="15">
        <f>IF(ISNA(VLOOKUP(A16,'Données projet'!$A$113:$I$133,3,0)),0,VLOOKUP(A16,'Données projet'!$A$113:$I$133,3,0))</f>
        <v>0</v>
      </c>
      <c r="CG16" s="15">
        <f>IF(ISNA(VLOOKUP(A16,'Données projet'!$A$113:$I$133,4,0)),0,VLOOKUP(A16,'Données projet'!$A$113:$I$133,4,0))</f>
        <v>0</v>
      </c>
      <c r="CH16" s="16">
        <f>IF(ISNA(VLOOKUP(A16,'Données projet'!$A$113:$I$133,5,0)),0%,VLOOKUP(A16,'Données projet'!$A$113:$I$133,5,0)*VLOOKUP('Données projet'!$B$12,Paramètres!$A$1:$I$89,7,0))</f>
        <v>0</v>
      </c>
      <c r="CI16" s="16">
        <f>IF(ISNA(VLOOKUP(A16,'Données projet'!$A$113:$I$133,6,0)),0%,VLOOKUP(A16,'Données projet'!$A$113:$I$133,6,0)*VLOOKUP('Données projet'!$B$12,Paramètres!$A$1:$I$89,7,0))</f>
        <v>0</v>
      </c>
      <c r="CJ16" s="16">
        <f>IF(ISNA(VLOOKUP(A16,'Données projet'!$A$113:$I$133,7,0)),0%,VLOOKUP(A16,'Données projet'!$A$113:$I$133,7,0))</f>
        <v>0</v>
      </c>
      <c r="CK16" s="21">
        <f>EXP(-LN(2)/35)*CK15+(1-EXP(-LN(2)/35))/(LN(2)/35)*CG16*CH16*VLOOKUP('Données projet'!$B$12,Paramètres!$A$1:$I$89,3,0)*0.475*44/12</f>
        <v>0</v>
      </c>
      <c r="CL16" s="21">
        <f>EXP(-LN(2)/25)*CL15+(1-EXP(-LN(2)/25))/(LN(2)/25)*Calculateur!CG16*Calculateur!CI16*VLOOKUP('Données projet'!$B$12,Paramètres!$A$1:$I$89,3,0)*0.475*44/12</f>
        <v>0</v>
      </c>
      <c r="CM16" s="21">
        <f>EXP(-LN(2)/2)*CM15+(1-EXP(-LN(2)/2))/(LN(2)/2)*CG16*CJ16*VLOOKUP('Données projet'!$B$12,Paramètres!$A$1:$I$89,3,0)*0.475*44/12</f>
        <v>0</v>
      </c>
      <c r="CN16" s="22">
        <f t="shared" si="12"/>
        <v>0</v>
      </c>
      <c r="CO16" s="75">
        <f>('Scénario référence'!$F$8+'Scénario référence'!$F$9+'Scénario référence'!$B$17+'Scénario référence'!$B$9+'Scénario référence'!$B$10)*70+IF((45+25*(1-EXP(-0.0175*A16)))&lt;70,'Scénario référence'!$B$16*(45+25*(1-EXP(-0.0175*A16))),70*'Scénario référence'!$B$16)+IF((32+38*(1-EXP(-0.0175*A16)))&lt;70,'Scénario référence'!$B$18*(32+38*(1-EXP(-0.0175*A16))),70*'Scénario référence'!$B$18)</f>
        <v>70</v>
      </c>
      <c r="CP16" s="12">
        <f>IF(A16&gt;30,10,('Scénario référence'!$B$16+'Scénario référence'!$B$17+'Scénario référence'!$B$18+'Scénario référence'!$B$9+'Scénario référence'!$B$10)*A16*10/30+('Scénario référence'!$F$8+'Scénario référence'!$F$9)*10)</f>
        <v>10</v>
      </c>
      <c r="CQ16" s="12" t="e">
        <f>VLOOKUP(A16,'Données projet'!$A$139:$I$159,2,0)</f>
        <v>#N/A</v>
      </c>
      <c r="CR16" s="12" t="e">
        <f>VLOOKUP(A16,'Données projet'!$A$139:$I$159,9,0)</f>
        <v>#N/A</v>
      </c>
      <c r="CS16" s="12">
        <f t="array" ref="CS16">INDEX(CR:CR,MIN(IF(ISNUMBER(CR16:CR212),ROW(CR16:CR212),"")))</f>
        <v>0</v>
      </c>
      <c r="CT16" s="12">
        <f>IF('Données projet'!$A$140&gt;35,CT15+CS16-DB15,IF(A16&lt;'Données projet'!$A$140,$CQ$205^A16,IF(A16='Données projet'!$A$140,'Données projet'!$B$140,CT15+CS16-DB15)))</f>
        <v>0</v>
      </c>
      <c r="CU16" s="17" t="e">
        <f>CT16*VLOOKUP('Données projet'!$B$13,Paramètres!$A$1:$I$89,3,0)*VLOOKUP('Données projet'!$B$13,Paramètres!$A$1:$I$89,5,0)</f>
        <v>#N/A</v>
      </c>
      <c r="CV16" s="13" t="e">
        <f t="shared" si="41"/>
        <v>#N/A</v>
      </c>
      <c r="CW16" s="20" t="e">
        <f t="shared" si="13"/>
        <v>#N/A</v>
      </c>
      <c r="CX16" s="59" t="e">
        <f t="shared" si="14"/>
        <v>#N/A</v>
      </c>
      <c r="CY16" s="59" t="e">
        <f ca="1">AVERAGE(OFFSET($CX$3,0,0,'Données projet'!$E$13+1,1))-AVERAGE(OFFSET($H$3,0,0,'Données projet'!$E$13+1,1))</f>
        <v>#N/A</v>
      </c>
      <c r="CZ16" s="59" t="e">
        <f t="shared" si="42"/>
        <v>#N/A</v>
      </c>
      <c r="DA16" s="15">
        <f>IF(ISNA(VLOOKUP(A16,'Données projet'!$A$139:$I$159,3,0)),0,VLOOKUP(A16,'Données projet'!$A$139:$I$159,3,0))</f>
        <v>0</v>
      </c>
      <c r="DB16" s="15">
        <f>IF(ISNA(VLOOKUP(A16,'Données projet'!$A$139:$I$159,4,0)),0,VLOOKUP(A16,'Données projet'!$A$139:$I$159,4,0))</f>
        <v>0</v>
      </c>
      <c r="DC16" s="16">
        <f>IF(ISNA(VLOOKUP(A16,'Données projet'!$A$139:$I$159,5,0)),0%,VLOOKUP(A16,'Données projet'!$A$139:$I$159,5,0)*VLOOKUP('Données projet'!$B$13,Paramètres!$A$1:$I$89,7,0))</f>
        <v>0</v>
      </c>
      <c r="DD16" s="16">
        <f>IF(ISNA(VLOOKUP(A16,'Données projet'!$A$139:$I$159,6,0)),0%,VLOOKUP(A16,'Données projet'!$A$139:$I$159,6,0)*VLOOKUP('Données projet'!$B$13,Paramètres!$A$1:$I$89,7,0))</f>
        <v>0</v>
      </c>
      <c r="DE16" s="16">
        <f>IF(ISNA(VLOOKUP(A16,'Données projet'!$A$139:$I$159,7,0)),0%,VLOOKUP(A16,'Données projet'!$A$139:$I$159,7,0))</f>
        <v>0</v>
      </c>
      <c r="DF16" s="21" t="e">
        <f>EXP(-LN(2)/35)*DF15+(1-EXP(-LN(2)/35))/(LN(2)/35)*DB16*DC16*VLOOKUP('Données projet'!$B$13,Paramètres!$A$1:$I$89,3,0)*0.475*44/12</f>
        <v>#N/A</v>
      </c>
      <c r="DG16" s="21" t="e">
        <f>EXP(-LN(2)/25)*DG15+(1-EXP(-LN(2)/25))/(LN(2)/25)*Calculateur!DB16*Calculateur!DD16*VLOOKUP('Données projet'!$B$13,Paramètres!$A$1:$I$89,3,0)*0.475*44/12</f>
        <v>#N/A</v>
      </c>
      <c r="DH16" s="21" t="e">
        <f>EXP(-LN(2)/2)*DH15+(1-EXP(-LN(2)/2))/(LN(2)/2)*DB16*DE16*VLOOKUP('Données projet'!$B$13,Paramètres!$A$1:$I$89,3,0)*0.475*44/12</f>
        <v>#N/A</v>
      </c>
      <c r="DI16" s="22" t="e">
        <f t="shared" si="15"/>
        <v>#N/A</v>
      </c>
      <c r="DJ16" s="75">
        <f>('Scénario référence'!$F$8+'Scénario référence'!$F$9+'Scénario référence'!$B$17+'Scénario référence'!$B$9+'Scénario référence'!$B$10)*70+IF((45+25*(1-EXP(-0.0175*A16)))&lt;70,'Scénario référence'!$B$16*(45+25*(1-EXP(-0.0175*A16))),70*'Scénario référence'!$B$16)+IF((32+38*(1-EXP(-0.0175*A16)))&lt;70,'Scénario référence'!$B$18*(32+38*(1-EXP(-0.0175*A16))),70*'Scénario référence'!$B$18)</f>
        <v>70</v>
      </c>
      <c r="DK16" s="12">
        <f>IF(A16&gt;30,10,('Scénario référence'!$B$16+'Scénario référence'!$B$17+'Scénario référence'!$B$18+'Scénario référence'!$B$9+'Scénario référence'!$B$10)*A16*10/30+('Scénario référence'!$F$8+'Scénario référence'!$F$9)*10)</f>
        <v>10</v>
      </c>
      <c r="DL16" s="12" t="e">
        <f>VLOOKUP(A16,'Données projet'!$A$165:$I$185,2,0)</f>
        <v>#N/A</v>
      </c>
      <c r="DM16" s="12" t="e">
        <f>VLOOKUP(A16,'Données projet'!$A$165:$I$185,9,0)</f>
        <v>#N/A</v>
      </c>
      <c r="DN16" s="12">
        <f t="array" ref="DN16">INDEX(DM:DM,MIN(IF(ISNUMBER(DM16:DM212),ROW(DM16:DM212),"")))</f>
        <v>11</v>
      </c>
      <c r="DO16" s="12">
        <f>IF('Données projet'!$A$166&gt;35,DO15+DN16-DW15,IF(A16&lt;'Données projet'!$A$166,$DL$205^A16,IF(A16='Données projet'!$A$166,'Données projet'!$B$166,DO15+DN16-DW15)))</f>
        <v>46</v>
      </c>
      <c r="DP16" s="17">
        <f>DO16*VLOOKUP('Données projet'!$B$14,Paramètres!$A$1:$I$89,3,0)*VLOOKUP('Données projet'!$B$14,Paramètres!$A$1:$I$89,5,0)</f>
        <v>30.139200000000002</v>
      </c>
      <c r="DQ16" s="13">
        <f t="shared" si="43"/>
        <v>9.3435702035882535</v>
      </c>
      <c r="DR16" s="20">
        <f t="shared" si="16"/>
        <v>68.765824771249541</v>
      </c>
      <c r="DS16" s="59">
        <f t="shared" si="17"/>
        <v>362.09915810458284</v>
      </c>
      <c r="DT16" s="59">
        <f ca="1">AVERAGE(OFFSET($DS$3,0,0,'Données projet'!$E$14+1,1))-AVERAGE(OFFSET($H$3,0,0,'Données projet'!$E$14+1,1))</f>
        <v>188.68915783955595</v>
      </c>
      <c r="DU16" s="59">
        <f t="shared" si="44"/>
        <v>240.82467772396944</v>
      </c>
      <c r="DV16" s="15">
        <f>IF(ISNA(VLOOKUP(A16,'Données projet'!$A$165:$I$185,3,0)),0,VLOOKUP(A16,'Données projet'!$A$165:$I$185,3,0))</f>
        <v>0</v>
      </c>
      <c r="DW16" s="15">
        <f>IF(ISNA(VLOOKUP(A16,'Données projet'!$A$165:$I$185,4,0)),0,VLOOKUP(A16,'Données projet'!$A$165:$I$185,4,0))</f>
        <v>0</v>
      </c>
      <c r="DX16" s="16">
        <f>IF(ISNA(VLOOKUP(A16,'Données projet'!$A$165:$I$185,5,0)),0%,VLOOKUP(A16,'Données projet'!$A$165:$I$185,5,0)*VLOOKUP('Données projet'!$B$14,Paramètres!$A$1:$I$89,7,0))</f>
        <v>0</v>
      </c>
      <c r="DY16" s="16">
        <f>IF(ISNA(VLOOKUP(A16,'Données projet'!$A$165:$I$185,6,0)),0%,VLOOKUP(A16,'Données projet'!$A$165:$I$185,6,0)*VLOOKUP('Données projet'!$B$14,Paramètres!$A$1:$I$89,7,0))</f>
        <v>0</v>
      </c>
      <c r="DZ16" s="16">
        <f>IF(ISNA(VLOOKUP(A16,'Données projet'!$A$165:$I$185,7,0)),0%,VLOOKUP(A16,'Données projet'!$A$165:$I$185,7,0))</f>
        <v>0</v>
      </c>
      <c r="EA16" s="21">
        <f>EXP(-LN(2)/35)*EA15+(1-EXP(-LN(2)/35))/(LN(2)/35)*DW16*DX16*VLOOKUP('Données projet'!$B$14,Paramètres!$A$1:$I$89,3,0)*0.475*44/12</f>
        <v>0</v>
      </c>
      <c r="EB16" s="21">
        <f>EXP(-LN(2)/25)*EB15+(1-EXP(-LN(2)/25))/(LN(2)/25)*Calculateur!DW16*Calculateur!DY16*VLOOKUP('Données projet'!$B$14,Paramètres!$A$1:$I$89,3,0)*0.475*44/12</f>
        <v>0</v>
      </c>
      <c r="EC16" s="21">
        <f>EXP(-LN(2)/2)*EC15+(1-EXP(-LN(2)/2))/(LN(2)/2)*DW16*DZ16*VLOOKUP('Données projet'!$B$14,Paramètres!$A$1:$I$89,3,0)*0.475*44/12</f>
        <v>0</v>
      </c>
      <c r="ED16" s="22">
        <f t="shared" si="18"/>
        <v>0</v>
      </c>
      <c r="EE16" s="75">
        <f>('Scénario référence'!$F$8+'Scénario référence'!$F$9+'Scénario référence'!$B$17+'Scénario référence'!$B$9+'Scénario référence'!$B$10)*70+IF((45+25*(1-EXP(-0.0175*A16)))&lt;70,'Scénario référence'!$B$16*(45+25*(1-EXP(-0.0175*A16))),70*'Scénario référence'!$B$16)+IF((32+38*(1-EXP(-0.0175*A16)))&lt;70,'Scénario référence'!$B$18*(32+38*(1-EXP(-0.0175*A16))),70*'Scénario référence'!$B$18)</f>
        <v>70</v>
      </c>
      <c r="EF16" s="12">
        <f>IF(A16&gt;30,10,('Scénario référence'!$B$16+'Scénario référence'!$B$17+'Scénario référence'!$B$18+'Scénario référence'!$B$9+'Scénario référence'!$B$10)*A16*10/30+('Scénario référence'!$F$8+'Scénario référence'!$F$9)*10)</f>
        <v>10</v>
      </c>
      <c r="EG16" s="12" t="e">
        <f>VLOOKUP(A16,'Données projet'!$A$191:$I$211,2,0)</f>
        <v>#N/A</v>
      </c>
      <c r="EH16" s="12" t="e">
        <f>VLOOKUP(A16,'Données projet'!$A$191:$I$211,9,0)</f>
        <v>#N/A</v>
      </c>
      <c r="EI16" s="12">
        <f t="array" ref="EI16">INDEX(EH:EH,MIN(IF(ISNUMBER(EH16:EH212),ROW(EH16:EH212),"")))</f>
        <v>2.9333333333333331</v>
      </c>
      <c r="EJ16" s="12">
        <f>IF('Données projet'!$A$192&gt;35,EJ15+EI16-ER15,IF(A16&lt;'Données projet'!$A$192,$EG$205^A16,IF(A16='Données projet'!$A$192,'Données projet'!$B$192,EJ15+EI16-ER15)))</f>
        <v>26.565968475532745</v>
      </c>
      <c r="EK16" s="17">
        <f>EJ16*VLOOKUP('Données projet'!$B$15,Paramètres!$A$1:$I$89,3,0)*VLOOKUP('Données projet'!$B$15,Paramètres!$A$1:$I$89,5,0)</f>
        <v>21.550313627352164</v>
      </c>
      <c r="EL16" s="13">
        <f t="shared" si="45"/>
        <v>6.9469098226075578</v>
      </c>
      <c r="EM16" s="20">
        <f t="shared" si="19"/>
        <v>49.63266417534652</v>
      </c>
      <c r="EN16" s="59">
        <f t="shared" si="20"/>
        <v>342.96599750867983</v>
      </c>
      <c r="EO16" s="59">
        <f ca="1">AVERAGE(OFFSET($EN$3,0,0,'Données projet'!$E$15+1,1))-AVERAGE(OFFSET($H$3,0,0,'Données projet'!$E$15+1,1))</f>
        <v>205.5272583787887</v>
      </c>
      <c r="EP16" s="59">
        <f t="shared" si="46"/>
        <v>180.54762778843178</v>
      </c>
      <c r="EQ16" s="15">
        <f>IF(ISNA(VLOOKUP(A16,'Données projet'!$A$191:$I$211,3,0)),0,VLOOKUP(A16,'Données projet'!$A$191:$I$211,3,0))</f>
        <v>0</v>
      </c>
      <c r="ER16" s="15">
        <f>IF(ISNA(VLOOKUP(A16,'Données projet'!$A$191:$I$211,4,0)),0,VLOOKUP(A16,'Données projet'!$A$191:$I$211,4,0))</f>
        <v>0</v>
      </c>
      <c r="ES16" s="16">
        <f>IF(ISNA(VLOOKUP(A16,'Données projet'!$A$191:$I$211,5,0)),0%,VLOOKUP(A16,'Données projet'!$A$191:$I$211,5,0)*VLOOKUP('Données projet'!$B$15,Paramètres!$A$1:$I$89,7,0))</f>
        <v>0</v>
      </c>
      <c r="ET16" s="16">
        <f>IF(ISNA(VLOOKUP(A16,'Données projet'!$A$191:$I$211,6,0)),0%,VLOOKUP(A16,'Données projet'!$A$191:$I$211,6,0)*VLOOKUP('Données projet'!$B$15,Paramètres!$A$1:$I$89,7,0))</f>
        <v>0</v>
      </c>
      <c r="EU16" s="16">
        <f>IF(ISNA(VLOOKUP(A16,'Données projet'!$A$191:$I$211,7,0)),0%,VLOOKUP(A16,'Données projet'!$A$191:$I$211,7,0))</f>
        <v>0</v>
      </c>
      <c r="EV16" s="21">
        <f>EXP(-LN(2)/35)*EV15+(1-EXP(-LN(2)/35))/(LN(2)/35)*ER16*ES16*VLOOKUP('Données projet'!$B$15,Paramètres!$A$1:$I$89,3,0)*0.475*44/12</f>
        <v>0</v>
      </c>
      <c r="EW16" s="21">
        <f>EXP(-LN(2)/25)*EW15+(1-EXP(-LN(2)/25))/(LN(2)/25)*Calculateur!ER16*Calculateur!ET16*VLOOKUP('Données projet'!$B$15,Paramètres!$A$1:$I$89,3,0)*0.475*44/12</f>
        <v>0</v>
      </c>
      <c r="EX16" s="21">
        <f>EXP(-LN(2)/2)*EX15+(1-EXP(-LN(2)/2))/(LN(2)/2)*ER16*EU16*VLOOKUP('Données projet'!$B$15,Paramètres!$A$1:$I$89,3,0)*0.475*44/12</f>
        <v>0</v>
      </c>
      <c r="EY16" s="22">
        <f t="shared" si="21"/>
        <v>0</v>
      </c>
      <c r="EZ16" s="75">
        <f>('Scénario référence'!$F$8+'Scénario référence'!$F$9+'Scénario référence'!$B$17+'Scénario référence'!$B$9+'Scénario référence'!$B$10)*70+IF((45+25*(1-EXP(-0.0175*A16)))&lt;70,'Scénario référence'!$B$16*(45+25*(1-EXP(-0.0175*A16))),70*'Scénario référence'!$B$16)+IF((32+38*(1-EXP(-0.0175*A16)))&lt;70,'Scénario référence'!$B$18*(32+38*(1-EXP(-0.0175*A16))),70*'Scénario référence'!$B$18)</f>
        <v>70</v>
      </c>
      <c r="FA16" s="12">
        <f>IF(A16&gt;30,10,('Scénario référence'!$B$16+'Scénario référence'!$B$17+'Scénario référence'!$B$18+'Scénario référence'!$B$9+'Scénario référence'!$B$10)*A16*10/30+('Scénario référence'!$F$8+'Scénario référence'!$F$9)*10)</f>
        <v>10</v>
      </c>
      <c r="FB16" s="12" t="e">
        <f>VLOOKUP(A16,'Données projet'!$A$217:$I$237,2,0)</f>
        <v>#N/A</v>
      </c>
      <c r="FC16" s="12" t="e">
        <f>VLOOKUP(A16,'Données projet'!$A$217:$I$237,9,0)</f>
        <v>#N/A</v>
      </c>
      <c r="FD16" s="12">
        <f t="array" ref="FD16">INDEX(FC:FC,MIN(IF(ISNUMBER(FC16:FC212),ROW(FC16:FC212),"")))</f>
        <v>1.7333333333333334</v>
      </c>
      <c r="FE16" s="12">
        <f>IF('Données projet'!$A$218&gt;35,FE15+FD16-FM15,IF(A16&lt;'Données projet'!$A$218,$FB$205^A16,IF(A16='Données projet'!$A$218,'Données projet'!$B$218,FE15+FD16-FM15)))</f>
        <v>16.838764957104519</v>
      </c>
      <c r="FF16" s="17">
        <f>FE16*VLOOKUP('Données projet'!$B$16,Paramètres!$A$1:$I$89,3,0)*VLOOKUP('Données projet'!$B$16,Paramètres!$A$1:$I$89,5,0)</f>
        <v>14.44766033319568</v>
      </c>
      <c r="FG16" s="13">
        <f t="shared" si="47"/>
        <v>4.8792060176602021</v>
      </c>
      <c r="FH16" s="20">
        <f t="shared" si="22"/>
        <v>33.660958894407322</v>
      </c>
      <c r="FI16" s="59">
        <f t="shared" si="23"/>
        <v>326.99429222774063</v>
      </c>
      <c r="FJ16" s="59">
        <f ca="1">AVERAGE(OFFSET($FI$3,0,0,'Données projet'!$E$16+1,1))-AVERAGE(OFFSET($H$3,0,0,'Données projet'!$E$16+1,1))</f>
        <v>383.97627237444709</v>
      </c>
      <c r="FK16" s="59">
        <f t="shared" si="48"/>
        <v>203.35476578922339</v>
      </c>
      <c r="FL16" s="15">
        <f>IF(ISNA(VLOOKUP(A16,'Données projet'!$A$217:$I$237,3,0)),0,VLOOKUP(A16,'Données projet'!$A$217:$I$237,3,0))</f>
        <v>0</v>
      </c>
      <c r="FM16" s="15">
        <f>IF(ISNA(VLOOKUP(A16,'Données projet'!$A$217:$I$237,4,0)),0,VLOOKUP(A16,'Données projet'!$A$217:$I$237,4,0))</f>
        <v>0</v>
      </c>
      <c r="FN16" s="16">
        <f>IF(ISNA(VLOOKUP(A16,'Données projet'!$A$217:$I$237,5,0)),0%,VLOOKUP(A16,'Données projet'!$A$217:$I$237,5,0)*VLOOKUP('Données projet'!$B$16,Paramètres!$A$1:$I$89,7,0))</f>
        <v>0</v>
      </c>
      <c r="FO16" s="16">
        <f>IF(ISNA(VLOOKUP(A16,'Données projet'!$A$217:$I$237,6,0)),0%,VLOOKUP(A16,'Données projet'!$A$217:$I$237,6,0)*VLOOKUP('Données projet'!$B$16,Paramètres!$A$1:$I$89,7,0))</f>
        <v>0</v>
      </c>
      <c r="FP16" s="16">
        <f>IF(ISNA(VLOOKUP(A16,'Données projet'!$A$217:$I$237,7,0)),0%,VLOOKUP(A16,'Données projet'!$A$217:$I$237,7,0))</f>
        <v>0</v>
      </c>
      <c r="FQ16" s="21">
        <f>EXP(-LN(2)/35)*FQ15+(1-EXP(-LN(2)/35))/(LN(2)/35)*FM16*FN16*VLOOKUP('Données projet'!$B$16,Paramètres!$A$1:$I$89,3,0)*0.475*44/12</f>
        <v>0</v>
      </c>
      <c r="FR16" s="21">
        <f>EXP(-LN(2)/25)*FR15+(1-EXP(-LN(2)/25))/(LN(2)/25)*Calculateur!FM16*Calculateur!FO16*VLOOKUP('Données projet'!$B$16,Paramètres!$A$1:$I$89,3,0)*0.475*44/12</f>
        <v>0</v>
      </c>
      <c r="FS16" s="21">
        <f>EXP(-LN(2)/2)*FS15+(1-EXP(-LN(2)/2))/(LN(2)/2)*FM16*FP16*VLOOKUP('Données projet'!$B$16,Paramètres!$A$1:$I$89,3,0)*0.475*44/12</f>
        <v>0</v>
      </c>
      <c r="FT16" s="22">
        <f t="shared" si="24"/>
        <v>0</v>
      </c>
      <c r="FU16" s="75">
        <f>('Scénario référence'!$F$8+'Scénario référence'!$F$9+'Scénario référence'!$B$17+'Scénario référence'!$B$9+'Scénario référence'!$B$10)*70+IF((45+25*(1-EXP(-0.0175*A16)))&lt;70,'Scénario référence'!$B$16*(45+25*(1-EXP(-0.0175*A16))),70*'Scénario référence'!$B$16)+IF((32+38*(1-EXP(-0.0175*A16)))&lt;70,'Scénario référence'!$B$18*(32+38*(1-EXP(-0.0175*A16))),70*'Scénario référence'!$B$18)</f>
        <v>70</v>
      </c>
      <c r="FV16" s="12">
        <f>IF(A16&gt;30,10,('Scénario référence'!$B$16+'Scénario référence'!$B$17+'Scénario référence'!$B$18+'Scénario référence'!$B$9+'Scénario référence'!$B$10)*A16*10/30+('Scénario référence'!$F$8+'Scénario référence'!$F$9)*10)</f>
        <v>10</v>
      </c>
      <c r="FW16" s="12" t="e">
        <f>VLOOKUP(A16,'Données projet'!$A$243:$I$263,2,0)</f>
        <v>#N/A</v>
      </c>
      <c r="FX16" s="12" t="e">
        <f>VLOOKUP(A16,'Données projet'!$A$243:$I$263,9,0)</f>
        <v>#N/A</v>
      </c>
      <c r="FY16" s="12">
        <f t="array" ref="FY16">INDEX(FX:FX,MIN(IF(ISNUMBER(FX16:FX212),ROW(FX16:FX212),"")))</f>
        <v>4.0628205128205126</v>
      </c>
      <c r="FZ16" s="12">
        <f>IF('Données projet'!$A$244&gt;35,FZ15+FY16-GH15,IF(A16&lt;'Données projet'!$A$244,$FW$205^A16,IF(A16='Données projet'!$A$244,'Données projet'!$B$244,FZ15+FY16-GH15)))</f>
        <v>8.0151413590917304</v>
      </c>
      <c r="GA16" s="17">
        <f>FZ16*VLOOKUP('Données projet'!$B$17,Paramètres!$A$1:$I$89,3,0)*VLOOKUP('Données projet'!$B$17,Paramètres!$A$1:$I$89,5,0)</f>
        <v>8.627498158926338</v>
      </c>
      <c r="GB16" s="13">
        <f t="shared" si="49"/>
        <v>3.0938548928140652</v>
      </c>
      <c r="GC16" s="20">
        <f t="shared" si="25"/>
        <v>20.414689898447865</v>
      </c>
      <c r="GD16" s="59">
        <f t="shared" si="26"/>
        <v>313.74802323178119</v>
      </c>
      <c r="GE16" s="59">
        <f ca="1">AVERAGE(OFFSET($GD$3,0,0,'Données projet'!$E$17+1,1))-AVERAGE(OFFSET($H$3,0,0,'Données projet'!$E$17+1,1))</f>
        <v>286.77702855541287</v>
      </c>
      <c r="GF16" s="59">
        <f t="shared" si="50"/>
        <v>227.12211541860779</v>
      </c>
      <c r="GG16" s="15">
        <f>IF(ISNA(VLOOKUP(A16,'Données projet'!$A$243:$I$263,3,0)),0,VLOOKUP(A16,'Données projet'!$A$243:$I$263,3,0))</f>
        <v>0</v>
      </c>
      <c r="GH16" s="15">
        <f>IF(ISNA(VLOOKUP(A16,'Données projet'!$A$243:$I$263,4,0)),0,VLOOKUP(A16,'Données projet'!$A$243:$I$263,4,0))</f>
        <v>0</v>
      </c>
      <c r="GI16" s="16">
        <f>IF(ISNA(VLOOKUP(A16,'Données projet'!$A$243:$I$263,5,0)),0%,VLOOKUP(A16,'Données projet'!$A$243:$I$263,5,0)*VLOOKUP('Données projet'!$B$17,Paramètres!$A$1:$I$89,7,0))</f>
        <v>0</v>
      </c>
      <c r="GJ16" s="16">
        <f>IF(ISNA(VLOOKUP(A16,'Données projet'!$A$243:$I$263,6,0)),0%,VLOOKUP(A16,'Données projet'!$A$243:$I$263,6,0)*VLOOKUP('Données projet'!$B$17,Paramètres!$A$1:$I$89,7,0))</f>
        <v>0</v>
      </c>
      <c r="GK16" s="16">
        <f>IF(ISNA(VLOOKUP(A16,'Données projet'!$A$243:$I$263,7,0)),0%,VLOOKUP(A16,'Données projet'!$A$243:$I$263,7,0))</f>
        <v>0</v>
      </c>
      <c r="GL16" s="21">
        <f>EXP(-LN(2)/35)*GL15+(1-EXP(-LN(2)/35))/(LN(2)/35)*GH16*GI16*VLOOKUP('Données projet'!$B$17,Paramètres!$A$1:$I$89,3,0)*0.475*44/12</f>
        <v>0</v>
      </c>
      <c r="GM16" s="21">
        <f>EXP(-LN(2)/25)*GM15+(1-EXP(-LN(2)/25))/(LN(2)/25)*Calculateur!GH16*Calculateur!GJ16*VLOOKUP('Données projet'!$B$17,Paramètres!$A$1:$I$89,3,0)*0.475*44/12</f>
        <v>0</v>
      </c>
      <c r="GN16" s="21">
        <f>EXP(-LN(2)/2)*GN15+(1-EXP(-LN(2)/2))/(LN(2)/2)*GH16*GK16*VLOOKUP('Données projet'!$B$17,Paramètres!$A$1:$I$89,3,0)*0.475*44/12</f>
        <v>0</v>
      </c>
      <c r="GO16" s="21">
        <f t="shared" si="27"/>
        <v>0</v>
      </c>
      <c r="GP16" s="75">
        <f>('Scénario référence'!$F$8+'Scénario référence'!$F$9+'Scénario référence'!$B$17+'Scénario référence'!$B$9+'Scénario référence'!$B$10)*70+IF((45+25*(1-EXP(-0.0175*A16)))&lt;70,'Scénario référence'!$B$16*(45+25*(1-EXP(-0.0175*A16))),70*'Scénario référence'!$B$16)+IF((32+38*(1-EXP(-0.0175*A16)))&lt;70,'Scénario référence'!$B$18*(32+38*(1-EXP(-0.0175*A16))),70*'Scénario référence'!$B$18)</f>
        <v>70</v>
      </c>
      <c r="GQ16" s="12">
        <f>IF(A16&gt;30,10,('Scénario référence'!$B$16+'Scénario référence'!$B$17+'Scénario référence'!$B$18+'Scénario référence'!$B$9+'Scénario référence'!$B$10)*A16*10/30+('Scénario référence'!$F$8+'Scénario référence'!$F$9)*10)</f>
        <v>10</v>
      </c>
      <c r="GR16" s="12" t="e">
        <f>VLOOKUP(A16,'Données projet'!$A$269:$I$289,2,0)</f>
        <v>#N/A</v>
      </c>
      <c r="GS16" s="12" t="e">
        <f>VLOOKUP(A16,'Données projet'!$A$269:$I$289,9,0)</f>
        <v>#N/A</v>
      </c>
      <c r="GT16" s="12">
        <f t="array" ref="GT16">INDEX(GS:GS,MIN(IF(ISNUMBER(GS16:GS212),ROW(GS16:GS212),"")))</f>
        <v>4.0628205128205126</v>
      </c>
      <c r="GU16" s="12">
        <f>IF('Données projet'!$A$270&gt;35,GU15+GT16-HC15,IF(A16&lt;'Données projet'!$A$270,$GR$205^A16,IF(A16='Données projet'!$A$270,'Données projet'!$B$270,GU15+GT16-HC15)))</f>
        <v>8.0151413590917304</v>
      </c>
      <c r="GV16" s="17">
        <f>GU16*VLOOKUP('Données projet'!$B$18,Paramètres!$A$1:$I$89,3,0)*VLOOKUP('Données projet'!$B$18,Paramètres!$A$1:$I$89,5,0)</f>
        <v>8.627498158926338</v>
      </c>
      <c r="GW16" s="13">
        <f t="shared" si="51"/>
        <v>3.0938548928140652</v>
      </c>
      <c r="GX16" s="20">
        <f t="shared" si="28"/>
        <v>20.414689898447865</v>
      </c>
      <c r="GY16" s="59">
        <f t="shared" si="29"/>
        <v>313.74802323178119</v>
      </c>
      <c r="GZ16" s="59">
        <f ca="1">AVERAGE(OFFSET($GY$3,0,0,'Données projet'!$E$18+1,1))-AVERAGE(OFFSET($H$3,0,0,'Données projet'!$E$18+1,1))</f>
        <v>286.77702855541287</v>
      </c>
      <c r="HA16" s="59">
        <f t="shared" si="52"/>
        <v>227.12211541860779</v>
      </c>
      <c r="HB16" s="15">
        <f>IF(ISNA(VLOOKUP(A16,'Données projet'!$A$269:$I$289,3,0)),0,VLOOKUP(A16,'Données projet'!$A$269:$I$289,3,0))</f>
        <v>0</v>
      </c>
      <c r="HC16" s="15">
        <f>IF(ISNA(VLOOKUP(A16,'Données projet'!$A$269:$I$289,4,0)),0,VLOOKUP(A16,'Données projet'!$A$269:$I$289,4,0))</f>
        <v>0</v>
      </c>
      <c r="HD16" s="16">
        <f>IF(ISNA(VLOOKUP(A16,'Données projet'!$A$269:$I$289,5,0)),0%,VLOOKUP(A16,'Données projet'!$A$269:$I$289,5,0)*VLOOKUP('Données projet'!$B$18,Paramètres!$A$1:$I$89,7,0))</f>
        <v>0</v>
      </c>
      <c r="HE16" s="16">
        <f>IF(ISNA(VLOOKUP(A16,'Données projet'!$A$269:$I$289,6,0)),0%,VLOOKUP(A16,'Données projet'!$A$269:$I$289,6,0)*VLOOKUP('Données projet'!$B$18,Paramètres!$A$1:$I$89,7,0))</f>
        <v>0</v>
      </c>
      <c r="HF16" s="16">
        <f>IF(ISNA(VLOOKUP(A16,'Données projet'!$A$269:$I$289,7,0)),0%,VLOOKUP(A16,'Données projet'!$A$269:$I$289,7,0))</f>
        <v>0</v>
      </c>
      <c r="HG16" s="21">
        <f>EXP(-LN(2)/35)*HG15+(1-EXP(-LN(2)/35))/(LN(2)/35)*HC16*HD16*VLOOKUP('Données projet'!$B$18,Paramètres!$A$1:$I$89,3,0)*0.475*44/12</f>
        <v>0</v>
      </c>
      <c r="HH16" s="21">
        <f>EXP(-LN(2)/25)*HH15+(1-EXP(-LN(2)/25))/(LN(2)/25)*Calculateur!HC16*Calculateur!HE16*VLOOKUP('Données projet'!$B$18,Paramètres!$A$1:$I$89,3,0)*0.475*44/12</f>
        <v>0</v>
      </c>
      <c r="HI16" s="21">
        <f>EXP(-LN(2)/2)*HI15+(1-EXP(-LN(2)/2))/(LN(2)/2)*HC16*HF16*VLOOKUP('Données projet'!$B$18,Paramètres!$A$1:$I$89,3,0)*0.475*44/12</f>
        <v>0</v>
      </c>
      <c r="HJ16" s="22">
        <f t="shared" si="30"/>
        <v>0</v>
      </c>
    </row>
    <row r="17" spans="1:218" x14ac:dyDescent="0.25">
      <c r="A17" s="10">
        <f t="shared" si="31"/>
        <v>14</v>
      </c>
      <c r="B17" s="73">
        <f>'Scénario référence'!$B$16*5+'Scénario référence'!$B$17*0+'Scénario référence'!$B$18*5</f>
        <v>0</v>
      </c>
      <c r="C17" s="19">
        <f>Calculateur!C16+'Scénario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12.448800000000002</v>
      </c>
      <c r="D17" s="11">
        <f t="shared" si="32"/>
        <v>4.2776644527179633</v>
      </c>
      <c r="E1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7" s="11">
        <f>IF(OR('Scénario référence'!$F$8&gt;0,'Scénario référence'!$F$9&gt;0),('Scénario référence'!$F$8+'Scénario référence'!$F$9)*10,0)</f>
        <v>10</v>
      </c>
      <c r="G17" s="11">
        <f>'Scénario référence'!$B$8*B17*44/12+'Scénario référence'!$B$9*(C17+D17)/0.475*44/12+'Scénario référence'!$B$10*(C17+D17)/0.475*44/12+'Scénario référence'!$F$8*(C17+D17)/0.475*44/12+'Scénario référence'!$F$9*(C17+D17)/0.475*44/12</f>
        <v>129.11656770519133</v>
      </c>
      <c r="H17" s="67">
        <f t="shared" si="1"/>
        <v>322.46525892181711</v>
      </c>
      <c r="I17" s="70">
        <f>('Scénario référence'!$F$8+'Scénario référence'!$F$9+'Scénario référence'!$B$17+'Scénario référence'!$B$9+'Scénario référence'!$B$10)*70+IF((45+25*(1-EXP(-0.0175*A17)))&lt;70,'Scénario référence'!$B$16*(45+25*(1-EXP(-0.0175*A17))),70*'Scénario référence'!$B$16)+IF((32+38*(1-EXP(-0.0175*A17)))&lt;70,'Scénario référence'!$B$18*(32+38*(1-EXP(-0.0175*A17))),70*'Scénario référence'!$B$18)</f>
        <v>70</v>
      </c>
      <c r="J17" s="13">
        <f>IF(A17&gt;30,10,('Scénario référence'!$B$16+'Scénario référence'!$B$17+'Scénario référence'!$B$18+'Scénario référence'!$B$9+'Scénario référence'!$B$10)*A17*10/30+('Scénario référence'!$F$8+'Scénario référence'!$F$9)*10)</f>
        <v>10</v>
      </c>
      <c r="K17" s="12" t="e">
        <f>VLOOKUP(A17,'Données projet'!$A$35:$I$55,2,0)</f>
        <v>#N/A</v>
      </c>
      <c r="L17" s="12" t="e">
        <f>VLOOKUP(A17,'Données projet'!$A$35:$I$55,9,0)</f>
        <v>#N/A</v>
      </c>
      <c r="M17" s="12">
        <f t="array" ref="M17">INDEX(L:L,MIN(IF(ISNUMBER(L17:L213),ROW(L17:L213),"")))</f>
        <v>9.3968325791855207</v>
      </c>
      <c r="N17" s="13">
        <f>IF('Données projet'!$A$36&gt;35,N16+M17-V16,IF(A17&lt;'Données projet'!$A$36,$K$205^A17,IF(A17='Données projet'!$A$36,'Données projet'!$B$36,N16+M17-V16)))</f>
        <v>65.251387348641543</v>
      </c>
      <c r="O17" s="13">
        <f>N17*VLOOKUP('Données projet'!$B$9,Paramètres!$A$1:$I$89,3,0)*VLOOKUP('Données projet'!$B$9,Paramètres!$A$1:$I$89,5,0)</f>
        <v>36.475525527890625</v>
      </c>
      <c r="P17" s="13">
        <f t="shared" si="33"/>
        <v>11.059529243860162</v>
      </c>
      <c r="Q17" s="20">
        <f t="shared" si="2"/>
        <v>82.790220394132618</v>
      </c>
      <c r="R17" s="59">
        <f t="shared" si="0"/>
        <v>376.12355372746595</v>
      </c>
      <c r="S17" s="59">
        <f ca="1">AVERAGE(OFFSET($R$3,0,0,'Données projet'!$E$9+1,1))-AVERAGE(OFFSET($H$3,0,0,'Données projet'!$E$9+1,1))</f>
        <v>255.5374979188561</v>
      </c>
      <c r="T17" s="59">
        <f t="shared" si="34"/>
        <v>343.10418468620901</v>
      </c>
      <c r="U17" s="15">
        <f>IF(ISNA(VLOOKUP(A17,'Données projet'!$A$35:$I$55,3,0)),0,VLOOKUP(A17,'Données projet'!$A$35:$I$55,3,0))</f>
        <v>0</v>
      </c>
      <c r="V17" s="15">
        <f>IF(ISNA(VLOOKUP(A17,'Données projet'!$A$35:$I$55,4,0)),0,VLOOKUP(A17,'Données projet'!$A$35:$I$55,4,0))</f>
        <v>0</v>
      </c>
      <c r="W17" s="16">
        <f>IF(ISNA(VLOOKUP(A17,'Données projet'!$A$35:$I$55,5,0)),0%,VLOOKUP(A17,'Données projet'!$A$35:$I$55,5,0)*VLOOKUP('Données projet'!$B$9,Paramètres!$A$1:$I$89,7,0))</f>
        <v>0</v>
      </c>
      <c r="X17" s="16">
        <f>IF(ISNA(VLOOKUP(A17,'Données projet'!$A$35:$I$55,6,0)),0%,VLOOKUP(A17,'Données projet'!$A$35:$I$55,6,0)*VLOOKUP('Données projet'!$B$9,Paramètres!$A$1:$I$89,7,0))</f>
        <v>0</v>
      </c>
      <c r="Y17" s="16">
        <f>IF(ISNA(VLOOKUP(A17,'Données projet'!$A$35:$I$55,7,0)),0%,VLOOKUP(A17,'Données projet'!$A$35:$I$55,7,0))</f>
        <v>0</v>
      </c>
      <c r="Z17" s="21">
        <f>EXP(-LN(2)/35)*Z16+(1-EXP(-LN(2)/35))/(LN(2)/35)*V17*W17*VLOOKUP('Données projet'!$B$9,Paramètres!$A$1:$I$89,3,0)*0.475*44/12</f>
        <v>0</v>
      </c>
      <c r="AA17" s="21">
        <f>EXP(-LN(2)/25)*AA16+(1-EXP(-LN(2)/25))/(LN(2)/25)*Calculateur!V17*Calculateur!X17*VLOOKUP('Données projet'!$B$9,Paramètres!$A$1:$I$89,3,0)*0.475*44/12</f>
        <v>0</v>
      </c>
      <c r="AB17" s="21">
        <f>EXP(-LN(2)/2)*AB16+(1-EXP(-LN(2)/2))/(LN(2)/2)*V17*Y17*VLOOKUP('Données projet'!$B$9,Paramètres!$A$1:$I$89,3,0)*0.475*44/12</f>
        <v>0</v>
      </c>
      <c r="AC17" s="22">
        <f t="shared" si="3"/>
        <v>0</v>
      </c>
      <c r="AD17" s="13">
        <f>('Scénario référence'!$F$8+'Scénario référence'!$F$9+'Scénario référence'!$B$17+'Scénario référence'!$B$9+'Scénario référence'!$B$10)*70+IF((45+25*(1-EXP(-0.0175*A17)))&lt;70,'Scénario référence'!$B$16*(45+25*(1-EXP(-0.0175*A17))),70*'Scénario référence'!$B$16)+IF((32+38*(1-EXP(-0.0175*A17)))&lt;70,'Scénario référence'!$B$18*(32+38*(1-EXP(-0.0175*A17))),70*'Scénario référence'!$B$18)</f>
        <v>70</v>
      </c>
      <c r="AE17" s="13">
        <f>IF(A17&gt;30,10,('Scénario référence'!$B$16+'Scénario référence'!$B$17+'Scénario référence'!$B$18+'Scénario référence'!$B$9+'Scénario référence'!$B$10)*A17*10/30+('Scénario référence'!$F$8+'Scénario référence'!$F$9)*10)</f>
        <v>10</v>
      </c>
      <c r="AF17" s="12" t="e">
        <f>VLOOKUP(A17,'Données projet'!$A$61:$I$81,2,0)</f>
        <v>#N/A</v>
      </c>
      <c r="AG17" s="12" t="e">
        <f>VLOOKUP(A17,'Données projet'!$A$61:$I$81,9,0)</f>
        <v>#N/A</v>
      </c>
      <c r="AH17" s="12">
        <f t="array" ref="AH17">INDEX(AG:AG,MIN(IF(ISNUMBER(AG17:AG213),ROW(AG17:AG213),"")))</f>
        <v>13.2</v>
      </c>
      <c r="AI17" s="13">
        <f>IF('Données projet'!$A$62&gt;35,AI16+AH17-AQ16,IF(A17&lt;'Données projet'!$A$62,$AF$205^A17,IF(A17='Données projet'!$A$62,'Données projet'!$B$62,AI16+AH17-AQ16)))</f>
        <v>78.800000000000011</v>
      </c>
      <c r="AJ17" s="13">
        <f>AI17*VLOOKUP('Données projet'!$B$10,Paramètres!$A$1:$I$89,3,0)*VLOOKUP('Données projet'!$B$10,Paramètres!$A$1:$I$89,5,0)</f>
        <v>49.171200000000006</v>
      </c>
      <c r="AK17" s="13">
        <f t="shared" si="35"/>
        <v>14.399510673699437</v>
      </c>
      <c r="AL17" s="20">
        <f t="shared" si="4"/>
        <v>110.7189877566932</v>
      </c>
      <c r="AM17" s="59">
        <f t="shared" si="5"/>
        <v>404.05232109002651</v>
      </c>
      <c r="AN17" s="59">
        <f ca="1">AVERAGE(OFFSET($AM$3,0,0,'Données projet'!$E$10+1,1))-AVERAGE(OFFSET($H$3,0,0,'Données projet'!$E$10+1,1))</f>
        <v>261.78489480911571</v>
      </c>
      <c r="AO17" s="59">
        <f t="shared" si="36"/>
        <v>297.50513563712764</v>
      </c>
      <c r="AP17" s="15">
        <f>IF(ISNA(VLOOKUP(A17,'Données projet'!$A$61:$I$81,3,0)),0,VLOOKUP(A17,'Données projet'!$A$61:$I$81,3,0))</f>
        <v>0</v>
      </c>
      <c r="AQ17" s="15">
        <f>IF(ISNA(VLOOKUP(A17,'Données projet'!$A$61:$I$81,4,0)),0,VLOOKUP(A17,'Données projet'!$A$61:$I$81,4,0))</f>
        <v>0</v>
      </c>
      <c r="AR17" s="16">
        <f>IF(ISNA(VLOOKUP(A17,'Données projet'!$A$61:$I$81,5,0)),0%,VLOOKUP(A17,'Données projet'!$A$61:$I$81,5,0)*VLOOKUP('Données projet'!$B$10,Paramètres!$A$1:$I$89,7,0))</f>
        <v>0</v>
      </c>
      <c r="AS17" s="16">
        <f>IF(ISNA(VLOOKUP(A17,'Données projet'!$A$61:$I$81,6,0)),0%,VLOOKUP(A17,'Données projet'!$A$61:$I$81,6,0)*VLOOKUP('Données projet'!$B$10,Paramètres!$A$1:$I$89,7,0))</f>
        <v>0</v>
      </c>
      <c r="AT17" s="16">
        <f>IF(ISNA(VLOOKUP(A17,'Données projet'!$A$61:$I$81,7,0)),0%,VLOOKUP(A17,'Données projet'!$A$61:$I$81,7,0))</f>
        <v>0</v>
      </c>
      <c r="AU17" s="21">
        <f>EXP(-LN(2)/35)*AU16+(1-EXP(-LN(2)/35))/(LN(2)/35)*AQ17*AR17*VLOOKUP('Données projet'!$B$10,Paramètres!$A$1:$I$89,3,0)*0.475*44/12</f>
        <v>0</v>
      </c>
      <c r="AV17" s="21">
        <f>EXP(-LN(2)/25)*AV16+(1-EXP(-LN(2)/25))/(LN(2)/25)*Calculateur!AQ17*Calculateur!AS17*VLOOKUP('Données projet'!$B$10,Paramètres!$A$1:$I$89,3,0)*0.475*44/12</f>
        <v>0</v>
      </c>
      <c r="AW17" s="21">
        <f>EXP(-LN(2)/2)*AW16+(1-EXP(-LN(2)/2))/(LN(2)/2)*AQ17*AT17*VLOOKUP('Données projet'!$B$10,Paramètres!$A$1:$I$89,3,0)*0.475*44/12</f>
        <v>0</v>
      </c>
      <c r="AX17" s="21">
        <f t="shared" si="6"/>
        <v>0</v>
      </c>
      <c r="AY17" s="74">
        <f>('Scénario référence'!$F$8+'Scénario référence'!$F$9+'Scénario référence'!$B$17+'Scénario référence'!$B$9+'Scénario référence'!$B$10)*70+IF((45+25*(1-EXP(-0.0175*A17)))&lt;70,'Scénario référence'!$B$16*(45+25*(1-EXP(-0.0175*A17))),70*'Scénario référence'!$B$16)+IF((32+38*(1-EXP(-0.0175*A17)))&lt;70,'Scénario référence'!$B$18*(32+38*(1-EXP(-0.0175*A17))),70*'Scénario référence'!$B$18)</f>
        <v>70</v>
      </c>
      <c r="AZ17" s="12">
        <f>IF(A17&gt;30,10,('Scénario référence'!$B$16+'Scénario référence'!$B$17+'Scénario référence'!$B$18+'Scénario référence'!$B$9+'Scénario référence'!$B$10)*A17*10/30+('Scénario référence'!$F$8+'Scénario référence'!$F$9)*10)</f>
        <v>10</v>
      </c>
      <c r="BA17" s="12" t="e">
        <f>VLOOKUP(A17,'Données projet'!$A$87:$I$107,2,0)</f>
        <v>#N/A</v>
      </c>
      <c r="BB17" s="12" t="e">
        <f>VLOOKUP(A17,'Données projet'!$A$87:$I$107,9,0)</f>
        <v>#N/A</v>
      </c>
      <c r="BC17" s="12">
        <f t="array" ref="BC17">INDEX(BB:BB,MIN(IF(ISNUMBER(BB17:BB213),ROW(BB17:BB213),"")))</f>
        <v>5.3</v>
      </c>
      <c r="BD17" s="12">
        <f>IF('Données projet'!$A$88&gt;35,BD16+BC17-BL16,IF(A17&lt;'Données projet'!$A$88,$BA$205^A17,IF(A17='Données projet'!$A$88,'Données projet'!$B$88,BD16+BC17-BL16)))</f>
        <v>26.164600360262149</v>
      </c>
      <c r="BE17" s="13">
        <f>BD17*VLOOKUP('Données projet'!$B$11,Paramètres!$A$1:$I$89,3,0)*VLOOKUP('Données projet'!$B$11,Paramètres!$A$1:$I$89,5,0)</f>
        <v>15.646431015436765</v>
      </c>
      <c r="BF17" s="13">
        <f t="shared" si="37"/>
        <v>5.235249871727123</v>
      </c>
      <c r="BG17" s="20">
        <f t="shared" si="7"/>
        <v>36.368927545143769</v>
      </c>
      <c r="BH17" s="59">
        <f t="shared" si="8"/>
        <v>329.70226087847709</v>
      </c>
      <c r="BI17" s="59">
        <f ca="1">AVERAGE(OFFSET($BH$3,0,0,'Données projet'!$E$11+1,1))-AVERAGE(OFFSET($H$3,0,0,'Données projet'!$E$11+1,1))</f>
        <v>316.58509520829671</v>
      </c>
      <c r="BJ17" s="59">
        <f t="shared" si="38"/>
        <v>240.71332110643596</v>
      </c>
      <c r="BK17" s="15">
        <f>IF(ISNA(VLOOKUP(A17,'Données projet'!$A$87:$I$107,3,0)),0,VLOOKUP(A17,'Données projet'!$A$87:$I$107,3,0))</f>
        <v>0</v>
      </c>
      <c r="BL17" s="15">
        <f>IF(ISNA(VLOOKUP(A17,'Données projet'!$A$87:$I$107,4,0)),0,VLOOKUP(A17,'Données projet'!$A$87:$I$107,4,0))</f>
        <v>0</v>
      </c>
      <c r="BM17" s="16">
        <f>IF(ISNA(VLOOKUP(A17,'Données projet'!$A$87:$I$107,5,0)),0%,VLOOKUP(A17,'Données projet'!$A$87:$I$107,5,0)*VLOOKUP('Données projet'!$B$11,Paramètres!$A$1:$I$89,7,0))</f>
        <v>0</v>
      </c>
      <c r="BN17" s="16">
        <f>IF(ISNA(VLOOKUP(A17,'Données projet'!$A$87:$I$107,6,0)),0%,VLOOKUP(A17,'Données projet'!$A$87:$I$107,6,0)*VLOOKUP('Données projet'!$B$11,Paramètres!$A$1:$I$89,7,0))</f>
        <v>0</v>
      </c>
      <c r="BO17" s="16">
        <f>IF(ISNA(VLOOKUP(A17,'Données projet'!$A$87:$I$107,7,0)),0%,VLOOKUP(A17,'Données projet'!$A$87:$I$107,7,0))</f>
        <v>0</v>
      </c>
      <c r="BP17" s="21">
        <f>EXP(-LN(2)/35)*BP16+(1-EXP(-LN(2)/35))/(LN(2)/35)*BL17*BM17*VLOOKUP('Données projet'!$B$11,Paramètres!$A$1:$I$89,3,0)*0.475*44/12</f>
        <v>0</v>
      </c>
      <c r="BQ17" s="21">
        <f>EXP(-LN(2)/25)*BQ16+(1-EXP(-LN(2)/25))/(LN(2)/25)*Calculateur!BL17*Calculateur!BN17*VLOOKUP('Données projet'!$B$11,Paramètres!$A$1:$I$89,3,0)*0.475*44/12</f>
        <v>0</v>
      </c>
      <c r="BR17" s="21">
        <f>EXP(-LN(2)/2)*BR16+(1-EXP(-LN(2)/2))/(LN(2)/2)*BL17*BO17*VLOOKUP('Données projet'!$B$11,Paramètres!$A$1:$I$89,3,0)*0.475*44/12</f>
        <v>0</v>
      </c>
      <c r="BS17" s="22">
        <f t="shared" si="9"/>
        <v>0</v>
      </c>
      <c r="BT17" s="75">
        <f>('Scénario référence'!$F$8+'Scénario référence'!$F$9+'Scénario référence'!$B$17+'Scénario référence'!$B$9+'Scénario référence'!$B$10)*70+IF((45+25*(1-EXP(-0.0175*A17)))&lt;70,'Scénario référence'!$B$16*(45+25*(1-EXP(-0.0175*A17))),70*'Scénario référence'!$B$16)+IF((32+38*(1-EXP(-0.0175*A17)))&lt;70,'Scénario référence'!$B$18*(32+38*(1-EXP(-0.0175*A17))),70*'Scénario référence'!$B$18)</f>
        <v>70</v>
      </c>
      <c r="BU17" s="12">
        <f>IF(A17&gt;30,10,('Scénario référence'!$B$16+'Scénario référence'!$B$17+'Scénario référence'!$B$18+'Scénario référence'!$B$9+'Scénario référence'!$B$10)*A17*10/30+('Scénario référence'!$F$8+'Scénario référence'!$F$9)*10)</f>
        <v>10</v>
      </c>
      <c r="BV17" s="12" t="e">
        <f>VLOOKUP(A17,'Données projet'!$A$113:$I$133,2,0)</f>
        <v>#N/A</v>
      </c>
      <c r="BW17" s="12" t="e">
        <f>VLOOKUP(A17,'Données projet'!$A$113:$I$133,9,0)</f>
        <v>#N/A</v>
      </c>
      <c r="BX17" s="12">
        <f t="array" ref="BX17">INDEX(BW:BW,MIN(IF(ISNUMBER(BW17:BW213),ROW(BW17:BW213),"")))</f>
        <v>3.2</v>
      </c>
      <c r="BY17" s="12">
        <f>IF('Données projet'!$A$114&gt;35,BY16+BX17-CG16,IF(A17&lt;'Données projet'!$A$114,$BV$205^A17,IF(A17='Données projet'!$A$114,'Données projet'!$B$114,BY16+BX17-CG16)))</f>
        <v>37.081601995036351</v>
      </c>
      <c r="BZ17" s="13">
        <f>BY17*VLOOKUP('Données projet'!$B$12,Paramètres!$A$1:$I$89,3,0)*VLOOKUP('Données projet'!$B$12,Paramètres!$A$1:$I$89,5,0)</f>
        <v>21.210676341160795</v>
      </c>
      <c r="CA17" s="13">
        <f t="shared" si="39"/>
        <v>6.85007988303843</v>
      </c>
      <c r="CB17" s="20">
        <f t="shared" si="10"/>
        <v>48.872483757146973</v>
      </c>
      <c r="CC17" s="59">
        <f t="shared" si="11"/>
        <v>342.20581709048031</v>
      </c>
      <c r="CD17" s="59">
        <f ca="1">AVERAGE(OFFSET($CC$3,0,0,'Données projet'!$E$12+1,1))-AVERAGE(OFFSET($H$3,0,0,'Données projet'!$E$12+1,1))</f>
        <v>188.64374818906128</v>
      </c>
      <c r="CE17" s="59">
        <f t="shared" si="40"/>
        <v>211.95157880548652</v>
      </c>
      <c r="CF17" s="15">
        <f>IF(ISNA(VLOOKUP(A17,'Données projet'!$A$113:$I$133,3,0)),0,VLOOKUP(A17,'Données projet'!$A$113:$I$133,3,0))</f>
        <v>0</v>
      </c>
      <c r="CG17" s="15">
        <f>IF(ISNA(VLOOKUP(A17,'Données projet'!$A$113:$I$133,4,0)),0,VLOOKUP(A17,'Données projet'!$A$113:$I$133,4,0))</f>
        <v>0</v>
      </c>
      <c r="CH17" s="16">
        <f>IF(ISNA(VLOOKUP(A17,'Données projet'!$A$113:$I$133,5,0)),0%,VLOOKUP(A17,'Données projet'!$A$113:$I$133,5,0)*VLOOKUP('Données projet'!$B$12,Paramètres!$A$1:$I$89,7,0))</f>
        <v>0</v>
      </c>
      <c r="CI17" s="16">
        <f>IF(ISNA(VLOOKUP(A17,'Données projet'!$A$113:$I$133,6,0)),0%,VLOOKUP(A17,'Données projet'!$A$113:$I$133,6,0)*VLOOKUP('Données projet'!$B$12,Paramètres!$A$1:$I$89,7,0))</f>
        <v>0</v>
      </c>
      <c r="CJ17" s="16">
        <f>IF(ISNA(VLOOKUP(A17,'Données projet'!$A$113:$I$133,7,0)),0%,VLOOKUP(A17,'Données projet'!$A$113:$I$133,7,0))</f>
        <v>0</v>
      </c>
      <c r="CK17" s="21">
        <f>EXP(-LN(2)/35)*CK16+(1-EXP(-LN(2)/35))/(LN(2)/35)*CG17*CH17*VLOOKUP('Données projet'!$B$12,Paramètres!$A$1:$I$89,3,0)*0.475*44/12</f>
        <v>0</v>
      </c>
      <c r="CL17" s="21">
        <f>EXP(-LN(2)/25)*CL16+(1-EXP(-LN(2)/25))/(LN(2)/25)*Calculateur!CG17*Calculateur!CI17*VLOOKUP('Données projet'!$B$12,Paramètres!$A$1:$I$89,3,0)*0.475*44/12</f>
        <v>0</v>
      </c>
      <c r="CM17" s="21">
        <f>EXP(-LN(2)/2)*CM16+(1-EXP(-LN(2)/2))/(LN(2)/2)*CG17*CJ17*VLOOKUP('Données projet'!$B$12,Paramètres!$A$1:$I$89,3,0)*0.475*44/12</f>
        <v>0</v>
      </c>
      <c r="CN17" s="22">
        <f t="shared" si="12"/>
        <v>0</v>
      </c>
      <c r="CO17" s="75">
        <f>('Scénario référence'!$F$8+'Scénario référence'!$F$9+'Scénario référence'!$B$17+'Scénario référence'!$B$9+'Scénario référence'!$B$10)*70+IF((45+25*(1-EXP(-0.0175*A17)))&lt;70,'Scénario référence'!$B$16*(45+25*(1-EXP(-0.0175*A17))),70*'Scénario référence'!$B$16)+IF((32+38*(1-EXP(-0.0175*A17)))&lt;70,'Scénario référence'!$B$18*(32+38*(1-EXP(-0.0175*A17))),70*'Scénario référence'!$B$18)</f>
        <v>70</v>
      </c>
      <c r="CP17" s="12">
        <f>IF(A17&gt;30,10,('Scénario référence'!$B$16+'Scénario référence'!$B$17+'Scénario référence'!$B$18+'Scénario référence'!$B$9+'Scénario référence'!$B$10)*A17*10/30+('Scénario référence'!$F$8+'Scénario référence'!$F$9)*10)</f>
        <v>10</v>
      </c>
      <c r="CQ17" s="12" t="e">
        <f>VLOOKUP(A17,'Données projet'!$A$139:$I$159,2,0)</f>
        <v>#N/A</v>
      </c>
      <c r="CR17" s="12" t="e">
        <f>VLOOKUP(A17,'Données projet'!$A$139:$I$159,9,0)</f>
        <v>#N/A</v>
      </c>
      <c r="CS17" s="12">
        <f t="array" ref="CS17">INDEX(CR:CR,MIN(IF(ISNUMBER(CR17:CR213),ROW(CR17:CR213),"")))</f>
        <v>0</v>
      </c>
      <c r="CT17" s="12">
        <f>IF('Données projet'!$A$140&gt;35,CT16+CS17-DB16,IF(A17&lt;'Données projet'!$A$140,$CQ$205^A17,IF(A17='Données projet'!$A$140,'Données projet'!$B$140,CT16+CS17-DB16)))</f>
        <v>0</v>
      </c>
      <c r="CU17" s="17" t="e">
        <f>CT17*VLOOKUP('Données projet'!$B$13,Paramètres!$A$1:$I$89,3,0)*VLOOKUP('Données projet'!$B$13,Paramètres!$A$1:$I$89,5,0)</f>
        <v>#N/A</v>
      </c>
      <c r="CV17" s="13" t="e">
        <f t="shared" si="41"/>
        <v>#N/A</v>
      </c>
      <c r="CW17" s="20" t="e">
        <f t="shared" si="13"/>
        <v>#N/A</v>
      </c>
      <c r="CX17" s="59" t="e">
        <f t="shared" si="14"/>
        <v>#N/A</v>
      </c>
      <c r="CY17" s="59" t="e">
        <f ca="1">AVERAGE(OFFSET($CX$3,0,0,'Données projet'!$E$13+1,1))-AVERAGE(OFFSET($H$3,0,0,'Données projet'!$E$13+1,1))</f>
        <v>#N/A</v>
      </c>
      <c r="CZ17" s="59" t="e">
        <f t="shared" si="42"/>
        <v>#N/A</v>
      </c>
      <c r="DA17" s="15">
        <f>IF(ISNA(VLOOKUP(A17,'Données projet'!$A$139:$I$159,3,0)),0,VLOOKUP(A17,'Données projet'!$A$139:$I$159,3,0))</f>
        <v>0</v>
      </c>
      <c r="DB17" s="15">
        <f>IF(ISNA(VLOOKUP(A17,'Données projet'!$A$139:$I$159,4,0)),0,VLOOKUP(A17,'Données projet'!$A$139:$I$159,4,0))</f>
        <v>0</v>
      </c>
      <c r="DC17" s="16">
        <f>IF(ISNA(VLOOKUP(A17,'Données projet'!$A$139:$I$159,5,0)),0%,VLOOKUP(A17,'Données projet'!$A$139:$I$159,5,0)*VLOOKUP('Données projet'!$B$13,Paramètres!$A$1:$I$89,7,0))</f>
        <v>0</v>
      </c>
      <c r="DD17" s="16">
        <f>IF(ISNA(VLOOKUP(A17,'Données projet'!$A$139:$I$159,6,0)),0%,VLOOKUP(A17,'Données projet'!$A$139:$I$159,6,0)*VLOOKUP('Données projet'!$B$13,Paramètres!$A$1:$I$89,7,0))</f>
        <v>0</v>
      </c>
      <c r="DE17" s="16">
        <f>IF(ISNA(VLOOKUP(A17,'Données projet'!$A$139:$I$159,7,0)),0%,VLOOKUP(A17,'Données projet'!$A$139:$I$159,7,0))</f>
        <v>0</v>
      </c>
      <c r="DF17" s="21" t="e">
        <f>EXP(-LN(2)/35)*DF16+(1-EXP(-LN(2)/35))/(LN(2)/35)*DB17*DC17*VLOOKUP('Données projet'!$B$13,Paramètres!$A$1:$I$89,3,0)*0.475*44/12</f>
        <v>#N/A</v>
      </c>
      <c r="DG17" s="21" t="e">
        <f>EXP(-LN(2)/25)*DG16+(1-EXP(-LN(2)/25))/(LN(2)/25)*Calculateur!DB17*Calculateur!DD17*VLOOKUP('Données projet'!$B$13,Paramètres!$A$1:$I$89,3,0)*0.475*44/12</f>
        <v>#N/A</v>
      </c>
      <c r="DH17" s="21" t="e">
        <f>EXP(-LN(2)/2)*DH16+(1-EXP(-LN(2)/2))/(LN(2)/2)*DB17*DE17*VLOOKUP('Données projet'!$B$13,Paramètres!$A$1:$I$89,3,0)*0.475*44/12</f>
        <v>#N/A</v>
      </c>
      <c r="DI17" s="22" t="e">
        <f t="shared" si="15"/>
        <v>#N/A</v>
      </c>
      <c r="DJ17" s="75">
        <f>('Scénario référence'!$F$8+'Scénario référence'!$F$9+'Scénario référence'!$B$17+'Scénario référence'!$B$9+'Scénario référence'!$B$10)*70+IF((45+25*(1-EXP(-0.0175*A17)))&lt;70,'Scénario référence'!$B$16*(45+25*(1-EXP(-0.0175*A17))),70*'Scénario référence'!$B$16)+IF((32+38*(1-EXP(-0.0175*A17)))&lt;70,'Scénario référence'!$B$18*(32+38*(1-EXP(-0.0175*A17))),70*'Scénario référence'!$B$18)</f>
        <v>70</v>
      </c>
      <c r="DK17" s="12">
        <f>IF(A17&gt;30,10,('Scénario référence'!$B$16+'Scénario référence'!$B$17+'Scénario référence'!$B$18+'Scénario référence'!$B$9+'Scénario référence'!$B$10)*A17*10/30+('Scénario référence'!$F$8+'Scénario référence'!$F$9)*10)</f>
        <v>10</v>
      </c>
      <c r="DL17" s="12" t="e">
        <f>VLOOKUP(A17,'Données projet'!$A$165:$I$185,2,0)</f>
        <v>#N/A</v>
      </c>
      <c r="DM17" s="12" t="e">
        <f>VLOOKUP(A17,'Données projet'!$A$165:$I$185,9,0)</f>
        <v>#N/A</v>
      </c>
      <c r="DN17" s="12">
        <f t="array" ref="DN17">INDEX(DM:DM,MIN(IF(ISNUMBER(DM17:DM213),ROW(DM17:DM213),"")))</f>
        <v>11</v>
      </c>
      <c r="DO17" s="12">
        <f>IF('Données projet'!$A$166&gt;35,DO16+DN17-DW16,IF(A17&lt;'Données projet'!$A$166,$DL$205^A17,IF(A17='Données projet'!$A$166,'Données projet'!$B$166,DO16+DN17-DW16)))</f>
        <v>57</v>
      </c>
      <c r="DP17" s="17">
        <f>DO17*VLOOKUP('Données projet'!$B$14,Paramètres!$A$1:$I$89,3,0)*VLOOKUP('Données projet'!$B$14,Paramètres!$A$1:$I$89,5,0)</f>
        <v>37.346399999999996</v>
      </c>
      <c r="DQ17" s="13">
        <f t="shared" si="43"/>
        <v>11.292524863342392</v>
      </c>
      <c r="DR17" s="20">
        <f t="shared" si="16"/>
        <v>84.712794136987995</v>
      </c>
      <c r="DS17" s="59">
        <f t="shared" si="17"/>
        <v>378.04612747032132</v>
      </c>
      <c r="DT17" s="59">
        <f ca="1">AVERAGE(OFFSET($DS$3,0,0,'Données projet'!$E$14+1,1))-AVERAGE(OFFSET($H$3,0,0,'Données projet'!$E$14+1,1))</f>
        <v>188.68915783955595</v>
      </c>
      <c r="DU17" s="59">
        <f t="shared" si="44"/>
        <v>240.82467772396944</v>
      </c>
      <c r="DV17" s="15">
        <f>IF(ISNA(VLOOKUP(A17,'Données projet'!$A$165:$I$185,3,0)),0,VLOOKUP(A17,'Données projet'!$A$165:$I$185,3,0))</f>
        <v>0</v>
      </c>
      <c r="DW17" s="15">
        <f>IF(ISNA(VLOOKUP(A17,'Données projet'!$A$165:$I$185,4,0)),0,VLOOKUP(A17,'Données projet'!$A$165:$I$185,4,0))</f>
        <v>0</v>
      </c>
      <c r="DX17" s="16">
        <f>IF(ISNA(VLOOKUP(A17,'Données projet'!$A$165:$I$185,5,0)),0%,VLOOKUP(A17,'Données projet'!$A$165:$I$185,5,0)*VLOOKUP('Données projet'!$B$14,Paramètres!$A$1:$I$89,7,0))</f>
        <v>0</v>
      </c>
      <c r="DY17" s="16">
        <f>IF(ISNA(VLOOKUP(A17,'Données projet'!$A$165:$I$185,6,0)),0%,VLOOKUP(A17,'Données projet'!$A$165:$I$185,6,0)*VLOOKUP('Données projet'!$B$14,Paramètres!$A$1:$I$89,7,0))</f>
        <v>0</v>
      </c>
      <c r="DZ17" s="16">
        <f>IF(ISNA(VLOOKUP(A17,'Données projet'!$A$165:$I$185,7,0)),0%,VLOOKUP(A17,'Données projet'!$A$165:$I$185,7,0))</f>
        <v>0</v>
      </c>
      <c r="EA17" s="21">
        <f>EXP(-LN(2)/35)*EA16+(1-EXP(-LN(2)/35))/(LN(2)/35)*DW17*DX17*VLOOKUP('Données projet'!$B$14,Paramètres!$A$1:$I$89,3,0)*0.475*44/12</f>
        <v>0</v>
      </c>
      <c r="EB17" s="21">
        <f>EXP(-LN(2)/25)*EB16+(1-EXP(-LN(2)/25))/(LN(2)/25)*Calculateur!DW17*Calculateur!DY17*VLOOKUP('Données projet'!$B$14,Paramètres!$A$1:$I$89,3,0)*0.475*44/12</f>
        <v>0</v>
      </c>
      <c r="EC17" s="21">
        <f>EXP(-LN(2)/2)*EC16+(1-EXP(-LN(2)/2))/(LN(2)/2)*DW17*DZ17*VLOOKUP('Données projet'!$B$14,Paramètres!$A$1:$I$89,3,0)*0.475*44/12</f>
        <v>0</v>
      </c>
      <c r="ED17" s="22">
        <f t="shared" si="18"/>
        <v>0</v>
      </c>
      <c r="EE17" s="75">
        <f>('Scénario référence'!$F$8+'Scénario référence'!$F$9+'Scénario référence'!$B$17+'Scénario référence'!$B$9+'Scénario référence'!$B$10)*70+IF((45+25*(1-EXP(-0.0175*A17)))&lt;70,'Scénario référence'!$B$16*(45+25*(1-EXP(-0.0175*A17))),70*'Scénario référence'!$B$16)+IF((32+38*(1-EXP(-0.0175*A17)))&lt;70,'Scénario référence'!$B$18*(32+38*(1-EXP(-0.0175*A17))),70*'Scénario référence'!$B$18)</f>
        <v>70</v>
      </c>
      <c r="EF17" s="12">
        <f>IF(A17&gt;30,10,('Scénario référence'!$B$16+'Scénario référence'!$B$17+'Scénario référence'!$B$18+'Scénario référence'!$B$9+'Scénario référence'!$B$10)*A17*10/30+('Scénario référence'!$F$8+'Scénario référence'!$F$9)*10)</f>
        <v>10</v>
      </c>
      <c r="EG17" s="12" t="e">
        <f>VLOOKUP(A17,'Données projet'!$A$191:$I$211,2,0)</f>
        <v>#N/A</v>
      </c>
      <c r="EH17" s="12" t="e">
        <f>VLOOKUP(A17,'Données projet'!$A$191:$I$211,9,0)</f>
        <v>#N/A</v>
      </c>
      <c r="EI17" s="12">
        <f t="array" ref="EI17">INDEX(EH:EH,MIN(IF(ISNUMBER(EH17:EH213),ROW(EH17:EH213),"")))</f>
        <v>2.9333333333333331</v>
      </c>
      <c r="EJ17" s="12">
        <f>IF('Données projet'!$A$192&gt;35,EJ16+EI17-ER16,IF(A17&lt;'Données projet'!$A$192,$EG$205^A17,IF(A17='Données projet'!$A$192,'Données projet'!$B$192,EJ16+EI17-ER16)))</f>
        <v>34.189217787534133</v>
      </c>
      <c r="EK17" s="17">
        <f>EJ17*VLOOKUP('Données projet'!$B$15,Paramètres!$A$1:$I$89,3,0)*VLOOKUP('Données projet'!$B$15,Paramètres!$A$1:$I$89,5,0)</f>
        <v>27.734293469247689</v>
      </c>
      <c r="EL17" s="13">
        <f t="shared" si="45"/>
        <v>8.6816441438353458</v>
      </c>
      <c r="EM17" s="20">
        <f t="shared" si="19"/>
        <v>63.424424676119621</v>
      </c>
      <c r="EN17" s="59">
        <f t="shared" si="20"/>
        <v>356.75775800945291</v>
      </c>
      <c r="EO17" s="59">
        <f ca="1">AVERAGE(OFFSET($EN$3,0,0,'Données projet'!$E$15+1,1))-AVERAGE(OFFSET($H$3,0,0,'Données projet'!$E$15+1,1))</f>
        <v>205.5272583787887</v>
      </c>
      <c r="EP17" s="59">
        <f t="shared" si="46"/>
        <v>180.54762778843178</v>
      </c>
      <c r="EQ17" s="15">
        <f>IF(ISNA(VLOOKUP(A17,'Données projet'!$A$191:$I$211,3,0)),0,VLOOKUP(A17,'Données projet'!$A$191:$I$211,3,0))</f>
        <v>0</v>
      </c>
      <c r="ER17" s="15">
        <f>IF(ISNA(VLOOKUP(A17,'Données projet'!$A$191:$I$211,4,0)),0,VLOOKUP(A17,'Données projet'!$A$191:$I$211,4,0))</f>
        <v>0</v>
      </c>
      <c r="ES17" s="16">
        <f>IF(ISNA(VLOOKUP(A17,'Données projet'!$A$191:$I$211,5,0)),0%,VLOOKUP(A17,'Données projet'!$A$191:$I$211,5,0)*VLOOKUP('Données projet'!$B$15,Paramètres!$A$1:$I$89,7,0))</f>
        <v>0</v>
      </c>
      <c r="ET17" s="16">
        <f>IF(ISNA(VLOOKUP(A17,'Données projet'!$A$191:$I$211,6,0)),0%,VLOOKUP(A17,'Données projet'!$A$191:$I$211,6,0)*VLOOKUP('Données projet'!$B$15,Paramètres!$A$1:$I$89,7,0))</f>
        <v>0</v>
      </c>
      <c r="EU17" s="16">
        <f>IF(ISNA(VLOOKUP(A17,'Données projet'!$A$191:$I$211,7,0)),0%,VLOOKUP(A17,'Données projet'!$A$191:$I$211,7,0))</f>
        <v>0</v>
      </c>
      <c r="EV17" s="21">
        <f>EXP(-LN(2)/35)*EV16+(1-EXP(-LN(2)/35))/(LN(2)/35)*ER17*ES17*VLOOKUP('Données projet'!$B$15,Paramètres!$A$1:$I$89,3,0)*0.475*44/12</f>
        <v>0</v>
      </c>
      <c r="EW17" s="21">
        <f>EXP(-LN(2)/25)*EW16+(1-EXP(-LN(2)/25))/(LN(2)/25)*Calculateur!ER17*Calculateur!ET17*VLOOKUP('Données projet'!$B$15,Paramètres!$A$1:$I$89,3,0)*0.475*44/12</f>
        <v>0</v>
      </c>
      <c r="EX17" s="21">
        <f>EXP(-LN(2)/2)*EX16+(1-EXP(-LN(2)/2))/(LN(2)/2)*ER17*EU17*VLOOKUP('Données projet'!$B$15,Paramètres!$A$1:$I$89,3,0)*0.475*44/12</f>
        <v>0</v>
      </c>
      <c r="EY17" s="22">
        <f t="shared" si="21"/>
        <v>0</v>
      </c>
      <c r="EZ17" s="75">
        <f>('Scénario référence'!$F$8+'Scénario référence'!$F$9+'Scénario référence'!$B$17+'Scénario référence'!$B$9+'Scénario référence'!$B$10)*70+IF((45+25*(1-EXP(-0.0175*A17)))&lt;70,'Scénario référence'!$B$16*(45+25*(1-EXP(-0.0175*A17))),70*'Scénario référence'!$B$16)+IF((32+38*(1-EXP(-0.0175*A17)))&lt;70,'Scénario référence'!$B$18*(32+38*(1-EXP(-0.0175*A17))),70*'Scénario référence'!$B$18)</f>
        <v>70</v>
      </c>
      <c r="FA17" s="12">
        <f>IF(A17&gt;30,10,('Scénario référence'!$B$16+'Scénario référence'!$B$17+'Scénario référence'!$B$18+'Scénario référence'!$B$9+'Scénario référence'!$B$10)*A17*10/30+('Scénario référence'!$F$8+'Scénario référence'!$F$9)*10)</f>
        <v>10</v>
      </c>
      <c r="FB17" s="12" t="e">
        <f>VLOOKUP(A17,'Données projet'!$A$217:$I$237,2,0)</f>
        <v>#N/A</v>
      </c>
      <c r="FC17" s="12" t="e">
        <f>VLOOKUP(A17,'Données projet'!$A$217:$I$237,9,0)</f>
        <v>#N/A</v>
      </c>
      <c r="FD17" s="12">
        <f t="array" ref="FD17">INDEX(FC:FC,MIN(IF(ISNUMBER(FC17:FC213),ROW(FC17:FC213),"")))</f>
        <v>1.7333333333333334</v>
      </c>
      <c r="FE17" s="12">
        <f>IF('Données projet'!$A$218&gt;35,FE16+FD17-FM16,IF(A17&lt;'Données projet'!$A$218,$FB$205^A17,IF(A17='Données projet'!$A$218,'Données projet'!$B$218,FE16+FD17-FM16)))</f>
        <v>20.92385932099328</v>
      </c>
      <c r="FF17" s="17">
        <f>FE17*VLOOKUP('Données projet'!$B$16,Paramètres!$A$1:$I$89,3,0)*VLOOKUP('Données projet'!$B$16,Paramètres!$A$1:$I$89,5,0)</f>
        <v>17.952671297412238</v>
      </c>
      <c r="FG17" s="13">
        <f t="shared" si="47"/>
        <v>5.9115384588109272</v>
      </c>
      <c r="FH17" s="20">
        <f t="shared" si="22"/>
        <v>41.563498658755343</v>
      </c>
      <c r="FI17" s="59">
        <f t="shared" si="23"/>
        <v>334.89683199208866</v>
      </c>
      <c r="FJ17" s="59">
        <f ca="1">AVERAGE(OFFSET($FI$3,0,0,'Données projet'!$E$16+1,1))-AVERAGE(OFFSET($H$3,0,0,'Données projet'!$E$16+1,1))</f>
        <v>383.97627237444709</v>
      </c>
      <c r="FK17" s="59">
        <f t="shared" si="48"/>
        <v>203.35476578922339</v>
      </c>
      <c r="FL17" s="15">
        <f>IF(ISNA(VLOOKUP(A17,'Données projet'!$A$217:$I$237,3,0)),0,VLOOKUP(A17,'Données projet'!$A$217:$I$237,3,0))</f>
        <v>0</v>
      </c>
      <c r="FM17" s="15">
        <f>IF(ISNA(VLOOKUP(A17,'Données projet'!$A$217:$I$237,4,0)),0,VLOOKUP(A17,'Données projet'!$A$217:$I$237,4,0))</f>
        <v>0</v>
      </c>
      <c r="FN17" s="16">
        <f>IF(ISNA(VLOOKUP(A17,'Données projet'!$A$217:$I$237,5,0)),0%,VLOOKUP(A17,'Données projet'!$A$217:$I$237,5,0)*VLOOKUP('Données projet'!$B$16,Paramètres!$A$1:$I$89,7,0))</f>
        <v>0</v>
      </c>
      <c r="FO17" s="16">
        <f>IF(ISNA(VLOOKUP(A17,'Données projet'!$A$217:$I$237,6,0)),0%,VLOOKUP(A17,'Données projet'!$A$217:$I$237,6,0)*VLOOKUP('Données projet'!$B$16,Paramètres!$A$1:$I$89,7,0))</f>
        <v>0</v>
      </c>
      <c r="FP17" s="16">
        <f>IF(ISNA(VLOOKUP(A17,'Données projet'!$A$217:$I$237,7,0)),0%,VLOOKUP(A17,'Données projet'!$A$217:$I$237,7,0))</f>
        <v>0</v>
      </c>
      <c r="FQ17" s="21">
        <f>EXP(-LN(2)/35)*FQ16+(1-EXP(-LN(2)/35))/(LN(2)/35)*FM17*FN17*VLOOKUP('Données projet'!$B$16,Paramètres!$A$1:$I$89,3,0)*0.475*44/12</f>
        <v>0</v>
      </c>
      <c r="FR17" s="21">
        <f>EXP(-LN(2)/25)*FR16+(1-EXP(-LN(2)/25))/(LN(2)/25)*Calculateur!FM17*Calculateur!FO17*VLOOKUP('Données projet'!$B$16,Paramètres!$A$1:$I$89,3,0)*0.475*44/12</f>
        <v>0</v>
      </c>
      <c r="FS17" s="21">
        <f>EXP(-LN(2)/2)*FS16+(1-EXP(-LN(2)/2))/(LN(2)/2)*FM17*FP17*VLOOKUP('Données projet'!$B$16,Paramètres!$A$1:$I$89,3,0)*0.475*44/12</f>
        <v>0</v>
      </c>
      <c r="FT17" s="22">
        <f t="shared" si="24"/>
        <v>0</v>
      </c>
      <c r="FU17" s="75">
        <f>('Scénario référence'!$F$8+'Scénario référence'!$F$9+'Scénario référence'!$B$17+'Scénario référence'!$B$9+'Scénario référence'!$B$10)*70+IF((45+25*(1-EXP(-0.0175*A17)))&lt;70,'Scénario référence'!$B$16*(45+25*(1-EXP(-0.0175*A17))),70*'Scénario référence'!$B$16)+IF((32+38*(1-EXP(-0.0175*A17)))&lt;70,'Scénario référence'!$B$18*(32+38*(1-EXP(-0.0175*A17))),70*'Scénario référence'!$B$18)</f>
        <v>70</v>
      </c>
      <c r="FV17" s="12">
        <f>IF(A17&gt;30,10,('Scénario référence'!$B$16+'Scénario référence'!$B$17+'Scénario référence'!$B$18+'Scénario référence'!$B$9+'Scénario référence'!$B$10)*A17*10/30+('Scénario référence'!$F$8+'Scénario référence'!$F$9)*10)</f>
        <v>10</v>
      </c>
      <c r="FW17" s="12" t="e">
        <f>VLOOKUP(A17,'Données projet'!$A$243:$I$263,2,0)</f>
        <v>#N/A</v>
      </c>
      <c r="FX17" s="12" t="e">
        <f>VLOOKUP(A17,'Données projet'!$A$243:$I$263,9,0)</f>
        <v>#N/A</v>
      </c>
      <c r="FY17" s="12">
        <f t="array" ref="FY17">INDEX(FX:FX,MIN(IF(ISNUMBER(FX17:FX213),ROW(FX17:FX213),"")))</f>
        <v>4.0628205128205126</v>
      </c>
      <c r="FZ17" s="12">
        <f>IF('Données projet'!$A$244&gt;35,FZ16+FY17-GH16,IF(A17&lt;'Données projet'!$A$244,$FW$205^A17,IF(A17='Données projet'!$A$244,'Données projet'!$B$244,FZ16+FY17-GH16)))</f>
        <v>9.4068196111151305</v>
      </c>
      <c r="GA17" s="17">
        <f>FZ17*VLOOKUP('Données projet'!$B$17,Paramètres!$A$1:$I$89,3,0)*VLOOKUP('Données projet'!$B$17,Paramètres!$A$1:$I$89,5,0)</f>
        <v>10.125500629404325</v>
      </c>
      <c r="GB17" s="13">
        <f t="shared" si="49"/>
        <v>3.5640032277277203</v>
      </c>
      <c r="GC17" s="20">
        <f t="shared" si="25"/>
        <v>23.842552551171647</v>
      </c>
      <c r="GD17" s="59">
        <f t="shared" si="26"/>
        <v>317.17588588450496</v>
      </c>
      <c r="GE17" s="59">
        <f ca="1">AVERAGE(OFFSET($GD$3,0,0,'Données projet'!$E$17+1,1))-AVERAGE(OFFSET($H$3,0,0,'Données projet'!$E$17+1,1))</f>
        <v>286.77702855541287</v>
      </c>
      <c r="GF17" s="59">
        <f t="shared" si="50"/>
        <v>227.12211541860779</v>
      </c>
      <c r="GG17" s="15">
        <f>IF(ISNA(VLOOKUP(A17,'Données projet'!$A$243:$I$263,3,0)),0,VLOOKUP(A17,'Données projet'!$A$243:$I$263,3,0))</f>
        <v>0</v>
      </c>
      <c r="GH17" s="15">
        <f>IF(ISNA(VLOOKUP(A17,'Données projet'!$A$243:$I$263,4,0)),0,VLOOKUP(A17,'Données projet'!$A$243:$I$263,4,0))</f>
        <v>0</v>
      </c>
      <c r="GI17" s="16">
        <f>IF(ISNA(VLOOKUP(A17,'Données projet'!$A$243:$I$263,5,0)),0%,VLOOKUP(A17,'Données projet'!$A$243:$I$263,5,0)*VLOOKUP('Données projet'!$B$17,Paramètres!$A$1:$I$89,7,0))</f>
        <v>0</v>
      </c>
      <c r="GJ17" s="16">
        <f>IF(ISNA(VLOOKUP(A17,'Données projet'!$A$243:$I$263,6,0)),0%,VLOOKUP(A17,'Données projet'!$A$243:$I$263,6,0)*VLOOKUP('Données projet'!$B$17,Paramètres!$A$1:$I$89,7,0))</f>
        <v>0</v>
      </c>
      <c r="GK17" s="16">
        <f>IF(ISNA(VLOOKUP(A17,'Données projet'!$A$243:$I$263,7,0)),0%,VLOOKUP(A17,'Données projet'!$A$243:$I$263,7,0))</f>
        <v>0</v>
      </c>
      <c r="GL17" s="21">
        <f>EXP(-LN(2)/35)*GL16+(1-EXP(-LN(2)/35))/(LN(2)/35)*GH17*GI17*VLOOKUP('Données projet'!$B$17,Paramètres!$A$1:$I$89,3,0)*0.475*44/12</f>
        <v>0</v>
      </c>
      <c r="GM17" s="21">
        <f>EXP(-LN(2)/25)*GM16+(1-EXP(-LN(2)/25))/(LN(2)/25)*Calculateur!GH17*Calculateur!GJ17*VLOOKUP('Données projet'!$B$17,Paramètres!$A$1:$I$89,3,0)*0.475*44/12</f>
        <v>0</v>
      </c>
      <c r="GN17" s="21">
        <f>EXP(-LN(2)/2)*GN16+(1-EXP(-LN(2)/2))/(LN(2)/2)*GH17*GK17*VLOOKUP('Données projet'!$B$17,Paramètres!$A$1:$I$89,3,0)*0.475*44/12</f>
        <v>0</v>
      </c>
      <c r="GO17" s="21">
        <f t="shared" si="27"/>
        <v>0</v>
      </c>
      <c r="GP17" s="75">
        <f>('Scénario référence'!$F$8+'Scénario référence'!$F$9+'Scénario référence'!$B$17+'Scénario référence'!$B$9+'Scénario référence'!$B$10)*70+IF((45+25*(1-EXP(-0.0175*A17)))&lt;70,'Scénario référence'!$B$16*(45+25*(1-EXP(-0.0175*A17))),70*'Scénario référence'!$B$16)+IF((32+38*(1-EXP(-0.0175*A17)))&lt;70,'Scénario référence'!$B$18*(32+38*(1-EXP(-0.0175*A17))),70*'Scénario référence'!$B$18)</f>
        <v>70</v>
      </c>
      <c r="GQ17" s="12">
        <f>IF(A17&gt;30,10,('Scénario référence'!$B$16+'Scénario référence'!$B$17+'Scénario référence'!$B$18+'Scénario référence'!$B$9+'Scénario référence'!$B$10)*A17*10/30+('Scénario référence'!$F$8+'Scénario référence'!$F$9)*10)</f>
        <v>10</v>
      </c>
      <c r="GR17" s="12" t="e">
        <f>VLOOKUP(A17,'Données projet'!$A$269:$I$289,2,0)</f>
        <v>#N/A</v>
      </c>
      <c r="GS17" s="12" t="e">
        <f>VLOOKUP(A17,'Données projet'!$A$269:$I$289,9,0)</f>
        <v>#N/A</v>
      </c>
      <c r="GT17" s="12">
        <f t="array" ref="GT17">INDEX(GS:GS,MIN(IF(ISNUMBER(GS17:GS213),ROW(GS17:GS213),"")))</f>
        <v>4.0628205128205126</v>
      </c>
      <c r="GU17" s="12">
        <f>IF('Données projet'!$A$270&gt;35,GU16+GT17-HC16,IF(A17&lt;'Données projet'!$A$270,$GR$205^A17,IF(A17='Données projet'!$A$270,'Données projet'!$B$270,GU16+GT17-HC16)))</f>
        <v>9.4068196111151305</v>
      </c>
      <c r="GV17" s="17">
        <f>GU17*VLOOKUP('Données projet'!$B$18,Paramètres!$A$1:$I$89,3,0)*VLOOKUP('Données projet'!$B$18,Paramètres!$A$1:$I$89,5,0)</f>
        <v>10.125500629404325</v>
      </c>
      <c r="GW17" s="13">
        <f t="shared" si="51"/>
        <v>3.5640032277277203</v>
      </c>
      <c r="GX17" s="20">
        <f t="shared" si="28"/>
        <v>23.842552551171647</v>
      </c>
      <c r="GY17" s="59">
        <f t="shared" si="29"/>
        <v>317.17588588450496</v>
      </c>
      <c r="GZ17" s="59">
        <f ca="1">AVERAGE(OFFSET($GY$3,0,0,'Données projet'!$E$18+1,1))-AVERAGE(OFFSET($H$3,0,0,'Données projet'!$E$18+1,1))</f>
        <v>286.77702855541287</v>
      </c>
      <c r="HA17" s="59">
        <f t="shared" si="52"/>
        <v>227.12211541860779</v>
      </c>
      <c r="HB17" s="15">
        <f>IF(ISNA(VLOOKUP(A17,'Données projet'!$A$269:$I$289,3,0)),0,VLOOKUP(A17,'Données projet'!$A$269:$I$289,3,0))</f>
        <v>0</v>
      </c>
      <c r="HC17" s="15">
        <f>IF(ISNA(VLOOKUP(A17,'Données projet'!$A$269:$I$289,4,0)),0,VLOOKUP(A17,'Données projet'!$A$269:$I$289,4,0))</f>
        <v>0</v>
      </c>
      <c r="HD17" s="16">
        <f>IF(ISNA(VLOOKUP(A17,'Données projet'!$A$269:$I$289,5,0)),0%,VLOOKUP(A17,'Données projet'!$A$269:$I$289,5,0)*VLOOKUP('Données projet'!$B$18,Paramètres!$A$1:$I$89,7,0))</f>
        <v>0</v>
      </c>
      <c r="HE17" s="16">
        <f>IF(ISNA(VLOOKUP(A17,'Données projet'!$A$269:$I$289,6,0)),0%,VLOOKUP(A17,'Données projet'!$A$269:$I$289,6,0)*VLOOKUP('Données projet'!$B$18,Paramètres!$A$1:$I$89,7,0))</f>
        <v>0</v>
      </c>
      <c r="HF17" s="16">
        <f>IF(ISNA(VLOOKUP(A17,'Données projet'!$A$269:$I$289,7,0)),0%,VLOOKUP(A17,'Données projet'!$A$269:$I$289,7,0))</f>
        <v>0</v>
      </c>
      <c r="HG17" s="21">
        <f>EXP(-LN(2)/35)*HG16+(1-EXP(-LN(2)/35))/(LN(2)/35)*HC17*HD17*VLOOKUP('Données projet'!$B$18,Paramètres!$A$1:$I$89,3,0)*0.475*44/12</f>
        <v>0</v>
      </c>
      <c r="HH17" s="21">
        <f>EXP(-LN(2)/25)*HH16+(1-EXP(-LN(2)/25))/(LN(2)/25)*Calculateur!HC17*Calculateur!HE17*VLOOKUP('Données projet'!$B$18,Paramètres!$A$1:$I$89,3,0)*0.475*44/12</f>
        <v>0</v>
      </c>
      <c r="HI17" s="21">
        <f>EXP(-LN(2)/2)*HI16+(1-EXP(-LN(2)/2))/(LN(2)/2)*HC17*HF17*VLOOKUP('Données projet'!$B$18,Paramètres!$A$1:$I$89,3,0)*0.475*44/12</f>
        <v>0</v>
      </c>
      <c r="HJ17" s="22">
        <f t="shared" si="30"/>
        <v>0</v>
      </c>
    </row>
    <row r="18" spans="1:218" x14ac:dyDescent="0.25">
      <c r="A18" s="10">
        <f t="shared" si="31"/>
        <v>15</v>
      </c>
      <c r="B18" s="73">
        <f>'Scénario référence'!$B$16*5+'Scénario référence'!$B$17*0+'Scénario référence'!$B$18*5</f>
        <v>0</v>
      </c>
      <c r="C18" s="19">
        <f>Calculateur!C17+'Scénario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13.338000000000003</v>
      </c>
      <c r="D18" s="11">
        <f t="shared" si="32"/>
        <v>4.5465525901071517</v>
      </c>
      <c r="E1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8" s="11">
        <f>IF(OR('Scénario référence'!$F$8&gt;0,'Scénario référence'!$F$9&gt;0),('Scénario référence'!$F$8+'Scénario référence'!$F$9)*10,0)</f>
        <v>10</v>
      </c>
      <c r="G18" s="11">
        <f>'Scénario référence'!$B$8*B18*44/12+'Scénario référence'!$B$9*(C18+D18)/0.475*44/12+'Scénario référence'!$B$10*(C18+D18)/0.475*44/12+'Scénario référence'!$F$8*(C18+D18)/0.475*44/12+'Scénario référence'!$F$9*(C18+D18)/0.475*44/12</f>
        <v>138.0561954324061</v>
      </c>
      <c r="H18" s="67">
        <f t="shared" si="1"/>
        <v>324.48226242776991</v>
      </c>
      <c r="I18" s="70">
        <f>('Scénario référence'!$F$8+'Scénario référence'!$F$9+'Scénario référence'!$B$17+'Scénario référence'!$B$9+'Scénario référence'!$B$10)*70+IF((45+25*(1-EXP(-0.0175*A18)))&lt;70,'Scénario référence'!$B$16*(45+25*(1-EXP(-0.0175*A18))),70*'Scénario référence'!$B$16)+IF((32+38*(1-EXP(-0.0175*A18)))&lt;70,'Scénario référence'!$B$18*(32+38*(1-EXP(-0.0175*A18))),70*'Scénario référence'!$B$18)</f>
        <v>70</v>
      </c>
      <c r="J18" s="13">
        <f>IF(A18&gt;30,10,('Scénario référence'!$B$16+'Scénario référence'!$B$17+'Scénario référence'!$B$18+'Scénario référence'!$B$9+'Scénario référence'!$B$10)*A18*10/30+('Scénario référence'!$F$8+'Scénario référence'!$F$9)*10)</f>
        <v>10</v>
      </c>
      <c r="K18" s="12" t="e">
        <f>VLOOKUP(A18,'Données projet'!$A$35:$I$55,2,0)</f>
        <v>#N/A</v>
      </c>
      <c r="L18" s="12" t="e">
        <f>VLOOKUP(A18,'Données projet'!$A$35:$I$55,9,0)</f>
        <v>#N/A</v>
      </c>
      <c r="M18" s="12">
        <f t="array" ref="M18">INDEX(L:L,MIN(IF(ISNUMBER(L18:L214),ROW(L18:L214),"")))</f>
        <v>9.3968325791855207</v>
      </c>
      <c r="N18" s="13">
        <f>IF('Données projet'!$A$36&gt;35,N17+M18-V17,IF(A18&lt;'Données projet'!$A$36,$K$205^A18,IF(A18='Données projet'!$A$36,'Données projet'!$B$36,N17+M18-V17)))</f>
        <v>87.943410428552681</v>
      </c>
      <c r="O18" s="13">
        <f>N18*VLOOKUP('Données projet'!$B$9,Paramètres!$A$1:$I$89,3,0)*VLOOKUP('Données projet'!$B$9,Paramètres!$A$1:$I$89,5,0)</f>
        <v>49.160366429560945</v>
      </c>
      <c r="P18" s="13">
        <f t="shared" si="33"/>
        <v>14.396707372164377</v>
      </c>
      <c r="Q18" s="20">
        <f t="shared" si="2"/>
        <v>110.69523687133828</v>
      </c>
      <c r="R18" s="59">
        <f t="shared" si="0"/>
        <v>404.02857020467161</v>
      </c>
      <c r="S18" s="59">
        <f ca="1">AVERAGE(OFFSET($R$3,0,0,'Données projet'!$E$9+1,1))-AVERAGE(OFFSET($H$3,0,0,'Données projet'!$E$9+1,1))</f>
        <v>255.5374979188561</v>
      </c>
      <c r="T18" s="59">
        <f t="shared" si="34"/>
        <v>343.10418468620901</v>
      </c>
      <c r="U18" s="15">
        <f>IF(ISNA(VLOOKUP(A18,'Données projet'!$A$35:$I$55,3,0)),0,VLOOKUP(A18,'Données projet'!$A$35:$I$55,3,0))</f>
        <v>0</v>
      </c>
      <c r="V18" s="15">
        <f>IF(ISNA(VLOOKUP(A18,'Données projet'!$A$35:$I$55,4,0)),0,VLOOKUP(A18,'Données projet'!$A$35:$I$55,4,0))</f>
        <v>0</v>
      </c>
      <c r="W18" s="16">
        <f>IF(ISNA(VLOOKUP(A18,'Données projet'!$A$35:$I$55,5,0)),0%,VLOOKUP(A18,'Données projet'!$A$35:$I$55,5,0)*VLOOKUP('Données projet'!$B$9,Paramètres!$A$1:$I$89,7,0))</f>
        <v>0</v>
      </c>
      <c r="X18" s="16">
        <f>IF(ISNA(VLOOKUP(A18,'Données projet'!$A$35:$I$55,6,0)),0%,VLOOKUP(A18,'Données projet'!$A$35:$I$55,6,0)*VLOOKUP('Données projet'!$B$9,Paramètres!$A$1:$I$89,7,0))</f>
        <v>0</v>
      </c>
      <c r="Y18" s="16">
        <f>IF(ISNA(VLOOKUP(A18,'Données projet'!$A$35:$I$55,7,0)),0%,VLOOKUP(A18,'Données projet'!$A$35:$I$55,7,0))</f>
        <v>0</v>
      </c>
      <c r="Z18" s="21">
        <f>EXP(-LN(2)/35)*Z17+(1-EXP(-LN(2)/35))/(LN(2)/35)*V18*W18*VLOOKUP('Données projet'!$B$9,Paramètres!$A$1:$I$89,3,0)*0.475*44/12</f>
        <v>0</v>
      </c>
      <c r="AA18" s="21">
        <f>EXP(-LN(2)/25)*AA17+(1-EXP(-LN(2)/25))/(LN(2)/25)*Calculateur!V18*Calculateur!X18*VLOOKUP('Données projet'!$B$9,Paramètres!$A$1:$I$89,3,0)*0.475*44/12</f>
        <v>0</v>
      </c>
      <c r="AB18" s="21">
        <f>EXP(-LN(2)/2)*AB17+(1-EXP(-LN(2)/2))/(LN(2)/2)*V18*Y18*VLOOKUP('Données projet'!$B$9,Paramètres!$A$1:$I$89,3,0)*0.475*44/12</f>
        <v>0</v>
      </c>
      <c r="AC18" s="22">
        <f t="shared" si="3"/>
        <v>0</v>
      </c>
      <c r="AD18" s="13">
        <f>('Scénario référence'!$F$8+'Scénario référence'!$F$9+'Scénario référence'!$B$17+'Scénario référence'!$B$9+'Scénario référence'!$B$10)*70+IF((45+25*(1-EXP(-0.0175*A18)))&lt;70,'Scénario référence'!$B$16*(45+25*(1-EXP(-0.0175*A18))),70*'Scénario référence'!$B$16)+IF((32+38*(1-EXP(-0.0175*A18)))&lt;70,'Scénario référence'!$B$18*(32+38*(1-EXP(-0.0175*A18))),70*'Scénario référence'!$B$18)</f>
        <v>70</v>
      </c>
      <c r="AE18" s="13">
        <f>IF(A18&gt;30,10,('Scénario référence'!$B$16+'Scénario référence'!$B$17+'Scénario référence'!$B$18+'Scénario référence'!$B$9+'Scénario référence'!$B$10)*A18*10/30+('Scénario référence'!$F$8+'Scénario référence'!$F$9)*10)</f>
        <v>10</v>
      </c>
      <c r="AF18" s="12" t="e">
        <f>VLOOKUP(A18,'Données projet'!$A$61:$I$81,2,0)</f>
        <v>#N/A</v>
      </c>
      <c r="AG18" s="12" t="e">
        <f>VLOOKUP(A18,'Données projet'!$A$61:$I$81,9,0)</f>
        <v>#N/A</v>
      </c>
      <c r="AH18" s="12">
        <f t="array" ref="AH18">INDEX(AG:AG,MIN(IF(ISNUMBER(AG18:AG214),ROW(AG18:AG214),"")))</f>
        <v>13.2</v>
      </c>
      <c r="AI18" s="13">
        <f>IF('Données projet'!$A$62&gt;35,AI17+AH18-AQ17,IF(A18&lt;'Données projet'!$A$62,$AF$205^A18,IF(A18='Données projet'!$A$62,'Données projet'!$B$62,AI17+AH18-AQ17)))</f>
        <v>92.000000000000014</v>
      </c>
      <c r="AJ18" s="13">
        <f>AI18*VLOOKUP('Données projet'!$B$10,Paramètres!$A$1:$I$89,3,0)*VLOOKUP('Données projet'!$B$10,Paramètres!$A$1:$I$89,5,0)</f>
        <v>57.408000000000008</v>
      </c>
      <c r="AK18" s="13">
        <f t="shared" si="35"/>
        <v>16.511255298579947</v>
      </c>
      <c r="AL18" s="20">
        <f t="shared" si="4"/>
        <v>128.74270297836009</v>
      </c>
      <c r="AM18" s="59">
        <f t="shared" si="5"/>
        <v>422.07603631169343</v>
      </c>
      <c r="AN18" s="59">
        <f ca="1">AVERAGE(OFFSET($AM$3,0,0,'Données projet'!$E$10+1,1))-AVERAGE(OFFSET($H$3,0,0,'Données projet'!$E$10+1,1))</f>
        <v>261.78489480911571</v>
      </c>
      <c r="AO18" s="59">
        <f t="shared" si="36"/>
        <v>297.50513563712764</v>
      </c>
      <c r="AP18" s="15">
        <f>IF(ISNA(VLOOKUP(A18,'Données projet'!$A$61:$I$81,3,0)),0,VLOOKUP(A18,'Données projet'!$A$61:$I$81,3,0))</f>
        <v>0</v>
      </c>
      <c r="AQ18" s="15">
        <f>IF(ISNA(VLOOKUP(A18,'Données projet'!$A$61:$I$81,4,0)),0,VLOOKUP(A18,'Données projet'!$A$61:$I$81,4,0))</f>
        <v>0</v>
      </c>
      <c r="AR18" s="16">
        <f>IF(ISNA(VLOOKUP(A18,'Données projet'!$A$61:$I$81,5,0)),0%,VLOOKUP(A18,'Données projet'!$A$61:$I$81,5,0)*VLOOKUP('Données projet'!$B$10,Paramètres!$A$1:$I$89,7,0))</f>
        <v>0</v>
      </c>
      <c r="AS18" s="16">
        <f>IF(ISNA(VLOOKUP(A18,'Données projet'!$A$61:$I$81,6,0)),0%,VLOOKUP(A18,'Données projet'!$A$61:$I$81,6,0)*VLOOKUP('Données projet'!$B$10,Paramètres!$A$1:$I$89,7,0))</f>
        <v>0</v>
      </c>
      <c r="AT18" s="16">
        <f>IF(ISNA(VLOOKUP(A18,'Données projet'!$A$61:$I$81,7,0)),0%,VLOOKUP(A18,'Données projet'!$A$61:$I$81,7,0))</f>
        <v>0</v>
      </c>
      <c r="AU18" s="21">
        <f>EXP(-LN(2)/35)*AU17+(1-EXP(-LN(2)/35))/(LN(2)/35)*AQ18*AR18*VLOOKUP('Données projet'!$B$10,Paramètres!$A$1:$I$89,3,0)*0.475*44/12</f>
        <v>0</v>
      </c>
      <c r="AV18" s="21">
        <f>EXP(-LN(2)/25)*AV17+(1-EXP(-LN(2)/25))/(LN(2)/25)*Calculateur!AQ18*Calculateur!AS18*VLOOKUP('Données projet'!$B$10,Paramètres!$A$1:$I$89,3,0)*0.475*44/12</f>
        <v>0</v>
      </c>
      <c r="AW18" s="21">
        <f>EXP(-LN(2)/2)*AW17+(1-EXP(-LN(2)/2))/(LN(2)/2)*AQ18*AT18*VLOOKUP('Données projet'!$B$10,Paramètres!$A$1:$I$89,3,0)*0.475*44/12</f>
        <v>0</v>
      </c>
      <c r="AX18" s="21">
        <f t="shared" si="6"/>
        <v>0</v>
      </c>
      <c r="AY18" s="74">
        <f>('Scénario référence'!$F$8+'Scénario référence'!$F$9+'Scénario référence'!$B$17+'Scénario référence'!$B$9+'Scénario référence'!$B$10)*70+IF((45+25*(1-EXP(-0.0175*A18)))&lt;70,'Scénario référence'!$B$16*(45+25*(1-EXP(-0.0175*A18))),70*'Scénario référence'!$B$16)+IF((32+38*(1-EXP(-0.0175*A18)))&lt;70,'Scénario référence'!$B$18*(32+38*(1-EXP(-0.0175*A18))),70*'Scénario référence'!$B$18)</f>
        <v>70</v>
      </c>
      <c r="AZ18" s="12">
        <f>IF(A18&gt;30,10,('Scénario référence'!$B$16+'Scénario référence'!$B$17+'Scénario référence'!$B$18+'Scénario référence'!$B$9+'Scénario référence'!$B$10)*A18*10/30+('Scénario référence'!$F$8+'Scénario référence'!$F$9)*10)</f>
        <v>10</v>
      </c>
      <c r="BA18" s="12" t="e">
        <f>VLOOKUP(A18,'Données projet'!$A$87:$I$107,2,0)</f>
        <v>#N/A</v>
      </c>
      <c r="BB18" s="12" t="e">
        <f>VLOOKUP(A18,'Données projet'!$A$87:$I$107,9,0)</f>
        <v>#N/A</v>
      </c>
      <c r="BC18" s="12">
        <f t="array" ref="BC18">INDEX(BB:BB,MIN(IF(ISNUMBER(BB18:BB214),ROW(BB18:BB214),"")))</f>
        <v>5.3</v>
      </c>
      <c r="BD18" s="12">
        <f>IF('Données projet'!$A$88&gt;35,BD17+BC18-BL17,IF(A18&lt;'Données projet'!$A$88,$BA$205^A18,IF(A18='Données projet'!$A$88,'Données projet'!$B$88,BD17+BC18-BL17)))</f>
        <v>33.035387010668124</v>
      </c>
      <c r="BE18" s="13">
        <f>BD18*VLOOKUP('Données projet'!$B$11,Paramètres!$A$1:$I$89,3,0)*VLOOKUP('Données projet'!$B$11,Paramètres!$A$1:$I$89,5,0)</f>
        <v>19.755161432379541</v>
      </c>
      <c r="BF18" s="13">
        <f t="shared" si="37"/>
        <v>6.4330277965471954</v>
      </c>
      <c r="BG18" s="20">
        <f t="shared" si="7"/>
        <v>45.611096240380732</v>
      </c>
      <c r="BH18" s="59">
        <f t="shared" si="8"/>
        <v>338.94442957371405</v>
      </c>
      <c r="BI18" s="59">
        <f ca="1">AVERAGE(OFFSET($BH$3,0,0,'Données projet'!$E$11+1,1))-AVERAGE(OFFSET($H$3,0,0,'Données projet'!$E$11+1,1))</f>
        <v>316.58509520829671</v>
      </c>
      <c r="BJ18" s="59">
        <f t="shared" si="38"/>
        <v>240.71332110643596</v>
      </c>
      <c r="BK18" s="15">
        <f>IF(ISNA(VLOOKUP(A18,'Données projet'!$A$87:$I$107,3,0)),0,VLOOKUP(A18,'Données projet'!$A$87:$I$107,3,0))</f>
        <v>0</v>
      </c>
      <c r="BL18" s="15">
        <f>IF(ISNA(VLOOKUP(A18,'Données projet'!$A$87:$I$107,4,0)),0,VLOOKUP(A18,'Données projet'!$A$87:$I$107,4,0))</f>
        <v>0</v>
      </c>
      <c r="BM18" s="16">
        <f>IF(ISNA(VLOOKUP(A18,'Données projet'!$A$87:$I$107,5,0)),0%,VLOOKUP(A18,'Données projet'!$A$87:$I$107,5,0)*VLOOKUP('Données projet'!$B$11,Paramètres!$A$1:$I$89,7,0))</f>
        <v>0</v>
      </c>
      <c r="BN18" s="16">
        <f>IF(ISNA(VLOOKUP(A18,'Données projet'!$A$87:$I$107,6,0)),0%,VLOOKUP(A18,'Données projet'!$A$87:$I$107,6,0)*VLOOKUP('Données projet'!$B$11,Paramètres!$A$1:$I$89,7,0))</f>
        <v>0</v>
      </c>
      <c r="BO18" s="16">
        <f>IF(ISNA(VLOOKUP(A18,'Données projet'!$A$87:$I$107,7,0)),0%,VLOOKUP(A18,'Données projet'!$A$87:$I$107,7,0))</f>
        <v>0</v>
      </c>
      <c r="BP18" s="21">
        <f>EXP(-LN(2)/35)*BP17+(1-EXP(-LN(2)/35))/(LN(2)/35)*BL18*BM18*VLOOKUP('Données projet'!$B$11,Paramètres!$A$1:$I$89,3,0)*0.475*44/12</f>
        <v>0</v>
      </c>
      <c r="BQ18" s="21">
        <f>EXP(-LN(2)/25)*BQ17+(1-EXP(-LN(2)/25))/(LN(2)/25)*Calculateur!BL18*Calculateur!BN18*VLOOKUP('Données projet'!$B$11,Paramètres!$A$1:$I$89,3,0)*0.475*44/12</f>
        <v>0</v>
      </c>
      <c r="BR18" s="21">
        <f>EXP(-LN(2)/2)*BR17+(1-EXP(-LN(2)/2))/(LN(2)/2)*BL18*BO18*VLOOKUP('Données projet'!$B$11,Paramètres!$A$1:$I$89,3,0)*0.475*44/12</f>
        <v>0</v>
      </c>
      <c r="BS18" s="22">
        <f t="shared" si="9"/>
        <v>0</v>
      </c>
      <c r="BT18" s="75">
        <f>('Scénario référence'!$F$8+'Scénario référence'!$F$9+'Scénario référence'!$B$17+'Scénario référence'!$B$9+'Scénario référence'!$B$10)*70+IF((45+25*(1-EXP(-0.0175*A18)))&lt;70,'Scénario référence'!$B$16*(45+25*(1-EXP(-0.0175*A18))),70*'Scénario référence'!$B$16)+IF((32+38*(1-EXP(-0.0175*A18)))&lt;70,'Scénario référence'!$B$18*(32+38*(1-EXP(-0.0175*A18))),70*'Scénario référence'!$B$18)</f>
        <v>70</v>
      </c>
      <c r="BU18" s="12">
        <f>IF(A18&gt;30,10,('Scénario référence'!$B$16+'Scénario référence'!$B$17+'Scénario référence'!$B$18+'Scénario référence'!$B$9+'Scénario référence'!$B$10)*A18*10/30+('Scénario référence'!$F$8+'Scénario référence'!$F$9)*10)</f>
        <v>10</v>
      </c>
      <c r="BV18" s="12">
        <f>VLOOKUP(A18,'Données projet'!$A$113:$I$133,2,0)</f>
        <v>48</v>
      </c>
      <c r="BW18" s="12">
        <f>VLOOKUP(A18,'Données projet'!$A$113:$I$133,9,0)</f>
        <v>3.2</v>
      </c>
      <c r="BX18" s="12">
        <f t="array" ref="BX18">INDEX(BW:BW,MIN(IF(ISNUMBER(BW18:BW214),ROW(BW18:BW214),"")))</f>
        <v>3.2</v>
      </c>
      <c r="BY18" s="12">
        <f>IF('Données projet'!$A$114&gt;35,BY17+BX18-CG17,IF(A18&lt;'Données projet'!$A$114,$BV$205^A18,IF(A18='Données projet'!$A$114,'Données projet'!$B$114,BY17+BX18-CG17)))</f>
        <v>48</v>
      </c>
      <c r="BZ18" s="13">
        <f>BY18*VLOOKUP('Données projet'!$B$12,Paramètres!$A$1:$I$89,3,0)*VLOOKUP('Données projet'!$B$12,Paramètres!$A$1:$I$89,5,0)</f>
        <v>27.456000000000003</v>
      </c>
      <c r="CA18" s="13">
        <f t="shared" si="39"/>
        <v>8.604625104229898</v>
      </c>
      <c r="CB18" s="20">
        <f t="shared" si="10"/>
        <v>62.805588723200408</v>
      </c>
      <c r="CC18" s="59">
        <f t="shared" si="11"/>
        <v>356.13892205653372</v>
      </c>
      <c r="CD18" s="59">
        <f ca="1">AVERAGE(OFFSET($CC$3,0,0,'Données projet'!$E$12+1,1))-AVERAGE(OFFSET($H$3,0,0,'Données projet'!$E$12+1,1))</f>
        <v>188.64374818906128</v>
      </c>
      <c r="CE18" s="59">
        <f t="shared" si="40"/>
        <v>211.95157880548652</v>
      </c>
      <c r="CF18" s="15">
        <f>IF(ISNA(VLOOKUP(A18,'Données projet'!$A$113:$I$133,3,0)),0,VLOOKUP(A18,'Données projet'!$A$113:$I$133,3,0))</f>
        <v>0</v>
      </c>
      <c r="CG18" s="15">
        <f>IF(ISNA(VLOOKUP(A18,'Données projet'!$A$113:$I$133,4,0)),0,VLOOKUP(A18,'Données projet'!$A$113:$I$133,4,0))</f>
        <v>0</v>
      </c>
      <c r="CH18" s="16">
        <f>IF(ISNA(VLOOKUP(A18,'Données projet'!$A$113:$I$133,5,0)),0%,VLOOKUP(A18,'Données projet'!$A$113:$I$133,5,0)*VLOOKUP('Données projet'!$B$12,Paramètres!$A$1:$I$89,7,0))</f>
        <v>0</v>
      </c>
      <c r="CI18" s="16">
        <f>IF(ISNA(VLOOKUP(A18,'Données projet'!$A$113:$I$133,6,0)),0%,VLOOKUP(A18,'Données projet'!$A$113:$I$133,6,0)*VLOOKUP('Données projet'!$B$12,Paramètres!$A$1:$I$89,7,0))</f>
        <v>0</v>
      </c>
      <c r="CJ18" s="16">
        <f>IF(ISNA(VLOOKUP(A18,'Données projet'!$A$113:$I$133,7,0)),0%,VLOOKUP(A18,'Données projet'!$A$113:$I$133,7,0))</f>
        <v>0</v>
      </c>
      <c r="CK18" s="21">
        <f>EXP(-LN(2)/35)*CK17+(1-EXP(-LN(2)/35))/(LN(2)/35)*CG18*CH18*VLOOKUP('Données projet'!$B$12,Paramètres!$A$1:$I$89,3,0)*0.475*44/12</f>
        <v>0</v>
      </c>
      <c r="CL18" s="21">
        <f>EXP(-LN(2)/25)*CL17+(1-EXP(-LN(2)/25))/(LN(2)/25)*Calculateur!CG18*Calculateur!CI18*VLOOKUP('Données projet'!$B$12,Paramètres!$A$1:$I$89,3,0)*0.475*44/12</f>
        <v>0</v>
      </c>
      <c r="CM18" s="21">
        <f>EXP(-LN(2)/2)*CM17+(1-EXP(-LN(2)/2))/(LN(2)/2)*CG18*CJ18*VLOOKUP('Données projet'!$B$12,Paramètres!$A$1:$I$89,3,0)*0.475*44/12</f>
        <v>0</v>
      </c>
      <c r="CN18" s="22">
        <f t="shared" si="12"/>
        <v>0</v>
      </c>
      <c r="CO18" s="75">
        <f>('Scénario référence'!$F$8+'Scénario référence'!$F$9+'Scénario référence'!$B$17+'Scénario référence'!$B$9+'Scénario référence'!$B$10)*70+IF((45+25*(1-EXP(-0.0175*A18)))&lt;70,'Scénario référence'!$B$16*(45+25*(1-EXP(-0.0175*A18))),70*'Scénario référence'!$B$16)+IF((32+38*(1-EXP(-0.0175*A18)))&lt;70,'Scénario référence'!$B$18*(32+38*(1-EXP(-0.0175*A18))),70*'Scénario référence'!$B$18)</f>
        <v>70</v>
      </c>
      <c r="CP18" s="12">
        <f>IF(A18&gt;30,10,('Scénario référence'!$B$16+'Scénario référence'!$B$17+'Scénario référence'!$B$18+'Scénario référence'!$B$9+'Scénario référence'!$B$10)*A18*10/30+('Scénario référence'!$F$8+'Scénario référence'!$F$9)*10)</f>
        <v>10</v>
      </c>
      <c r="CQ18" s="12" t="e">
        <f>VLOOKUP(A18,'Données projet'!$A$139:$I$159,2,0)</f>
        <v>#N/A</v>
      </c>
      <c r="CR18" s="12" t="e">
        <f>VLOOKUP(A18,'Données projet'!$A$139:$I$159,9,0)</f>
        <v>#N/A</v>
      </c>
      <c r="CS18" s="12">
        <f t="array" ref="CS18">INDEX(CR:CR,MIN(IF(ISNUMBER(CR18:CR214),ROW(CR18:CR214),"")))</f>
        <v>0</v>
      </c>
      <c r="CT18" s="12">
        <f>IF('Données projet'!$A$140&gt;35,CT17+CS18-DB17,IF(A18&lt;'Données projet'!$A$140,$CQ$205^A18,IF(A18='Données projet'!$A$140,'Données projet'!$B$140,CT17+CS18-DB17)))</f>
        <v>0</v>
      </c>
      <c r="CU18" s="17" t="e">
        <f>CT18*VLOOKUP('Données projet'!$B$13,Paramètres!$A$1:$I$89,3,0)*VLOOKUP('Données projet'!$B$13,Paramètres!$A$1:$I$89,5,0)</f>
        <v>#N/A</v>
      </c>
      <c r="CV18" s="13" t="e">
        <f t="shared" si="41"/>
        <v>#N/A</v>
      </c>
      <c r="CW18" s="20" t="e">
        <f t="shared" si="13"/>
        <v>#N/A</v>
      </c>
      <c r="CX18" s="59" t="e">
        <f t="shared" si="14"/>
        <v>#N/A</v>
      </c>
      <c r="CY18" s="59" t="e">
        <f ca="1">AVERAGE(OFFSET($CX$3,0,0,'Données projet'!$E$13+1,1))-AVERAGE(OFFSET($H$3,0,0,'Données projet'!$E$13+1,1))</f>
        <v>#N/A</v>
      </c>
      <c r="CZ18" s="59" t="e">
        <f t="shared" si="42"/>
        <v>#N/A</v>
      </c>
      <c r="DA18" s="15">
        <f>IF(ISNA(VLOOKUP(A18,'Données projet'!$A$139:$I$159,3,0)),0,VLOOKUP(A18,'Données projet'!$A$139:$I$159,3,0))</f>
        <v>0</v>
      </c>
      <c r="DB18" s="15">
        <f>IF(ISNA(VLOOKUP(A18,'Données projet'!$A$139:$I$159,4,0)),0,VLOOKUP(A18,'Données projet'!$A$139:$I$159,4,0))</f>
        <v>0</v>
      </c>
      <c r="DC18" s="16">
        <f>IF(ISNA(VLOOKUP(A18,'Données projet'!$A$139:$I$159,5,0)),0%,VLOOKUP(A18,'Données projet'!$A$139:$I$159,5,0)*VLOOKUP('Données projet'!$B$13,Paramètres!$A$1:$I$89,7,0))</f>
        <v>0</v>
      </c>
      <c r="DD18" s="16">
        <f>IF(ISNA(VLOOKUP(A18,'Données projet'!$A$139:$I$159,6,0)),0%,VLOOKUP(A18,'Données projet'!$A$139:$I$159,6,0)*VLOOKUP('Données projet'!$B$13,Paramètres!$A$1:$I$89,7,0))</f>
        <v>0</v>
      </c>
      <c r="DE18" s="16">
        <f>IF(ISNA(VLOOKUP(A18,'Données projet'!$A$139:$I$159,7,0)),0%,VLOOKUP(A18,'Données projet'!$A$139:$I$159,7,0))</f>
        <v>0</v>
      </c>
      <c r="DF18" s="21" t="e">
        <f>EXP(-LN(2)/35)*DF17+(1-EXP(-LN(2)/35))/(LN(2)/35)*DB18*DC18*VLOOKUP('Données projet'!$B$13,Paramètres!$A$1:$I$89,3,0)*0.475*44/12</f>
        <v>#N/A</v>
      </c>
      <c r="DG18" s="21" t="e">
        <f>EXP(-LN(2)/25)*DG17+(1-EXP(-LN(2)/25))/(LN(2)/25)*Calculateur!DB18*Calculateur!DD18*VLOOKUP('Données projet'!$B$13,Paramètres!$A$1:$I$89,3,0)*0.475*44/12</f>
        <v>#N/A</v>
      </c>
      <c r="DH18" s="21" t="e">
        <f>EXP(-LN(2)/2)*DH17+(1-EXP(-LN(2)/2))/(LN(2)/2)*DB18*DE18*VLOOKUP('Données projet'!$B$13,Paramètres!$A$1:$I$89,3,0)*0.475*44/12</f>
        <v>#N/A</v>
      </c>
      <c r="DI18" s="22" t="e">
        <f t="shared" si="15"/>
        <v>#N/A</v>
      </c>
      <c r="DJ18" s="75">
        <f>('Scénario référence'!$F$8+'Scénario référence'!$F$9+'Scénario référence'!$B$17+'Scénario référence'!$B$9+'Scénario référence'!$B$10)*70+IF((45+25*(1-EXP(-0.0175*A18)))&lt;70,'Scénario référence'!$B$16*(45+25*(1-EXP(-0.0175*A18))),70*'Scénario référence'!$B$16)+IF((32+38*(1-EXP(-0.0175*A18)))&lt;70,'Scénario référence'!$B$18*(32+38*(1-EXP(-0.0175*A18))),70*'Scénario référence'!$B$18)</f>
        <v>70</v>
      </c>
      <c r="DK18" s="12">
        <f>IF(A18&gt;30,10,('Scénario référence'!$B$16+'Scénario référence'!$B$17+'Scénario référence'!$B$18+'Scénario référence'!$B$9+'Scénario référence'!$B$10)*A18*10/30+('Scénario référence'!$F$8+'Scénario référence'!$F$9)*10)</f>
        <v>10</v>
      </c>
      <c r="DL18" s="12" t="e">
        <f>VLOOKUP(A18,'Données projet'!$A$165:$I$185,2,0)</f>
        <v>#N/A</v>
      </c>
      <c r="DM18" s="12" t="e">
        <f>VLOOKUP(A18,'Données projet'!$A$165:$I$185,9,0)</f>
        <v>#N/A</v>
      </c>
      <c r="DN18" s="12">
        <f t="array" ref="DN18">INDEX(DM:DM,MIN(IF(ISNUMBER(DM18:DM214),ROW(DM18:DM214),"")))</f>
        <v>11</v>
      </c>
      <c r="DO18" s="12">
        <f>IF('Données projet'!$A$166&gt;35,DO17+DN18-DW17,IF(A18&lt;'Données projet'!$A$166,$DL$205^A18,IF(A18='Données projet'!$A$166,'Données projet'!$B$166,DO17+DN18-DW17)))</f>
        <v>68</v>
      </c>
      <c r="DP18" s="17">
        <f>DO18*VLOOKUP('Données projet'!$B$14,Paramètres!$A$1:$I$89,3,0)*VLOOKUP('Données projet'!$B$14,Paramètres!$A$1:$I$89,5,0)</f>
        <v>44.553600000000003</v>
      </c>
      <c r="DQ18" s="13">
        <f t="shared" si="43"/>
        <v>13.197902274122358</v>
      </c>
      <c r="DR18" s="20">
        <f t="shared" si="16"/>
        <v>100.5838664607631</v>
      </c>
      <c r="DS18" s="59">
        <f t="shared" si="17"/>
        <v>393.9171997940964</v>
      </c>
      <c r="DT18" s="59">
        <f ca="1">AVERAGE(OFFSET($DS$3,0,0,'Données projet'!$E$14+1,1))-AVERAGE(OFFSET($H$3,0,0,'Données projet'!$E$14+1,1))</f>
        <v>188.68915783955595</v>
      </c>
      <c r="DU18" s="59">
        <f t="shared" si="44"/>
        <v>240.82467772396944</v>
      </c>
      <c r="DV18" s="15">
        <f>IF(ISNA(VLOOKUP(A18,'Données projet'!$A$165:$I$185,3,0)),0,VLOOKUP(A18,'Données projet'!$A$165:$I$185,3,0))</f>
        <v>0</v>
      </c>
      <c r="DW18" s="15">
        <f>IF(ISNA(VLOOKUP(A18,'Données projet'!$A$165:$I$185,4,0)),0,VLOOKUP(A18,'Données projet'!$A$165:$I$185,4,0))</f>
        <v>0</v>
      </c>
      <c r="DX18" s="16">
        <f>IF(ISNA(VLOOKUP(A18,'Données projet'!$A$165:$I$185,5,0)),0%,VLOOKUP(A18,'Données projet'!$A$165:$I$185,5,0)*VLOOKUP('Données projet'!$B$14,Paramètres!$A$1:$I$89,7,0))</f>
        <v>0</v>
      </c>
      <c r="DY18" s="16">
        <f>IF(ISNA(VLOOKUP(A18,'Données projet'!$A$165:$I$185,6,0)),0%,VLOOKUP(A18,'Données projet'!$A$165:$I$185,6,0)*VLOOKUP('Données projet'!$B$14,Paramètres!$A$1:$I$89,7,0))</f>
        <v>0</v>
      </c>
      <c r="DZ18" s="16">
        <f>IF(ISNA(VLOOKUP(A18,'Données projet'!$A$165:$I$185,7,0)),0%,VLOOKUP(A18,'Données projet'!$A$165:$I$185,7,0))</f>
        <v>0</v>
      </c>
      <c r="EA18" s="21">
        <f>EXP(-LN(2)/35)*EA17+(1-EXP(-LN(2)/35))/(LN(2)/35)*DW18*DX18*VLOOKUP('Données projet'!$B$14,Paramètres!$A$1:$I$89,3,0)*0.475*44/12</f>
        <v>0</v>
      </c>
      <c r="EB18" s="21">
        <f>EXP(-LN(2)/25)*EB17+(1-EXP(-LN(2)/25))/(LN(2)/25)*Calculateur!DW18*Calculateur!DY18*VLOOKUP('Données projet'!$B$14,Paramètres!$A$1:$I$89,3,0)*0.475*44/12</f>
        <v>0</v>
      </c>
      <c r="EC18" s="21">
        <f>EXP(-LN(2)/2)*EC17+(1-EXP(-LN(2)/2))/(LN(2)/2)*DW18*DZ18*VLOOKUP('Données projet'!$B$14,Paramètres!$A$1:$I$89,3,0)*0.475*44/12</f>
        <v>0</v>
      </c>
      <c r="ED18" s="22">
        <f t="shared" si="18"/>
        <v>0</v>
      </c>
      <c r="EE18" s="75">
        <f>('Scénario référence'!$F$8+'Scénario référence'!$F$9+'Scénario référence'!$B$17+'Scénario référence'!$B$9+'Scénario référence'!$B$10)*70+IF((45+25*(1-EXP(-0.0175*A18)))&lt;70,'Scénario référence'!$B$16*(45+25*(1-EXP(-0.0175*A18))),70*'Scénario référence'!$B$16)+IF((32+38*(1-EXP(-0.0175*A18)))&lt;70,'Scénario référence'!$B$18*(32+38*(1-EXP(-0.0175*A18))),70*'Scénario référence'!$B$18)</f>
        <v>70</v>
      </c>
      <c r="EF18" s="12">
        <f>IF(A18&gt;30,10,('Scénario référence'!$B$16+'Scénario référence'!$B$17+'Scénario référence'!$B$18+'Scénario référence'!$B$9+'Scénario référence'!$B$10)*A18*10/30+('Scénario référence'!$F$8+'Scénario référence'!$F$9)*10)</f>
        <v>10</v>
      </c>
      <c r="EG18" s="12">
        <f>VLOOKUP(A18,'Données projet'!$A$191:$I$211,2,0)</f>
        <v>44</v>
      </c>
      <c r="EH18" s="12">
        <f>VLOOKUP(A18,'Données projet'!$A$191:$I$211,9,0)</f>
        <v>2.9333333333333331</v>
      </c>
      <c r="EI18" s="12">
        <f t="array" ref="EI18">INDEX(EH:EH,MIN(IF(ISNUMBER(EH18:EH214),ROW(EH18:EH214),"")))</f>
        <v>2.9333333333333331</v>
      </c>
      <c r="EJ18" s="12">
        <f>IF('Données projet'!$A$192&gt;35,EJ17+EI18-ER17,IF(A18&lt;'Données projet'!$A$192,$EG$205^A18,IF(A18='Données projet'!$A$192,'Données projet'!$B$192,EJ17+EI18-ER17)))</f>
        <v>44</v>
      </c>
      <c r="EK18" s="17">
        <f>EJ18*VLOOKUP('Données projet'!$B$15,Paramètres!$A$1:$I$89,3,0)*VLOOKUP('Données projet'!$B$15,Paramètres!$A$1:$I$89,5,0)</f>
        <v>35.692800000000005</v>
      </c>
      <c r="EL18" s="13">
        <f t="shared" si="45"/>
        <v>10.849564333613264</v>
      </c>
      <c r="EM18" s="20">
        <f t="shared" si="19"/>
        <v>81.061284547709775</v>
      </c>
      <c r="EN18" s="59">
        <f t="shared" si="20"/>
        <v>374.39461788104308</v>
      </c>
      <c r="EO18" s="59">
        <f ca="1">AVERAGE(OFFSET($EN$3,0,0,'Données projet'!$E$15+1,1))-AVERAGE(OFFSET($H$3,0,0,'Données projet'!$E$15+1,1))</f>
        <v>205.5272583787887</v>
      </c>
      <c r="EP18" s="59">
        <f t="shared" si="46"/>
        <v>180.54762778843178</v>
      </c>
      <c r="EQ18" s="15">
        <f>IF(ISNA(VLOOKUP(A18,'Données projet'!$A$191:$I$211,3,0)),0,VLOOKUP(A18,'Données projet'!$A$191:$I$211,3,0))</f>
        <v>0</v>
      </c>
      <c r="ER18" s="15">
        <f>IF(ISNA(VLOOKUP(A18,'Données projet'!$A$191:$I$211,4,0)),0,VLOOKUP(A18,'Données projet'!$A$191:$I$211,4,0))</f>
        <v>0</v>
      </c>
      <c r="ES18" s="16">
        <f>IF(ISNA(VLOOKUP(A18,'Données projet'!$A$191:$I$211,5,0)),0%,VLOOKUP(A18,'Données projet'!$A$191:$I$211,5,0)*VLOOKUP('Données projet'!$B$15,Paramètres!$A$1:$I$89,7,0))</f>
        <v>0</v>
      </c>
      <c r="ET18" s="16">
        <f>IF(ISNA(VLOOKUP(A18,'Données projet'!$A$191:$I$211,6,0)),0%,VLOOKUP(A18,'Données projet'!$A$191:$I$211,6,0)*VLOOKUP('Données projet'!$B$15,Paramètres!$A$1:$I$89,7,0))</f>
        <v>0</v>
      </c>
      <c r="EU18" s="16">
        <f>IF(ISNA(VLOOKUP(A18,'Données projet'!$A$191:$I$211,7,0)),0%,VLOOKUP(A18,'Données projet'!$A$191:$I$211,7,0))</f>
        <v>0</v>
      </c>
      <c r="EV18" s="21">
        <f>EXP(-LN(2)/35)*EV17+(1-EXP(-LN(2)/35))/(LN(2)/35)*ER18*ES18*VLOOKUP('Données projet'!$B$15,Paramètres!$A$1:$I$89,3,0)*0.475*44/12</f>
        <v>0</v>
      </c>
      <c r="EW18" s="21">
        <f>EXP(-LN(2)/25)*EW17+(1-EXP(-LN(2)/25))/(LN(2)/25)*Calculateur!ER18*Calculateur!ET18*VLOOKUP('Données projet'!$B$15,Paramètres!$A$1:$I$89,3,0)*0.475*44/12</f>
        <v>0</v>
      </c>
      <c r="EX18" s="21">
        <f>EXP(-LN(2)/2)*EX17+(1-EXP(-LN(2)/2))/(LN(2)/2)*ER18*EU18*VLOOKUP('Données projet'!$B$15,Paramètres!$A$1:$I$89,3,0)*0.475*44/12</f>
        <v>0</v>
      </c>
      <c r="EY18" s="22">
        <f t="shared" si="21"/>
        <v>0</v>
      </c>
      <c r="EZ18" s="75">
        <f>('Scénario référence'!$F$8+'Scénario référence'!$F$9+'Scénario référence'!$B$17+'Scénario référence'!$B$9+'Scénario référence'!$B$10)*70+IF((45+25*(1-EXP(-0.0175*A18)))&lt;70,'Scénario référence'!$B$16*(45+25*(1-EXP(-0.0175*A18))),70*'Scénario référence'!$B$16)+IF((32+38*(1-EXP(-0.0175*A18)))&lt;70,'Scénario référence'!$B$18*(32+38*(1-EXP(-0.0175*A18))),70*'Scénario référence'!$B$18)</f>
        <v>70</v>
      </c>
      <c r="FA18" s="12">
        <f>IF(A18&gt;30,10,('Scénario référence'!$B$16+'Scénario référence'!$B$17+'Scénario référence'!$B$18+'Scénario référence'!$B$9+'Scénario référence'!$B$10)*A18*10/30+('Scénario référence'!$F$8+'Scénario référence'!$F$9)*10)</f>
        <v>10</v>
      </c>
      <c r="FB18" s="12">
        <f>VLOOKUP(A18,'Données projet'!$A$217:$I$237,2,0)</f>
        <v>26</v>
      </c>
      <c r="FC18" s="12">
        <f>VLOOKUP(A18,'Données projet'!$A$217:$I$237,9,0)</f>
        <v>1.7333333333333334</v>
      </c>
      <c r="FD18" s="12">
        <f t="array" ref="FD18">INDEX(FC:FC,MIN(IF(ISNUMBER(FC18:FC214),ROW(FC18:FC214),"")))</f>
        <v>1.7333333333333334</v>
      </c>
      <c r="FE18" s="12">
        <f>IF('Données projet'!$A$218&gt;35,FE17+FD18-FM17,IF(A18&lt;'Données projet'!$A$218,$FB$205^A18,IF(A18='Données projet'!$A$218,'Données projet'!$B$218,FE17+FD18-FM17)))</f>
        <v>26</v>
      </c>
      <c r="FF18" s="17">
        <f>FE18*VLOOKUP('Données projet'!$B$16,Paramètres!$A$1:$I$89,3,0)*VLOOKUP('Données projet'!$B$16,Paramètres!$A$1:$I$89,5,0)</f>
        <v>22.308000000000003</v>
      </c>
      <c r="FG18" s="13">
        <f t="shared" si="47"/>
        <v>7.1622896888373244</v>
      </c>
      <c r="FH18" s="20">
        <f t="shared" si="22"/>
        <v>51.327421208058347</v>
      </c>
      <c r="FI18" s="59">
        <f t="shared" si="23"/>
        <v>344.66075454139167</v>
      </c>
      <c r="FJ18" s="59">
        <f ca="1">AVERAGE(OFFSET($FI$3,0,0,'Données projet'!$E$16+1,1))-AVERAGE(OFFSET($H$3,0,0,'Données projet'!$E$16+1,1))</f>
        <v>383.97627237444709</v>
      </c>
      <c r="FK18" s="59">
        <f t="shared" si="48"/>
        <v>203.35476578922339</v>
      </c>
      <c r="FL18" s="15">
        <f>IF(ISNA(VLOOKUP(A18,'Données projet'!$A$217:$I$237,3,0)),0,VLOOKUP(A18,'Données projet'!$A$217:$I$237,3,0))</f>
        <v>0</v>
      </c>
      <c r="FM18" s="15">
        <f>IF(ISNA(VLOOKUP(A18,'Données projet'!$A$217:$I$237,4,0)),0,VLOOKUP(A18,'Données projet'!$A$217:$I$237,4,0))</f>
        <v>0</v>
      </c>
      <c r="FN18" s="16">
        <f>IF(ISNA(VLOOKUP(A18,'Données projet'!$A$217:$I$237,5,0)),0%,VLOOKUP(A18,'Données projet'!$A$217:$I$237,5,0)*VLOOKUP('Données projet'!$B$16,Paramètres!$A$1:$I$89,7,0))</f>
        <v>0</v>
      </c>
      <c r="FO18" s="16">
        <f>IF(ISNA(VLOOKUP(A18,'Données projet'!$A$217:$I$237,6,0)),0%,VLOOKUP(A18,'Données projet'!$A$217:$I$237,6,0)*VLOOKUP('Données projet'!$B$16,Paramètres!$A$1:$I$89,7,0))</f>
        <v>0</v>
      </c>
      <c r="FP18" s="16">
        <f>IF(ISNA(VLOOKUP(A18,'Données projet'!$A$217:$I$237,7,0)),0%,VLOOKUP(A18,'Données projet'!$A$217:$I$237,7,0))</f>
        <v>0</v>
      </c>
      <c r="FQ18" s="21">
        <f>EXP(-LN(2)/35)*FQ17+(1-EXP(-LN(2)/35))/(LN(2)/35)*FM18*FN18*VLOOKUP('Données projet'!$B$16,Paramètres!$A$1:$I$89,3,0)*0.475*44/12</f>
        <v>0</v>
      </c>
      <c r="FR18" s="21">
        <f>EXP(-LN(2)/25)*FR17+(1-EXP(-LN(2)/25))/(LN(2)/25)*Calculateur!FM18*Calculateur!FO18*VLOOKUP('Données projet'!$B$16,Paramètres!$A$1:$I$89,3,0)*0.475*44/12</f>
        <v>0</v>
      </c>
      <c r="FS18" s="21">
        <f>EXP(-LN(2)/2)*FS17+(1-EXP(-LN(2)/2))/(LN(2)/2)*FM18*FP18*VLOOKUP('Données projet'!$B$16,Paramètres!$A$1:$I$89,3,0)*0.475*44/12</f>
        <v>0</v>
      </c>
      <c r="FT18" s="22">
        <f t="shared" si="24"/>
        <v>0</v>
      </c>
      <c r="FU18" s="75">
        <f>('Scénario référence'!$F$8+'Scénario référence'!$F$9+'Scénario référence'!$B$17+'Scénario référence'!$B$9+'Scénario référence'!$B$10)*70+IF((45+25*(1-EXP(-0.0175*A18)))&lt;70,'Scénario référence'!$B$16*(45+25*(1-EXP(-0.0175*A18))),70*'Scénario référence'!$B$16)+IF((32+38*(1-EXP(-0.0175*A18)))&lt;70,'Scénario référence'!$B$18*(32+38*(1-EXP(-0.0175*A18))),70*'Scénario référence'!$B$18)</f>
        <v>70</v>
      </c>
      <c r="FV18" s="12">
        <f>IF(A18&gt;30,10,('Scénario référence'!$B$16+'Scénario référence'!$B$17+'Scénario référence'!$B$18+'Scénario référence'!$B$9+'Scénario référence'!$B$10)*A18*10/30+('Scénario référence'!$F$8+'Scénario référence'!$F$9)*10)</f>
        <v>10</v>
      </c>
      <c r="FW18" s="12" t="e">
        <f>VLOOKUP(A18,'Données projet'!$A$243:$I$263,2,0)</f>
        <v>#N/A</v>
      </c>
      <c r="FX18" s="12" t="e">
        <f>VLOOKUP(A18,'Données projet'!$A$243:$I$263,9,0)</f>
        <v>#N/A</v>
      </c>
      <c r="FY18" s="12">
        <f t="array" ref="FY18">INDEX(FX:FX,MIN(IF(ISNUMBER(FX18:FX214),ROW(FX18:FX214),"")))</f>
        <v>4.0628205128205126</v>
      </c>
      <c r="FZ18" s="12">
        <f>IF('Données projet'!$A$244&gt;35,FZ17+FY18-GH17,IF(A18&lt;'Données projet'!$A$244,$FW$205^A18,IF(A18='Données projet'!$A$244,'Données projet'!$B$244,FZ17+FY18-GH17)))</f>
        <v>11.040136565487554</v>
      </c>
      <c r="GA18" s="17">
        <f>FZ18*VLOOKUP('Données projet'!$B$17,Paramètres!$A$1:$I$89,3,0)*VLOOKUP('Données projet'!$B$17,Paramètres!$A$1:$I$89,5,0)</f>
        <v>11.883602999090803</v>
      </c>
      <c r="GB18" s="13">
        <f t="shared" si="49"/>
        <v>4.1055962374822954</v>
      </c>
      <c r="GC18" s="20">
        <f t="shared" si="25"/>
        <v>27.847855337031476</v>
      </c>
      <c r="GD18" s="59">
        <f t="shared" si="26"/>
        <v>321.1811886703648</v>
      </c>
      <c r="GE18" s="59">
        <f ca="1">AVERAGE(OFFSET($GD$3,0,0,'Données projet'!$E$17+1,1))-AVERAGE(OFFSET($H$3,0,0,'Données projet'!$E$17+1,1))</f>
        <v>286.77702855541287</v>
      </c>
      <c r="GF18" s="59">
        <f t="shared" si="50"/>
        <v>227.12211541860779</v>
      </c>
      <c r="GG18" s="15">
        <f>IF(ISNA(VLOOKUP(A18,'Données projet'!$A$243:$I$263,3,0)),0,VLOOKUP(A18,'Données projet'!$A$243:$I$263,3,0))</f>
        <v>0</v>
      </c>
      <c r="GH18" s="15">
        <f>IF(ISNA(VLOOKUP(A18,'Données projet'!$A$243:$I$263,4,0)),0,VLOOKUP(A18,'Données projet'!$A$243:$I$263,4,0))</f>
        <v>0</v>
      </c>
      <c r="GI18" s="16">
        <f>IF(ISNA(VLOOKUP(A18,'Données projet'!$A$243:$I$263,5,0)),0%,VLOOKUP(A18,'Données projet'!$A$243:$I$263,5,0)*VLOOKUP('Données projet'!$B$17,Paramètres!$A$1:$I$89,7,0))</f>
        <v>0</v>
      </c>
      <c r="GJ18" s="16">
        <f>IF(ISNA(VLOOKUP(A18,'Données projet'!$A$243:$I$263,6,0)),0%,VLOOKUP(A18,'Données projet'!$A$243:$I$263,6,0)*VLOOKUP('Données projet'!$B$17,Paramètres!$A$1:$I$89,7,0))</f>
        <v>0</v>
      </c>
      <c r="GK18" s="16">
        <f>IF(ISNA(VLOOKUP(A18,'Données projet'!$A$243:$I$263,7,0)),0%,VLOOKUP(A18,'Données projet'!$A$243:$I$263,7,0))</f>
        <v>0</v>
      </c>
      <c r="GL18" s="21">
        <f>EXP(-LN(2)/35)*GL17+(1-EXP(-LN(2)/35))/(LN(2)/35)*GH18*GI18*VLOOKUP('Données projet'!$B$17,Paramètres!$A$1:$I$89,3,0)*0.475*44/12</f>
        <v>0</v>
      </c>
      <c r="GM18" s="21">
        <f>EXP(-LN(2)/25)*GM17+(1-EXP(-LN(2)/25))/(LN(2)/25)*Calculateur!GH18*Calculateur!GJ18*VLOOKUP('Données projet'!$B$17,Paramètres!$A$1:$I$89,3,0)*0.475*44/12</f>
        <v>0</v>
      </c>
      <c r="GN18" s="21">
        <f>EXP(-LN(2)/2)*GN17+(1-EXP(-LN(2)/2))/(LN(2)/2)*GH18*GK18*VLOOKUP('Données projet'!$B$17,Paramètres!$A$1:$I$89,3,0)*0.475*44/12</f>
        <v>0</v>
      </c>
      <c r="GO18" s="21">
        <f t="shared" si="27"/>
        <v>0</v>
      </c>
      <c r="GP18" s="75">
        <f>('Scénario référence'!$F$8+'Scénario référence'!$F$9+'Scénario référence'!$B$17+'Scénario référence'!$B$9+'Scénario référence'!$B$10)*70+IF((45+25*(1-EXP(-0.0175*A18)))&lt;70,'Scénario référence'!$B$16*(45+25*(1-EXP(-0.0175*A18))),70*'Scénario référence'!$B$16)+IF((32+38*(1-EXP(-0.0175*A18)))&lt;70,'Scénario référence'!$B$18*(32+38*(1-EXP(-0.0175*A18))),70*'Scénario référence'!$B$18)</f>
        <v>70</v>
      </c>
      <c r="GQ18" s="12">
        <f>IF(A18&gt;30,10,('Scénario référence'!$B$16+'Scénario référence'!$B$17+'Scénario référence'!$B$18+'Scénario référence'!$B$9+'Scénario référence'!$B$10)*A18*10/30+('Scénario référence'!$F$8+'Scénario référence'!$F$9)*10)</f>
        <v>10</v>
      </c>
      <c r="GR18" s="12" t="e">
        <f>VLOOKUP(A18,'Données projet'!$A$269:$I$289,2,0)</f>
        <v>#N/A</v>
      </c>
      <c r="GS18" s="12" t="e">
        <f>VLOOKUP(A18,'Données projet'!$A$269:$I$289,9,0)</f>
        <v>#N/A</v>
      </c>
      <c r="GT18" s="12">
        <f t="array" ref="GT18">INDEX(GS:GS,MIN(IF(ISNUMBER(GS18:GS214),ROW(GS18:GS214),"")))</f>
        <v>4.0628205128205126</v>
      </c>
      <c r="GU18" s="12">
        <f>IF('Données projet'!$A$270&gt;35,GU17+GT18-HC17,IF(A18&lt;'Données projet'!$A$270,$GR$205^A18,IF(A18='Données projet'!$A$270,'Données projet'!$B$270,GU17+GT18-HC17)))</f>
        <v>11.040136565487554</v>
      </c>
      <c r="GV18" s="17">
        <f>GU18*VLOOKUP('Données projet'!$B$18,Paramètres!$A$1:$I$89,3,0)*VLOOKUP('Données projet'!$B$18,Paramètres!$A$1:$I$89,5,0)</f>
        <v>11.883602999090803</v>
      </c>
      <c r="GW18" s="13">
        <f t="shared" si="51"/>
        <v>4.1055962374822954</v>
      </c>
      <c r="GX18" s="20">
        <f t="shared" si="28"/>
        <v>27.847855337031476</v>
      </c>
      <c r="GY18" s="59">
        <f t="shared" si="29"/>
        <v>321.1811886703648</v>
      </c>
      <c r="GZ18" s="59">
        <f ca="1">AVERAGE(OFFSET($GY$3,0,0,'Données projet'!$E$18+1,1))-AVERAGE(OFFSET($H$3,0,0,'Données projet'!$E$18+1,1))</f>
        <v>286.77702855541287</v>
      </c>
      <c r="HA18" s="59">
        <f t="shared" si="52"/>
        <v>227.12211541860779</v>
      </c>
      <c r="HB18" s="15">
        <f>IF(ISNA(VLOOKUP(A18,'Données projet'!$A$269:$I$289,3,0)),0,VLOOKUP(A18,'Données projet'!$A$269:$I$289,3,0))</f>
        <v>0</v>
      </c>
      <c r="HC18" s="15">
        <f>IF(ISNA(VLOOKUP(A18,'Données projet'!$A$269:$I$289,4,0)),0,VLOOKUP(A18,'Données projet'!$A$269:$I$289,4,0))</f>
        <v>0</v>
      </c>
      <c r="HD18" s="16">
        <f>IF(ISNA(VLOOKUP(A18,'Données projet'!$A$269:$I$289,5,0)),0%,VLOOKUP(A18,'Données projet'!$A$269:$I$289,5,0)*VLOOKUP('Données projet'!$B$18,Paramètres!$A$1:$I$89,7,0))</f>
        <v>0</v>
      </c>
      <c r="HE18" s="16">
        <f>IF(ISNA(VLOOKUP(A18,'Données projet'!$A$269:$I$289,6,0)),0%,VLOOKUP(A18,'Données projet'!$A$269:$I$289,6,0)*VLOOKUP('Données projet'!$B$18,Paramètres!$A$1:$I$89,7,0))</f>
        <v>0</v>
      </c>
      <c r="HF18" s="16">
        <f>IF(ISNA(VLOOKUP(A18,'Données projet'!$A$269:$I$289,7,0)),0%,VLOOKUP(A18,'Données projet'!$A$269:$I$289,7,0))</f>
        <v>0</v>
      </c>
      <c r="HG18" s="21">
        <f>EXP(-LN(2)/35)*HG17+(1-EXP(-LN(2)/35))/(LN(2)/35)*HC18*HD18*VLOOKUP('Données projet'!$B$18,Paramètres!$A$1:$I$89,3,0)*0.475*44/12</f>
        <v>0</v>
      </c>
      <c r="HH18" s="21">
        <f>EXP(-LN(2)/25)*HH17+(1-EXP(-LN(2)/25))/(LN(2)/25)*Calculateur!HC18*Calculateur!HE18*VLOOKUP('Données projet'!$B$18,Paramètres!$A$1:$I$89,3,0)*0.475*44/12</f>
        <v>0</v>
      </c>
      <c r="HI18" s="21">
        <f>EXP(-LN(2)/2)*HI17+(1-EXP(-LN(2)/2))/(LN(2)/2)*HC18*HF18*VLOOKUP('Données projet'!$B$18,Paramètres!$A$1:$I$89,3,0)*0.475*44/12</f>
        <v>0</v>
      </c>
      <c r="HJ18" s="22">
        <f t="shared" si="30"/>
        <v>0</v>
      </c>
    </row>
    <row r="19" spans="1:218" x14ac:dyDescent="0.25">
      <c r="A19" s="10">
        <f t="shared" si="31"/>
        <v>16</v>
      </c>
      <c r="B19" s="73">
        <f>'Scénario référence'!$B$16*5+'Scénario référence'!$B$17*0+'Scénario référence'!$B$18*5</f>
        <v>0</v>
      </c>
      <c r="C19" s="19">
        <f>Calculateur!C18+'Scénario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14.227200000000003</v>
      </c>
      <c r="D19" s="11">
        <f t="shared" si="32"/>
        <v>4.81336060460516</v>
      </c>
      <c r="E1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9" s="11">
        <f>IF(OR('Scénario référence'!$F$8&gt;0,'Scénario référence'!$F$9&gt;0),('Scénario référence'!$F$8+'Scénario référence'!$F$9)*10,0)</f>
        <v>10</v>
      </c>
      <c r="G19" s="11">
        <f>'Scénario référence'!$B$8*B19*44/12+'Scénario référence'!$B$9*(C19+D19)/0.475*44/12+'Scénario référence'!$B$10*(C19+D19)/0.475*44/12+'Scénario référence'!$F$8*(C19+D19)/0.475*44/12+'Scénario référence'!$F$9*(C19+D19)/0.475*44/12</f>
        <v>146.97976607063634</v>
      </c>
      <c r="H19" s="67">
        <f t="shared" si="1"/>
        <v>326.49564305302061</v>
      </c>
      <c r="I19" s="70">
        <f>('Scénario référence'!$F$8+'Scénario référence'!$F$9+'Scénario référence'!$B$17+'Scénario référence'!$B$9+'Scénario référence'!$B$10)*70+IF((45+25*(1-EXP(-0.0175*A19)))&lt;70,'Scénario référence'!$B$16*(45+25*(1-EXP(-0.0175*A19))),70*'Scénario référence'!$B$16)+IF((32+38*(1-EXP(-0.0175*A19)))&lt;70,'Scénario référence'!$B$18*(32+38*(1-EXP(-0.0175*A19))),70*'Scénario référence'!$B$18)</f>
        <v>70</v>
      </c>
      <c r="J19" s="13">
        <f>IF(A19&gt;30,10,('Scénario référence'!$B$16+'Scénario référence'!$B$17+'Scénario référence'!$B$18+'Scénario référence'!$B$9+'Scénario référence'!$B$10)*A19*10/30+('Scénario référence'!$F$8+'Scénario référence'!$F$9)*10)</f>
        <v>10</v>
      </c>
      <c r="K19" s="12" t="e">
        <f>VLOOKUP(A19,'Données projet'!$A$35:$I$55,2,0)</f>
        <v>#N/A</v>
      </c>
      <c r="L19" s="12" t="e">
        <f>VLOOKUP(A19,'Données projet'!$A$35:$I$55,9,0)</f>
        <v>#N/A</v>
      </c>
      <c r="M19" s="12">
        <f t="array" ref="M19">INDEX(L:L,MIN(IF(ISNUMBER(L19:L215),ROW(L19:L215),"")))</f>
        <v>9.3968325791855207</v>
      </c>
      <c r="N19" s="13">
        <f>IF('Données projet'!$A$36&gt;35,N18+M19-V18,IF(A19&lt;'Données projet'!$A$36,$K$205^A19,IF(A19='Données projet'!$A$36,'Données projet'!$B$36,N18+M19-V18)))</f>
        <v>118.52688122141336</v>
      </c>
      <c r="O19" s="13">
        <f>N19*VLOOKUP('Données projet'!$B$9,Paramètres!$A$1:$I$89,3,0)*VLOOKUP('Données projet'!$B$9,Paramètres!$A$1:$I$89,5,0)</f>
        <v>66.256526602770066</v>
      </c>
      <c r="P19" s="13">
        <f t="shared" si="33"/>
        <v>18.740868493548042</v>
      </c>
      <c r="Q19" s="20">
        <f t="shared" si="2"/>
        <v>148.03712979275406</v>
      </c>
      <c r="R19" s="59">
        <f t="shared" si="0"/>
        <v>441.37046312608737</v>
      </c>
      <c r="S19" s="59">
        <f ca="1">AVERAGE(OFFSET($R$3,0,0,'Données projet'!$E$9+1,1))-AVERAGE(OFFSET($H$3,0,0,'Données projet'!$E$9+1,1))</f>
        <v>255.5374979188561</v>
      </c>
      <c r="T19" s="59">
        <f t="shared" si="34"/>
        <v>343.10418468620901</v>
      </c>
      <c r="U19" s="15">
        <f>IF(ISNA(VLOOKUP(A19,'Données projet'!$A$35:$I$55,3,0)),0,VLOOKUP(A19,'Données projet'!$A$35:$I$55,3,0))</f>
        <v>0</v>
      </c>
      <c r="V19" s="15">
        <f>IF(ISNA(VLOOKUP(A19,'Données projet'!$A$35:$I$55,4,0)),0,VLOOKUP(A19,'Données projet'!$A$35:$I$55,4,0))</f>
        <v>0</v>
      </c>
      <c r="W19" s="16">
        <f>IF(ISNA(VLOOKUP(A19,'Données projet'!$A$35:$I$55,5,0)),0%,VLOOKUP(A19,'Données projet'!$A$35:$I$55,5,0)*VLOOKUP('Données projet'!$B$9,Paramètres!$A$1:$I$89,7,0))</f>
        <v>0</v>
      </c>
      <c r="X19" s="16">
        <f>IF(ISNA(VLOOKUP(A19,'Données projet'!$A$35:$I$55,6,0)),0%,VLOOKUP(A19,'Données projet'!$A$35:$I$55,6,0)*VLOOKUP('Données projet'!$B$9,Paramètres!$A$1:$I$89,7,0))</f>
        <v>0</v>
      </c>
      <c r="Y19" s="16">
        <f>IF(ISNA(VLOOKUP(A19,'Données projet'!$A$35:$I$55,7,0)),0%,VLOOKUP(A19,'Données projet'!$A$35:$I$55,7,0))</f>
        <v>0</v>
      </c>
      <c r="Z19" s="21">
        <f>EXP(-LN(2)/35)*Z18+(1-EXP(-LN(2)/35))/(LN(2)/35)*V19*W19*VLOOKUP('Données projet'!$B$9,Paramètres!$A$1:$I$89,3,0)*0.475*44/12</f>
        <v>0</v>
      </c>
      <c r="AA19" s="21">
        <f>EXP(-LN(2)/25)*AA18+(1-EXP(-LN(2)/25))/(LN(2)/25)*Calculateur!V19*Calculateur!X19*VLOOKUP('Données projet'!$B$9,Paramètres!$A$1:$I$89,3,0)*0.475*44/12</f>
        <v>0</v>
      </c>
      <c r="AB19" s="21">
        <f>EXP(-LN(2)/2)*AB18+(1-EXP(-LN(2)/2))/(LN(2)/2)*V19*Y19*VLOOKUP('Données projet'!$B$9,Paramètres!$A$1:$I$89,3,0)*0.475*44/12</f>
        <v>0</v>
      </c>
      <c r="AC19" s="22">
        <f t="shared" si="3"/>
        <v>0</v>
      </c>
      <c r="AD19" s="13">
        <f>('Scénario référence'!$F$8+'Scénario référence'!$F$9+'Scénario référence'!$B$17+'Scénario référence'!$B$9+'Scénario référence'!$B$10)*70+IF((45+25*(1-EXP(-0.0175*A19)))&lt;70,'Scénario référence'!$B$16*(45+25*(1-EXP(-0.0175*A19))),70*'Scénario référence'!$B$16)+IF((32+38*(1-EXP(-0.0175*A19)))&lt;70,'Scénario référence'!$B$18*(32+38*(1-EXP(-0.0175*A19))),70*'Scénario référence'!$B$18)</f>
        <v>70</v>
      </c>
      <c r="AE19" s="13">
        <f>IF(A19&gt;30,10,('Scénario référence'!$B$16+'Scénario référence'!$B$17+'Scénario référence'!$B$18+'Scénario référence'!$B$9+'Scénario référence'!$B$10)*A19*10/30+('Scénario référence'!$F$8+'Scénario référence'!$F$9)*10)</f>
        <v>10</v>
      </c>
      <c r="AF19" s="12" t="e">
        <f>VLOOKUP(A19,'Données projet'!$A$61:$I$81,2,0)</f>
        <v>#N/A</v>
      </c>
      <c r="AG19" s="12" t="e">
        <f>VLOOKUP(A19,'Données projet'!$A$61:$I$81,9,0)</f>
        <v>#N/A</v>
      </c>
      <c r="AH19" s="12">
        <f t="array" ref="AH19">INDEX(AG:AG,MIN(IF(ISNUMBER(AG19:AG215),ROW(AG19:AG215),"")))</f>
        <v>13.2</v>
      </c>
      <c r="AI19" s="13">
        <f>IF('Données projet'!$A$62&gt;35,AI18+AH19-AQ18,IF(A19&lt;'Données projet'!$A$62,$AF$205^A19,IF(A19='Données projet'!$A$62,'Données projet'!$B$62,AI18+AH19-AQ18)))</f>
        <v>105.20000000000002</v>
      </c>
      <c r="AJ19" s="13">
        <f>AI19*VLOOKUP('Données projet'!$B$10,Paramètres!$A$1:$I$89,3,0)*VLOOKUP('Données projet'!$B$10,Paramètres!$A$1:$I$89,5,0)</f>
        <v>65.644800000000018</v>
      </c>
      <c r="AK19" s="13">
        <f t="shared" si="35"/>
        <v>18.587897801749605</v>
      </c>
      <c r="AL19" s="20">
        <f t="shared" si="4"/>
        <v>146.70528200471392</v>
      </c>
      <c r="AM19" s="59">
        <f t="shared" si="5"/>
        <v>440.03861533804724</v>
      </c>
      <c r="AN19" s="59">
        <f ca="1">AVERAGE(OFFSET($AM$3,0,0,'Données projet'!$E$10+1,1))-AVERAGE(OFFSET($H$3,0,0,'Données projet'!$E$10+1,1))</f>
        <v>261.78489480911571</v>
      </c>
      <c r="AO19" s="59">
        <f t="shared" si="36"/>
        <v>297.50513563712764</v>
      </c>
      <c r="AP19" s="15">
        <f>IF(ISNA(VLOOKUP(A19,'Données projet'!$A$61:$I$81,3,0)),0,VLOOKUP(A19,'Données projet'!$A$61:$I$81,3,0))</f>
        <v>0</v>
      </c>
      <c r="AQ19" s="15">
        <f>IF(ISNA(VLOOKUP(A19,'Données projet'!$A$61:$I$81,4,0)),0,VLOOKUP(A19,'Données projet'!$A$61:$I$81,4,0))</f>
        <v>0</v>
      </c>
      <c r="AR19" s="16">
        <f>IF(ISNA(VLOOKUP(A19,'Données projet'!$A$61:$I$81,5,0)),0%,VLOOKUP(A19,'Données projet'!$A$61:$I$81,5,0)*VLOOKUP('Données projet'!$B$10,Paramètres!$A$1:$I$89,7,0))</f>
        <v>0</v>
      </c>
      <c r="AS19" s="16">
        <f>IF(ISNA(VLOOKUP(A19,'Données projet'!$A$61:$I$81,6,0)),0%,VLOOKUP(A19,'Données projet'!$A$61:$I$81,6,0)*VLOOKUP('Données projet'!$B$10,Paramètres!$A$1:$I$89,7,0))</f>
        <v>0</v>
      </c>
      <c r="AT19" s="16">
        <f>IF(ISNA(VLOOKUP(A19,'Données projet'!$A$61:$I$81,7,0)),0%,VLOOKUP(A19,'Données projet'!$A$61:$I$81,7,0))</f>
        <v>0</v>
      </c>
      <c r="AU19" s="21">
        <f>EXP(-LN(2)/35)*AU18+(1-EXP(-LN(2)/35))/(LN(2)/35)*AQ19*AR19*VLOOKUP('Données projet'!$B$10,Paramètres!$A$1:$I$89,3,0)*0.475*44/12</f>
        <v>0</v>
      </c>
      <c r="AV19" s="21">
        <f>EXP(-LN(2)/25)*AV18+(1-EXP(-LN(2)/25))/(LN(2)/25)*Calculateur!AQ19*Calculateur!AS19*VLOOKUP('Données projet'!$B$10,Paramètres!$A$1:$I$89,3,0)*0.475*44/12</f>
        <v>0</v>
      </c>
      <c r="AW19" s="21">
        <f>EXP(-LN(2)/2)*AW18+(1-EXP(-LN(2)/2))/(LN(2)/2)*AQ19*AT19*VLOOKUP('Données projet'!$B$10,Paramètres!$A$1:$I$89,3,0)*0.475*44/12</f>
        <v>0</v>
      </c>
      <c r="AX19" s="21">
        <f t="shared" si="6"/>
        <v>0</v>
      </c>
      <c r="AY19" s="74">
        <f>('Scénario référence'!$F$8+'Scénario référence'!$F$9+'Scénario référence'!$B$17+'Scénario référence'!$B$9+'Scénario référence'!$B$10)*70+IF((45+25*(1-EXP(-0.0175*A19)))&lt;70,'Scénario référence'!$B$16*(45+25*(1-EXP(-0.0175*A19))),70*'Scénario référence'!$B$16)+IF((32+38*(1-EXP(-0.0175*A19)))&lt;70,'Scénario référence'!$B$18*(32+38*(1-EXP(-0.0175*A19))),70*'Scénario référence'!$B$18)</f>
        <v>70</v>
      </c>
      <c r="AZ19" s="12">
        <f>IF(A19&gt;30,10,('Scénario référence'!$B$16+'Scénario référence'!$B$17+'Scénario référence'!$B$18+'Scénario référence'!$B$9+'Scénario référence'!$B$10)*A19*10/30+('Scénario référence'!$F$8+'Scénario référence'!$F$9)*10)</f>
        <v>10</v>
      </c>
      <c r="BA19" s="12" t="e">
        <f>VLOOKUP(A19,'Données projet'!$A$87:$I$107,2,0)</f>
        <v>#N/A</v>
      </c>
      <c r="BB19" s="12" t="e">
        <f>VLOOKUP(A19,'Données projet'!$A$87:$I$107,9,0)</f>
        <v>#N/A</v>
      </c>
      <c r="BC19" s="12">
        <f t="array" ref="BC19">INDEX(BB:BB,MIN(IF(ISNUMBER(BB19:BB215),ROW(BB19:BB215),"")))</f>
        <v>5.3</v>
      </c>
      <c r="BD19" s="12">
        <f>IF('Données projet'!$A$88&gt;35,BD18+BC19-BL18,IF(A19&lt;'Données projet'!$A$88,$BA$205^A19,IF(A19='Données projet'!$A$88,'Données projet'!$B$88,BD18+BC19-BL18)))</f>
        <v>41.710432413181543</v>
      </c>
      <c r="BE19" s="13">
        <f>BD19*VLOOKUP('Données projet'!$B$11,Paramètres!$A$1:$I$89,3,0)*VLOOKUP('Données projet'!$B$11,Paramètres!$A$1:$I$89,5,0)</f>
        <v>24.942838583082565</v>
      </c>
      <c r="BF19" s="13">
        <f t="shared" si="37"/>
        <v>7.9048465011463138</v>
      </c>
      <c r="BG19" s="20">
        <f t="shared" si="7"/>
        <v>57.209718188365294</v>
      </c>
      <c r="BH19" s="59">
        <f t="shared" si="8"/>
        <v>350.5430515216986</v>
      </c>
      <c r="BI19" s="59">
        <f ca="1">AVERAGE(OFFSET($BH$3,0,0,'Données projet'!$E$11+1,1))-AVERAGE(OFFSET($H$3,0,0,'Données projet'!$E$11+1,1))</f>
        <v>316.58509520829671</v>
      </c>
      <c r="BJ19" s="59">
        <f t="shared" si="38"/>
        <v>240.71332110643596</v>
      </c>
      <c r="BK19" s="15">
        <f>IF(ISNA(VLOOKUP(A19,'Données projet'!$A$87:$I$107,3,0)),0,VLOOKUP(A19,'Données projet'!$A$87:$I$107,3,0))</f>
        <v>0</v>
      </c>
      <c r="BL19" s="15">
        <f>IF(ISNA(VLOOKUP(A19,'Données projet'!$A$87:$I$107,4,0)),0,VLOOKUP(A19,'Données projet'!$A$87:$I$107,4,0))</f>
        <v>0</v>
      </c>
      <c r="BM19" s="16">
        <f>IF(ISNA(VLOOKUP(A19,'Données projet'!$A$87:$I$107,5,0)),0%,VLOOKUP(A19,'Données projet'!$A$87:$I$107,5,0)*VLOOKUP('Données projet'!$B$11,Paramètres!$A$1:$I$89,7,0))</f>
        <v>0</v>
      </c>
      <c r="BN19" s="16">
        <f>IF(ISNA(VLOOKUP(A19,'Données projet'!$A$87:$I$107,6,0)),0%,VLOOKUP(A19,'Données projet'!$A$87:$I$107,6,0)*VLOOKUP('Données projet'!$B$11,Paramètres!$A$1:$I$89,7,0))</f>
        <v>0</v>
      </c>
      <c r="BO19" s="16">
        <f>IF(ISNA(VLOOKUP(A19,'Données projet'!$A$87:$I$107,7,0)),0%,VLOOKUP(A19,'Données projet'!$A$87:$I$107,7,0))</f>
        <v>0</v>
      </c>
      <c r="BP19" s="21">
        <f>EXP(-LN(2)/35)*BP18+(1-EXP(-LN(2)/35))/(LN(2)/35)*BL19*BM19*VLOOKUP('Données projet'!$B$11,Paramètres!$A$1:$I$89,3,0)*0.475*44/12</f>
        <v>0</v>
      </c>
      <c r="BQ19" s="21">
        <f>EXP(-LN(2)/25)*BQ18+(1-EXP(-LN(2)/25))/(LN(2)/25)*Calculateur!BL19*Calculateur!BN19*VLOOKUP('Données projet'!$B$11,Paramètres!$A$1:$I$89,3,0)*0.475*44/12</f>
        <v>0</v>
      </c>
      <c r="BR19" s="21">
        <f>EXP(-LN(2)/2)*BR18+(1-EXP(-LN(2)/2))/(LN(2)/2)*BL19*BO19*VLOOKUP('Données projet'!$B$11,Paramètres!$A$1:$I$89,3,0)*0.475*44/12</f>
        <v>0</v>
      </c>
      <c r="BS19" s="22">
        <f t="shared" si="9"/>
        <v>0</v>
      </c>
      <c r="BT19" s="75">
        <f>('Scénario référence'!$F$8+'Scénario référence'!$F$9+'Scénario référence'!$B$17+'Scénario référence'!$B$9+'Scénario référence'!$B$10)*70+IF((45+25*(1-EXP(-0.0175*A19)))&lt;70,'Scénario référence'!$B$16*(45+25*(1-EXP(-0.0175*A19))),70*'Scénario référence'!$B$16)+IF((32+38*(1-EXP(-0.0175*A19)))&lt;70,'Scénario référence'!$B$18*(32+38*(1-EXP(-0.0175*A19))),70*'Scénario référence'!$B$18)</f>
        <v>70</v>
      </c>
      <c r="BU19" s="12">
        <f>IF(A19&gt;30,10,('Scénario référence'!$B$16+'Scénario référence'!$B$17+'Scénario référence'!$B$18+'Scénario référence'!$B$9+'Scénario référence'!$B$10)*A19*10/30+('Scénario référence'!$F$8+'Scénario référence'!$F$9)*10)</f>
        <v>10</v>
      </c>
      <c r="BV19" s="12" t="e">
        <f>VLOOKUP(A19,'Données projet'!$A$113:$I$133,2,0)</f>
        <v>#N/A</v>
      </c>
      <c r="BW19" s="12" t="e">
        <f>VLOOKUP(A19,'Données projet'!$A$113:$I$133,9,0)</f>
        <v>#N/A</v>
      </c>
      <c r="BX19" s="12">
        <f t="array" ref="BX19">INDEX(BW:BW,MIN(IF(ISNUMBER(BW19:BW215),ROW(BW19:BW215),"")))</f>
        <v>11.6</v>
      </c>
      <c r="BY19" s="12">
        <f>IF('Données projet'!$A$114&gt;35,BY18+BX19-CG18,IF(A19&lt;'Données projet'!$A$114,$BV$205^A19,IF(A19='Données projet'!$A$114,'Données projet'!$B$114,BY18+BX19-CG18)))</f>
        <v>59.6</v>
      </c>
      <c r="BZ19" s="13">
        <f>BY19*VLOOKUP('Données projet'!$B$12,Paramètres!$A$1:$I$89,3,0)*VLOOKUP('Données projet'!$B$12,Paramètres!$A$1:$I$89,5,0)</f>
        <v>34.091200000000001</v>
      </c>
      <c r="CA19" s="13">
        <f t="shared" si="39"/>
        <v>10.418250391314754</v>
      </c>
      <c r="CB19" s="20">
        <f t="shared" si="10"/>
        <v>77.520626098206534</v>
      </c>
      <c r="CC19" s="59">
        <f t="shared" si="11"/>
        <v>370.85395943153986</v>
      </c>
      <c r="CD19" s="59">
        <f ca="1">AVERAGE(OFFSET($CC$3,0,0,'Données projet'!$E$12+1,1))-AVERAGE(OFFSET($H$3,0,0,'Données projet'!$E$12+1,1))</f>
        <v>188.64374818906128</v>
      </c>
      <c r="CE19" s="59">
        <f t="shared" si="40"/>
        <v>211.95157880548652</v>
      </c>
      <c r="CF19" s="15">
        <f>IF(ISNA(VLOOKUP(A19,'Données projet'!$A$113:$I$133,3,0)),0,VLOOKUP(A19,'Données projet'!$A$113:$I$133,3,0))</f>
        <v>0</v>
      </c>
      <c r="CG19" s="15">
        <f>IF(ISNA(VLOOKUP(A19,'Données projet'!$A$113:$I$133,4,0)),0,VLOOKUP(A19,'Données projet'!$A$113:$I$133,4,0))</f>
        <v>0</v>
      </c>
      <c r="CH19" s="16">
        <f>IF(ISNA(VLOOKUP(A19,'Données projet'!$A$113:$I$133,5,0)),0%,VLOOKUP(A19,'Données projet'!$A$113:$I$133,5,0)*VLOOKUP('Données projet'!$B$12,Paramètres!$A$1:$I$89,7,0))</f>
        <v>0</v>
      </c>
      <c r="CI19" s="16">
        <f>IF(ISNA(VLOOKUP(A19,'Données projet'!$A$113:$I$133,6,0)),0%,VLOOKUP(A19,'Données projet'!$A$113:$I$133,6,0)*VLOOKUP('Données projet'!$B$12,Paramètres!$A$1:$I$89,7,0))</f>
        <v>0</v>
      </c>
      <c r="CJ19" s="16">
        <f>IF(ISNA(VLOOKUP(A19,'Données projet'!$A$113:$I$133,7,0)),0%,VLOOKUP(A19,'Données projet'!$A$113:$I$133,7,0))</f>
        <v>0</v>
      </c>
      <c r="CK19" s="21">
        <f>EXP(-LN(2)/35)*CK18+(1-EXP(-LN(2)/35))/(LN(2)/35)*CG19*CH19*VLOOKUP('Données projet'!$B$12,Paramètres!$A$1:$I$89,3,0)*0.475*44/12</f>
        <v>0</v>
      </c>
      <c r="CL19" s="21">
        <f>EXP(-LN(2)/25)*CL18+(1-EXP(-LN(2)/25))/(LN(2)/25)*Calculateur!CG19*Calculateur!CI19*VLOOKUP('Données projet'!$B$12,Paramètres!$A$1:$I$89,3,0)*0.475*44/12</f>
        <v>0</v>
      </c>
      <c r="CM19" s="21">
        <f>EXP(-LN(2)/2)*CM18+(1-EXP(-LN(2)/2))/(LN(2)/2)*CG19*CJ19*VLOOKUP('Données projet'!$B$12,Paramètres!$A$1:$I$89,3,0)*0.475*44/12</f>
        <v>0</v>
      </c>
      <c r="CN19" s="22">
        <f t="shared" si="12"/>
        <v>0</v>
      </c>
      <c r="CO19" s="75">
        <f>('Scénario référence'!$F$8+'Scénario référence'!$F$9+'Scénario référence'!$B$17+'Scénario référence'!$B$9+'Scénario référence'!$B$10)*70+IF((45+25*(1-EXP(-0.0175*A19)))&lt;70,'Scénario référence'!$B$16*(45+25*(1-EXP(-0.0175*A19))),70*'Scénario référence'!$B$16)+IF((32+38*(1-EXP(-0.0175*A19)))&lt;70,'Scénario référence'!$B$18*(32+38*(1-EXP(-0.0175*A19))),70*'Scénario référence'!$B$18)</f>
        <v>70</v>
      </c>
      <c r="CP19" s="12">
        <f>IF(A19&gt;30,10,('Scénario référence'!$B$16+'Scénario référence'!$B$17+'Scénario référence'!$B$18+'Scénario référence'!$B$9+'Scénario référence'!$B$10)*A19*10/30+('Scénario référence'!$F$8+'Scénario référence'!$F$9)*10)</f>
        <v>10</v>
      </c>
      <c r="CQ19" s="12" t="e">
        <f>VLOOKUP(A19,'Données projet'!$A$139:$I$159,2,0)</f>
        <v>#N/A</v>
      </c>
      <c r="CR19" s="12" t="e">
        <f>VLOOKUP(A19,'Données projet'!$A$139:$I$159,9,0)</f>
        <v>#N/A</v>
      </c>
      <c r="CS19" s="12">
        <f t="array" ref="CS19">INDEX(CR:CR,MIN(IF(ISNUMBER(CR19:CR215),ROW(CR19:CR215),"")))</f>
        <v>0</v>
      </c>
      <c r="CT19" s="12">
        <f>IF('Données projet'!$A$140&gt;35,CT18+CS19-DB18,IF(A19&lt;'Données projet'!$A$140,$CQ$205^A19,IF(A19='Données projet'!$A$140,'Données projet'!$B$140,CT18+CS19-DB18)))</f>
        <v>0</v>
      </c>
      <c r="CU19" s="17" t="e">
        <f>CT19*VLOOKUP('Données projet'!$B$13,Paramètres!$A$1:$I$89,3,0)*VLOOKUP('Données projet'!$B$13,Paramètres!$A$1:$I$89,5,0)</f>
        <v>#N/A</v>
      </c>
      <c r="CV19" s="13" t="e">
        <f t="shared" si="41"/>
        <v>#N/A</v>
      </c>
      <c r="CW19" s="20" t="e">
        <f t="shared" si="13"/>
        <v>#N/A</v>
      </c>
      <c r="CX19" s="59" t="e">
        <f t="shared" si="14"/>
        <v>#N/A</v>
      </c>
      <c r="CY19" s="59" t="e">
        <f ca="1">AVERAGE(OFFSET($CX$3,0,0,'Données projet'!$E$13+1,1))-AVERAGE(OFFSET($H$3,0,0,'Données projet'!$E$13+1,1))</f>
        <v>#N/A</v>
      </c>
      <c r="CZ19" s="59" t="e">
        <f t="shared" si="42"/>
        <v>#N/A</v>
      </c>
      <c r="DA19" s="15">
        <f>IF(ISNA(VLOOKUP(A19,'Données projet'!$A$139:$I$159,3,0)),0,VLOOKUP(A19,'Données projet'!$A$139:$I$159,3,0))</f>
        <v>0</v>
      </c>
      <c r="DB19" s="15">
        <f>IF(ISNA(VLOOKUP(A19,'Données projet'!$A$139:$I$159,4,0)),0,VLOOKUP(A19,'Données projet'!$A$139:$I$159,4,0))</f>
        <v>0</v>
      </c>
      <c r="DC19" s="16">
        <f>IF(ISNA(VLOOKUP(A19,'Données projet'!$A$139:$I$159,5,0)),0%,VLOOKUP(A19,'Données projet'!$A$139:$I$159,5,0)*VLOOKUP('Données projet'!$B$13,Paramètres!$A$1:$I$89,7,0))</f>
        <v>0</v>
      </c>
      <c r="DD19" s="16">
        <f>IF(ISNA(VLOOKUP(A19,'Données projet'!$A$139:$I$159,6,0)),0%,VLOOKUP(A19,'Données projet'!$A$139:$I$159,6,0)*VLOOKUP('Données projet'!$B$13,Paramètres!$A$1:$I$89,7,0))</f>
        <v>0</v>
      </c>
      <c r="DE19" s="16">
        <f>IF(ISNA(VLOOKUP(A19,'Données projet'!$A$139:$I$159,7,0)),0%,VLOOKUP(A19,'Données projet'!$A$139:$I$159,7,0))</f>
        <v>0</v>
      </c>
      <c r="DF19" s="21" t="e">
        <f>EXP(-LN(2)/35)*DF18+(1-EXP(-LN(2)/35))/(LN(2)/35)*DB19*DC19*VLOOKUP('Données projet'!$B$13,Paramètres!$A$1:$I$89,3,0)*0.475*44/12</f>
        <v>#N/A</v>
      </c>
      <c r="DG19" s="21" t="e">
        <f>EXP(-LN(2)/25)*DG18+(1-EXP(-LN(2)/25))/(LN(2)/25)*Calculateur!DB19*Calculateur!DD19*VLOOKUP('Données projet'!$B$13,Paramètres!$A$1:$I$89,3,0)*0.475*44/12</f>
        <v>#N/A</v>
      </c>
      <c r="DH19" s="21" t="e">
        <f>EXP(-LN(2)/2)*DH18+(1-EXP(-LN(2)/2))/(LN(2)/2)*DB19*DE19*VLOOKUP('Données projet'!$B$13,Paramètres!$A$1:$I$89,3,0)*0.475*44/12</f>
        <v>#N/A</v>
      </c>
      <c r="DI19" s="22" t="e">
        <f t="shared" si="15"/>
        <v>#N/A</v>
      </c>
      <c r="DJ19" s="75">
        <f>('Scénario référence'!$F$8+'Scénario référence'!$F$9+'Scénario référence'!$B$17+'Scénario référence'!$B$9+'Scénario référence'!$B$10)*70+IF((45+25*(1-EXP(-0.0175*A19)))&lt;70,'Scénario référence'!$B$16*(45+25*(1-EXP(-0.0175*A19))),70*'Scénario référence'!$B$16)+IF((32+38*(1-EXP(-0.0175*A19)))&lt;70,'Scénario référence'!$B$18*(32+38*(1-EXP(-0.0175*A19))),70*'Scénario référence'!$B$18)</f>
        <v>70</v>
      </c>
      <c r="DK19" s="12">
        <f>IF(A19&gt;30,10,('Scénario référence'!$B$16+'Scénario référence'!$B$17+'Scénario référence'!$B$18+'Scénario référence'!$B$9+'Scénario référence'!$B$10)*A19*10/30+('Scénario référence'!$F$8+'Scénario référence'!$F$9)*10)</f>
        <v>10</v>
      </c>
      <c r="DL19" s="12" t="e">
        <f>VLOOKUP(A19,'Données projet'!$A$165:$I$185,2,0)</f>
        <v>#N/A</v>
      </c>
      <c r="DM19" s="12" t="e">
        <f>VLOOKUP(A19,'Données projet'!$A$165:$I$185,9,0)</f>
        <v>#N/A</v>
      </c>
      <c r="DN19" s="12">
        <f t="array" ref="DN19">INDEX(DM:DM,MIN(IF(ISNUMBER(DM19:DM215),ROW(DM19:DM215),"")))</f>
        <v>11</v>
      </c>
      <c r="DO19" s="12">
        <f>IF('Données projet'!$A$166&gt;35,DO18+DN19-DW18,IF(A19&lt;'Données projet'!$A$166,$DL$205^A19,IF(A19='Données projet'!$A$166,'Données projet'!$B$166,DO18+DN19-DW18)))</f>
        <v>79</v>
      </c>
      <c r="DP19" s="17">
        <f>DO19*VLOOKUP('Données projet'!$B$14,Paramètres!$A$1:$I$89,3,0)*VLOOKUP('Données projet'!$B$14,Paramètres!$A$1:$I$89,5,0)</f>
        <v>51.760800000000003</v>
      </c>
      <c r="DQ19" s="13">
        <f t="shared" si="43"/>
        <v>15.067573922956367</v>
      </c>
      <c r="DR19" s="20">
        <f t="shared" si="16"/>
        <v>116.39275124914901</v>
      </c>
      <c r="DS19" s="59">
        <f t="shared" si="17"/>
        <v>409.72608458248231</v>
      </c>
      <c r="DT19" s="59">
        <f ca="1">AVERAGE(OFFSET($DS$3,0,0,'Données projet'!$E$14+1,1))-AVERAGE(OFFSET($H$3,0,0,'Données projet'!$E$14+1,1))</f>
        <v>188.68915783955595</v>
      </c>
      <c r="DU19" s="59">
        <f t="shared" si="44"/>
        <v>240.82467772396944</v>
      </c>
      <c r="DV19" s="15">
        <f>IF(ISNA(VLOOKUP(A19,'Données projet'!$A$165:$I$185,3,0)),0,VLOOKUP(A19,'Données projet'!$A$165:$I$185,3,0))</f>
        <v>0</v>
      </c>
      <c r="DW19" s="15">
        <f>IF(ISNA(VLOOKUP(A19,'Données projet'!$A$165:$I$185,4,0)),0,VLOOKUP(A19,'Données projet'!$A$165:$I$185,4,0))</f>
        <v>0</v>
      </c>
      <c r="DX19" s="16">
        <f>IF(ISNA(VLOOKUP(A19,'Données projet'!$A$165:$I$185,5,0)),0%,VLOOKUP(A19,'Données projet'!$A$165:$I$185,5,0)*VLOOKUP('Données projet'!$B$14,Paramètres!$A$1:$I$89,7,0))</f>
        <v>0</v>
      </c>
      <c r="DY19" s="16">
        <f>IF(ISNA(VLOOKUP(A19,'Données projet'!$A$165:$I$185,6,0)),0%,VLOOKUP(A19,'Données projet'!$A$165:$I$185,6,0)*VLOOKUP('Données projet'!$B$14,Paramètres!$A$1:$I$89,7,0))</f>
        <v>0</v>
      </c>
      <c r="DZ19" s="16">
        <f>IF(ISNA(VLOOKUP(A19,'Données projet'!$A$165:$I$185,7,0)),0%,VLOOKUP(A19,'Données projet'!$A$165:$I$185,7,0))</f>
        <v>0</v>
      </c>
      <c r="EA19" s="21">
        <f>EXP(-LN(2)/35)*EA18+(1-EXP(-LN(2)/35))/(LN(2)/35)*DW19*DX19*VLOOKUP('Données projet'!$B$14,Paramètres!$A$1:$I$89,3,0)*0.475*44/12</f>
        <v>0</v>
      </c>
      <c r="EB19" s="21">
        <f>EXP(-LN(2)/25)*EB18+(1-EXP(-LN(2)/25))/(LN(2)/25)*Calculateur!DW19*Calculateur!DY19*VLOOKUP('Données projet'!$B$14,Paramètres!$A$1:$I$89,3,0)*0.475*44/12</f>
        <v>0</v>
      </c>
      <c r="EC19" s="21">
        <f>EXP(-LN(2)/2)*EC18+(1-EXP(-LN(2)/2))/(LN(2)/2)*DW19*DZ19*VLOOKUP('Données projet'!$B$14,Paramètres!$A$1:$I$89,3,0)*0.475*44/12</f>
        <v>0</v>
      </c>
      <c r="ED19" s="22">
        <f t="shared" si="18"/>
        <v>0</v>
      </c>
      <c r="EE19" s="75">
        <f>('Scénario référence'!$F$8+'Scénario référence'!$F$9+'Scénario référence'!$B$17+'Scénario référence'!$B$9+'Scénario référence'!$B$10)*70+IF((45+25*(1-EXP(-0.0175*A19)))&lt;70,'Scénario référence'!$B$16*(45+25*(1-EXP(-0.0175*A19))),70*'Scénario référence'!$B$16)+IF((32+38*(1-EXP(-0.0175*A19)))&lt;70,'Scénario référence'!$B$18*(32+38*(1-EXP(-0.0175*A19))),70*'Scénario référence'!$B$18)</f>
        <v>70</v>
      </c>
      <c r="EF19" s="12">
        <f>IF(A19&gt;30,10,('Scénario référence'!$B$16+'Scénario référence'!$B$17+'Scénario référence'!$B$18+'Scénario référence'!$B$9+'Scénario référence'!$B$10)*A19*10/30+('Scénario référence'!$F$8+'Scénario référence'!$F$9)*10)</f>
        <v>10</v>
      </c>
      <c r="EG19" s="12" t="e">
        <f>VLOOKUP(A19,'Données projet'!$A$191:$I$211,2,0)</f>
        <v>#N/A</v>
      </c>
      <c r="EH19" s="12" t="e">
        <f>VLOOKUP(A19,'Données projet'!$A$191:$I$211,9,0)</f>
        <v>#N/A</v>
      </c>
      <c r="EI19" s="12">
        <f t="array" ref="EI19">INDEX(EH:EH,MIN(IF(ISNUMBER(EH19:EH215),ROW(EH19:EH215),"")))</f>
        <v>7.8</v>
      </c>
      <c r="EJ19" s="12">
        <f>IF('Données projet'!$A$192&gt;35,EJ18+EI19-ER18,IF(A19&lt;'Données projet'!$A$192,$EG$205^A19,IF(A19='Données projet'!$A$192,'Données projet'!$B$192,EJ18+EI19-ER18)))</f>
        <v>51.8</v>
      </c>
      <c r="EK19" s="17">
        <f>EJ19*VLOOKUP('Données projet'!$B$15,Paramètres!$A$1:$I$89,3,0)*VLOOKUP('Données projet'!$B$15,Paramètres!$A$1:$I$89,5,0)</f>
        <v>42.020160000000004</v>
      </c>
      <c r="EL19" s="13">
        <f t="shared" si="45"/>
        <v>12.532545503102456</v>
      </c>
      <c r="EM19" s="20">
        <f t="shared" si="19"/>
        <v>95.012628751236775</v>
      </c>
      <c r="EN19" s="59">
        <f t="shared" si="20"/>
        <v>388.34596208457009</v>
      </c>
      <c r="EO19" s="59">
        <f ca="1">AVERAGE(OFFSET($EN$3,0,0,'Données projet'!$E$15+1,1))-AVERAGE(OFFSET($H$3,0,0,'Données projet'!$E$15+1,1))</f>
        <v>205.5272583787887</v>
      </c>
      <c r="EP19" s="59">
        <f t="shared" si="46"/>
        <v>180.54762778843178</v>
      </c>
      <c r="EQ19" s="15">
        <f>IF(ISNA(VLOOKUP(A19,'Données projet'!$A$191:$I$211,3,0)),0,VLOOKUP(A19,'Données projet'!$A$191:$I$211,3,0))</f>
        <v>0</v>
      </c>
      <c r="ER19" s="15">
        <f>IF(ISNA(VLOOKUP(A19,'Données projet'!$A$191:$I$211,4,0)),0,VLOOKUP(A19,'Données projet'!$A$191:$I$211,4,0))</f>
        <v>0</v>
      </c>
      <c r="ES19" s="16">
        <f>IF(ISNA(VLOOKUP(A19,'Données projet'!$A$191:$I$211,5,0)),0%,VLOOKUP(A19,'Données projet'!$A$191:$I$211,5,0)*VLOOKUP('Données projet'!$B$15,Paramètres!$A$1:$I$89,7,0))</f>
        <v>0</v>
      </c>
      <c r="ET19" s="16">
        <f>IF(ISNA(VLOOKUP(A19,'Données projet'!$A$191:$I$211,6,0)),0%,VLOOKUP(A19,'Données projet'!$A$191:$I$211,6,0)*VLOOKUP('Données projet'!$B$15,Paramètres!$A$1:$I$89,7,0))</f>
        <v>0</v>
      </c>
      <c r="EU19" s="16">
        <f>IF(ISNA(VLOOKUP(A19,'Données projet'!$A$191:$I$211,7,0)),0%,VLOOKUP(A19,'Données projet'!$A$191:$I$211,7,0))</f>
        <v>0</v>
      </c>
      <c r="EV19" s="21">
        <f>EXP(-LN(2)/35)*EV18+(1-EXP(-LN(2)/35))/(LN(2)/35)*ER19*ES19*VLOOKUP('Données projet'!$B$15,Paramètres!$A$1:$I$89,3,0)*0.475*44/12</f>
        <v>0</v>
      </c>
      <c r="EW19" s="21">
        <f>EXP(-LN(2)/25)*EW18+(1-EXP(-LN(2)/25))/(LN(2)/25)*Calculateur!ER19*Calculateur!ET19*VLOOKUP('Données projet'!$B$15,Paramètres!$A$1:$I$89,3,0)*0.475*44/12</f>
        <v>0</v>
      </c>
      <c r="EX19" s="21">
        <f>EXP(-LN(2)/2)*EX18+(1-EXP(-LN(2)/2))/(LN(2)/2)*ER19*EU19*VLOOKUP('Données projet'!$B$15,Paramètres!$A$1:$I$89,3,0)*0.475*44/12</f>
        <v>0</v>
      </c>
      <c r="EY19" s="22">
        <f t="shared" si="21"/>
        <v>0</v>
      </c>
      <c r="EZ19" s="75">
        <f>('Scénario référence'!$F$8+'Scénario référence'!$F$9+'Scénario référence'!$B$17+'Scénario référence'!$B$9+'Scénario référence'!$B$10)*70+IF((45+25*(1-EXP(-0.0175*A19)))&lt;70,'Scénario référence'!$B$16*(45+25*(1-EXP(-0.0175*A19))),70*'Scénario référence'!$B$16)+IF((32+38*(1-EXP(-0.0175*A19)))&lt;70,'Scénario référence'!$B$18*(32+38*(1-EXP(-0.0175*A19))),70*'Scénario référence'!$B$18)</f>
        <v>70</v>
      </c>
      <c r="FA19" s="12">
        <f>IF(A19&gt;30,10,('Scénario référence'!$B$16+'Scénario référence'!$B$17+'Scénario référence'!$B$18+'Scénario référence'!$B$9+'Scénario référence'!$B$10)*A19*10/30+('Scénario référence'!$F$8+'Scénario référence'!$F$9)*10)</f>
        <v>10</v>
      </c>
      <c r="FB19" s="12" t="e">
        <f>VLOOKUP(A19,'Données projet'!$A$217:$I$237,2,0)</f>
        <v>#N/A</v>
      </c>
      <c r="FC19" s="12" t="e">
        <f>VLOOKUP(A19,'Données projet'!$A$217:$I$237,9,0)</f>
        <v>#N/A</v>
      </c>
      <c r="FD19" s="12">
        <f t="array" ref="FD19">INDEX(FC:FC,MIN(IF(ISNUMBER(FC19:FC215),ROW(FC19:FC215),"")))</f>
        <v>6.2</v>
      </c>
      <c r="FE19" s="12">
        <f>IF('Données projet'!$A$218&gt;35,FE18+FD19-FM18,IF(A19&lt;'Données projet'!$A$218,$FB$205^A19,IF(A19='Données projet'!$A$218,'Données projet'!$B$218,FE18+FD19-FM18)))</f>
        <v>32.200000000000003</v>
      </c>
      <c r="FF19" s="17">
        <f>FE19*VLOOKUP('Données projet'!$B$16,Paramètres!$A$1:$I$89,3,0)*VLOOKUP('Données projet'!$B$16,Paramètres!$A$1:$I$89,5,0)</f>
        <v>27.627600000000008</v>
      </c>
      <c r="FG19" s="13">
        <f t="shared" si="47"/>
        <v>8.6521269013861506</v>
      </c>
      <c r="FH19" s="20">
        <f t="shared" si="22"/>
        <v>63.187191019914216</v>
      </c>
      <c r="FI19" s="59">
        <f t="shared" si="23"/>
        <v>356.52052435324754</v>
      </c>
      <c r="FJ19" s="59">
        <f ca="1">AVERAGE(OFFSET($FI$3,0,0,'Données projet'!$E$16+1,1))-AVERAGE(OFFSET($H$3,0,0,'Données projet'!$E$16+1,1))</f>
        <v>383.97627237444709</v>
      </c>
      <c r="FK19" s="59">
        <f t="shared" si="48"/>
        <v>203.35476578922339</v>
      </c>
      <c r="FL19" s="15">
        <f>IF(ISNA(VLOOKUP(A19,'Données projet'!$A$217:$I$237,3,0)),0,VLOOKUP(A19,'Données projet'!$A$217:$I$237,3,0))</f>
        <v>0</v>
      </c>
      <c r="FM19" s="15">
        <f>IF(ISNA(VLOOKUP(A19,'Données projet'!$A$217:$I$237,4,0)),0,VLOOKUP(A19,'Données projet'!$A$217:$I$237,4,0))</f>
        <v>0</v>
      </c>
      <c r="FN19" s="16">
        <f>IF(ISNA(VLOOKUP(A19,'Données projet'!$A$217:$I$237,5,0)),0%,VLOOKUP(A19,'Données projet'!$A$217:$I$237,5,0)*VLOOKUP('Données projet'!$B$16,Paramètres!$A$1:$I$89,7,0))</f>
        <v>0</v>
      </c>
      <c r="FO19" s="16">
        <f>IF(ISNA(VLOOKUP(A19,'Données projet'!$A$217:$I$237,6,0)),0%,VLOOKUP(A19,'Données projet'!$A$217:$I$237,6,0)*VLOOKUP('Données projet'!$B$16,Paramètres!$A$1:$I$89,7,0))</f>
        <v>0</v>
      </c>
      <c r="FP19" s="16">
        <f>IF(ISNA(VLOOKUP(A19,'Données projet'!$A$217:$I$237,7,0)),0%,VLOOKUP(A19,'Données projet'!$A$217:$I$237,7,0))</f>
        <v>0</v>
      </c>
      <c r="FQ19" s="21">
        <f>EXP(-LN(2)/35)*FQ18+(1-EXP(-LN(2)/35))/(LN(2)/35)*FM19*FN19*VLOOKUP('Données projet'!$B$16,Paramètres!$A$1:$I$89,3,0)*0.475*44/12</f>
        <v>0</v>
      </c>
      <c r="FR19" s="21">
        <f>EXP(-LN(2)/25)*FR18+(1-EXP(-LN(2)/25))/(LN(2)/25)*Calculateur!FM19*Calculateur!FO19*VLOOKUP('Données projet'!$B$16,Paramètres!$A$1:$I$89,3,0)*0.475*44/12</f>
        <v>0</v>
      </c>
      <c r="FS19" s="21">
        <f>EXP(-LN(2)/2)*FS18+(1-EXP(-LN(2)/2))/(LN(2)/2)*FM19*FP19*VLOOKUP('Données projet'!$B$16,Paramètres!$A$1:$I$89,3,0)*0.475*44/12</f>
        <v>0</v>
      </c>
      <c r="FT19" s="22">
        <f t="shared" si="24"/>
        <v>0</v>
      </c>
      <c r="FU19" s="75">
        <f>('Scénario référence'!$F$8+'Scénario référence'!$F$9+'Scénario référence'!$B$17+'Scénario référence'!$B$9+'Scénario référence'!$B$10)*70+IF((45+25*(1-EXP(-0.0175*A19)))&lt;70,'Scénario référence'!$B$16*(45+25*(1-EXP(-0.0175*A19))),70*'Scénario référence'!$B$16)+IF((32+38*(1-EXP(-0.0175*A19)))&lt;70,'Scénario référence'!$B$18*(32+38*(1-EXP(-0.0175*A19))),70*'Scénario référence'!$B$18)</f>
        <v>70</v>
      </c>
      <c r="FV19" s="12">
        <f>IF(A19&gt;30,10,('Scénario référence'!$B$16+'Scénario référence'!$B$17+'Scénario référence'!$B$18+'Scénario référence'!$B$9+'Scénario référence'!$B$10)*A19*10/30+('Scénario référence'!$F$8+'Scénario référence'!$F$9)*10)</f>
        <v>10</v>
      </c>
      <c r="FW19" s="12" t="e">
        <f>VLOOKUP(A19,'Données projet'!$A$243:$I$263,2,0)</f>
        <v>#N/A</v>
      </c>
      <c r="FX19" s="12" t="e">
        <f>VLOOKUP(A19,'Données projet'!$A$243:$I$263,9,0)</f>
        <v>#N/A</v>
      </c>
      <c r="FY19" s="12">
        <f t="array" ref="FY19">INDEX(FX:FX,MIN(IF(ISNUMBER(FX19:FX215),ROW(FX19:FX215),"")))</f>
        <v>4.0628205128205126</v>
      </c>
      <c r="FZ19" s="12">
        <f>IF('Données projet'!$A$244&gt;35,FZ18+FY19-GH18,IF(A19&lt;'Données projet'!$A$244,$FW$205^A19,IF(A19='Données projet'!$A$244,'Données projet'!$B$244,FZ18+FY19-GH18)))</f>
        <v>12.957048229201293</v>
      </c>
      <c r="GA19" s="17">
        <f>FZ19*VLOOKUP('Données projet'!$B$17,Paramètres!$A$1:$I$89,3,0)*VLOOKUP('Données projet'!$B$17,Paramètres!$A$1:$I$89,5,0)</f>
        <v>13.946966713912271</v>
      </c>
      <c r="GB19" s="13">
        <f t="shared" si="49"/>
        <v>4.7294907967789648</v>
      </c>
      <c r="GC19" s="20">
        <f t="shared" si="25"/>
        <v>32.528163497787233</v>
      </c>
      <c r="GD19" s="59">
        <f t="shared" si="26"/>
        <v>325.86149683112058</v>
      </c>
      <c r="GE19" s="59">
        <f ca="1">AVERAGE(OFFSET($GD$3,0,0,'Données projet'!$E$17+1,1))-AVERAGE(OFFSET($H$3,0,0,'Données projet'!$E$17+1,1))</f>
        <v>286.77702855541287</v>
      </c>
      <c r="GF19" s="59">
        <f t="shared" si="50"/>
        <v>227.12211541860779</v>
      </c>
      <c r="GG19" s="15">
        <f>IF(ISNA(VLOOKUP(A19,'Données projet'!$A$243:$I$263,3,0)),0,VLOOKUP(A19,'Données projet'!$A$243:$I$263,3,0))</f>
        <v>0</v>
      </c>
      <c r="GH19" s="15">
        <f>IF(ISNA(VLOOKUP(A19,'Données projet'!$A$243:$I$263,4,0)),0,VLOOKUP(A19,'Données projet'!$A$243:$I$263,4,0))</f>
        <v>0</v>
      </c>
      <c r="GI19" s="16">
        <f>IF(ISNA(VLOOKUP(A19,'Données projet'!$A$243:$I$263,5,0)),0%,VLOOKUP(A19,'Données projet'!$A$243:$I$263,5,0)*VLOOKUP('Données projet'!$B$17,Paramètres!$A$1:$I$89,7,0))</f>
        <v>0</v>
      </c>
      <c r="GJ19" s="16">
        <f>IF(ISNA(VLOOKUP(A19,'Données projet'!$A$243:$I$263,6,0)),0%,VLOOKUP(A19,'Données projet'!$A$243:$I$263,6,0)*VLOOKUP('Données projet'!$B$17,Paramètres!$A$1:$I$89,7,0))</f>
        <v>0</v>
      </c>
      <c r="GK19" s="16">
        <f>IF(ISNA(VLOOKUP(A19,'Données projet'!$A$243:$I$263,7,0)),0%,VLOOKUP(A19,'Données projet'!$A$243:$I$263,7,0))</f>
        <v>0</v>
      </c>
      <c r="GL19" s="21">
        <f>EXP(-LN(2)/35)*GL18+(1-EXP(-LN(2)/35))/(LN(2)/35)*GH19*GI19*VLOOKUP('Données projet'!$B$17,Paramètres!$A$1:$I$89,3,0)*0.475*44/12</f>
        <v>0</v>
      </c>
      <c r="GM19" s="21">
        <f>EXP(-LN(2)/25)*GM18+(1-EXP(-LN(2)/25))/(LN(2)/25)*Calculateur!GH19*Calculateur!GJ19*VLOOKUP('Données projet'!$B$17,Paramètres!$A$1:$I$89,3,0)*0.475*44/12</f>
        <v>0</v>
      </c>
      <c r="GN19" s="21">
        <f>EXP(-LN(2)/2)*GN18+(1-EXP(-LN(2)/2))/(LN(2)/2)*GH19*GK19*VLOOKUP('Données projet'!$B$17,Paramètres!$A$1:$I$89,3,0)*0.475*44/12</f>
        <v>0</v>
      </c>
      <c r="GO19" s="21">
        <f t="shared" si="27"/>
        <v>0</v>
      </c>
      <c r="GP19" s="75">
        <f>('Scénario référence'!$F$8+'Scénario référence'!$F$9+'Scénario référence'!$B$17+'Scénario référence'!$B$9+'Scénario référence'!$B$10)*70+IF((45+25*(1-EXP(-0.0175*A19)))&lt;70,'Scénario référence'!$B$16*(45+25*(1-EXP(-0.0175*A19))),70*'Scénario référence'!$B$16)+IF((32+38*(1-EXP(-0.0175*A19)))&lt;70,'Scénario référence'!$B$18*(32+38*(1-EXP(-0.0175*A19))),70*'Scénario référence'!$B$18)</f>
        <v>70</v>
      </c>
      <c r="GQ19" s="12">
        <f>IF(A19&gt;30,10,('Scénario référence'!$B$16+'Scénario référence'!$B$17+'Scénario référence'!$B$18+'Scénario référence'!$B$9+'Scénario référence'!$B$10)*A19*10/30+('Scénario référence'!$F$8+'Scénario référence'!$F$9)*10)</f>
        <v>10</v>
      </c>
      <c r="GR19" s="12" t="e">
        <f>VLOOKUP(A19,'Données projet'!$A$269:$I$289,2,0)</f>
        <v>#N/A</v>
      </c>
      <c r="GS19" s="12" t="e">
        <f>VLOOKUP(A19,'Données projet'!$A$269:$I$289,9,0)</f>
        <v>#N/A</v>
      </c>
      <c r="GT19" s="12">
        <f t="array" ref="GT19">INDEX(GS:GS,MIN(IF(ISNUMBER(GS19:GS215),ROW(GS19:GS215),"")))</f>
        <v>4.0628205128205126</v>
      </c>
      <c r="GU19" s="12">
        <f>IF('Données projet'!$A$270&gt;35,GU18+GT19-HC18,IF(A19&lt;'Données projet'!$A$270,$GR$205^A19,IF(A19='Données projet'!$A$270,'Données projet'!$B$270,GU18+GT19-HC18)))</f>
        <v>12.957048229201293</v>
      </c>
      <c r="GV19" s="17">
        <f>GU19*VLOOKUP('Données projet'!$B$18,Paramètres!$A$1:$I$89,3,0)*VLOOKUP('Données projet'!$B$18,Paramètres!$A$1:$I$89,5,0)</f>
        <v>13.946966713912271</v>
      </c>
      <c r="GW19" s="13">
        <f t="shared" si="51"/>
        <v>4.7294907967789648</v>
      </c>
      <c r="GX19" s="20">
        <f t="shared" si="28"/>
        <v>32.528163497787233</v>
      </c>
      <c r="GY19" s="59">
        <f t="shared" si="29"/>
        <v>325.86149683112058</v>
      </c>
      <c r="GZ19" s="59">
        <f ca="1">AVERAGE(OFFSET($GY$3,0,0,'Données projet'!$E$18+1,1))-AVERAGE(OFFSET($H$3,0,0,'Données projet'!$E$18+1,1))</f>
        <v>286.77702855541287</v>
      </c>
      <c r="HA19" s="59">
        <f t="shared" si="52"/>
        <v>227.12211541860779</v>
      </c>
      <c r="HB19" s="15">
        <f>IF(ISNA(VLOOKUP(A19,'Données projet'!$A$269:$I$289,3,0)),0,VLOOKUP(A19,'Données projet'!$A$269:$I$289,3,0))</f>
        <v>0</v>
      </c>
      <c r="HC19" s="15">
        <f>IF(ISNA(VLOOKUP(A19,'Données projet'!$A$269:$I$289,4,0)),0,VLOOKUP(A19,'Données projet'!$A$269:$I$289,4,0))</f>
        <v>0</v>
      </c>
      <c r="HD19" s="16">
        <f>IF(ISNA(VLOOKUP(A19,'Données projet'!$A$269:$I$289,5,0)),0%,VLOOKUP(A19,'Données projet'!$A$269:$I$289,5,0)*VLOOKUP('Données projet'!$B$18,Paramètres!$A$1:$I$89,7,0))</f>
        <v>0</v>
      </c>
      <c r="HE19" s="16">
        <f>IF(ISNA(VLOOKUP(A19,'Données projet'!$A$269:$I$289,6,0)),0%,VLOOKUP(A19,'Données projet'!$A$269:$I$289,6,0)*VLOOKUP('Données projet'!$B$18,Paramètres!$A$1:$I$89,7,0))</f>
        <v>0</v>
      </c>
      <c r="HF19" s="16">
        <f>IF(ISNA(VLOOKUP(A19,'Données projet'!$A$269:$I$289,7,0)),0%,VLOOKUP(A19,'Données projet'!$A$269:$I$289,7,0))</f>
        <v>0</v>
      </c>
      <c r="HG19" s="21">
        <f>EXP(-LN(2)/35)*HG18+(1-EXP(-LN(2)/35))/(LN(2)/35)*HC19*HD19*VLOOKUP('Données projet'!$B$18,Paramètres!$A$1:$I$89,3,0)*0.475*44/12</f>
        <v>0</v>
      </c>
      <c r="HH19" s="21">
        <f>EXP(-LN(2)/25)*HH18+(1-EXP(-LN(2)/25))/(LN(2)/25)*Calculateur!HC19*Calculateur!HE19*VLOOKUP('Données projet'!$B$18,Paramètres!$A$1:$I$89,3,0)*0.475*44/12</f>
        <v>0</v>
      </c>
      <c r="HI19" s="21">
        <f>EXP(-LN(2)/2)*HI18+(1-EXP(-LN(2)/2))/(LN(2)/2)*HC19*HF19*VLOOKUP('Données projet'!$B$18,Paramètres!$A$1:$I$89,3,0)*0.475*44/12</f>
        <v>0</v>
      </c>
      <c r="HJ19" s="22">
        <f t="shared" si="30"/>
        <v>0</v>
      </c>
    </row>
    <row r="20" spans="1:218" x14ac:dyDescent="0.25">
      <c r="A20" s="10">
        <f t="shared" si="31"/>
        <v>17</v>
      </c>
      <c r="B20" s="73">
        <f>'Scénario référence'!$B$16*5+'Scénario référence'!$B$17*0+'Scénario référence'!$B$18*5</f>
        <v>0</v>
      </c>
      <c r="C20" s="19">
        <f>Calculateur!C19+'Scénario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15.116400000000004</v>
      </c>
      <c r="D20" s="11">
        <f t="shared" si="32"/>
        <v>5.0782333044806931</v>
      </c>
      <c r="E2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0" s="11">
        <f>IF(OR('Scénario référence'!$F$8&gt;0,'Scénario référence'!$F$9&gt;0),('Scénario référence'!$F$8+'Scénario référence'!$F$9)*10,0)</f>
        <v>10</v>
      </c>
      <c r="G20" s="11">
        <f>'Scénario référence'!$B$8*B20*44/12+'Scénario référence'!$B$9*(C20+D20)/0.475*44/12+'Scénario référence'!$B$10*(C20+D20)/0.475*44/12+'Scénario référence'!$F$8*(C20+D20)/0.475*44/12+'Scénario référence'!$F$9*(C20+D20)/0.475*44/12</f>
        <v>155.8883974380966</v>
      </c>
      <c r="H20" s="67">
        <f t="shared" si="1"/>
        <v>328.50565300530388</v>
      </c>
      <c r="I20" s="70">
        <f>('Scénario référence'!$F$8+'Scénario référence'!$F$9+'Scénario référence'!$B$17+'Scénario référence'!$B$9+'Scénario référence'!$B$10)*70+IF((45+25*(1-EXP(-0.0175*A20)))&lt;70,'Scénario référence'!$B$16*(45+25*(1-EXP(-0.0175*A20))),70*'Scénario référence'!$B$16)+IF((32+38*(1-EXP(-0.0175*A20)))&lt;70,'Scénario référence'!$B$18*(32+38*(1-EXP(-0.0175*A20))),70*'Scénario référence'!$B$18)</f>
        <v>70</v>
      </c>
      <c r="J20" s="13">
        <f>IF(A20&gt;30,10,('Scénario référence'!$B$16+'Scénario référence'!$B$17+'Scénario référence'!$B$18+'Scénario référence'!$B$9+'Scénario référence'!$B$10)*A20*10/30+('Scénario référence'!$F$8+'Scénario référence'!$F$9)*10)</f>
        <v>10</v>
      </c>
      <c r="K20" s="12">
        <f>VLOOKUP(A20,'Données projet'!$A$35:$I$55,2,0)</f>
        <v>159.74615384615385</v>
      </c>
      <c r="L20" s="12">
        <f>VLOOKUP(A20,'Données projet'!$A$35:$I$55,9,0)</f>
        <v>9.3968325791855207</v>
      </c>
      <c r="M20" s="12">
        <f t="array" ref="M20">INDEX(L:L,MIN(IF(ISNUMBER(L20:L216),ROW(L20:L216),"")))</f>
        <v>9.3968325791855207</v>
      </c>
      <c r="N20" s="13">
        <f>IF('Données projet'!$A$36&gt;35,N19+M20-V19,IF(A20&lt;'Données projet'!$A$36,$K$205^A20,IF(A20='Données projet'!$A$36,'Données projet'!$B$36,N19+M20-V19)))</f>
        <v>159.74615384615385</v>
      </c>
      <c r="O20" s="13">
        <f>N20*VLOOKUP('Données projet'!$B$9,Paramètres!$A$1:$I$89,3,0)*VLOOKUP('Données projet'!$B$9,Paramètres!$A$1:$I$89,5,0)</f>
        <v>89.298100000000005</v>
      </c>
      <c r="P20" s="13">
        <f t="shared" si="33"/>
        <v>24.395866555677571</v>
      </c>
      <c r="Q20" s="20">
        <f t="shared" si="2"/>
        <v>198.01699175113845</v>
      </c>
      <c r="R20" s="59">
        <f t="shared" si="0"/>
        <v>491.35032508447176</v>
      </c>
      <c r="S20" s="59">
        <f ca="1">AVERAGE(OFFSET($R$3,0,0,'Données projet'!$E$9+1,1))-AVERAGE(OFFSET($H$3,0,0,'Données projet'!$E$9+1,1))</f>
        <v>255.5374979188561</v>
      </c>
      <c r="T20" s="59">
        <f t="shared" si="34"/>
        <v>343.10418468620901</v>
      </c>
      <c r="U20" s="15">
        <f>IF(ISNA(VLOOKUP(A20,'Données projet'!$A$35:$I$55,3,0)),0,VLOOKUP(A20,'Données projet'!$A$35:$I$55,3,0))</f>
        <v>0</v>
      </c>
      <c r="V20" s="15">
        <f>IF(ISNA(VLOOKUP(A20,'Données projet'!$A$35:$I$55,4,0)),0,VLOOKUP(A20,'Données projet'!$A$35:$I$55,4,0))</f>
        <v>0</v>
      </c>
      <c r="W20" s="16">
        <f>IF(ISNA(VLOOKUP(A20,'Données projet'!$A$35:$I$55,5,0)),0%,VLOOKUP(A20,'Données projet'!$A$35:$I$55,5,0)*VLOOKUP('Données projet'!$B$9,Paramètres!$A$1:$I$89,7,0))</f>
        <v>0</v>
      </c>
      <c r="X20" s="16">
        <f>IF(ISNA(VLOOKUP(A20,'Données projet'!$A$35:$I$55,6,0)),0%,VLOOKUP(A20,'Données projet'!$A$35:$I$55,6,0)*VLOOKUP('Données projet'!$B$9,Paramètres!$A$1:$I$89,7,0))</f>
        <v>0</v>
      </c>
      <c r="Y20" s="16">
        <f>IF(ISNA(VLOOKUP(A20,'Données projet'!$A$35:$I$55,7,0)),0%,VLOOKUP(A20,'Données projet'!$A$35:$I$55,7,0))</f>
        <v>0</v>
      </c>
      <c r="Z20" s="21">
        <f>EXP(-LN(2)/35)*Z19+(1-EXP(-LN(2)/35))/(LN(2)/35)*V20*W20*VLOOKUP('Données projet'!$B$9,Paramètres!$A$1:$I$89,3,0)*0.475*44/12</f>
        <v>0</v>
      </c>
      <c r="AA20" s="21">
        <f>EXP(-LN(2)/25)*AA19+(1-EXP(-LN(2)/25))/(LN(2)/25)*Calculateur!V20*Calculateur!X20*VLOOKUP('Données projet'!$B$9,Paramètres!$A$1:$I$89,3,0)*0.475*44/12</f>
        <v>0</v>
      </c>
      <c r="AB20" s="21">
        <f>EXP(-LN(2)/2)*AB19+(1-EXP(-LN(2)/2))/(LN(2)/2)*V20*Y20*VLOOKUP('Données projet'!$B$9,Paramètres!$A$1:$I$89,3,0)*0.475*44/12</f>
        <v>0</v>
      </c>
      <c r="AC20" s="22">
        <f t="shared" si="3"/>
        <v>0</v>
      </c>
      <c r="AD20" s="13">
        <f>('Scénario référence'!$F$8+'Scénario référence'!$F$9+'Scénario référence'!$B$17+'Scénario référence'!$B$9+'Scénario référence'!$B$10)*70+IF((45+25*(1-EXP(-0.0175*A20)))&lt;70,'Scénario référence'!$B$16*(45+25*(1-EXP(-0.0175*A20))),70*'Scénario référence'!$B$16)+IF((32+38*(1-EXP(-0.0175*A20)))&lt;70,'Scénario référence'!$B$18*(32+38*(1-EXP(-0.0175*A20))),70*'Scénario référence'!$B$18)</f>
        <v>70</v>
      </c>
      <c r="AE20" s="13">
        <f>IF(A20&gt;30,10,('Scénario référence'!$B$16+'Scénario référence'!$B$17+'Scénario référence'!$B$18+'Scénario référence'!$B$9+'Scénario référence'!$B$10)*A20*10/30+('Scénario référence'!$F$8+'Scénario référence'!$F$9)*10)</f>
        <v>10</v>
      </c>
      <c r="AF20" s="12" t="e">
        <f>VLOOKUP(A20,'Données projet'!$A$61:$I$81,2,0)</f>
        <v>#N/A</v>
      </c>
      <c r="AG20" s="12" t="e">
        <f>VLOOKUP(A20,'Données projet'!$A$61:$I$81,9,0)</f>
        <v>#N/A</v>
      </c>
      <c r="AH20" s="12">
        <f t="array" ref="AH20">INDEX(AG:AG,MIN(IF(ISNUMBER(AG20:AG216),ROW(AG20:AG216),"")))</f>
        <v>13.2</v>
      </c>
      <c r="AI20" s="13">
        <f>IF('Données projet'!$A$62&gt;35,AI19+AH20-AQ19,IF(A20&lt;'Données projet'!$A$62,$AF$205^A20,IF(A20='Données projet'!$A$62,'Données projet'!$B$62,AI19+AH20-AQ19)))</f>
        <v>118.40000000000002</v>
      </c>
      <c r="AJ20" s="13">
        <f>AI20*VLOOKUP('Données projet'!$B$10,Paramètres!$A$1:$I$89,3,0)*VLOOKUP('Données projet'!$B$10,Paramètres!$A$1:$I$89,5,0)</f>
        <v>73.881600000000006</v>
      </c>
      <c r="AK20" s="13">
        <f t="shared" si="35"/>
        <v>20.634347138217649</v>
      </c>
      <c r="AL20" s="20">
        <f t="shared" si="4"/>
        <v>164.61527459906242</v>
      </c>
      <c r="AM20" s="59">
        <f t="shared" si="5"/>
        <v>457.9486079323957</v>
      </c>
      <c r="AN20" s="59">
        <f ca="1">AVERAGE(OFFSET($AM$3,0,0,'Données projet'!$E$10+1,1))-AVERAGE(OFFSET($H$3,0,0,'Données projet'!$E$10+1,1))</f>
        <v>261.78489480911571</v>
      </c>
      <c r="AO20" s="59">
        <f t="shared" si="36"/>
        <v>297.50513563712764</v>
      </c>
      <c r="AP20" s="15">
        <f>IF(ISNA(VLOOKUP(A20,'Données projet'!$A$61:$I$81,3,0)),0,VLOOKUP(A20,'Données projet'!$A$61:$I$81,3,0))</f>
        <v>0</v>
      </c>
      <c r="AQ20" s="15">
        <f>IF(ISNA(VLOOKUP(A20,'Données projet'!$A$61:$I$81,4,0)),0,VLOOKUP(A20,'Données projet'!$A$61:$I$81,4,0))</f>
        <v>0</v>
      </c>
      <c r="AR20" s="16">
        <f>IF(ISNA(VLOOKUP(A20,'Données projet'!$A$61:$I$81,5,0)),0%,VLOOKUP(A20,'Données projet'!$A$61:$I$81,5,0)*VLOOKUP('Données projet'!$B$10,Paramètres!$A$1:$I$89,7,0))</f>
        <v>0</v>
      </c>
      <c r="AS20" s="16">
        <f>IF(ISNA(VLOOKUP(A20,'Données projet'!$A$61:$I$81,6,0)),0%,VLOOKUP(A20,'Données projet'!$A$61:$I$81,6,0)*VLOOKUP('Données projet'!$B$10,Paramètres!$A$1:$I$89,7,0))</f>
        <v>0</v>
      </c>
      <c r="AT20" s="16">
        <f>IF(ISNA(VLOOKUP(A20,'Données projet'!$A$61:$I$81,7,0)),0%,VLOOKUP(A20,'Données projet'!$A$61:$I$81,7,0))</f>
        <v>0</v>
      </c>
      <c r="AU20" s="21">
        <f>EXP(-LN(2)/35)*AU19+(1-EXP(-LN(2)/35))/(LN(2)/35)*AQ20*AR20*VLOOKUP('Données projet'!$B$10,Paramètres!$A$1:$I$89,3,0)*0.475*44/12</f>
        <v>0</v>
      </c>
      <c r="AV20" s="21">
        <f>EXP(-LN(2)/25)*AV19+(1-EXP(-LN(2)/25))/(LN(2)/25)*Calculateur!AQ20*Calculateur!AS20*VLOOKUP('Données projet'!$B$10,Paramètres!$A$1:$I$89,3,0)*0.475*44/12</f>
        <v>0</v>
      </c>
      <c r="AW20" s="21">
        <f>EXP(-LN(2)/2)*AW19+(1-EXP(-LN(2)/2))/(LN(2)/2)*AQ20*AT20*VLOOKUP('Données projet'!$B$10,Paramètres!$A$1:$I$89,3,0)*0.475*44/12</f>
        <v>0</v>
      </c>
      <c r="AX20" s="21">
        <f t="shared" si="6"/>
        <v>0</v>
      </c>
      <c r="AY20" s="74">
        <f>('Scénario référence'!$F$8+'Scénario référence'!$F$9+'Scénario référence'!$B$17+'Scénario référence'!$B$9+'Scénario référence'!$B$10)*70+IF((45+25*(1-EXP(-0.0175*A20)))&lt;70,'Scénario référence'!$B$16*(45+25*(1-EXP(-0.0175*A20))),70*'Scénario référence'!$B$16)+IF((32+38*(1-EXP(-0.0175*A20)))&lt;70,'Scénario référence'!$B$18*(32+38*(1-EXP(-0.0175*A20))),70*'Scénario référence'!$B$18)</f>
        <v>70</v>
      </c>
      <c r="AZ20" s="12">
        <f>IF(A20&gt;30,10,('Scénario référence'!$B$16+'Scénario référence'!$B$17+'Scénario référence'!$B$18+'Scénario référence'!$B$9+'Scénario référence'!$B$10)*A20*10/30+('Scénario référence'!$F$8+'Scénario référence'!$F$9)*10)</f>
        <v>10</v>
      </c>
      <c r="BA20" s="12" t="e">
        <f>VLOOKUP(A20,'Données projet'!$A$87:$I$107,2,0)</f>
        <v>#N/A</v>
      </c>
      <c r="BB20" s="12" t="e">
        <f>VLOOKUP(A20,'Données projet'!$A$87:$I$107,9,0)</f>
        <v>#N/A</v>
      </c>
      <c r="BC20" s="12">
        <f t="array" ref="BC20">INDEX(BB:BB,MIN(IF(ISNUMBER(BB20:BB216),ROW(BB20:BB216),"")))</f>
        <v>5.3</v>
      </c>
      <c r="BD20" s="12">
        <f>IF('Données projet'!$A$88&gt;35,BD19+BC20-BL19,IF(A20&lt;'Données projet'!$A$88,$BA$205^A20,IF(A20='Données projet'!$A$88,'Données projet'!$B$88,BD19+BC20-BL19)))</f>
        <v>52.663532336786751</v>
      </c>
      <c r="BE20" s="13">
        <f>BD20*VLOOKUP('Données projet'!$B$11,Paramètres!$A$1:$I$89,3,0)*VLOOKUP('Données projet'!$B$11,Paramètres!$A$1:$I$89,5,0)</f>
        <v>31.49279233739848</v>
      </c>
      <c r="BF20" s="13">
        <f t="shared" si="37"/>
        <v>9.7134040428402315</v>
      </c>
      <c r="BG20" s="20">
        <f t="shared" si="7"/>
        <v>71.76745869558242</v>
      </c>
      <c r="BH20" s="59">
        <f t="shared" si="8"/>
        <v>365.10079202891575</v>
      </c>
      <c r="BI20" s="59">
        <f ca="1">AVERAGE(OFFSET($BH$3,0,0,'Données projet'!$E$11+1,1))-AVERAGE(OFFSET($H$3,0,0,'Données projet'!$E$11+1,1))</f>
        <v>316.58509520829671</v>
      </c>
      <c r="BJ20" s="59">
        <f t="shared" si="38"/>
        <v>240.71332110643596</v>
      </c>
      <c r="BK20" s="15">
        <f>IF(ISNA(VLOOKUP(A20,'Données projet'!$A$87:$I$107,3,0)),0,VLOOKUP(A20,'Données projet'!$A$87:$I$107,3,0))</f>
        <v>0</v>
      </c>
      <c r="BL20" s="15">
        <f>IF(ISNA(VLOOKUP(A20,'Données projet'!$A$87:$I$107,4,0)),0,VLOOKUP(A20,'Données projet'!$A$87:$I$107,4,0))</f>
        <v>0</v>
      </c>
      <c r="BM20" s="16">
        <f>IF(ISNA(VLOOKUP(A20,'Données projet'!$A$87:$I$107,5,0)),0%,VLOOKUP(A20,'Données projet'!$A$87:$I$107,5,0)*VLOOKUP('Données projet'!$B$11,Paramètres!$A$1:$I$89,7,0))</f>
        <v>0</v>
      </c>
      <c r="BN20" s="16">
        <f>IF(ISNA(VLOOKUP(A20,'Données projet'!$A$87:$I$107,6,0)),0%,VLOOKUP(A20,'Données projet'!$A$87:$I$107,6,0)*VLOOKUP('Données projet'!$B$11,Paramètres!$A$1:$I$89,7,0))</f>
        <v>0</v>
      </c>
      <c r="BO20" s="16">
        <f>IF(ISNA(VLOOKUP(A20,'Données projet'!$A$87:$I$107,7,0)),0%,VLOOKUP(A20,'Données projet'!$A$87:$I$107,7,0))</f>
        <v>0</v>
      </c>
      <c r="BP20" s="21">
        <f>EXP(-LN(2)/35)*BP19+(1-EXP(-LN(2)/35))/(LN(2)/35)*BL20*BM20*VLOOKUP('Données projet'!$B$11,Paramètres!$A$1:$I$89,3,0)*0.475*44/12</f>
        <v>0</v>
      </c>
      <c r="BQ20" s="21">
        <f>EXP(-LN(2)/25)*BQ19+(1-EXP(-LN(2)/25))/(LN(2)/25)*Calculateur!BL20*Calculateur!BN20*VLOOKUP('Données projet'!$B$11,Paramètres!$A$1:$I$89,3,0)*0.475*44/12</f>
        <v>0</v>
      </c>
      <c r="BR20" s="21">
        <f>EXP(-LN(2)/2)*BR19+(1-EXP(-LN(2)/2))/(LN(2)/2)*BL20*BO20*VLOOKUP('Données projet'!$B$11,Paramètres!$A$1:$I$89,3,0)*0.475*44/12</f>
        <v>0</v>
      </c>
      <c r="BS20" s="22">
        <f t="shared" si="9"/>
        <v>0</v>
      </c>
      <c r="BT20" s="75">
        <f>('Scénario référence'!$F$8+'Scénario référence'!$F$9+'Scénario référence'!$B$17+'Scénario référence'!$B$9+'Scénario référence'!$B$10)*70+IF((45+25*(1-EXP(-0.0175*A20)))&lt;70,'Scénario référence'!$B$16*(45+25*(1-EXP(-0.0175*A20))),70*'Scénario référence'!$B$16)+IF((32+38*(1-EXP(-0.0175*A20)))&lt;70,'Scénario référence'!$B$18*(32+38*(1-EXP(-0.0175*A20))),70*'Scénario référence'!$B$18)</f>
        <v>70</v>
      </c>
      <c r="BU20" s="12">
        <f>IF(A20&gt;30,10,('Scénario référence'!$B$16+'Scénario référence'!$B$17+'Scénario référence'!$B$18+'Scénario référence'!$B$9+'Scénario référence'!$B$10)*A20*10/30+('Scénario référence'!$F$8+'Scénario référence'!$F$9)*10)</f>
        <v>10</v>
      </c>
      <c r="BV20" s="12" t="e">
        <f>VLOOKUP(A20,'Données projet'!$A$113:$I$133,2,0)</f>
        <v>#N/A</v>
      </c>
      <c r="BW20" s="12" t="e">
        <f>VLOOKUP(A20,'Données projet'!$A$113:$I$133,9,0)</f>
        <v>#N/A</v>
      </c>
      <c r="BX20" s="12">
        <f t="array" ref="BX20">INDEX(BW:BW,MIN(IF(ISNUMBER(BW20:BW216),ROW(BW20:BW216),"")))</f>
        <v>11.6</v>
      </c>
      <c r="BY20" s="12">
        <f>IF('Données projet'!$A$114&gt;35,BY19+BX20-CG19,IF(A20&lt;'Données projet'!$A$114,$BV$205^A20,IF(A20='Données projet'!$A$114,'Données projet'!$B$114,BY19+BX20-CG19)))</f>
        <v>71.2</v>
      </c>
      <c r="BZ20" s="13">
        <f>BY20*VLOOKUP('Données projet'!$B$12,Paramètres!$A$1:$I$89,3,0)*VLOOKUP('Données projet'!$B$12,Paramètres!$A$1:$I$89,5,0)</f>
        <v>40.726400000000005</v>
      </c>
      <c r="CA20" s="13">
        <f t="shared" si="39"/>
        <v>12.190977179025843</v>
      </c>
      <c r="CB20" s="20">
        <f t="shared" si="10"/>
        <v>92.164431920136678</v>
      </c>
      <c r="CC20" s="59">
        <f t="shared" si="11"/>
        <v>385.49776525346999</v>
      </c>
      <c r="CD20" s="59">
        <f ca="1">AVERAGE(OFFSET($CC$3,0,0,'Données projet'!$E$12+1,1))-AVERAGE(OFFSET($H$3,0,0,'Données projet'!$E$12+1,1))</f>
        <v>188.64374818906128</v>
      </c>
      <c r="CE20" s="59">
        <f t="shared" si="40"/>
        <v>211.95157880548652</v>
      </c>
      <c r="CF20" s="15">
        <f>IF(ISNA(VLOOKUP(A20,'Données projet'!$A$113:$I$133,3,0)),0,VLOOKUP(A20,'Données projet'!$A$113:$I$133,3,0))</f>
        <v>0</v>
      </c>
      <c r="CG20" s="15">
        <f>IF(ISNA(VLOOKUP(A20,'Données projet'!$A$113:$I$133,4,0)),0,VLOOKUP(A20,'Données projet'!$A$113:$I$133,4,0))</f>
        <v>0</v>
      </c>
      <c r="CH20" s="16">
        <f>IF(ISNA(VLOOKUP(A20,'Données projet'!$A$113:$I$133,5,0)),0%,VLOOKUP(A20,'Données projet'!$A$113:$I$133,5,0)*VLOOKUP('Données projet'!$B$12,Paramètres!$A$1:$I$89,7,0))</f>
        <v>0</v>
      </c>
      <c r="CI20" s="16">
        <f>IF(ISNA(VLOOKUP(A20,'Données projet'!$A$113:$I$133,6,0)),0%,VLOOKUP(A20,'Données projet'!$A$113:$I$133,6,0)*VLOOKUP('Données projet'!$B$12,Paramètres!$A$1:$I$89,7,0))</f>
        <v>0</v>
      </c>
      <c r="CJ20" s="16">
        <f>IF(ISNA(VLOOKUP(A20,'Données projet'!$A$113:$I$133,7,0)),0%,VLOOKUP(A20,'Données projet'!$A$113:$I$133,7,0))</f>
        <v>0</v>
      </c>
      <c r="CK20" s="21">
        <f>EXP(-LN(2)/35)*CK19+(1-EXP(-LN(2)/35))/(LN(2)/35)*CG20*CH20*VLOOKUP('Données projet'!$B$12,Paramètres!$A$1:$I$89,3,0)*0.475*44/12</f>
        <v>0</v>
      </c>
      <c r="CL20" s="21">
        <f>EXP(-LN(2)/25)*CL19+(1-EXP(-LN(2)/25))/(LN(2)/25)*Calculateur!CG20*Calculateur!CI20*VLOOKUP('Données projet'!$B$12,Paramètres!$A$1:$I$89,3,0)*0.475*44/12</f>
        <v>0</v>
      </c>
      <c r="CM20" s="21">
        <f>EXP(-LN(2)/2)*CM19+(1-EXP(-LN(2)/2))/(LN(2)/2)*CG20*CJ20*VLOOKUP('Données projet'!$B$12,Paramètres!$A$1:$I$89,3,0)*0.475*44/12</f>
        <v>0</v>
      </c>
      <c r="CN20" s="22">
        <f t="shared" si="12"/>
        <v>0</v>
      </c>
      <c r="CO20" s="75">
        <f>('Scénario référence'!$F$8+'Scénario référence'!$F$9+'Scénario référence'!$B$17+'Scénario référence'!$B$9+'Scénario référence'!$B$10)*70+IF((45+25*(1-EXP(-0.0175*A20)))&lt;70,'Scénario référence'!$B$16*(45+25*(1-EXP(-0.0175*A20))),70*'Scénario référence'!$B$16)+IF((32+38*(1-EXP(-0.0175*A20)))&lt;70,'Scénario référence'!$B$18*(32+38*(1-EXP(-0.0175*A20))),70*'Scénario référence'!$B$18)</f>
        <v>70</v>
      </c>
      <c r="CP20" s="12">
        <f>IF(A20&gt;30,10,('Scénario référence'!$B$16+'Scénario référence'!$B$17+'Scénario référence'!$B$18+'Scénario référence'!$B$9+'Scénario référence'!$B$10)*A20*10/30+('Scénario référence'!$F$8+'Scénario référence'!$F$9)*10)</f>
        <v>10</v>
      </c>
      <c r="CQ20" s="12" t="e">
        <f>VLOOKUP(A20,'Données projet'!$A$139:$I$159,2,0)</f>
        <v>#N/A</v>
      </c>
      <c r="CR20" s="12" t="e">
        <f>VLOOKUP(A20,'Données projet'!$A$139:$I$159,9,0)</f>
        <v>#N/A</v>
      </c>
      <c r="CS20" s="12">
        <f t="array" ref="CS20">INDEX(CR:CR,MIN(IF(ISNUMBER(CR20:CR216),ROW(CR20:CR216),"")))</f>
        <v>0</v>
      </c>
      <c r="CT20" s="12">
        <f>IF('Données projet'!$A$140&gt;35,CT19+CS20-DB19,IF(A20&lt;'Données projet'!$A$140,$CQ$205^A20,IF(A20='Données projet'!$A$140,'Données projet'!$B$140,CT19+CS20-DB19)))</f>
        <v>0</v>
      </c>
      <c r="CU20" s="17" t="e">
        <f>CT20*VLOOKUP('Données projet'!$B$13,Paramètres!$A$1:$I$89,3,0)*VLOOKUP('Données projet'!$B$13,Paramètres!$A$1:$I$89,5,0)</f>
        <v>#N/A</v>
      </c>
      <c r="CV20" s="13" t="e">
        <f t="shared" si="41"/>
        <v>#N/A</v>
      </c>
      <c r="CW20" s="20" t="e">
        <f t="shared" si="13"/>
        <v>#N/A</v>
      </c>
      <c r="CX20" s="59" t="e">
        <f t="shared" si="14"/>
        <v>#N/A</v>
      </c>
      <c r="CY20" s="59" t="e">
        <f ca="1">AVERAGE(OFFSET($CX$3,0,0,'Données projet'!$E$13+1,1))-AVERAGE(OFFSET($H$3,0,0,'Données projet'!$E$13+1,1))</f>
        <v>#N/A</v>
      </c>
      <c r="CZ20" s="59" t="e">
        <f t="shared" si="42"/>
        <v>#N/A</v>
      </c>
      <c r="DA20" s="15">
        <f>IF(ISNA(VLOOKUP(A20,'Données projet'!$A$139:$I$159,3,0)),0,VLOOKUP(A20,'Données projet'!$A$139:$I$159,3,0))</f>
        <v>0</v>
      </c>
      <c r="DB20" s="15">
        <f>IF(ISNA(VLOOKUP(A20,'Données projet'!$A$139:$I$159,4,0)),0,VLOOKUP(A20,'Données projet'!$A$139:$I$159,4,0))</f>
        <v>0</v>
      </c>
      <c r="DC20" s="16">
        <f>IF(ISNA(VLOOKUP(A20,'Données projet'!$A$139:$I$159,5,0)),0%,VLOOKUP(A20,'Données projet'!$A$139:$I$159,5,0)*VLOOKUP('Données projet'!$B$13,Paramètres!$A$1:$I$89,7,0))</f>
        <v>0</v>
      </c>
      <c r="DD20" s="16">
        <f>IF(ISNA(VLOOKUP(A20,'Données projet'!$A$139:$I$159,6,0)),0%,VLOOKUP(A20,'Données projet'!$A$139:$I$159,6,0)*VLOOKUP('Données projet'!$B$13,Paramètres!$A$1:$I$89,7,0))</f>
        <v>0</v>
      </c>
      <c r="DE20" s="16">
        <f>IF(ISNA(VLOOKUP(A20,'Données projet'!$A$139:$I$159,7,0)),0%,VLOOKUP(A20,'Données projet'!$A$139:$I$159,7,0))</f>
        <v>0</v>
      </c>
      <c r="DF20" s="21" t="e">
        <f>EXP(-LN(2)/35)*DF19+(1-EXP(-LN(2)/35))/(LN(2)/35)*DB20*DC20*VLOOKUP('Données projet'!$B$13,Paramètres!$A$1:$I$89,3,0)*0.475*44/12</f>
        <v>#N/A</v>
      </c>
      <c r="DG20" s="21" t="e">
        <f>EXP(-LN(2)/25)*DG19+(1-EXP(-LN(2)/25))/(LN(2)/25)*Calculateur!DB20*Calculateur!DD20*VLOOKUP('Données projet'!$B$13,Paramètres!$A$1:$I$89,3,0)*0.475*44/12</f>
        <v>#N/A</v>
      </c>
      <c r="DH20" s="21" t="e">
        <f>EXP(-LN(2)/2)*DH19+(1-EXP(-LN(2)/2))/(LN(2)/2)*DB20*DE20*VLOOKUP('Données projet'!$B$13,Paramètres!$A$1:$I$89,3,0)*0.475*44/12</f>
        <v>#N/A</v>
      </c>
      <c r="DI20" s="22" t="e">
        <f t="shared" si="15"/>
        <v>#N/A</v>
      </c>
      <c r="DJ20" s="75">
        <f>('Scénario référence'!$F$8+'Scénario référence'!$F$9+'Scénario référence'!$B$17+'Scénario référence'!$B$9+'Scénario référence'!$B$10)*70+IF((45+25*(1-EXP(-0.0175*A20)))&lt;70,'Scénario référence'!$B$16*(45+25*(1-EXP(-0.0175*A20))),70*'Scénario référence'!$B$16)+IF((32+38*(1-EXP(-0.0175*A20)))&lt;70,'Scénario référence'!$B$18*(32+38*(1-EXP(-0.0175*A20))),70*'Scénario référence'!$B$18)</f>
        <v>70</v>
      </c>
      <c r="DK20" s="12">
        <f>IF(A20&gt;30,10,('Scénario référence'!$B$16+'Scénario référence'!$B$17+'Scénario référence'!$B$18+'Scénario référence'!$B$9+'Scénario référence'!$B$10)*A20*10/30+('Scénario référence'!$F$8+'Scénario référence'!$F$9)*10)</f>
        <v>10</v>
      </c>
      <c r="DL20" s="12" t="e">
        <f>VLOOKUP(A20,'Données projet'!$A$165:$I$185,2,0)</f>
        <v>#N/A</v>
      </c>
      <c r="DM20" s="12" t="e">
        <f>VLOOKUP(A20,'Données projet'!$A$165:$I$185,9,0)</f>
        <v>#N/A</v>
      </c>
      <c r="DN20" s="12">
        <f t="array" ref="DN20">INDEX(DM:DM,MIN(IF(ISNUMBER(DM20:DM216),ROW(DM20:DM216),"")))</f>
        <v>11</v>
      </c>
      <c r="DO20" s="12">
        <f>IF('Données projet'!$A$166&gt;35,DO19+DN20-DW19,IF(A20&lt;'Données projet'!$A$166,$DL$205^A20,IF(A20='Données projet'!$A$166,'Données projet'!$B$166,DO19+DN20-DW19)))</f>
        <v>90</v>
      </c>
      <c r="DP20" s="17">
        <f>DO20*VLOOKUP('Données projet'!$B$14,Paramètres!$A$1:$I$89,3,0)*VLOOKUP('Données projet'!$B$14,Paramètres!$A$1:$I$89,5,0)</f>
        <v>58.967999999999996</v>
      </c>
      <c r="DQ20" s="13">
        <f t="shared" si="43"/>
        <v>16.90708415297112</v>
      </c>
      <c r="DR20" s="20">
        <f t="shared" si="16"/>
        <v>132.14910489975802</v>
      </c>
      <c r="DS20" s="59">
        <f t="shared" si="17"/>
        <v>425.48243823309133</v>
      </c>
      <c r="DT20" s="59">
        <f ca="1">AVERAGE(OFFSET($DS$3,0,0,'Données projet'!$E$14+1,1))-AVERAGE(OFFSET($H$3,0,0,'Données projet'!$E$14+1,1))</f>
        <v>188.68915783955595</v>
      </c>
      <c r="DU20" s="59">
        <f t="shared" si="44"/>
        <v>240.82467772396944</v>
      </c>
      <c r="DV20" s="15">
        <f>IF(ISNA(VLOOKUP(A20,'Données projet'!$A$165:$I$185,3,0)),0,VLOOKUP(A20,'Données projet'!$A$165:$I$185,3,0))</f>
        <v>0</v>
      </c>
      <c r="DW20" s="15">
        <f>IF(ISNA(VLOOKUP(A20,'Données projet'!$A$165:$I$185,4,0)),0,VLOOKUP(A20,'Données projet'!$A$165:$I$185,4,0))</f>
        <v>0</v>
      </c>
      <c r="DX20" s="16">
        <f>IF(ISNA(VLOOKUP(A20,'Données projet'!$A$165:$I$185,5,0)),0%,VLOOKUP(A20,'Données projet'!$A$165:$I$185,5,0)*VLOOKUP('Données projet'!$B$14,Paramètres!$A$1:$I$89,7,0))</f>
        <v>0</v>
      </c>
      <c r="DY20" s="16">
        <f>IF(ISNA(VLOOKUP(A20,'Données projet'!$A$165:$I$185,6,0)),0%,VLOOKUP(A20,'Données projet'!$A$165:$I$185,6,0)*VLOOKUP('Données projet'!$B$14,Paramètres!$A$1:$I$89,7,0))</f>
        <v>0</v>
      </c>
      <c r="DZ20" s="16">
        <f>IF(ISNA(VLOOKUP(A20,'Données projet'!$A$165:$I$185,7,0)),0%,VLOOKUP(A20,'Données projet'!$A$165:$I$185,7,0))</f>
        <v>0</v>
      </c>
      <c r="EA20" s="21">
        <f>EXP(-LN(2)/35)*EA19+(1-EXP(-LN(2)/35))/(LN(2)/35)*DW20*DX20*VLOOKUP('Données projet'!$B$14,Paramètres!$A$1:$I$89,3,0)*0.475*44/12</f>
        <v>0</v>
      </c>
      <c r="EB20" s="21">
        <f>EXP(-LN(2)/25)*EB19+(1-EXP(-LN(2)/25))/(LN(2)/25)*Calculateur!DW20*Calculateur!DY20*VLOOKUP('Données projet'!$B$14,Paramètres!$A$1:$I$89,3,0)*0.475*44/12</f>
        <v>0</v>
      </c>
      <c r="EC20" s="21">
        <f>EXP(-LN(2)/2)*EC19+(1-EXP(-LN(2)/2))/(LN(2)/2)*DW20*DZ20*VLOOKUP('Données projet'!$B$14,Paramètres!$A$1:$I$89,3,0)*0.475*44/12</f>
        <v>0</v>
      </c>
      <c r="ED20" s="22">
        <f t="shared" si="18"/>
        <v>0</v>
      </c>
      <c r="EE20" s="75">
        <f>('Scénario référence'!$F$8+'Scénario référence'!$F$9+'Scénario référence'!$B$17+'Scénario référence'!$B$9+'Scénario référence'!$B$10)*70+IF((45+25*(1-EXP(-0.0175*A20)))&lt;70,'Scénario référence'!$B$16*(45+25*(1-EXP(-0.0175*A20))),70*'Scénario référence'!$B$16)+IF((32+38*(1-EXP(-0.0175*A20)))&lt;70,'Scénario référence'!$B$18*(32+38*(1-EXP(-0.0175*A20))),70*'Scénario référence'!$B$18)</f>
        <v>70</v>
      </c>
      <c r="EF20" s="12">
        <f>IF(A20&gt;30,10,('Scénario référence'!$B$16+'Scénario référence'!$B$17+'Scénario référence'!$B$18+'Scénario référence'!$B$9+'Scénario référence'!$B$10)*A20*10/30+('Scénario référence'!$F$8+'Scénario référence'!$F$9)*10)</f>
        <v>10</v>
      </c>
      <c r="EG20" s="12" t="e">
        <f>VLOOKUP(A20,'Données projet'!$A$191:$I$211,2,0)</f>
        <v>#N/A</v>
      </c>
      <c r="EH20" s="12" t="e">
        <f>VLOOKUP(A20,'Données projet'!$A$191:$I$211,9,0)</f>
        <v>#N/A</v>
      </c>
      <c r="EI20" s="12">
        <f t="array" ref="EI20">INDEX(EH:EH,MIN(IF(ISNUMBER(EH20:EH216),ROW(EH20:EH216),"")))</f>
        <v>7.8</v>
      </c>
      <c r="EJ20" s="12">
        <f>IF('Données projet'!$A$192&gt;35,EJ19+EI20-ER19,IF(A20&lt;'Données projet'!$A$192,$EG$205^A20,IF(A20='Données projet'!$A$192,'Données projet'!$B$192,EJ19+EI20-ER19)))</f>
        <v>59.599999999999994</v>
      </c>
      <c r="EK20" s="17">
        <f>EJ20*VLOOKUP('Données projet'!$B$15,Paramètres!$A$1:$I$89,3,0)*VLOOKUP('Données projet'!$B$15,Paramètres!$A$1:$I$89,5,0)</f>
        <v>48.347519999999996</v>
      </c>
      <c r="EL20" s="13">
        <f t="shared" si="45"/>
        <v>14.186168353858909</v>
      </c>
      <c r="EM20" s="20">
        <f t="shared" si="19"/>
        <v>108.91284054963758</v>
      </c>
      <c r="EN20" s="59">
        <f t="shared" si="20"/>
        <v>402.24617388297088</v>
      </c>
      <c r="EO20" s="59">
        <f ca="1">AVERAGE(OFFSET($EN$3,0,0,'Données projet'!$E$15+1,1))-AVERAGE(OFFSET($H$3,0,0,'Données projet'!$E$15+1,1))</f>
        <v>205.5272583787887</v>
      </c>
      <c r="EP20" s="59">
        <f t="shared" si="46"/>
        <v>180.54762778843178</v>
      </c>
      <c r="EQ20" s="15">
        <f>IF(ISNA(VLOOKUP(A20,'Données projet'!$A$191:$I$211,3,0)),0,VLOOKUP(A20,'Données projet'!$A$191:$I$211,3,0))</f>
        <v>0</v>
      </c>
      <c r="ER20" s="15">
        <f>IF(ISNA(VLOOKUP(A20,'Données projet'!$A$191:$I$211,4,0)),0,VLOOKUP(A20,'Données projet'!$A$191:$I$211,4,0))</f>
        <v>0</v>
      </c>
      <c r="ES20" s="16">
        <f>IF(ISNA(VLOOKUP(A20,'Données projet'!$A$191:$I$211,5,0)),0%,VLOOKUP(A20,'Données projet'!$A$191:$I$211,5,0)*VLOOKUP('Données projet'!$B$15,Paramètres!$A$1:$I$89,7,0))</f>
        <v>0</v>
      </c>
      <c r="ET20" s="16">
        <f>IF(ISNA(VLOOKUP(A20,'Données projet'!$A$191:$I$211,6,0)),0%,VLOOKUP(A20,'Données projet'!$A$191:$I$211,6,0)*VLOOKUP('Données projet'!$B$15,Paramètres!$A$1:$I$89,7,0))</f>
        <v>0</v>
      </c>
      <c r="EU20" s="16">
        <f>IF(ISNA(VLOOKUP(A20,'Données projet'!$A$191:$I$211,7,0)),0%,VLOOKUP(A20,'Données projet'!$A$191:$I$211,7,0))</f>
        <v>0</v>
      </c>
      <c r="EV20" s="21">
        <f>EXP(-LN(2)/35)*EV19+(1-EXP(-LN(2)/35))/(LN(2)/35)*ER20*ES20*VLOOKUP('Données projet'!$B$15,Paramètres!$A$1:$I$89,3,0)*0.475*44/12</f>
        <v>0</v>
      </c>
      <c r="EW20" s="21">
        <f>EXP(-LN(2)/25)*EW19+(1-EXP(-LN(2)/25))/(LN(2)/25)*Calculateur!ER20*Calculateur!ET20*VLOOKUP('Données projet'!$B$15,Paramètres!$A$1:$I$89,3,0)*0.475*44/12</f>
        <v>0</v>
      </c>
      <c r="EX20" s="21">
        <f>EXP(-LN(2)/2)*EX19+(1-EXP(-LN(2)/2))/(LN(2)/2)*ER20*EU20*VLOOKUP('Données projet'!$B$15,Paramètres!$A$1:$I$89,3,0)*0.475*44/12</f>
        <v>0</v>
      </c>
      <c r="EY20" s="22">
        <f t="shared" si="21"/>
        <v>0</v>
      </c>
      <c r="EZ20" s="75">
        <f>('Scénario référence'!$F$8+'Scénario référence'!$F$9+'Scénario référence'!$B$17+'Scénario référence'!$B$9+'Scénario référence'!$B$10)*70+IF((45+25*(1-EXP(-0.0175*A20)))&lt;70,'Scénario référence'!$B$16*(45+25*(1-EXP(-0.0175*A20))),70*'Scénario référence'!$B$16)+IF((32+38*(1-EXP(-0.0175*A20)))&lt;70,'Scénario référence'!$B$18*(32+38*(1-EXP(-0.0175*A20))),70*'Scénario référence'!$B$18)</f>
        <v>70</v>
      </c>
      <c r="FA20" s="12">
        <f>IF(A20&gt;30,10,('Scénario référence'!$B$16+'Scénario référence'!$B$17+'Scénario référence'!$B$18+'Scénario référence'!$B$9+'Scénario référence'!$B$10)*A20*10/30+('Scénario référence'!$F$8+'Scénario référence'!$F$9)*10)</f>
        <v>10</v>
      </c>
      <c r="FB20" s="12" t="e">
        <f>VLOOKUP(A20,'Données projet'!$A$217:$I$237,2,0)</f>
        <v>#N/A</v>
      </c>
      <c r="FC20" s="12" t="e">
        <f>VLOOKUP(A20,'Données projet'!$A$217:$I$237,9,0)</f>
        <v>#N/A</v>
      </c>
      <c r="FD20" s="12">
        <f t="array" ref="FD20">INDEX(FC:FC,MIN(IF(ISNUMBER(FC20:FC216),ROW(FC20:FC216),"")))</f>
        <v>6.2</v>
      </c>
      <c r="FE20" s="12">
        <f>IF('Données projet'!$A$218&gt;35,FE19+FD20-FM19,IF(A20&lt;'Données projet'!$A$218,$FB$205^A20,IF(A20='Données projet'!$A$218,'Données projet'!$B$218,FE19+FD20-FM19)))</f>
        <v>38.400000000000006</v>
      </c>
      <c r="FF20" s="17">
        <f>FE20*VLOOKUP('Données projet'!$B$16,Paramètres!$A$1:$I$89,3,0)*VLOOKUP('Données projet'!$B$16,Paramètres!$A$1:$I$89,5,0)</f>
        <v>32.947200000000009</v>
      </c>
      <c r="FG20" s="13">
        <f t="shared" si="47"/>
        <v>10.10872779785357</v>
      </c>
      <c r="FH20" s="20">
        <f t="shared" si="22"/>
        <v>74.989074247928315</v>
      </c>
      <c r="FI20" s="59">
        <f t="shared" si="23"/>
        <v>368.32240758126164</v>
      </c>
      <c r="FJ20" s="59">
        <f ca="1">AVERAGE(OFFSET($FI$3,0,0,'Données projet'!$E$16+1,1))-AVERAGE(OFFSET($H$3,0,0,'Données projet'!$E$16+1,1))</f>
        <v>383.97627237444709</v>
      </c>
      <c r="FK20" s="59">
        <f t="shared" si="48"/>
        <v>203.35476578922339</v>
      </c>
      <c r="FL20" s="15">
        <f>IF(ISNA(VLOOKUP(A20,'Données projet'!$A$217:$I$237,3,0)),0,VLOOKUP(A20,'Données projet'!$A$217:$I$237,3,0))</f>
        <v>0</v>
      </c>
      <c r="FM20" s="15">
        <f>IF(ISNA(VLOOKUP(A20,'Données projet'!$A$217:$I$237,4,0)),0,VLOOKUP(A20,'Données projet'!$A$217:$I$237,4,0))</f>
        <v>0</v>
      </c>
      <c r="FN20" s="16">
        <f>IF(ISNA(VLOOKUP(A20,'Données projet'!$A$217:$I$237,5,0)),0%,VLOOKUP(A20,'Données projet'!$A$217:$I$237,5,0)*VLOOKUP('Données projet'!$B$16,Paramètres!$A$1:$I$89,7,0))</f>
        <v>0</v>
      </c>
      <c r="FO20" s="16">
        <f>IF(ISNA(VLOOKUP(A20,'Données projet'!$A$217:$I$237,6,0)),0%,VLOOKUP(A20,'Données projet'!$A$217:$I$237,6,0)*VLOOKUP('Données projet'!$B$16,Paramètres!$A$1:$I$89,7,0))</f>
        <v>0</v>
      </c>
      <c r="FP20" s="16">
        <f>IF(ISNA(VLOOKUP(A20,'Données projet'!$A$217:$I$237,7,0)),0%,VLOOKUP(A20,'Données projet'!$A$217:$I$237,7,0))</f>
        <v>0</v>
      </c>
      <c r="FQ20" s="21">
        <f>EXP(-LN(2)/35)*FQ19+(1-EXP(-LN(2)/35))/(LN(2)/35)*FM20*FN20*VLOOKUP('Données projet'!$B$16,Paramètres!$A$1:$I$89,3,0)*0.475*44/12</f>
        <v>0</v>
      </c>
      <c r="FR20" s="21">
        <f>EXP(-LN(2)/25)*FR19+(1-EXP(-LN(2)/25))/(LN(2)/25)*Calculateur!FM20*Calculateur!FO20*VLOOKUP('Données projet'!$B$16,Paramètres!$A$1:$I$89,3,0)*0.475*44/12</f>
        <v>0</v>
      </c>
      <c r="FS20" s="21">
        <f>EXP(-LN(2)/2)*FS19+(1-EXP(-LN(2)/2))/(LN(2)/2)*FM20*FP20*VLOOKUP('Données projet'!$B$16,Paramètres!$A$1:$I$89,3,0)*0.475*44/12</f>
        <v>0</v>
      </c>
      <c r="FT20" s="22">
        <f t="shared" si="24"/>
        <v>0</v>
      </c>
      <c r="FU20" s="75">
        <f>('Scénario référence'!$F$8+'Scénario référence'!$F$9+'Scénario référence'!$B$17+'Scénario référence'!$B$9+'Scénario référence'!$B$10)*70+IF((45+25*(1-EXP(-0.0175*A20)))&lt;70,'Scénario référence'!$B$16*(45+25*(1-EXP(-0.0175*A20))),70*'Scénario référence'!$B$16)+IF((32+38*(1-EXP(-0.0175*A20)))&lt;70,'Scénario référence'!$B$18*(32+38*(1-EXP(-0.0175*A20))),70*'Scénario référence'!$B$18)</f>
        <v>70</v>
      </c>
      <c r="FV20" s="12">
        <f>IF(A20&gt;30,10,('Scénario référence'!$B$16+'Scénario référence'!$B$17+'Scénario référence'!$B$18+'Scénario référence'!$B$9+'Scénario référence'!$B$10)*A20*10/30+('Scénario référence'!$F$8+'Scénario référence'!$F$9)*10)</f>
        <v>10</v>
      </c>
      <c r="FW20" s="12" t="e">
        <f>VLOOKUP(A20,'Données projet'!$A$243:$I$263,2,0)</f>
        <v>#N/A</v>
      </c>
      <c r="FX20" s="12" t="e">
        <f>VLOOKUP(A20,'Données projet'!$A$243:$I$263,9,0)</f>
        <v>#N/A</v>
      </c>
      <c r="FY20" s="12">
        <f t="array" ref="FY20">INDEX(FX:FX,MIN(IF(ISNUMBER(FX20:FX216),ROW(FX20:FX216),"")))</f>
        <v>4.0628205128205126</v>
      </c>
      <c r="FZ20" s="12">
        <f>IF('Données projet'!$A$244&gt;35,FZ19+FY20-GH19,IF(A20&lt;'Données projet'!$A$244,$FW$205^A20,IF(A20='Données projet'!$A$244,'Données projet'!$B$244,FZ19+FY20-GH19)))</f>
        <v>15.206795479203771</v>
      </c>
      <c r="GA20" s="17">
        <f>FZ20*VLOOKUP('Données projet'!$B$17,Paramètres!$A$1:$I$89,3,0)*VLOOKUP('Données projet'!$B$17,Paramètres!$A$1:$I$89,5,0)</f>
        <v>16.368594653814938</v>
      </c>
      <c r="GB20" s="13">
        <f t="shared" si="49"/>
        <v>5.4481936125637764</v>
      </c>
      <c r="GC20" s="20">
        <f t="shared" si="25"/>
        <v>37.997572897276264</v>
      </c>
      <c r="GD20" s="59">
        <f t="shared" si="26"/>
        <v>331.33090623060957</v>
      </c>
      <c r="GE20" s="59">
        <f ca="1">AVERAGE(OFFSET($GD$3,0,0,'Données projet'!$E$17+1,1))-AVERAGE(OFFSET($H$3,0,0,'Données projet'!$E$17+1,1))</f>
        <v>286.77702855541287</v>
      </c>
      <c r="GF20" s="59">
        <f t="shared" si="50"/>
        <v>227.12211541860779</v>
      </c>
      <c r="GG20" s="15">
        <f>IF(ISNA(VLOOKUP(A20,'Données projet'!$A$243:$I$263,3,0)),0,VLOOKUP(A20,'Données projet'!$A$243:$I$263,3,0))</f>
        <v>0</v>
      </c>
      <c r="GH20" s="15">
        <f>IF(ISNA(VLOOKUP(A20,'Données projet'!$A$243:$I$263,4,0)),0,VLOOKUP(A20,'Données projet'!$A$243:$I$263,4,0))</f>
        <v>0</v>
      </c>
      <c r="GI20" s="16">
        <f>IF(ISNA(VLOOKUP(A20,'Données projet'!$A$243:$I$263,5,0)),0%,VLOOKUP(A20,'Données projet'!$A$243:$I$263,5,0)*VLOOKUP('Données projet'!$B$17,Paramètres!$A$1:$I$89,7,0))</f>
        <v>0</v>
      </c>
      <c r="GJ20" s="16">
        <f>IF(ISNA(VLOOKUP(A20,'Données projet'!$A$243:$I$263,6,0)),0%,VLOOKUP(A20,'Données projet'!$A$243:$I$263,6,0)*VLOOKUP('Données projet'!$B$17,Paramètres!$A$1:$I$89,7,0))</f>
        <v>0</v>
      </c>
      <c r="GK20" s="16">
        <f>IF(ISNA(VLOOKUP(A20,'Données projet'!$A$243:$I$263,7,0)),0%,VLOOKUP(A20,'Données projet'!$A$243:$I$263,7,0))</f>
        <v>0</v>
      </c>
      <c r="GL20" s="21">
        <f>EXP(-LN(2)/35)*GL19+(1-EXP(-LN(2)/35))/(LN(2)/35)*GH20*GI20*VLOOKUP('Données projet'!$B$17,Paramètres!$A$1:$I$89,3,0)*0.475*44/12</f>
        <v>0</v>
      </c>
      <c r="GM20" s="21">
        <f>EXP(-LN(2)/25)*GM19+(1-EXP(-LN(2)/25))/(LN(2)/25)*Calculateur!GH20*Calculateur!GJ20*VLOOKUP('Données projet'!$B$17,Paramètres!$A$1:$I$89,3,0)*0.475*44/12</f>
        <v>0</v>
      </c>
      <c r="GN20" s="21">
        <f>EXP(-LN(2)/2)*GN19+(1-EXP(-LN(2)/2))/(LN(2)/2)*GH20*GK20*VLOOKUP('Données projet'!$B$17,Paramètres!$A$1:$I$89,3,0)*0.475*44/12</f>
        <v>0</v>
      </c>
      <c r="GO20" s="21">
        <f t="shared" si="27"/>
        <v>0</v>
      </c>
      <c r="GP20" s="75">
        <f>('Scénario référence'!$F$8+'Scénario référence'!$F$9+'Scénario référence'!$B$17+'Scénario référence'!$B$9+'Scénario référence'!$B$10)*70+IF((45+25*(1-EXP(-0.0175*A20)))&lt;70,'Scénario référence'!$B$16*(45+25*(1-EXP(-0.0175*A20))),70*'Scénario référence'!$B$16)+IF((32+38*(1-EXP(-0.0175*A20)))&lt;70,'Scénario référence'!$B$18*(32+38*(1-EXP(-0.0175*A20))),70*'Scénario référence'!$B$18)</f>
        <v>70</v>
      </c>
      <c r="GQ20" s="12">
        <f>IF(A20&gt;30,10,('Scénario référence'!$B$16+'Scénario référence'!$B$17+'Scénario référence'!$B$18+'Scénario référence'!$B$9+'Scénario référence'!$B$10)*A20*10/30+('Scénario référence'!$F$8+'Scénario référence'!$F$9)*10)</f>
        <v>10</v>
      </c>
      <c r="GR20" s="12" t="e">
        <f>VLOOKUP(A20,'Données projet'!$A$269:$I$289,2,0)</f>
        <v>#N/A</v>
      </c>
      <c r="GS20" s="12" t="e">
        <f>VLOOKUP(A20,'Données projet'!$A$269:$I$289,9,0)</f>
        <v>#N/A</v>
      </c>
      <c r="GT20" s="12">
        <f t="array" ref="GT20">INDEX(GS:GS,MIN(IF(ISNUMBER(GS20:GS216),ROW(GS20:GS216),"")))</f>
        <v>4.0628205128205126</v>
      </c>
      <c r="GU20" s="12">
        <f>IF('Données projet'!$A$270&gt;35,GU19+GT20-HC19,IF(A20&lt;'Données projet'!$A$270,$GR$205^A20,IF(A20='Données projet'!$A$270,'Données projet'!$B$270,GU19+GT20-HC19)))</f>
        <v>15.206795479203771</v>
      </c>
      <c r="GV20" s="17">
        <f>GU20*VLOOKUP('Données projet'!$B$18,Paramètres!$A$1:$I$89,3,0)*VLOOKUP('Données projet'!$B$18,Paramètres!$A$1:$I$89,5,0)</f>
        <v>16.368594653814938</v>
      </c>
      <c r="GW20" s="13">
        <f t="shared" si="51"/>
        <v>5.4481936125637764</v>
      </c>
      <c r="GX20" s="20">
        <f t="shared" si="28"/>
        <v>37.997572897276264</v>
      </c>
      <c r="GY20" s="59">
        <f t="shared" si="29"/>
        <v>331.33090623060957</v>
      </c>
      <c r="GZ20" s="59">
        <f ca="1">AVERAGE(OFFSET($GY$3,0,0,'Données projet'!$E$18+1,1))-AVERAGE(OFFSET($H$3,0,0,'Données projet'!$E$18+1,1))</f>
        <v>286.77702855541287</v>
      </c>
      <c r="HA20" s="59">
        <f t="shared" si="52"/>
        <v>227.12211541860779</v>
      </c>
      <c r="HB20" s="15">
        <f>IF(ISNA(VLOOKUP(A20,'Données projet'!$A$269:$I$289,3,0)),0,VLOOKUP(A20,'Données projet'!$A$269:$I$289,3,0))</f>
        <v>0</v>
      </c>
      <c r="HC20" s="15">
        <f>IF(ISNA(VLOOKUP(A20,'Données projet'!$A$269:$I$289,4,0)),0,VLOOKUP(A20,'Données projet'!$A$269:$I$289,4,0))</f>
        <v>0</v>
      </c>
      <c r="HD20" s="16">
        <f>IF(ISNA(VLOOKUP(A20,'Données projet'!$A$269:$I$289,5,0)),0%,VLOOKUP(A20,'Données projet'!$A$269:$I$289,5,0)*VLOOKUP('Données projet'!$B$18,Paramètres!$A$1:$I$89,7,0))</f>
        <v>0</v>
      </c>
      <c r="HE20" s="16">
        <f>IF(ISNA(VLOOKUP(A20,'Données projet'!$A$269:$I$289,6,0)),0%,VLOOKUP(A20,'Données projet'!$A$269:$I$289,6,0)*VLOOKUP('Données projet'!$B$18,Paramètres!$A$1:$I$89,7,0))</f>
        <v>0</v>
      </c>
      <c r="HF20" s="16">
        <f>IF(ISNA(VLOOKUP(A20,'Données projet'!$A$269:$I$289,7,0)),0%,VLOOKUP(A20,'Données projet'!$A$269:$I$289,7,0))</f>
        <v>0</v>
      </c>
      <c r="HG20" s="21">
        <f>EXP(-LN(2)/35)*HG19+(1-EXP(-LN(2)/35))/(LN(2)/35)*HC20*HD20*VLOOKUP('Données projet'!$B$18,Paramètres!$A$1:$I$89,3,0)*0.475*44/12</f>
        <v>0</v>
      </c>
      <c r="HH20" s="21">
        <f>EXP(-LN(2)/25)*HH19+(1-EXP(-LN(2)/25))/(LN(2)/25)*Calculateur!HC20*Calculateur!HE20*VLOOKUP('Données projet'!$B$18,Paramètres!$A$1:$I$89,3,0)*0.475*44/12</f>
        <v>0</v>
      </c>
      <c r="HI20" s="21">
        <f>EXP(-LN(2)/2)*HI19+(1-EXP(-LN(2)/2))/(LN(2)/2)*HC20*HF20*VLOOKUP('Données projet'!$B$18,Paramètres!$A$1:$I$89,3,0)*0.475*44/12</f>
        <v>0</v>
      </c>
      <c r="HJ20" s="22">
        <f t="shared" si="30"/>
        <v>0</v>
      </c>
    </row>
    <row r="21" spans="1:218" x14ac:dyDescent="0.25">
      <c r="A21" s="10">
        <f t="shared" si="31"/>
        <v>18</v>
      </c>
      <c r="B21" s="73">
        <f>'Scénario référence'!$B$16*5+'Scénario référence'!$B$17*0+'Scénario référence'!$B$18*5</f>
        <v>0</v>
      </c>
      <c r="C21" s="19">
        <f>Calculateur!C20+'Scénario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16.005600000000005</v>
      </c>
      <c r="D21" s="11">
        <f t="shared" si="32"/>
        <v>5.3412974993444182</v>
      </c>
      <c r="E2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1" s="11">
        <f>IF(OR('Scénario référence'!$F$8&gt;0,'Scénario référence'!$F$9&gt;0),('Scénario référence'!$F$8+'Scénario référence'!$F$9)*10,0)</f>
        <v>10</v>
      </c>
      <c r="G21" s="11">
        <f>'Scénario référence'!$B$8*B21*44/12+'Scénario référence'!$B$9*(C21+D21)/0.475*44/12+'Scénario référence'!$B$10*(C21+D21)/0.475*44/12+'Scénario référence'!$F$8*(C21+D21)/0.475*44/12+'Scénario référence'!$F$9*(C21+D21)/0.475*44/12</f>
        <v>164.78306841599206</v>
      </c>
      <c r="H21" s="67">
        <f t="shared" si="1"/>
        <v>330.51251314469152</v>
      </c>
      <c r="I21" s="70">
        <f>('Scénario référence'!$F$8+'Scénario référence'!$F$9+'Scénario référence'!$B$17+'Scénario référence'!$B$9+'Scénario référence'!$B$10)*70+IF((45+25*(1-EXP(-0.0175*A21)))&lt;70,'Scénario référence'!$B$16*(45+25*(1-EXP(-0.0175*A21))),70*'Scénario référence'!$B$16)+IF((32+38*(1-EXP(-0.0175*A21)))&lt;70,'Scénario référence'!$B$18*(32+38*(1-EXP(-0.0175*A21))),70*'Scénario référence'!$B$18)</f>
        <v>70</v>
      </c>
      <c r="J21" s="13">
        <f>IF(A21&gt;30,10,('Scénario référence'!$B$16+'Scénario référence'!$B$17+'Scénario référence'!$B$18+'Scénario référence'!$B$9+'Scénario référence'!$B$10)*A21*10/30+('Scénario référence'!$F$8+'Scénario référence'!$F$9)*10)</f>
        <v>10</v>
      </c>
      <c r="K21" s="12">
        <f>VLOOKUP(A21,'Données projet'!$A$35:$I$55,2,0)</f>
        <v>182.89230769230767</v>
      </c>
      <c r="L21" s="12">
        <f>VLOOKUP(A21,'Données projet'!$A$35:$I$55,9,0)</f>
        <v>23.146153846153823</v>
      </c>
      <c r="M21" s="12">
        <f t="array" ref="M21">INDEX(L:L,MIN(IF(ISNUMBER(L21:L217),ROW(L21:L217),"")))</f>
        <v>23.146153846153823</v>
      </c>
      <c r="N21" s="13">
        <f>IF('Données projet'!$A$36&gt;35,N20+M21-V20,IF(A21&lt;'Données projet'!$A$36,$K$205^A21,IF(A21='Données projet'!$A$36,'Données projet'!$B$36,N20+M21-V20)))</f>
        <v>182.89230769230767</v>
      </c>
      <c r="O21" s="13">
        <f>N21*VLOOKUP('Données projet'!$B$9,Paramètres!$A$1:$I$89,3,0)*VLOOKUP('Données projet'!$B$9,Paramètres!$A$1:$I$89,5,0)</f>
        <v>102.23679999999999</v>
      </c>
      <c r="P21" s="13">
        <f t="shared" si="33"/>
        <v>27.494196289326943</v>
      </c>
      <c r="Q21" s="20">
        <f t="shared" si="2"/>
        <v>225.9481518705777</v>
      </c>
      <c r="R21" s="59">
        <f t="shared" si="0"/>
        <v>519.28148520391096</v>
      </c>
      <c r="S21" s="59">
        <f ca="1">AVERAGE(OFFSET($R$3,0,0,'Données projet'!$E$9+1,1))-AVERAGE(OFFSET($H$3,0,0,'Données projet'!$E$9+1,1))</f>
        <v>255.5374979188561</v>
      </c>
      <c r="T21" s="59">
        <f t="shared" si="34"/>
        <v>343.10418468620901</v>
      </c>
      <c r="U21" s="15">
        <f>IF(ISNA(VLOOKUP(A21,'Données projet'!$A$35:$I$55,3,0)),0,VLOOKUP(A21,'Données projet'!$A$35:$I$55,3,0))</f>
        <v>1</v>
      </c>
      <c r="V21" s="15">
        <f>IF(ISNA(VLOOKUP(A21,'Données projet'!$A$35:$I$55,4,0)),0,VLOOKUP(A21,'Données projet'!$A$35:$I$55,4,0))</f>
        <v>69.284615384615378</v>
      </c>
      <c r="W21" s="16">
        <f>IF(ISNA(VLOOKUP(A21,'Données projet'!$A$35:$I$55,5,0)),0%,VLOOKUP(A21,'Données projet'!$A$35:$I$55,5,0)*VLOOKUP('Données projet'!$B$9,Paramètres!$A$1:$I$89,7,0))</f>
        <v>0</v>
      </c>
      <c r="X21" s="16">
        <f>IF(ISNA(VLOOKUP(A21,'Données projet'!$A$35:$I$55,6,0)),0%,VLOOKUP(A21,'Données projet'!$A$35:$I$55,6,0)*VLOOKUP('Données projet'!$B$9,Paramètres!$A$1:$I$89,7,0))</f>
        <v>0.27500000000000002</v>
      </c>
      <c r="Y21" s="16">
        <f>IF(ISNA(VLOOKUP(A21,'Données projet'!$A$35:$I$55,7,0)),0%,VLOOKUP(A21,'Données projet'!$A$35:$I$55,7,0))</f>
        <v>0.5</v>
      </c>
      <c r="Z21" s="21">
        <f>EXP(-LN(2)/35)*Z20+(1-EXP(-LN(2)/35))/(LN(2)/35)*V21*W21*VLOOKUP('Données projet'!$B$9,Paramètres!$A$1:$I$89,3,0)*0.475*44/12</f>
        <v>0</v>
      </c>
      <c r="AA21" s="21">
        <f>EXP(-LN(2)/25)*AA20+(1-EXP(-LN(2)/25))/(LN(2)/25)*Calculateur!V21*Calculateur!X21*VLOOKUP('Données projet'!$B$9,Paramètres!$A$1:$I$89,3,0)*0.475*44/12</f>
        <v>14.073311822728558</v>
      </c>
      <c r="AB21" s="21">
        <f>EXP(-LN(2)/2)*AB20+(1-EXP(-LN(2)/2))/(LN(2)/2)*V21*Y21*VLOOKUP('Données projet'!$B$9,Paramètres!$A$1:$I$89,3,0)*0.475*44/12</f>
        <v>21.925735053214883</v>
      </c>
      <c r="AC21" s="22">
        <f t="shared" si="3"/>
        <v>35.999046875943442</v>
      </c>
      <c r="AD21" s="13">
        <f>('Scénario référence'!$F$8+'Scénario référence'!$F$9+'Scénario référence'!$B$17+'Scénario référence'!$B$9+'Scénario référence'!$B$10)*70+IF((45+25*(1-EXP(-0.0175*A21)))&lt;70,'Scénario référence'!$B$16*(45+25*(1-EXP(-0.0175*A21))),70*'Scénario référence'!$B$16)+IF((32+38*(1-EXP(-0.0175*A21)))&lt;70,'Scénario référence'!$B$18*(32+38*(1-EXP(-0.0175*A21))),70*'Scénario référence'!$B$18)</f>
        <v>70</v>
      </c>
      <c r="AE21" s="13">
        <f>IF(A21&gt;30,10,('Scénario référence'!$B$16+'Scénario référence'!$B$17+'Scénario référence'!$B$18+'Scénario référence'!$B$9+'Scénario référence'!$B$10)*A21*10/30+('Scénario référence'!$F$8+'Scénario référence'!$F$9)*10)</f>
        <v>10</v>
      </c>
      <c r="AF21" s="12" t="e">
        <f>VLOOKUP(A21,'Données projet'!$A$61:$I$81,2,0)</f>
        <v>#N/A</v>
      </c>
      <c r="AG21" s="12" t="e">
        <f>VLOOKUP(A21,'Données projet'!$A$61:$I$81,9,0)</f>
        <v>#N/A</v>
      </c>
      <c r="AH21" s="12">
        <f t="array" ref="AH21">INDEX(AG:AG,MIN(IF(ISNUMBER(AG21:AG217),ROW(AG21:AG217),"")))</f>
        <v>13.2</v>
      </c>
      <c r="AI21" s="13">
        <f>IF('Données projet'!$A$62&gt;35,AI20+AH21-AQ20,IF(A21&lt;'Données projet'!$A$62,$AF$205^A21,IF(A21='Données projet'!$A$62,'Données projet'!$B$62,AI20+AH21-AQ20)))</f>
        <v>131.60000000000002</v>
      </c>
      <c r="AJ21" s="13">
        <f>AI21*VLOOKUP('Données projet'!$B$10,Paramètres!$A$1:$I$89,3,0)*VLOOKUP('Données projet'!$B$10,Paramètres!$A$1:$I$89,5,0)</f>
        <v>82.118400000000008</v>
      </c>
      <c r="AK21" s="13">
        <f t="shared" si="35"/>
        <v>22.654353452648408</v>
      </c>
      <c r="AL21" s="20">
        <f t="shared" si="4"/>
        <v>182.47921226336265</v>
      </c>
      <c r="AM21" s="59">
        <f t="shared" si="5"/>
        <v>475.81254559669594</v>
      </c>
      <c r="AN21" s="59">
        <f ca="1">AVERAGE(OFFSET($AM$3,0,0,'Données projet'!$E$10+1,1))-AVERAGE(OFFSET($H$3,0,0,'Données projet'!$E$10+1,1))</f>
        <v>261.78489480911571</v>
      </c>
      <c r="AO21" s="59">
        <f t="shared" si="36"/>
        <v>297.50513563712764</v>
      </c>
      <c r="AP21" s="15">
        <f>IF(ISNA(VLOOKUP(A21,'Données projet'!$A$61:$I$81,3,0)),0,VLOOKUP(A21,'Données projet'!$A$61:$I$81,3,0))</f>
        <v>0</v>
      </c>
      <c r="AQ21" s="15">
        <f>IF(ISNA(VLOOKUP(A21,'Données projet'!$A$61:$I$81,4,0)),0,VLOOKUP(A21,'Données projet'!$A$61:$I$81,4,0))</f>
        <v>0</v>
      </c>
      <c r="AR21" s="16">
        <f>IF(ISNA(VLOOKUP(A21,'Données projet'!$A$61:$I$81,5,0)),0%,VLOOKUP(A21,'Données projet'!$A$61:$I$81,5,0)*VLOOKUP('Données projet'!$B$10,Paramètres!$A$1:$I$89,7,0))</f>
        <v>0</v>
      </c>
      <c r="AS21" s="16">
        <f>IF(ISNA(VLOOKUP(A21,'Données projet'!$A$61:$I$81,6,0)),0%,VLOOKUP(A21,'Données projet'!$A$61:$I$81,6,0)*VLOOKUP('Données projet'!$B$10,Paramètres!$A$1:$I$89,7,0))</f>
        <v>0</v>
      </c>
      <c r="AT21" s="16">
        <f>IF(ISNA(VLOOKUP(A21,'Données projet'!$A$61:$I$81,7,0)),0%,VLOOKUP(A21,'Données projet'!$A$61:$I$81,7,0))</f>
        <v>0</v>
      </c>
      <c r="AU21" s="21">
        <f>EXP(-LN(2)/35)*AU20+(1-EXP(-LN(2)/35))/(LN(2)/35)*AQ21*AR21*VLOOKUP('Données projet'!$B$10,Paramètres!$A$1:$I$89,3,0)*0.475*44/12</f>
        <v>0</v>
      </c>
      <c r="AV21" s="21">
        <f>EXP(-LN(2)/25)*AV20+(1-EXP(-LN(2)/25))/(LN(2)/25)*Calculateur!AQ21*Calculateur!AS21*VLOOKUP('Données projet'!$B$10,Paramètres!$A$1:$I$89,3,0)*0.475*44/12</f>
        <v>0</v>
      </c>
      <c r="AW21" s="21">
        <f>EXP(-LN(2)/2)*AW20+(1-EXP(-LN(2)/2))/(LN(2)/2)*AQ21*AT21*VLOOKUP('Données projet'!$B$10,Paramètres!$A$1:$I$89,3,0)*0.475*44/12</f>
        <v>0</v>
      </c>
      <c r="AX21" s="21">
        <f t="shared" si="6"/>
        <v>0</v>
      </c>
      <c r="AY21" s="74">
        <f>('Scénario référence'!$F$8+'Scénario référence'!$F$9+'Scénario référence'!$B$17+'Scénario référence'!$B$9+'Scénario référence'!$B$10)*70+IF((45+25*(1-EXP(-0.0175*A21)))&lt;70,'Scénario référence'!$B$16*(45+25*(1-EXP(-0.0175*A21))),70*'Scénario référence'!$B$16)+IF((32+38*(1-EXP(-0.0175*A21)))&lt;70,'Scénario référence'!$B$18*(32+38*(1-EXP(-0.0175*A21))),70*'Scénario référence'!$B$18)</f>
        <v>70</v>
      </c>
      <c r="AZ21" s="12">
        <f>IF(A21&gt;30,10,('Scénario référence'!$B$16+'Scénario référence'!$B$17+'Scénario référence'!$B$18+'Scénario référence'!$B$9+'Scénario référence'!$B$10)*A21*10/30+('Scénario référence'!$F$8+'Scénario référence'!$F$9)*10)</f>
        <v>10</v>
      </c>
      <c r="BA21" s="12" t="e">
        <f>VLOOKUP(A21,'Données projet'!$A$87:$I$107,2,0)</f>
        <v>#N/A</v>
      </c>
      <c r="BB21" s="12" t="e">
        <f>VLOOKUP(A21,'Données projet'!$A$87:$I$107,9,0)</f>
        <v>#N/A</v>
      </c>
      <c r="BC21" s="12">
        <f t="array" ref="BC21">INDEX(BB:BB,MIN(IF(ISNUMBER(BB21:BB217),ROW(BB21:BB217),"")))</f>
        <v>5.3</v>
      </c>
      <c r="BD21" s="12">
        <f>IF('Données projet'!$A$88&gt;35,BD20+BC21-BL20,IF(A21&lt;'Données projet'!$A$88,$BA$205^A21,IF(A21='Données projet'!$A$88,'Données projet'!$B$88,BD20+BC21-BL20)))</f>
        <v>66.492900642077856</v>
      </c>
      <c r="BE21" s="13">
        <f>BD21*VLOOKUP('Données projet'!$B$11,Paramètres!$A$1:$I$89,3,0)*VLOOKUP('Données projet'!$B$11,Paramètres!$A$1:$I$89,5,0)</f>
        <v>39.762754583962561</v>
      </c>
      <c r="BF21" s="13">
        <f t="shared" si="37"/>
        <v>11.935743228636118</v>
      </c>
      <c r="BG21" s="20">
        <f t="shared" si="7"/>
        <v>90.041550356942707</v>
      </c>
      <c r="BH21" s="59">
        <f t="shared" si="8"/>
        <v>383.37488369027602</v>
      </c>
      <c r="BI21" s="59">
        <f ca="1">AVERAGE(OFFSET($BH$3,0,0,'Données projet'!$E$11+1,1))-AVERAGE(OFFSET($H$3,0,0,'Données projet'!$E$11+1,1))</f>
        <v>316.58509520829671</v>
      </c>
      <c r="BJ21" s="59">
        <f t="shared" si="38"/>
        <v>240.71332110643596</v>
      </c>
      <c r="BK21" s="15">
        <f>IF(ISNA(VLOOKUP(A21,'Données projet'!$A$87:$I$107,3,0)),0,VLOOKUP(A21,'Données projet'!$A$87:$I$107,3,0))</f>
        <v>0</v>
      </c>
      <c r="BL21" s="15">
        <f>IF(ISNA(VLOOKUP(A21,'Données projet'!$A$87:$I$107,4,0)),0,VLOOKUP(A21,'Données projet'!$A$87:$I$107,4,0))</f>
        <v>0</v>
      </c>
      <c r="BM21" s="16">
        <f>IF(ISNA(VLOOKUP(A21,'Données projet'!$A$87:$I$107,5,0)),0%,VLOOKUP(A21,'Données projet'!$A$87:$I$107,5,0)*VLOOKUP('Données projet'!$B$11,Paramètres!$A$1:$I$89,7,0))</f>
        <v>0</v>
      </c>
      <c r="BN21" s="16">
        <f>IF(ISNA(VLOOKUP(A21,'Données projet'!$A$87:$I$107,6,0)),0%,VLOOKUP(A21,'Données projet'!$A$87:$I$107,6,0)*VLOOKUP('Données projet'!$B$11,Paramètres!$A$1:$I$89,7,0))</f>
        <v>0</v>
      </c>
      <c r="BO21" s="16">
        <f>IF(ISNA(VLOOKUP(A21,'Données projet'!$A$87:$I$107,7,0)),0%,VLOOKUP(A21,'Données projet'!$A$87:$I$107,7,0))</f>
        <v>0</v>
      </c>
      <c r="BP21" s="21">
        <f>EXP(-LN(2)/35)*BP20+(1-EXP(-LN(2)/35))/(LN(2)/35)*BL21*BM21*VLOOKUP('Données projet'!$B$11,Paramètres!$A$1:$I$89,3,0)*0.475*44/12</f>
        <v>0</v>
      </c>
      <c r="BQ21" s="21">
        <f>EXP(-LN(2)/25)*BQ20+(1-EXP(-LN(2)/25))/(LN(2)/25)*Calculateur!BL21*Calculateur!BN21*VLOOKUP('Données projet'!$B$11,Paramètres!$A$1:$I$89,3,0)*0.475*44/12</f>
        <v>0</v>
      </c>
      <c r="BR21" s="21">
        <f>EXP(-LN(2)/2)*BR20+(1-EXP(-LN(2)/2))/(LN(2)/2)*BL21*BO21*VLOOKUP('Données projet'!$B$11,Paramètres!$A$1:$I$89,3,0)*0.475*44/12</f>
        <v>0</v>
      </c>
      <c r="BS21" s="22">
        <f t="shared" si="9"/>
        <v>0</v>
      </c>
      <c r="BT21" s="75">
        <f>('Scénario référence'!$F$8+'Scénario référence'!$F$9+'Scénario référence'!$B$17+'Scénario référence'!$B$9+'Scénario référence'!$B$10)*70+IF((45+25*(1-EXP(-0.0175*A21)))&lt;70,'Scénario référence'!$B$16*(45+25*(1-EXP(-0.0175*A21))),70*'Scénario référence'!$B$16)+IF((32+38*(1-EXP(-0.0175*A21)))&lt;70,'Scénario référence'!$B$18*(32+38*(1-EXP(-0.0175*A21))),70*'Scénario référence'!$B$18)</f>
        <v>70</v>
      </c>
      <c r="BU21" s="12">
        <f>IF(A21&gt;30,10,('Scénario référence'!$B$16+'Scénario référence'!$B$17+'Scénario référence'!$B$18+'Scénario référence'!$B$9+'Scénario référence'!$B$10)*A21*10/30+('Scénario référence'!$F$8+'Scénario référence'!$F$9)*10)</f>
        <v>10</v>
      </c>
      <c r="BV21" s="12" t="e">
        <f>VLOOKUP(A21,'Données projet'!$A$113:$I$133,2,0)</f>
        <v>#N/A</v>
      </c>
      <c r="BW21" s="12" t="e">
        <f>VLOOKUP(A21,'Données projet'!$A$113:$I$133,9,0)</f>
        <v>#N/A</v>
      </c>
      <c r="BX21" s="12">
        <f t="array" ref="BX21">INDEX(BW:BW,MIN(IF(ISNUMBER(BW21:BW217),ROW(BW21:BW217),"")))</f>
        <v>11.6</v>
      </c>
      <c r="BY21" s="12">
        <f>IF('Données projet'!$A$114&gt;35,BY20+BX21-CG20,IF(A21&lt;'Données projet'!$A$114,$BV$205^A21,IF(A21='Données projet'!$A$114,'Données projet'!$B$114,BY20+BX21-CG20)))</f>
        <v>82.8</v>
      </c>
      <c r="BZ21" s="13">
        <f>BY21*VLOOKUP('Données projet'!$B$12,Paramètres!$A$1:$I$89,3,0)*VLOOKUP('Données projet'!$B$12,Paramètres!$A$1:$I$89,5,0)</f>
        <v>47.361600000000003</v>
      </c>
      <c r="CA21" s="13">
        <f t="shared" si="39"/>
        <v>13.930246500887906</v>
      </c>
      <c r="CB21" s="20">
        <f t="shared" si="10"/>
        <v>106.74996598904643</v>
      </c>
      <c r="CC21" s="59">
        <f t="shared" si="11"/>
        <v>400.08329932237973</v>
      </c>
      <c r="CD21" s="59">
        <f ca="1">AVERAGE(OFFSET($CC$3,0,0,'Données projet'!$E$12+1,1))-AVERAGE(OFFSET($H$3,0,0,'Données projet'!$E$12+1,1))</f>
        <v>188.64374818906128</v>
      </c>
      <c r="CE21" s="59">
        <f t="shared" si="40"/>
        <v>211.95157880548652</v>
      </c>
      <c r="CF21" s="15">
        <f>IF(ISNA(VLOOKUP(A21,'Données projet'!$A$113:$I$133,3,0)),0,VLOOKUP(A21,'Données projet'!$A$113:$I$133,3,0))</f>
        <v>0</v>
      </c>
      <c r="CG21" s="15">
        <f>IF(ISNA(VLOOKUP(A21,'Données projet'!$A$113:$I$133,4,0)),0,VLOOKUP(A21,'Données projet'!$A$113:$I$133,4,0))</f>
        <v>0</v>
      </c>
      <c r="CH21" s="16">
        <f>IF(ISNA(VLOOKUP(A21,'Données projet'!$A$113:$I$133,5,0)),0%,VLOOKUP(A21,'Données projet'!$A$113:$I$133,5,0)*VLOOKUP('Données projet'!$B$12,Paramètres!$A$1:$I$89,7,0))</f>
        <v>0</v>
      </c>
      <c r="CI21" s="16">
        <f>IF(ISNA(VLOOKUP(A21,'Données projet'!$A$113:$I$133,6,0)),0%,VLOOKUP(A21,'Données projet'!$A$113:$I$133,6,0)*VLOOKUP('Données projet'!$B$12,Paramètres!$A$1:$I$89,7,0))</f>
        <v>0</v>
      </c>
      <c r="CJ21" s="16">
        <f>IF(ISNA(VLOOKUP(A21,'Données projet'!$A$113:$I$133,7,0)),0%,VLOOKUP(A21,'Données projet'!$A$113:$I$133,7,0))</f>
        <v>0</v>
      </c>
      <c r="CK21" s="21">
        <f>EXP(-LN(2)/35)*CK20+(1-EXP(-LN(2)/35))/(LN(2)/35)*CG21*CH21*VLOOKUP('Données projet'!$B$12,Paramètres!$A$1:$I$89,3,0)*0.475*44/12</f>
        <v>0</v>
      </c>
      <c r="CL21" s="21">
        <f>EXP(-LN(2)/25)*CL20+(1-EXP(-LN(2)/25))/(LN(2)/25)*Calculateur!CG21*Calculateur!CI21*VLOOKUP('Données projet'!$B$12,Paramètres!$A$1:$I$89,3,0)*0.475*44/12</f>
        <v>0</v>
      </c>
      <c r="CM21" s="21">
        <f>EXP(-LN(2)/2)*CM20+(1-EXP(-LN(2)/2))/(LN(2)/2)*CG21*CJ21*VLOOKUP('Données projet'!$B$12,Paramètres!$A$1:$I$89,3,0)*0.475*44/12</f>
        <v>0</v>
      </c>
      <c r="CN21" s="22">
        <f t="shared" si="12"/>
        <v>0</v>
      </c>
      <c r="CO21" s="75">
        <f>('Scénario référence'!$F$8+'Scénario référence'!$F$9+'Scénario référence'!$B$17+'Scénario référence'!$B$9+'Scénario référence'!$B$10)*70+IF((45+25*(1-EXP(-0.0175*A21)))&lt;70,'Scénario référence'!$B$16*(45+25*(1-EXP(-0.0175*A21))),70*'Scénario référence'!$B$16)+IF((32+38*(1-EXP(-0.0175*A21)))&lt;70,'Scénario référence'!$B$18*(32+38*(1-EXP(-0.0175*A21))),70*'Scénario référence'!$B$18)</f>
        <v>70</v>
      </c>
      <c r="CP21" s="12">
        <f>IF(A21&gt;30,10,('Scénario référence'!$B$16+'Scénario référence'!$B$17+'Scénario référence'!$B$18+'Scénario référence'!$B$9+'Scénario référence'!$B$10)*A21*10/30+('Scénario référence'!$F$8+'Scénario référence'!$F$9)*10)</f>
        <v>10</v>
      </c>
      <c r="CQ21" s="12" t="e">
        <f>VLOOKUP(A21,'Données projet'!$A$139:$I$159,2,0)</f>
        <v>#N/A</v>
      </c>
      <c r="CR21" s="12" t="e">
        <f>VLOOKUP(A21,'Données projet'!$A$139:$I$159,9,0)</f>
        <v>#N/A</v>
      </c>
      <c r="CS21" s="12">
        <f t="array" ref="CS21">INDEX(CR:CR,MIN(IF(ISNUMBER(CR21:CR217),ROW(CR21:CR217),"")))</f>
        <v>0</v>
      </c>
      <c r="CT21" s="12">
        <f>IF('Données projet'!$A$140&gt;35,CT20+CS21-DB20,IF(A21&lt;'Données projet'!$A$140,$CQ$205^A21,IF(A21='Données projet'!$A$140,'Données projet'!$B$140,CT20+CS21-DB20)))</f>
        <v>0</v>
      </c>
      <c r="CU21" s="17" t="e">
        <f>CT21*VLOOKUP('Données projet'!$B$13,Paramètres!$A$1:$I$89,3,0)*VLOOKUP('Données projet'!$B$13,Paramètres!$A$1:$I$89,5,0)</f>
        <v>#N/A</v>
      </c>
      <c r="CV21" s="13" t="e">
        <f t="shared" si="41"/>
        <v>#N/A</v>
      </c>
      <c r="CW21" s="20" t="e">
        <f t="shared" si="13"/>
        <v>#N/A</v>
      </c>
      <c r="CX21" s="59" t="e">
        <f t="shared" si="14"/>
        <v>#N/A</v>
      </c>
      <c r="CY21" s="59" t="e">
        <f ca="1">AVERAGE(OFFSET($CX$3,0,0,'Données projet'!$E$13+1,1))-AVERAGE(OFFSET($H$3,0,0,'Données projet'!$E$13+1,1))</f>
        <v>#N/A</v>
      </c>
      <c r="CZ21" s="59" t="e">
        <f t="shared" si="42"/>
        <v>#N/A</v>
      </c>
      <c r="DA21" s="15">
        <f>IF(ISNA(VLOOKUP(A21,'Données projet'!$A$139:$I$159,3,0)),0,VLOOKUP(A21,'Données projet'!$A$139:$I$159,3,0))</f>
        <v>0</v>
      </c>
      <c r="DB21" s="15">
        <f>IF(ISNA(VLOOKUP(A21,'Données projet'!$A$139:$I$159,4,0)),0,VLOOKUP(A21,'Données projet'!$A$139:$I$159,4,0))</f>
        <v>0</v>
      </c>
      <c r="DC21" s="16">
        <f>IF(ISNA(VLOOKUP(A21,'Données projet'!$A$139:$I$159,5,0)),0%,VLOOKUP(A21,'Données projet'!$A$139:$I$159,5,0)*VLOOKUP('Données projet'!$B$13,Paramètres!$A$1:$I$89,7,0))</f>
        <v>0</v>
      </c>
      <c r="DD21" s="16">
        <f>IF(ISNA(VLOOKUP(A21,'Données projet'!$A$139:$I$159,6,0)),0%,VLOOKUP(A21,'Données projet'!$A$139:$I$159,6,0)*VLOOKUP('Données projet'!$B$13,Paramètres!$A$1:$I$89,7,0))</f>
        <v>0</v>
      </c>
      <c r="DE21" s="16">
        <f>IF(ISNA(VLOOKUP(A21,'Données projet'!$A$139:$I$159,7,0)),0%,VLOOKUP(A21,'Données projet'!$A$139:$I$159,7,0))</f>
        <v>0</v>
      </c>
      <c r="DF21" s="21" t="e">
        <f>EXP(-LN(2)/35)*DF20+(1-EXP(-LN(2)/35))/(LN(2)/35)*DB21*DC21*VLOOKUP('Données projet'!$B$13,Paramètres!$A$1:$I$89,3,0)*0.475*44/12</f>
        <v>#N/A</v>
      </c>
      <c r="DG21" s="21" t="e">
        <f>EXP(-LN(2)/25)*DG20+(1-EXP(-LN(2)/25))/(LN(2)/25)*Calculateur!DB21*Calculateur!DD21*VLOOKUP('Données projet'!$B$13,Paramètres!$A$1:$I$89,3,0)*0.475*44/12</f>
        <v>#N/A</v>
      </c>
      <c r="DH21" s="21" t="e">
        <f>EXP(-LN(2)/2)*DH20+(1-EXP(-LN(2)/2))/(LN(2)/2)*DB21*DE21*VLOOKUP('Données projet'!$B$13,Paramètres!$A$1:$I$89,3,0)*0.475*44/12</f>
        <v>#N/A</v>
      </c>
      <c r="DI21" s="22" t="e">
        <f t="shared" si="15"/>
        <v>#N/A</v>
      </c>
      <c r="DJ21" s="75">
        <f>('Scénario référence'!$F$8+'Scénario référence'!$F$9+'Scénario référence'!$B$17+'Scénario référence'!$B$9+'Scénario référence'!$B$10)*70+IF((45+25*(1-EXP(-0.0175*A21)))&lt;70,'Scénario référence'!$B$16*(45+25*(1-EXP(-0.0175*A21))),70*'Scénario référence'!$B$16)+IF((32+38*(1-EXP(-0.0175*A21)))&lt;70,'Scénario référence'!$B$18*(32+38*(1-EXP(-0.0175*A21))),70*'Scénario référence'!$B$18)</f>
        <v>70</v>
      </c>
      <c r="DK21" s="12">
        <f>IF(A21&gt;30,10,('Scénario référence'!$B$16+'Scénario référence'!$B$17+'Scénario référence'!$B$18+'Scénario référence'!$B$9+'Scénario référence'!$B$10)*A21*10/30+('Scénario référence'!$F$8+'Scénario référence'!$F$9)*10)</f>
        <v>10</v>
      </c>
      <c r="DL21" s="12" t="e">
        <f>VLOOKUP(A21,'Données projet'!$A$165:$I$185,2,0)</f>
        <v>#N/A</v>
      </c>
      <c r="DM21" s="12" t="e">
        <f>VLOOKUP(A21,'Données projet'!$A$165:$I$185,9,0)</f>
        <v>#N/A</v>
      </c>
      <c r="DN21" s="12">
        <f t="array" ref="DN21">INDEX(DM:DM,MIN(IF(ISNUMBER(DM21:DM217),ROW(DM21:DM217),"")))</f>
        <v>11</v>
      </c>
      <c r="DO21" s="12">
        <f>IF('Données projet'!$A$166&gt;35,DO20+DN21-DW20,IF(A21&lt;'Données projet'!$A$166,$DL$205^A21,IF(A21='Données projet'!$A$166,'Données projet'!$B$166,DO20+DN21-DW20)))</f>
        <v>101</v>
      </c>
      <c r="DP21" s="17">
        <f>DO21*VLOOKUP('Données projet'!$B$14,Paramètres!$A$1:$I$89,3,0)*VLOOKUP('Données projet'!$B$14,Paramètres!$A$1:$I$89,5,0)</f>
        <v>66.175200000000004</v>
      </c>
      <c r="DQ21" s="13">
        <f t="shared" si="43"/>
        <v>18.720541159483023</v>
      </c>
      <c r="DR21" s="20">
        <f t="shared" si="16"/>
        <v>147.86008251943295</v>
      </c>
      <c r="DS21" s="59">
        <f t="shared" si="17"/>
        <v>441.19341585276629</v>
      </c>
      <c r="DT21" s="59">
        <f ca="1">AVERAGE(OFFSET($DS$3,0,0,'Données projet'!$E$14+1,1))-AVERAGE(OFFSET($H$3,0,0,'Données projet'!$E$14+1,1))</f>
        <v>188.68915783955595</v>
      </c>
      <c r="DU21" s="59">
        <f t="shared" si="44"/>
        <v>240.82467772396944</v>
      </c>
      <c r="DV21" s="15">
        <f>IF(ISNA(VLOOKUP(A21,'Données projet'!$A$165:$I$185,3,0)),0,VLOOKUP(A21,'Données projet'!$A$165:$I$185,3,0))</f>
        <v>0</v>
      </c>
      <c r="DW21" s="15">
        <f>IF(ISNA(VLOOKUP(A21,'Données projet'!$A$165:$I$185,4,0)),0,VLOOKUP(A21,'Données projet'!$A$165:$I$185,4,0))</f>
        <v>0</v>
      </c>
      <c r="DX21" s="16">
        <f>IF(ISNA(VLOOKUP(A21,'Données projet'!$A$165:$I$185,5,0)),0%,VLOOKUP(A21,'Données projet'!$A$165:$I$185,5,0)*VLOOKUP('Données projet'!$B$14,Paramètres!$A$1:$I$89,7,0))</f>
        <v>0</v>
      </c>
      <c r="DY21" s="16">
        <f>IF(ISNA(VLOOKUP(A21,'Données projet'!$A$165:$I$185,6,0)),0%,VLOOKUP(A21,'Données projet'!$A$165:$I$185,6,0)*VLOOKUP('Données projet'!$B$14,Paramètres!$A$1:$I$89,7,0))</f>
        <v>0</v>
      </c>
      <c r="DZ21" s="16">
        <f>IF(ISNA(VLOOKUP(A21,'Données projet'!$A$165:$I$185,7,0)),0%,VLOOKUP(A21,'Données projet'!$A$165:$I$185,7,0))</f>
        <v>0</v>
      </c>
      <c r="EA21" s="21">
        <f>EXP(-LN(2)/35)*EA20+(1-EXP(-LN(2)/35))/(LN(2)/35)*DW21*DX21*VLOOKUP('Données projet'!$B$14,Paramètres!$A$1:$I$89,3,0)*0.475*44/12</f>
        <v>0</v>
      </c>
      <c r="EB21" s="21">
        <f>EXP(-LN(2)/25)*EB20+(1-EXP(-LN(2)/25))/(LN(2)/25)*Calculateur!DW21*Calculateur!DY21*VLOOKUP('Données projet'!$B$14,Paramètres!$A$1:$I$89,3,0)*0.475*44/12</f>
        <v>0</v>
      </c>
      <c r="EC21" s="21">
        <f>EXP(-LN(2)/2)*EC20+(1-EXP(-LN(2)/2))/(LN(2)/2)*DW21*DZ21*VLOOKUP('Données projet'!$B$14,Paramètres!$A$1:$I$89,3,0)*0.475*44/12</f>
        <v>0</v>
      </c>
      <c r="ED21" s="22">
        <f t="shared" si="18"/>
        <v>0</v>
      </c>
      <c r="EE21" s="75">
        <f>('Scénario référence'!$F$8+'Scénario référence'!$F$9+'Scénario référence'!$B$17+'Scénario référence'!$B$9+'Scénario référence'!$B$10)*70+IF((45+25*(1-EXP(-0.0175*A21)))&lt;70,'Scénario référence'!$B$16*(45+25*(1-EXP(-0.0175*A21))),70*'Scénario référence'!$B$16)+IF((32+38*(1-EXP(-0.0175*A21)))&lt;70,'Scénario référence'!$B$18*(32+38*(1-EXP(-0.0175*A21))),70*'Scénario référence'!$B$18)</f>
        <v>70</v>
      </c>
      <c r="EF21" s="12">
        <f>IF(A21&gt;30,10,('Scénario référence'!$B$16+'Scénario référence'!$B$17+'Scénario référence'!$B$18+'Scénario référence'!$B$9+'Scénario référence'!$B$10)*A21*10/30+('Scénario référence'!$F$8+'Scénario référence'!$F$9)*10)</f>
        <v>10</v>
      </c>
      <c r="EG21" s="12" t="e">
        <f>VLOOKUP(A21,'Données projet'!$A$191:$I$211,2,0)</f>
        <v>#N/A</v>
      </c>
      <c r="EH21" s="12" t="e">
        <f>VLOOKUP(A21,'Données projet'!$A$191:$I$211,9,0)</f>
        <v>#N/A</v>
      </c>
      <c r="EI21" s="12">
        <f t="array" ref="EI21">INDEX(EH:EH,MIN(IF(ISNUMBER(EH21:EH217),ROW(EH21:EH217),"")))</f>
        <v>7.8</v>
      </c>
      <c r="EJ21" s="12">
        <f>IF('Données projet'!$A$192&gt;35,EJ20+EI21-ER20,IF(A21&lt;'Données projet'!$A$192,$EG$205^A21,IF(A21='Données projet'!$A$192,'Données projet'!$B$192,EJ20+EI21-ER20)))</f>
        <v>67.399999999999991</v>
      </c>
      <c r="EK21" s="17">
        <f>EJ21*VLOOKUP('Données projet'!$B$15,Paramètres!$A$1:$I$89,3,0)*VLOOKUP('Données projet'!$B$15,Paramètres!$A$1:$I$89,5,0)</f>
        <v>54.674879999999995</v>
      </c>
      <c r="EL21" s="13">
        <f t="shared" si="45"/>
        <v>15.814716062269575</v>
      </c>
      <c r="EM21" s="20">
        <f t="shared" si="19"/>
        <v>122.76937980845283</v>
      </c>
      <c r="EN21" s="59">
        <f t="shared" si="20"/>
        <v>416.10271314178613</v>
      </c>
      <c r="EO21" s="59">
        <f ca="1">AVERAGE(OFFSET($EN$3,0,0,'Données projet'!$E$15+1,1))-AVERAGE(OFFSET($H$3,0,0,'Données projet'!$E$15+1,1))</f>
        <v>205.5272583787887</v>
      </c>
      <c r="EP21" s="59">
        <f t="shared" si="46"/>
        <v>180.54762778843178</v>
      </c>
      <c r="EQ21" s="15">
        <f>IF(ISNA(VLOOKUP(A21,'Données projet'!$A$191:$I$211,3,0)),0,VLOOKUP(A21,'Données projet'!$A$191:$I$211,3,0))</f>
        <v>0</v>
      </c>
      <c r="ER21" s="15">
        <f>IF(ISNA(VLOOKUP(A21,'Données projet'!$A$191:$I$211,4,0)),0,VLOOKUP(A21,'Données projet'!$A$191:$I$211,4,0))</f>
        <v>0</v>
      </c>
      <c r="ES21" s="16">
        <f>IF(ISNA(VLOOKUP(A21,'Données projet'!$A$191:$I$211,5,0)),0%,VLOOKUP(A21,'Données projet'!$A$191:$I$211,5,0)*VLOOKUP('Données projet'!$B$15,Paramètres!$A$1:$I$89,7,0))</f>
        <v>0</v>
      </c>
      <c r="ET21" s="16">
        <f>IF(ISNA(VLOOKUP(A21,'Données projet'!$A$191:$I$211,6,0)),0%,VLOOKUP(A21,'Données projet'!$A$191:$I$211,6,0)*VLOOKUP('Données projet'!$B$15,Paramètres!$A$1:$I$89,7,0))</f>
        <v>0</v>
      </c>
      <c r="EU21" s="16">
        <f>IF(ISNA(VLOOKUP(A21,'Données projet'!$A$191:$I$211,7,0)),0%,VLOOKUP(A21,'Données projet'!$A$191:$I$211,7,0))</f>
        <v>0</v>
      </c>
      <c r="EV21" s="21">
        <f>EXP(-LN(2)/35)*EV20+(1-EXP(-LN(2)/35))/(LN(2)/35)*ER21*ES21*VLOOKUP('Données projet'!$B$15,Paramètres!$A$1:$I$89,3,0)*0.475*44/12</f>
        <v>0</v>
      </c>
      <c r="EW21" s="21">
        <f>EXP(-LN(2)/25)*EW20+(1-EXP(-LN(2)/25))/(LN(2)/25)*Calculateur!ER21*Calculateur!ET21*VLOOKUP('Données projet'!$B$15,Paramètres!$A$1:$I$89,3,0)*0.475*44/12</f>
        <v>0</v>
      </c>
      <c r="EX21" s="21">
        <f>EXP(-LN(2)/2)*EX20+(1-EXP(-LN(2)/2))/(LN(2)/2)*ER21*EU21*VLOOKUP('Données projet'!$B$15,Paramètres!$A$1:$I$89,3,0)*0.475*44/12</f>
        <v>0</v>
      </c>
      <c r="EY21" s="22">
        <f t="shared" si="21"/>
        <v>0</v>
      </c>
      <c r="EZ21" s="75">
        <f>('Scénario référence'!$F$8+'Scénario référence'!$F$9+'Scénario référence'!$B$17+'Scénario référence'!$B$9+'Scénario référence'!$B$10)*70+IF((45+25*(1-EXP(-0.0175*A21)))&lt;70,'Scénario référence'!$B$16*(45+25*(1-EXP(-0.0175*A21))),70*'Scénario référence'!$B$16)+IF((32+38*(1-EXP(-0.0175*A21)))&lt;70,'Scénario référence'!$B$18*(32+38*(1-EXP(-0.0175*A21))),70*'Scénario référence'!$B$18)</f>
        <v>70</v>
      </c>
      <c r="FA21" s="12">
        <f>IF(A21&gt;30,10,('Scénario référence'!$B$16+'Scénario référence'!$B$17+'Scénario référence'!$B$18+'Scénario référence'!$B$9+'Scénario référence'!$B$10)*A21*10/30+('Scénario référence'!$F$8+'Scénario référence'!$F$9)*10)</f>
        <v>10</v>
      </c>
      <c r="FB21" s="12" t="e">
        <f>VLOOKUP(A21,'Données projet'!$A$217:$I$237,2,0)</f>
        <v>#N/A</v>
      </c>
      <c r="FC21" s="12" t="e">
        <f>VLOOKUP(A21,'Données projet'!$A$217:$I$237,9,0)</f>
        <v>#N/A</v>
      </c>
      <c r="FD21" s="12">
        <f t="array" ref="FD21">INDEX(FC:FC,MIN(IF(ISNUMBER(FC21:FC217),ROW(FC21:FC217),"")))</f>
        <v>6.2</v>
      </c>
      <c r="FE21" s="12">
        <f>IF('Données projet'!$A$218&gt;35,FE20+FD21-FM20,IF(A21&lt;'Données projet'!$A$218,$FB$205^A21,IF(A21='Données projet'!$A$218,'Données projet'!$B$218,FE20+FD21-FM20)))</f>
        <v>44.600000000000009</v>
      </c>
      <c r="FF21" s="17">
        <f>FE21*VLOOKUP('Données projet'!$B$16,Paramètres!$A$1:$I$89,3,0)*VLOOKUP('Données projet'!$B$16,Paramètres!$A$1:$I$89,5,0)</f>
        <v>38.266800000000018</v>
      </c>
      <c r="FG21" s="13">
        <f t="shared" si="47"/>
        <v>11.538084456157343</v>
      </c>
      <c r="FH21" s="20">
        <f t="shared" si="22"/>
        <v>86.743507094474069</v>
      </c>
      <c r="FI21" s="59">
        <f t="shared" si="23"/>
        <v>380.07684042780738</v>
      </c>
      <c r="FJ21" s="59">
        <f ca="1">AVERAGE(OFFSET($FI$3,0,0,'Données projet'!$E$16+1,1))-AVERAGE(OFFSET($H$3,0,0,'Données projet'!$E$16+1,1))</f>
        <v>383.97627237444709</v>
      </c>
      <c r="FK21" s="59">
        <f t="shared" si="48"/>
        <v>203.35476578922339</v>
      </c>
      <c r="FL21" s="15">
        <f>IF(ISNA(VLOOKUP(A21,'Données projet'!$A$217:$I$237,3,0)),0,VLOOKUP(A21,'Données projet'!$A$217:$I$237,3,0))</f>
        <v>0</v>
      </c>
      <c r="FM21" s="15">
        <f>IF(ISNA(VLOOKUP(A21,'Données projet'!$A$217:$I$237,4,0)),0,VLOOKUP(A21,'Données projet'!$A$217:$I$237,4,0))</f>
        <v>0</v>
      </c>
      <c r="FN21" s="16">
        <f>IF(ISNA(VLOOKUP(A21,'Données projet'!$A$217:$I$237,5,0)),0%,VLOOKUP(A21,'Données projet'!$A$217:$I$237,5,0)*VLOOKUP('Données projet'!$B$16,Paramètres!$A$1:$I$89,7,0))</f>
        <v>0</v>
      </c>
      <c r="FO21" s="16">
        <f>IF(ISNA(VLOOKUP(A21,'Données projet'!$A$217:$I$237,6,0)),0%,VLOOKUP(A21,'Données projet'!$A$217:$I$237,6,0)*VLOOKUP('Données projet'!$B$16,Paramètres!$A$1:$I$89,7,0))</f>
        <v>0</v>
      </c>
      <c r="FP21" s="16">
        <f>IF(ISNA(VLOOKUP(A21,'Données projet'!$A$217:$I$237,7,0)),0%,VLOOKUP(A21,'Données projet'!$A$217:$I$237,7,0))</f>
        <v>0</v>
      </c>
      <c r="FQ21" s="21">
        <f>EXP(-LN(2)/35)*FQ20+(1-EXP(-LN(2)/35))/(LN(2)/35)*FM21*FN21*VLOOKUP('Données projet'!$B$16,Paramètres!$A$1:$I$89,3,0)*0.475*44/12</f>
        <v>0</v>
      </c>
      <c r="FR21" s="21">
        <f>EXP(-LN(2)/25)*FR20+(1-EXP(-LN(2)/25))/(LN(2)/25)*Calculateur!FM21*Calculateur!FO21*VLOOKUP('Données projet'!$B$16,Paramètres!$A$1:$I$89,3,0)*0.475*44/12</f>
        <v>0</v>
      </c>
      <c r="FS21" s="21">
        <f>EXP(-LN(2)/2)*FS20+(1-EXP(-LN(2)/2))/(LN(2)/2)*FM21*FP21*VLOOKUP('Données projet'!$B$16,Paramètres!$A$1:$I$89,3,0)*0.475*44/12</f>
        <v>0</v>
      </c>
      <c r="FT21" s="22">
        <f t="shared" si="24"/>
        <v>0</v>
      </c>
      <c r="FU21" s="75">
        <f>('Scénario référence'!$F$8+'Scénario référence'!$F$9+'Scénario référence'!$B$17+'Scénario référence'!$B$9+'Scénario référence'!$B$10)*70+IF((45+25*(1-EXP(-0.0175*A21)))&lt;70,'Scénario référence'!$B$16*(45+25*(1-EXP(-0.0175*A21))),70*'Scénario référence'!$B$16)+IF((32+38*(1-EXP(-0.0175*A21)))&lt;70,'Scénario référence'!$B$18*(32+38*(1-EXP(-0.0175*A21))),70*'Scénario référence'!$B$18)</f>
        <v>70</v>
      </c>
      <c r="FV21" s="12">
        <f>IF(A21&gt;30,10,('Scénario référence'!$B$16+'Scénario référence'!$B$17+'Scénario référence'!$B$18+'Scénario référence'!$B$9+'Scénario référence'!$B$10)*A21*10/30+('Scénario référence'!$F$8+'Scénario référence'!$F$9)*10)</f>
        <v>10</v>
      </c>
      <c r="FW21" s="12" t="e">
        <f>VLOOKUP(A21,'Données projet'!$A$243:$I$263,2,0)</f>
        <v>#N/A</v>
      </c>
      <c r="FX21" s="12" t="e">
        <f>VLOOKUP(A21,'Données projet'!$A$243:$I$263,9,0)</f>
        <v>#N/A</v>
      </c>
      <c r="FY21" s="12">
        <f t="array" ref="FY21">INDEX(FX:FX,MIN(IF(ISNUMBER(FX21:FX217),ROW(FX21:FX217),"")))</f>
        <v>4.0628205128205126</v>
      </c>
      <c r="FZ21" s="12">
        <f>IF('Données projet'!$A$244&gt;35,FZ20+FY21-GH20,IF(A21&lt;'Données projet'!$A$244,$FW$205^A21,IF(A21='Données projet'!$A$244,'Données projet'!$B$244,FZ20+FY21-GH20)))</f>
        <v>17.847168942782186</v>
      </c>
      <c r="GA21" s="17">
        <f>FZ21*VLOOKUP('Données projet'!$B$17,Paramètres!$A$1:$I$89,3,0)*VLOOKUP('Données projet'!$B$17,Paramètres!$A$1:$I$89,5,0)</f>
        <v>19.210692650010746</v>
      </c>
      <c r="GB21" s="13">
        <f t="shared" si="49"/>
        <v>6.2761119358126942</v>
      </c>
      <c r="GC21" s="20">
        <f t="shared" si="25"/>
        <v>44.389517986975818</v>
      </c>
      <c r="GD21" s="59">
        <f t="shared" si="26"/>
        <v>337.72285132030913</v>
      </c>
      <c r="GE21" s="59">
        <f ca="1">AVERAGE(OFFSET($GD$3,0,0,'Données projet'!$E$17+1,1))-AVERAGE(OFFSET($H$3,0,0,'Données projet'!$E$17+1,1))</f>
        <v>286.77702855541287</v>
      </c>
      <c r="GF21" s="59">
        <f t="shared" si="50"/>
        <v>227.12211541860779</v>
      </c>
      <c r="GG21" s="15">
        <f>IF(ISNA(VLOOKUP(A21,'Données projet'!$A$243:$I$263,3,0)),0,VLOOKUP(A21,'Données projet'!$A$243:$I$263,3,0))</f>
        <v>0</v>
      </c>
      <c r="GH21" s="15">
        <f>IF(ISNA(VLOOKUP(A21,'Données projet'!$A$243:$I$263,4,0)),0,VLOOKUP(A21,'Données projet'!$A$243:$I$263,4,0))</f>
        <v>0</v>
      </c>
      <c r="GI21" s="16">
        <f>IF(ISNA(VLOOKUP(A21,'Données projet'!$A$243:$I$263,5,0)),0%,VLOOKUP(A21,'Données projet'!$A$243:$I$263,5,0)*VLOOKUP('Données projet'!$B$17,Paramètres!$A$1:$I$89,7,0))</f>
        <v>0</v>
      </c>
      <c r="GJ21" s="16">
        <f>IF(ISNA(VLOOKUP(A21,'Données projet'!$A$243:$I$263,6,0)),0%,VLOOKUP(A21,'Données projet'!$A$243:$I$263,6,0)*VLOOKUP('Données projet'!$B$17,Paramètres!$A$1:$I$89,7,0))</f>
        <v>0</v>
      </c>
      <c r="GK21" s="16">
        <f>IF(ISNA(VLOOKUP(A21,'Données projet'!$A$243:$I$263,7,0)),0%,VLOOKUP(A21,'Données projet'!$A$243:$I$263,7,0))</f>
        <v>0</v>
      </c>
      <c r="GL21" s="21">
        <f>EXP(-LN(2)/35)*GL20+(1-EXP(-LN(2)/35))/(LN(2)/35)*GH21*GI21*VLOOKUP('Données projet'!$B$17,Paramètres!$A$1:$I$89,3,0)*0.475*44/12</f>
        <v>0</v>
      </c>
      <c r="GM21" s="21">
        <f>EXP(-LN(2)/25)*GM20+(1-EXP(-LN(2)/25))/(LN(2)/25)*Calculateur!GH21*Calculateur!GJ21*VLOOKUP('Données projet'!$B$17,Paramètres!$A$1:$I$89,3,0)*0.475*44/12</f>
        <v>0</v>
      </c>
      <c r="GN21" s="21">
        <f>EXP(-LN(2)/2)*GN20+(1-EXP(-LN(2)/2))/(LN(2)/2)*GH21*GK21*VLOOKUP('Données projet'!$B$17,Paramètres!$A$1:$I$89,3,0)*0.475*44/12</f>
        <v>0</v>
      </c>
      <c r="GO21" s="21">
        <f t="shared" si="27"/>
        <v>0</v>
      </c>
      <c r="GP21" s="75">
        <f>('Scénario référence'!$F$8+'Scénario référence'!$F$9+'Scénario référence'!$B$17+'Scénario référence'!$B$9+'Scénario référence'!$B$10)*70+IF((45+25*(1-EXP(-0.0175*A21)))&lt;70,'Scénario référence'!$B$16*(45+25*(1-EXP(-0.0175*A21))),70*'Scénario référence'!$B$16)+IF((32+38*(1-EXP(-0.0175*A21)))&lt;70,'Scénario référence'!$B$18*(32+38*(1-EXP(-0.0175*A21))),70*'Scénario référence'!$B$18)</f>
        <v>70</v>
      </c>
      <c r="GQ21" s="12">
        <f>IF(A21&gt;30,10,('Scénario référence'!$B$16+'Scénario référence'!$B$17+'Scénario référence'!$B$18+'Scénario référence'!$B$9+'Scénario référence'!$B$10)*A21*10/30+('Scénario référence'!$F$8+'Scénario référence'!$F$9)*10)</f>
        <v>10</v>
      </c>
      <c r="GR21" s="12" t="e">
        <f>VLOOKUP(A21,'Données projet'!$A$269:$I$289,2,0)</f>
        <v>#N/A</v>
      </c>
      <c r="GS21" s="12" t="e">
        <f>VLOOKUP(A21,'Données projet'!$A$269:$I$289,9,0)</f>
        <v>#N/A</v>
      </c>
      <c r="GT21" s="12">
        <f t="array" ref="GT21">INDEX(GS:GS,MIN(IF(ISNUMBER(GS21:GS217),ROW(GS21:GS217),"")))</f>
        <v>4.0628205128205126</v>
      </c>
      <c r="GU21" s="12">
        <f>IF('Données projet'!$A$270&gt;35,GU20+GT21-HC20,IF(A21&lt;'Données projet'!$A$270,$GR$205^A21,IF(A21='Données projet'!$A$270,'Données projet'!$B$270,GU20+GT21-HC20)))</f>
        <v>17.847168942782186</v>
      </c>
      <c r="GV21" s="17">
        <f>GU21*VLOOKUP('Données projet'!$B$18,Paramètres!$A$1:$I$89,3,0)*VLOOKUP('Données projet'!$B$18,Paramètres!$A$1:$I$89,5,0)</f>
        <v>19.210692650010746</v>
      </c>
      <c r="GW21" s="13">
        <f t="shared" si="51"/>
        <v>6.2761119358126942</v>
      </c>
      <c r="GX21" s="20">
        <f t="shared" si="28"/>
        <v>44.389517986975818</v>
      </c>
      <c r="GY21" s="59">
        <f t="shared" si="29"/>
        <v>337.72285132030913</v>
      </c>
      <c r="GZ21" s="59">
        <f ca="1">AVERAGE(OFFSET($GY$3,0,0,'Données projet'!$E$18+1,1))-AVERAGE(OFFSET($H$3,0,0,'Données projet'!$E$18+1,1))</f>
        <v>286.77702855541287</v>
      </c>
      <c r="HA21" s="59">
        <f t="shared" si="52"/>
        <v>227.12211541860779</v>
      </c>
      <c r="HB21" s="15">
        <f>IF(ISNA(VLOOKUP(A21,'Données projet'!$A$269:$I$289,3,0)),0,VLOOKUP(A21,'Données projet'!$A$269:$I$289,3,0))</f>
        <v>0</v>
      </c>
      <c r="HC21" s="15">
        <f>IF(ISNA(VLOOKUP(A21,'Données projet'!$A$269:$I$289,4,0)),0,VLOOKUP(A21,'Données projet'!$A$269:$I$289,4,0))</f>
        <v>0</v>
      </c>
      <c r="HD21" s="16">
        <f>IF(ISNA(VLOOKUP(A21,'Données projet'!$A$269:$I$289,5,0)),0%,VLOOKUP(A21,'Données projet'!$A$269:$I$289,5,0)*VLOOKUP('Données projet'!$B$18,Paramètres!$A$1:$I$89,7,0))</f>
        <v>0</v>
      </c>
      <c r="HE21" s="16">
        <f>IF(ISNA(VLOOKUP(A21,'Données projet'!$A$269:$I$289,6,0)),0%,VLOOKUP(A21,'Données projet'!$A$269:$I$289,6,0)*VLOOKUP('Données projet'!$B$18,Paramètres!$A$1:$I$89,7,0))</f>
        <v>0</v>
      </c>
      <c r="HF21" s="16">
        <f>IF(ISNA(VLOOKUP(A21,'Données projet'!$A$269:$I$289,7,0)),0%,VLOOKUP(A21,'Données projet'!$A$269:$I$289,7,0))</f>
        <v>0</v>
      </c>
      <c r="HG21" s="21">
        <f>EXP(-LN(2)/35)*HG20+(1-EXP(-LN(2)/35))/(LN(2)/35)*HC21*HD21*VLOOKUP('Données projet'!$B$18,Paramètres!$A$1:$I$89,3,0)*0.475*44/12</f>
        <v>0</v>
      </c>
      <c r="HH21" s="21">
        <f>EXP(-LN(2)/25)*HH20+(1-EXP(-LN(2)/25))/(LN(2)/25)*Calculateur!HC21*Calculateur!HE21*VLOOKUP('Données projet'!$B$18,Paramètres!$A$1:$I$89,3,0)*0.475*44/12</f>
        <v>0</v>
      </c>
      <c r="HI21" s="21">
        <f>EXP(-LN(2)/2)*HI20+(1-EXP(-LN(2)/2))/(LN(2)/2)*HC21*HF21*VLOOKUP('Données projet'!$B$18,Paramètres!$A$1:$I$89,3,0)*0.475*44/12</f>
        <v>0</v>
      </c>
      <c r="HJ21" s="22">
        <f t="shared" si="30"/>
        <v>0</v>
      </c>
    </row>
    <row r="22" spans="1:218" x14ac:dyDescent="0.25">
      <c r="A22" s="10">
        <f t="shared" si="31"/>
        <v>19</v>
      </c>
      <c r="B22" s="73">
        <f>'Scénario référence'!$B$16*5+'Scénario référence'!$B$17*0+'Scénario référence'!$B$18*5</f>
        <v>0</v>
      </c>
      <c r="C22" s="19">
        <f>Calculateur!C21+'Scénario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16.894800000000004</v>
      </c>
      <c r="D22" s="11">
        <f t="shared" si="32"/>
        <v>5.6026651130643481</v>
      </c>
      <c r="E2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2" s="11">
        <f>IF(OR('Scénario référence'!$F$8&gt;0,'Scénario référence'!$F$9&gt;0),('Scénario référence'!$F$8+'Scénario référence'!$F$9)*10,0)</f>
        <v>10</v>
      </c>
      <c r="G22" s="11">
        <f>'Scénario référence'!$B$8*B22*44/12+'Scénario référence'!$B$9*(C22+D22)/0.475*44/12+'Scénario référence'!$B$10*(C22+D22)/0.475*44/12+'Scénario référence'!$F$8*(C22+D22)/0.475*44/12+'Scénario référence'!$F$9*(C22+D22)/0.475*44/12</f>
        <v>173.66464297804058</v>
      </c>
      <c r="H22" s="67">
        <f t="shared" si="1"/>
        <v>332.51641840525372</v>
      </c>
      <c r="I22" s="70">
        <f>('Scénario référence'!$F$8+'Scénario référence'!$F$9+'Scénario référence'!$B$17+'Scénario référence'!$B$9+'Scénario référence'!$B$10)*70+IF((45+25*(1-EXP(-0.0175*A22)))&lt;70,'Scénario référence'!$B$16*(45+25*(1-EXP(-0.0175*A22))),70*'Scénario référence'!$B$16)+IF((32+38*(1-EXP(-0.0175*A22)))&lt;70,'Scénario référence'!$B$18*(32+38*(1-EXP(-0.0175*A22))),70*'Scénario référence'!$B$18)</f>
        <v>70</v>
      </c>
      <c r="J22" s="13">
        <f>IF(A22&gt;30,10,('Scénario référence'!$B$16+'Scénario référence'!$B$17+'Scénario référence'!$B$18+'Scénario référence'!$B$9+'Scénario référence'!$B$10)*A22*10/30+('Scénario référence'!$F$8+'Scénario référence'!$F$9)*10)</f>
        <v>10</v>
      </c>
      <c r="K22" s="12" t="e">
        <f>VLOOKUP(A22,'Données projet'!$A$35:$I$55,2,0)</f>
        <v>#N/A</v>
      </c>
      <c r="L22" s="12" t="e">
        <f>VLOOKUP(A22,'Données projet'!$A$35:$I$55,9,0)</f>
        <v>#N/A</v>
      </c>
      <c r="M22" s="12">
        <f t="array" ref="M22">INDEX(L:L,MIN(IF(ISNUMBER(L22:L218),ROW(L22:L218),"")))</f>
        <v>20.658974358974358</v>
      </c>
      <c r="N22" s="13">
        <f>IF('Données projet'!$A$36&gt;35,N21+M22-V21,IF(A22&lt;'Données projet'!$A$36,$K$205^A22,IF(A22='Données projet'!$A$36,'Données projet'!$B$36,N21+M22-V21)))</f>
        <v>134.26666666666665</v>
      </c>
      <c r="O22" s="13">
        <f>N22*VLOOKUP('Données projet'!$B$9,Paramètres!$A$1:$I$89,3,0)*VLOOKUP('Données projet'!$B$9,Paramètres!$A$1:$I$89,5,0)</f>
        <v>75.055066666666661</v>
      </c>
      <c r="P22" s="13">
        <f t="shared" si="33"/>
        <v>20.923669242672773</v>
      </c>
      <c r="Q22" s="20">
        <f t="shared" si="2"/>
        <v>167.1629650420995</v>
      </c>
      <c r="R22" s="59">
        <f t="shared" si="0"/>
        <v>460.49629837543284</v>
      </c>
      <c r="S22" s="59">
        <f ca="1">AVERAGE(OFFSET($R$3,0,0,'Données projet'!$E$9+1,1))-AVERAGE(OFFSET($H$3,0,0,'Données projet'!$E$9+1,1))</f>
        <v>255.5374979188561</v>
      </c>
      <c r="T22" s="59">
        <f t="shared" si="34"/>
        <v>343.10418468620901</v>
      </c>
      <c r="U22" s="15">
        <f>IF(ISNA(VLOOKUP(A22,'Données projet'!$A$35:$I$55,3,0)),0,VLOOKUP(A22,'Données projet'!$A$35:$I$55,3,0))</f>
        <v>0</v>
      </c>
      <c r="V22" s="15">
        <f>IF(ISNA(VLOOKUP(A22,'Données projet'!$A$35:$I$55,4,0)),0,VLOOKUP(A22,'Données projet'!$A$35:$I$55,4,0))</f>
        <v>0</v>
      </c>
      <c r="W22" s="16">
        <f>IF(ISNA(VLOOKUP(A22,'Données projet'!$A$35:$I$55,5,0)),0%,VLOOKUP(A22,'Données projet'!$A$35:$I$55,5,0)*VLOOKUP('Données projet'!$B$9,Paramètres!$A$1:$I$89,7,0))</f>
        <v>0</v>
      </c>
      <c r="X22" s="16">
        <f>IF(ISNA(VLOOKUP(A22,'Données projet'!$A$35:$I$55,6,0)),0%,VLOOKUP(A22,'Données projet'!$A$35:$I$55,6,0)*VLOOKUP('Données projet'!$B$9,Paramètres!$A$1:$I$89,7,0))</f>
        <v>0</v>
      </c>
      <c r="Y22" s="16">
        <f>IF(ISNA(VLOOKUP(A22,'Données projet'!$A$35:$I$55,7,0)),0%,VLOOKUP(A22,'Données projet'!$A$35:$I$55,7,0))</f>
        <v>0</v>
      </c>
      <c r="Z22" s="21">
        <f>EXP(-LN(2)/35)*Z21+(1-EXP(-LN(2)/35))/(LN(2)/35)*V22*W22*VLOOKUP('Données projet'!$B$9,Paramètres!$A$1:$I$89,3,0)*0.475*44/12</f>
        <v>0</v>
      </c>
      <c r="AA22" s="21">
        <f>EXP(-LN(2)/25)*AA21+(1-EXP(-LN(2)/25))/(LN(2)/25)*Calculateur!V22*Calculateur!X22*VLOOKUP('Données projet'!$B$9,Paramètres!$A$1:$I$89,3,0)*0.475*44/12</f>
        <v>13.688476370852742</v>
      </c>
      <c r="AB22" s="21">
        <f>EXP(-LN(2)/2)*AB21+(1-EXP(-LN(2)/2))/(LN(2)/2)*V22*Y22*VLOOKUP('Données projet'!$B$9,Paramètres!$A$1:$I$89,3,0)*0.475*44/12</f>
        <v>15.503835938627832</v>
      </c>
      <c r="AC22" s="22">
        <f t="shared" si="3"/>
        <v>29.192312309480574</v>
      </c>
      <c r="AD22" s="13">
        <f>('Scénario référence'!$F$8+'Scénario référence'!$F$9+'Scénario référence'!$B$17+'Scénario référence'!$B$9+'Scénario référence'!$B$10)*70+IF((45+25*(1-EXP(-0.0175*A22)))&lt;70,'Scénario référence'!$B$16*(45+25*(1-EXP(-0.0175*A22))),70*'Scénario référence'!$B$16)+IF((32+38*(1-EXP(-0.0175*A22)))&lt;70,'Scénario référence'!$B$18*(32+38*(1-EXP(-0.0175*A22))),70*'Scénario référence'!$B$18)</f>
        <v>70</v>
      </c>
      <c r="AE22" s="13">
        <f>IF(A22&gt;30,10,('Scénario référence'!$B$16+'Scénario référence'!$B$17+'Scénario référence'!$B$18+'Scénario référence'!$B$9+'Scénario référence'!$B$10)*A22*10/30+('Scénario référence'!$F$8+'Scénario référence'!$F$9)*10)</f>
        <v>10</v>
      </c>
      <c r="AF22" s="12" t="e">
        <f>VLOOKUP(A22,'Données projet'!$A$61:$I$81,2,0)</f>
        <v>#N/A</v>
      </c>
      <c r="AG22" s="12" t="e">
        <f>VLOOKUP(A22,'Données projet'!$A$61:$I$81,9,0)</f>
        <v>#N/A</v>
      </c>
      <c r="AH22" s="12">
        <f t="array" ref="AH22">INDEX(AG:AG,MIN(IF(ISNUMBER(AG22:AG218),ROW(AG22:AG218),"")))</f>
        <v>13.2</v>
      </c>
      <c r="AI22" s="13">
        <f>IF('Données projet'!$A$62&gt;35,AI21+AH22-AQ21,IF(A22&lt;'Données projet'!$A$62,$AF$205^A22,IF(A22='Données projet'!$A$62,'Données projet'!$B$62,AI21+AH22-AQ21)))</f>
        <v>144.80000000000001</v>
      </c>
      <c r="AJ22" s="13">
        <f>AI22*VLOOKUP('Données projet'!$B$10,Paramètres!$A$1:$I$89,3,0)*VLOOKUP('Données projet'!$B$10,Paramètres!$A$1:$I$89,5,0)</f>
        <v>90.355200000000011</v>
      </c>
      <c r="AK22" s="13">
        <f t="shared" si="35"/>
        <v>24.650871032485298</v>
      </c>
      <c r="AL22" s="20">
        <f t="shared" si="4"/>
        <v>200.30224038157857</v>
      </c>
      <c r="AM22" s="59">
        <f t="shared" si="5"/>
        <v>493.63557371491186</v>
      </c>
      <c r="AN22" s="59">
        <f ca="1">AVERAGE(OFFSET($AM$3,0,0,'Données projet'!$E$10+1,1))-AVERAGE(OFFSET($H$3,0,0,'Données projet'!$E$10+1,1))</f>
        <v>261.78489480911571</v>
      </c>
      <c r="AO22" s="59">
        <f t="shared" si="36"/>
        <v>297.50513563712764</v>
      </c>
      <c r="AP22" s="15">
        <f>IF(ISNA(VLOOKUP(A22,'Données projet'!$A$61:$I$81,3,0)),0,VLOOKUP(A22,'Données projet'!$A$61:$I$81,3,0))</f>
        <v>0</v>
      </c>
      <c r="AQ22" s="15">
        <f>IF(ISNA(VLOOKUP(A22,'Données projet'!$A$61:$I$81,4,0)),0,VLOOKUP(A22,'Données projet'!$A$61:$I$81,4,0))</f>
        <v>0</v>
      </c>
      <c r="AR22" s="16">
        <f>IF(ISNA(VLOOKUP(A22,'Données projet'!$A$61:$I$81,5,0)),0%,VLOOKUP(A22,'Données projet'!$A$61:$I$81,5,0)*VLOOKUP('Données projet'!$B$10,Paramètres!$A$1:$I$89,7,0))</f>
        <v>0</v>
      </c>
      <c r="AS22" s="16">
        <f>IF(ISNA(VLOOKUP(A22,'Données projet'!$A$61:$I$81,6,0)),0%,VLOOKUP(A22,'Données projet'!$A$61:$I$81,6,0)*VLOOKUP('Données projet'!$B$10,Paramètres!$A$1:$I$89,7,0))</f>
        <v>0</v>
      </c>
      <c r="AT22" s="16">
        <f>IF(ISNA(VLOOKUP(A22,'Données projet'!$A$61:$I$81,7,0)),0%,VLOOKUP(A22,'Données projet'!$A$61:$I$81,7,0))</f>
        <v>0</v>
      </c>
      <c r="AU22" s="21">
        <f>EXP(-LN(2)/35)*AU21+(1-EXP(-LN(2)/35))/(LN(2)/35)*AQ22*AR22*VLOOKUP('Données projet'!$B$10,Paramètres!$A$1:$I$89,3,0)*0.475*44/12</f>
        <v>0</v>
      </c>
      <c r="AV22" s="21">
        <f>EXP(-LN(2)/25)*AV21+(1-EXP(-LN(2)/25))/(LN(2)/25)*Calculateur!AQ22*Calculateur!AS22*VLOOKUP('Données projet'!$B$10,Paramètres!$A$1:$I$89,3,0)*0.475*44/12</f>
        <v>0</v>
      </c>
      <c r="AW22" s="21">
        <f>EXP(-LN(2)/2)*AW21+(1-EXP(-LN(2)/2))/(LN(2)/2)*AQ22*AT22*VLOOKUP('Données projet'!$B$10,Paramètres!$A$1:$I$89,3,0)*0.475*44/12</f>
        <v>0</v>
      </c>
      <c r="AX22" s="21">
        <f t="shared" si="6"/>
        <v>0</v>
      </c>
      <c r="AY22" s="74">
        <f>('Scénario référence'!$F$8+'Scénario référence'!$F$9+'Scénario référence'!$B$17+'Scénario référence'!$B$9+'Scénario référence'!$B$10)*70+IF((45+25*(1-EXP(-0.0175*A22)))&lt;70,'Scénario référence'!$B$16*(45+25*(1-EXP(-0.0175*A22))),70*'Scénario référence'!$B$16)+IF((32+38*(1-EXP(-0.0175*A22)))&lt;70,'Scénario référence'!$B$18*(32+38*(1-EXP(-0.0175*A22))),70*'Scénario référence'!$B$18)</f>
        <v>70</v>
      </c>
      <c r="AZ22" s="12">
        <f>IF(A22&gt;30,10,('Scénario référence'!$B$16+'Scénario référence'!$B$17+'Scénario référence'!$B$18+'Scénario référence'!$B$9+'Scénario référence'!$B$10)*A22*10/30+('Scénario référence'!$F$8+'Scénario référence'!$F$9)*10)</f>
        <v>10</v>
      </c>
      <c r="BA22" s="12" t="e">
        <f>VLOOKUP(A22,'Données projet'!$A$87:$I$107,2,0)</f>
        <v>#N/A</v>
      </c>
      <c r="BB22" s="12" t="e">
        <f>VLOOKUP(A22,'Données projet'!$A$87:$I$107,9,0)</f>
        <v>#N/A</v>
      </c>
      <c r="BC22" s="12">
        <f t="array" ref="BC22">INDEX(BB:BB,MIN(IF(ISNUMBER(BB22:BB218),ROW(BB22:BB218),"")))</f>
        <v>5.3</v>
      </c>
      <c r="BD22" s="12">
        <f>IF('Données projet'!$A$88&gt;35,BD21+BC22-BL21,IF(A22&lt;'Données projet'!$A$88,$BA$205^A22,IF(A22='Données projet'!$A$88,'Données projet'!$B$88,BD21+BC22-BL21)))</f>
        <v>83.953841294250751</v>
      </c>
      <c r="BE22" s="13">
        <f>BD22*VLOOKUP('Données projet'!$B$11,Paramètres!$A$1:$I$89,3,0)*VLOOKUP('Données projet'!$B$11,Paramètres!$A$1:$I$89,5,0)</f>
        <v>50.204397093961951</v>
      </c>
      <c r="BF22" s="13">
        <f t="shared" si="37"/>
        <v>14.666533564506853</v>
      </c>
      <c r="BG22" s="20">
        <f t="shared" si="7"/>
        <v>112.98353756349984</v>
      </c>
      <c r="BH22" s="59">
        <f t="shared" si="8"/>
        <v>406.31687089683317</v>
      </c>
      <c r="BI22" s="59">
        <f ca="1">AVERAGE(OFFSET($BH$3,0,0,'Données projet'!$E$11+1,1))-AVERAGE(OFFSET($H$3,0,0,'Données projet'!$E$11+1,1))</f>
        <v>316.58509520829671</v>
      </c>
      <c r="BJ22" s="59">
        <f t="shared" si="38"/>
        <v>240.71332110643596</v>
      </c>
      <c r="BK22" s="15">
        <f>IF(ISNA(VLOOKUP(A22,'Données projet'!$A$87:$I$107,3,0)),0,VLOOKUP(A22,'Données projet'!$A$87:$I$107,3,0))</f>
        <v>0</v>
      </c>
      <c r="BL22" s="15">
        <f>IF(ISNA(VLOOKUP(A22,'Données projet'!$A$87:$I$107,4,0)),0,VLOOKUP(A22,'Données projet'!$A$87:$I$107,4,0))</f>
        <v>0</v>
      </c>
      <c r="BM22" s="16">
        <f>IF(ISNA(VLOOKUP(A22,'Données projet'!$A$87:$I$107,5,0)),0%,VLOOKUP(A22,'Données projet'!$A$87:$I$107,5,0)*VLOOKUP('Données projet'!$B$11,Paramètres!$A$1:$I$89,7,0))</f>
        <v>0</v>
      </c>
      <c r="BN22" s="16">
        <f>IF(ISNA(VLOOKUP(A22,'Données projet'!$A$87:$I$107,6,0)),0%,VLOOKUP(A22,'Données projet'!$A$87:$I$107,6,0)*VLOOKUP('Données projet'!$B$11,Paramètres!$A$1:$I$89,7,0))</f>
        <v>0</v>
      </c>
      <c r="BO22" s="16">
        <f>IF(ISNA(VLOOKUP(A22,'Données projet'!$A$87:$I$107,7,0)),0%,VLOOKUP(A22,'Données projet'!$A$87:$I$107,7,0))</f>
        <v>0</v>
      </c>
      <c r="BP22" s="21">
        <f>EXP(-LN(2)/35)*BP21+(1-EXP(-LN(2)/35))/(LN(2)/35)*BL22*BM22*VLOOKUP('Données projet'!$B$11,Paramètres!$A$1:$I$89,3,0)*0.475*44/12</f>
        <v>0</v>
      </c>
      <c r="BQ22" s="21">
        <f>EXP(-LN(2)/25)*BQ21+(1-EXP(-LN(2)/25))/(LN(2)/25)*Calculateur!BL22*Calculateur!BN22*VLOOKUP('Données projet'!$B$11,Paramètres!$A$1:$I$89,3,0)*0.475*44/12</f>
        <v>0</v>
      </c>
      <c r="BR22" s="21">
        <f>EXP(-LN(2)/2)*BR21+(1-EXP(-LN(2)/2))/(LN(2)/2)*BL22*BO22*VLOOKUP('Données projet'!$B$11,Paramètres!$A$1:$I$89,3,0)*0.475*44/12</f>
        <v>0</v>
      </c>
      <c r="BS22" s="22">
        <f t="shared" si="9"/>
        <v>0</v>
      </c>
      <c r="BT22" s="75">
        <f>('Scénario référence'!$F$8+'Scénario référence'!$F$9+'Scénario référence'!$B$17+'Scénario référence'!$B$9+'Scénario référence'!$B$10)*70+IF((45+25*(1-EXP(-0.0175*A22)))&lt;70,'Scénario référence'!$B$16*(45+25*(1-EXP(-0.0175*A22))),70*'Scénario référence'!$B$16)+IF((32+38*(1-EXP(-0.0175*A22)))&lt;70,'Scénario référence'!$B$18*(32+38*(1-EXP(-0.0175*A22))),70*'Scénario référence'!$B$18)</f>
        <v>70</v>
      </c>
      <c r="BU22" s="12">
        <f>IF(A22&gt;30,10,('Scénario référence'!$B$16+'Scénario référence'!$B$17+'Scénario référence'!$B$18+'Scénario référence'!$B$9+'Scénario référence'!$B$10)*A22*10/30+('Scénario référence'!$F$8+'Scénario référence'!$F$9)*10)</f>
        <v>10</v>
      </c>
      <c r="BV22" s="12" t="e">
        <f>VLOOKUP(A22,'Données projet'!$A$113:$I$133,2,0)</f>
        <v>#N/A</v>
      </c>
      <c r="BW22" s="12" t="e">
        <f>VLOOKUP(A22,'Données projet'!$A$113:$I$133,9,0)</f>
        <v>#N/A</v>
      </c>
      <c r="BX22" s="12">
        <f t="array" ref="BX22">INDEX(BW:BW,MIN(IF(ISNUMBER(BW22:BW218),ROW(BW22:BW218),"")))</f>
        <v>11.6</v>
      </c>
      <c r="BY22" s="12">
        <f>IF('Données projet'!$A$114&gt;35,BY21+BX22-CG21,IF(A22&lt;'Données projet'!$A$114,$BV$205^A22,IF(A22='Données projet'!$A$114,'Données projet'!$B$114,BY21+BX22-CG21)))</f>
        <v>94.399999999999991</v>
      </c>
      <c r="BZ22" s="13">
        <f>BY22*VLOOKUP('Données projet'!$B$12,Paramètres!$A$1:$I$89,3,0)*VLOOKUP('Données projet'!$B$12,Paramètres!$A$1:$I$89,5,0)</f>
        <v>53.996799999999993</v>
      </c>
      <c r="CA22" s="13">
        <f t="shared" si="39"/>
        <v>15.641285745209563</v>
      </c>
      <c r="CB22" s="20">
        <f t="shared" si="10"/>
        <v>121.28633267290662</v>
      </c>
      <c r="CC22" s="59">
        <f t="shared" si="11"/>
        <v>414.61966600623992</v>
      </c>
      <c r="CD22" s="59">
        <f ca="1">AVERAGE(OFFSET($CC$3,0,0,'Données projet'!$E$12+1,1))-AVERAGE(OFFSET($H$3,0,0,'Données projet'!$E$12+1,1))</f>
        <v>188.64374818906128</v>
      </c>
      <c r="CE22" s="59">
        <f t="shared" si="40"/>
        <v>211.95157880548652</v>
      </c>
      <c r="CF22" s="15">
        <f>IF(ISNA(VLOOKUP(A22,'Données projet'!$A$113:$I$133,3,0)),0,VLOOKUP(A22,'Données projet'!$A$113:$I$133,3,0))</f>
        <v>0</v>
      </c>
      <c r="CG22" s="15">
        <f>IF(ISNA(VLOOKUP(A22,'Données projet'!$A$113:$I$133,4,0)),0,VLOOKUP(A22,'Données projet'!$A$113:$I$133,4,0))</f>
        <v>0</v>
      </c>
      <c r="CH22" s="16">
        <f>IF(ISNA(VLOOKUP(A22,'Données projet'!$A$113:$I$133,5,0)),0%,VLOOKUP(A22,'Données projet'!$A$113:$I$133,5,0)*VLOOKUP('Données projet'!$B$12,Paramètres!$A$1:$I$89,7,0))</f>
        <v>0</v>
      </c>
      <c r="CI22" s="16">
        <f>IF(ISNA(VLOOKUP(A22,'Données projet'!$A$113:$I$133,6,0)),0%,VLOOKUP(A22,'Données projet'!$A$113:$I$133,6,0)*VLOOKUP('Données projet'!$B$12,Paramètres!$A$1:$I$89,7,0))</f>
        <v>0</v>
      </c>
      <c r="CJ22" s="16">
        <f>IF(ISNA(VLOOKUP(A22,'Données projet'!$A$113:$I$133,7,0)),0%,VLOOKUP(A22,'Données projet'!$A$113:$I$133,7,0))</f>
        <v>0</v>
      </c>
      <c r="CK22" s="21">
        <f>EXP(-LN(2)/35)*CK21+(1-EXP(-LN(2)/35))/(LN(2)/35)*CG22*CH22*VLOOKUP('Données projet'!$B$12,Paramètres!$A$1:$I$89,3,0)*0.475*44/12</f>
        <v>0</v>
      </c>
      <c r="CL22" s="21">
        <f>EXP(-LN(2)/25)*CL21+(1-EXP(-LN(2)/25))/(LN(2)/25)*Calculateur!CG22*Calculateur!CI22*VLOOKUP('Données projet'!$B$12,Paramètres!$A$1:$I$89,3,0)*0.475*44/12</f>
        <v>0</v>
      </c>
      <c r="CM22" s="21">
        <f>EXP(-LN(2)/2)*CM21+(1-EXP(-LN(2)/2))/(LN(2)/2)*CG22*CJ22*VLOOKUP('Données projet'!$B$12,Paramètres!$A$1:$I$89,3,0)*0.475*44/12</f>
        <v>0</v>
      </c>
      <c r="CN22" s="22">
        <f t="shared" si="12"/>
        <v>0</v>
      </c>
      <c r="CO22" s="75">
        <f>('Scénario référence'!$F$8+'Scénario référence'!$F$9+'Scénario référence'!$B$17+'Scénario référence'!$B$9+'Scénario référence'!$B$10)*70+IF((45+25*(1-EXP(-0.0175*A22)))&lt;70,'Scénario référence'!$B$16*(45+25*(1-EXP(-0.0175*A22))),70*'Scénario référence'!$B$16)+IF((32+38*(1-EXP(-0.0175*A22)))&lt;70,'Scénario référence'!$B$18*(32+38*(1-EXP(-0.0175*A22))),70*'Scénario référence'!$B$18)</f>
        <v>70</v>
      </c>
      <c r="CP22" s="12">
        <f>IF(A22&gt;30,10,('Scénario référence'!$B$16+'Scénario référence'!$B$17+'Scénario référence'!$B$18+'Scénario référence'!$B$9+'Scénario référence'!$B$10)*A22*10/30+('Scénario référence'!$F$8+'Scénario référence'!$F$9)*10)</f>
        <v>10</v>
      </c>
      <c r="CQ22" s="12" t="e">
        <f>VLOOKUP(A22,'Données projet'!$A$139:$I$159,2,0)</f>
        <v>#N/A</v>
      </c>
      <c r="CR22" s="12" t="e">
        <f>VLOOKUP(A22,'Données projet'!$A$139:$I$159,9,0)</f>
        <v>#N/A</v>
      </c>
      <c r="CS22" s="12">
        <f t="array" ref="CS22">INDEX(CR:CR,MIN(IF(ISNUMBER(CR22:CR218),ROW(CR22:CR218),"")))</f>
        <v>0</v>
      </c>
      <c r="CT22" s="12">
        <f>IF('Données projet'!$A$140&gt;35,CT21+CS22-DB21,IF(A22&lt;'Données projet'!$A$140,$CQ$205^A22,IF(A22='Données projet'!$A$140,'Données projet'!$B$140,CT21+CS22-DB21)))</f>
        <v>0</v>
      </c>
      <c r="CU22" s="17" t="e">
        <f>CT22*VLOOKUP('Données projet'!$B$13,Paramètres!$A$1:$I$89,3,0)*VLOOKUP('Données projet'!$B$13,Paramètres!$A$1:$I$89,5,0)</f>
        <v>#N/A</v>
      </c>
      <c r="CV22" s="13" t="e">
        <f t="shared" si="41"/>
        <v>#N/A</v>
      </c>
      <c r="CW22" s="20" t="e">
        <f t="shared" si="13"/>
        <v>#N/A</v>
      </c>
      <c r="CX22" s="59" t="e">
        <f t="shared" si="14"/>
        <v>#N/A</v>
      </c>
      <c r="CY22" s="59" t="e">
        <f ca="1">AVERAGE(OFFSET($CX$3,0,0,'Données projet'!$E$13+1,1))-AVERAGE(OFFSET($H$3,0,0,'Données projet'!$E$13+1,1))</f>
        <v>#N/A</v>
      </c>
      <c r="CZ22" s="59" t="e">
        <f t="shared" si="42"/>
        <v>#N/A</v>
      </c>
      <c r="DA22" s="15">
        <f>IF(ISNA(VLOOKUP(A22,'Données projet'!$A$139:$I$159,3,0)),0,VLOOKUP(A22,'Données projet'!$A$139:$I$159,3,0))</f>
        <v>0</v>
      </c>
      <c r="DB22" s="15">
        <f>IF(ISNA(VLOOKUP(A22,'Données projet'!$A$139:$I$159,4,0)),0,VLOOKUP(A22,'Données projet'!$A$139:$I$159,4,0))</f>
        <v>0</v>
      </c>
      <c r="DC22" s="16">
        <f>IF(ISNA(VLOOKUP(A22,'Données projet'!$A$139:$I$159,5,0)),0%,VLOOKUP(A22,'Données projet'!$A$139:$I$159,5,0)*VLOOKUP('Données projet'!$B$13,Paramètres!$A$1:$I$89,7,0))</f>
        <v>0</v>
      </c>
      <c r="DD22" s="16">
        <f>IF(ISNA(VLOOKUP(A22,'Données projet'!$A$139:$I$159,6,0)),0%,VLOOKUP(A22,'Données projet'!$A$139:$I$159,6,0)*VLOOKUP('Données projet'!$B$13,Paramètres!$A$1:$I$89,7,0))</f>
        <v>0</v>
      </c>
      <c r="DE22" s="16">
        <f>IF(ISNA(VLOOKUP(A22,'Données projet'!$A$139:$I$159,7,0)),0%,VLOOKUP(A22,'Données projet'!$A$139:$I$159,7,0))</f>
        <v>0</v>
      </c>
      <c r="DF22" s="21" t="e">
        <f>EXP(-LN(2)/35)*DF21+(1-EXP(-LN(2)/35))/(LN(2)/35)*DB22*DC22*VLOOKUP('Données projet'!$B$13,Paramètres!$A$1:$I$89,3,0)*0.475*44/12</f>
        <v>#N/A</v>
      </c>
      <c r="DG22" s="21" t="e">
        <f>EXP(-LN(2)/25)*DG21+(1-EXP(-LN(2)/25))/(LN(2)/25)*Calculateur!DB22*Calculateur!DD22*VLOOKUP('Données projet'!$B$13,Paramètres!$A$1:$I$89,3,0)*0.475*44/12</f>
        <v>#N/A</v>
      </c>
      <c r="DH22" s="21" t="e">
        <f>EXP(-LN(2)/2)*DH21+(1-EXP(-LN(2)/2))/(LN(2)/2)*DB22*DE22*VLOOKUP('Données projet'!$B$13,Paramètres!$A$1:$I$89,3,0)*0.475*44/12</f>
        <v>#N/A</v>
      </c>
      <c r="DI22" s="22" t="e">
        <f t="shared" si="15"/>
        <v>#N/A</v>
      </c>
      <c r="DJ22" s="75">
        <f>('Scénario référence'!$F$8+'Scénario référence'!$F$9+'Scénario référence'!$B$17+'Scénario référence'!$B$9+'Scénario référence'!$B$10)*70+IF((45+25*(1-EXP(-0.0175*A22)))&lt;70,'Scénario référence'!$B$16*(45+25*(1-EXP(-0.0175*A22))),70*'Scénario référence'!$B$16)+IF((32+38*(1-EXP(-0.0175*A22)))&lt;70,'Scénario référence'!$B$18*(32+38*(1-EXP(-0.0175*A22))),70*'Scénario référence'!$B$18)</f>
        <v>70</v>
      </c>
      <c r="DK22" s="12">
        <f>IF(A22&gt;30,10,('Scénario référence'!$B$16+'Scénario référence'!$B$17+'Scénario référence'!$B$18+'Scénario référence'!$B$9+'Scénario référence'!$B$10)*A22*10/30+('Scénario référence'!$F$8+'Scénario référence'!$F$9)*10)</f>
        <v>10</v>
      </c>
      <c r="DL22" s="12" t="e">
        <f>VLOOKUP(A22,'Données projet'!$A$165:$I$185,2,0)</f>
        <v>#N/A</v>
      </c>
      <c r="DM22" s="12" t="e">
        <f>VLOOKUP(A22,'Données projet'!$A$165:$I$185,9,0)</f>
        <v>#N/A</v>
      </c>
      <c r="DN22" s="12">
        <f t="array" ref="DN22">INDEX(DM:DM,MIN(IF(ISNUMBER(DM22:DM218),ROW(DM22:DM218),"")))</f>
        <v>11</v>
      </c>
      <c r="DO22" s="12">
        <f>IF('Données projet'!$A$166&gt;35,DO21+DN22-DW21,IF(A22&lt;'Données projet'!$A$166,$DL$205^A22,IF(A22='Données projet'!$A$166,'Données projet'!$B$166,DO21+DN22-DW21)))</f>
        <v>112</v>
      </c>
      <c r="DP22" s="17">
        <f>DO22*VLOOKUP('Données projet'!$B$14,Paramètres!$A$1:$I$89,3,0)*VLOOKUP('Données projet'!$B$14,Paramètres!$A$1:$I$89,5,0)</f>
        <v>73.382400000000004</v>
      </c>
      <c r="DQ22" s="13">
        <f t="shared" si="43"/>
        <v>20.511105942035552</v>
      </c>
      <c r="DR22" s="20">
        <f t="shared" si="16"/>
        <v>163.53118951571193</v>
      </c>
      <c r="DS22" s="59">
        <f t="shared" si="17"/>
        <v>456.86452284904522</v>
      </c>
      <c r="DT22" s="59">
        <f ca="1">AVERAGE(OFFSET($DS$3,0,0,'Données projet'!$E$14+1,1))-AVERAGE(OFFSET($H$3,0,0,'Données projet'!$E$14+1,1))</f>
        <v>188.68915783955595</v>
      </c>
      <c r="DU22" s="59">
        <f t="shared" si="44"/>
        <v>240.82467772396944</v>
      </c>
      <c r="DV22" s="15">
        <f>IF(ISNA(VLOOKUP(A22,'Données projet'!$A$165:$I$185,3,0)),0,VLOOKUP(A22,'Données projet'!$A$165:$I$185,3,0))</f>
        <v>0</v>
      </c>
      <c r="DW22" s="15">
        <f>IF(ISNA(VLOOKUP(A22,'Données projet'!$A$165:$I$185,4,0)),0,VLOOKUP(A22,'Données projet'!$A$165:$I$185,4,0))</f>
        <v>0</v>
      </c>
      <c r="DX22" s="16">
        <f>IF(ISNA(VLOOKUP(A22,'Données projet'!$A$165:$I$185,5,0)),0%,VLOOKUP(A22,'Données projet'!$A$165:$I$185,5,0)*VLOOKUP('Données projet'!$B$14,Paramètres!$A$1:$I$89,7,0))</f>
        <v>0</v>
      </c>
      <c r="DY22" s="16">
        <f>IF(ISNA(VLOOKUP(A22,'Données projet'!$A$165:$I$185,6,0)),0%,VLOOKUP(A22,'Données projet'!$A$165:$I$185,6,0)*VLOOKUP('Données projet'!$B$14,Paramètres!$A$1:$I$89,7,0))</f>
        <v>0</v>
      </c>
      <c r="DZ22" s="16">
        <f>IF(ISNA(VLOOKUP(A22,'Données projet'!$A$165:$I$185,7,0)),0%,VLOOKUP(A22,'Données projet'!$A$165:$I$185,7,0))</f>
        <v>0</v>
      </c>
      <c r="EA22" s="21">
        <f>EXP(-LN(2)/35)*EA21+(1-EXP(-LN(2)/35))/(LN(2)/35)*DW22*DX22*VLOOKUP('Données projet'!$B$14,Paramètres!$A$1:$I$89,3,0)*0.475*44/12</f>
        <v>0</v>
      </c>
      <c r="EB22" s="21">
        <f>EXP(-LN(2)/25)*EB21+(1-EXP(-LN(2)/25))/(LN(2)/25)*Calculateur!DW22*Calculateur!DY22*VLOOKUP('Données projet'!$B$14,Paramètres!$A$1:$I$89,3,0)*0.475*44/12</f>
        <v>0</v>
      </c>
      <c r="EC22" s="21">
        <f>EXP(-LN(2)/2)*EC21+(1-EXP(-LN(2)/2))/(LN(2)/2)*DW22*DZ22*VLOOKUP('Données projet'!$B$14,Paramètres!$A$1:$I$89,3,0)*0.475*44/12</f>
        <v>0</v>
      </c>
      <c r="ED22" s="22">
        <f t="shared" si="18"/>
        <v>0</v>
      </c>
      <c r="EE22" s="75">
        <f>('Scénario référence'!$F$8+'Scénario référence'!$F$9+'Scénario référence'!$B$17+'Scénario référence'!$B$9+'Scénario référence'!$B$10)*70+IF((45+25*(1-EXP(-0.0175*A22)))&lt;70,'Scénario référence'!$B$16*(45+25*(1-EXP(-0.0175*A22))),70*'Scénario référence'!$B$16)+IF((32+38*(1-EXP(-0.0175*A22)))&lt;70,'Scénario référence'!$B$18*(32+38*(1-EXP(-0.0175*A22))),70*'Scénario référence'!$B$18)</f>
        <v>70</v>
      </c>
      <c r="EF22" s="12">
        <f>IF(A22&gt;30,10,('Scénario référence'!$B$16+'Scénario référence'!$B$17+'Scénario référence'!$B$18+'Scénario référence'!$B$9+'Scénario référence'!$B$10)*A22*10/30+('Scénario référence'!$F$8+'Scénario référence'!$F$9)*10)</f>
        <v>10</v>
      </c>
      <c r="EG22" s="12" t="e">
        <f>VLOOKUP(A22,'Données projet'!$A$191:$I$211,2,0)</f>
        <v>#N/A</v>
      </c>
      <c r="EH22" s="12" t="e">
        <f>VLOOKUP(A22,'Données projet'!$A$191:$I$211,9,0)</f>
        <v>#N/A</v>
      </c>
      <c r="EI22" s="12">
        <f t="array" ref="EI22">INDEX(EH:EH,MIN(IF(ISNUMBER(EH22:EH218),ROW(EH22:EH218),"")))</f>
        <v>7.8</v>
      </c>
      <c r="EJ22" s="12">
        <f>IF('Données projet'!$A$192&gt;35,EJ21+EI22-ER21,IF(A22&lt;'Données projet'!$A$192,$EG$205^A22,IF(A22='Données projet'!$A$192,'Données projet'!$B$192,EJ21+EI22-ER21)))</f>
        <v>75.199999999999989</v>
      </c>
      <c r="EK22" s="17">
        <f>EJ22*VLOOKUP('Données projet'!$B$15,Paramètres!$A$1:$I$89,3,0)*VLOOKUP('Données projet'!$B$15,Paramètres!$A$1:$I$89,5,0)</f>
        <v>61.002239999999986</v>
      </c>
      <c r="EL22" s="13">
        <f t="shared" si="45"/>
        <v>17.421421901322486</v>
      </c>
      <c r="EM22" s="20">
        <f t="shared" si="19"/>
        <v>136.58787781146998</v>
      </c>
      <c r="EN22" s="59">
        <f t="shared" si="20"/>
        <v>429.92121114480329</v>
      </c>
      <c r="EO22" s="59">
        <f ca="1">AVERAGE(OFFSET($EN$3,0,0,'Données projet'!$E$15+1,1))-AVERAGE(OFFSET($H$3,0,0,'Données projet'!$E$15+1,1))</f>
        <v>205.5272583787887</v>
      </c>
      <c r="EP22" s="59">
        <f t="shared" si="46"/>
        <v>180.54762778843178</v>
      </c>
      <c r="EQ22" s="15">
        <f>IF(ISNA(VLOOKUP(A22,'Données projet'!$A$191:$I$211,3,0)),0,VLOOKUP(A22,'Données projet'!$A$191:$I$211,3,0))</f>
        <v>0</v>
      </c>
      <c r="ER22" s="15">
        <f>IF(ISNA(VLOOKUP(A22,'Données projet'!$A$191:$I$211,4,0)),0,VLOOKUP(A22,'Données projet'!$A$191:$I$211,4,0))</f>
        <v>0</v>
      </c>
      <c r="ES22" s="16">
        <f>IF(ISNA(VLOOKUP(A22,'Données projet'!$A$191:$I$211,5,0)),0%,VLOOKUP(A22,'Données projet'!$A$191:$I$211,5,0)*VLOOKUP('Données projet'!$B$15,Paramètres!$A$1:$I$89,7,0))</f>
        <v>0</v>
      </c>
      <c r="ET22" s="16">
        <f>IF(ISNA(VLOOKUP(A22,'Données projet'!$A$191:$I$211,6,0)),0%,VLOOKUP(A22,'Données projet'!$A$191:$I$211,6,0)*VLOOKUP('Données projet'!$B$15,Paramètres!$A$1:$I$89,7,0))</f>
        <v>0</v>
      </c>
      <c r="EU22" s="16">
        <f>IF(ISNA(VLOOKUP(A22,'Données projet'!$A$191:$I$211,7,0)),0%,VLOOKUP(A22,'Données projet'!$A$191:$I$211,7,0))</f>
        <v>0</v>
      </c>
      <c r="EV22" s="21">
        <f>EXP(-LN(2)/35)*EV21+(1-EXP(-LN(2)/35))/(LN(2)/35)*ER22*ES22*VLOOKUP('Données projet'!$B$15,Paramètres!$A$1:$I$89,3,0)*0.475*44/12</f>
        <v>0</v>
      </c>
      <c r="EW22" s="21">
        <f>EXP(-LN(2)/25)*EW21+(1-EXP(-LN(2)/25))/(LN(2)/25)*Calculateur!ER22*Calculateur!ET22*VLOOKUP('Données projet'!$B$15,Paramètres!$A$1:$I$89,3,0)*0.475*44/12</f>
        <v>0</v>
      </c>
      <c r="EX22" s="21">
        <f>EXP(-LN(2)/2)*EX21+(1-EXP(-LN(2)/2))/(LN(2)/2)*ER22*EU22*VLOOKUP('Données projet'!$B$15,Paramètres!$A$1:$I$89,3,0)*0.475*44/12</f>
        <v>0</v>
      </c>
      <c r="EY22" s="22">
        <f t="shared" si="21"/>
        <v>0</v>
      </c>
      <c r="EZ22" s="75">
        <f>('Scénario référence'!$F$8+'Scénario référence'!$F$9+'Scénario référence'!$B$17+'Scénario référence'!$B$9+'Scénario référence'!$B$10)*70+IF((45+25*(1-EXP(-0.0175*A22)))&lt;70,'Scénario référence'!$B$16*(45+25*(1-EXP(-0.0175*A22))),70*'Scénario référence'!$B$16)+IF((32+38*(1-EXP(-0.0175*A22)))&lt;70,'Scénario référence'!$B$18*(32+38*(1-EXP(-0.0175*A22))),70*'Scénario référence'!$B$18)</f>
        <v>70</v>
      </c>
      <c r="FA22" s="12">
        <f>IF(A22&gt;30,10,('Scénario référence'!$B$16+'Scénario référence'!$B$17+'Scénario référence'!$B$18+'Scénario référence'!$B$9+'Scénario référence'!$B$10)*A22*10/30+('Scénario référence'!$F$8+'Scénario référence'!$F$9)*10)</f>
        <v>10</v>
      </c>
      <c r="FB22" s="12" t="e">
        <f>VLOOKUP(A22,'Données projet'!$A$217:$I$237,2,0)</f>
        <v>#N/A</v>
      </c>
      <c r="FC22" s="12" t="e">
        <f>VLOOKUP(A22,'Données projet'!$A$217:$I$237,9,0)</f>
        <v>#N/A</v>
      </c>
      <c r="FD22" s="12">
        <f t="array" ref="FD22">INDEX(FC:FC,MIN(IF(ISNUMBER(FC22:FC218),ROW(FC22:FC218),"")))</f>
        <v>6.2</v>
      </c>
      <c r="FE22" s="12">
        <f>IF('Données projet'!$A$218&gt;35,FE21+FD22-FM21,IF(A22&lt;'Données projet'!$A$218,$FB$205^A22,IF(A22='Données projet'!$A$218,'Données projet'!$B$218,FE21+FD22-FM21)))</f>
        <v>50.800000000000011</v>
      </c>
      <c r="FF22" s="17">
        <f>FE22*VLOOKUP('Données projet'!$B$16,Paramètres!$A$1:$I$89,3,0)*VLOOKUP('Données projet'!$B$16,Paramètres!$A$1:$I$89,5,0)</f>
        <v>43.586400000000012</v>
      </c>
      <c r="FG22" s="13">
        <f t="shared" si="47"/>
        <v>12.944420381265207</v>
      </c>
      <c r="FH22" s="20">
        <f t="shared" si="22"/>
        <v>98.457845497370258</v>
      </c>
      <c r="FI22" s="59">
        <f t="shared" si="23"/>
        <v>391.79117883070359</v>
      </c>
      <c r="FJ22" s="59">
        <f ca="1">AVERAGE(OFFSET($FI$3,0,0,'Données projet'!$E$16+1,1))-AVERAGE(OFFSET($H$3,0,0,'Données projet'!$E$16+1,1))</f>
        <v>383.97627237444709</v>
      </c>
      <c r="FK22" s="59">
        <f t="shared" si="48"/>
        <v>203.35476578922339</v>
      </c>
      <c r="FL22" s="15">
        <f>IF(ISNA(VLOOKUP(A22,'Données projet'!$A$217:$I$237,3,0)),0,VLOOKUP(A22,'Données projet'!$A$217:$I$237,3,0))</f>
        <v>0</v>
      </c>
      <c r="FM22" s="15">
        <f>IF(ISNA(VLOOKUP(A22,'Données projet'!$A$217:$I$237,4,0)),0,VLOOKUP(A22,'Données projet'!$A$217:$I$237,4,0))</f>
        <v>0</v>
      </c>
      <c r="FN22" s="16">
        <f>IF(ISNA(VLOOKUP(A22,'Données projet'!$A$217:$I$237,5,0)),0%,VLOOKUP(A22,'Données projet'!$A$217:$I$237,5,0)*VLOOKUP('Données projet'!$B$16,Paramètres!$A$1:$I$89,7,0))</f>
        <v>0</v>
      </c>
      <c r="FO22" s="16">
        <f>IF(ISNA(VLOOKUP(A22,'Données projet'!$A$217:$I$237,6,0)),0%,VLOOKUP(A22,'Données projet'!$A$217:$I$237,6,0)*VLOOKUP('Données projet'!$B$16,Paramètres!$A$1:$I$89,7,0))</f>
        <v>0</v>
      </c>
      <c r="FP22" s="16">
        <f>IF(ISNA(VLOOKUP(A22,'Données projet'!$A$217:$I$237,7,0)),0%,VLOOKUP(A22,'Données projet'!$A$217:$I$237,7,0))</f>
        <v>0</v>
      </c>
      <c r="FQ22" s="21">
        <f>EXP(-LN(2)/35)*FQ21+(1-EXP(-LN(2)/35))/(LN(2)/35)*FM22*FN22*VLOOKUP('Données projet'!$B$16,Paramètres!$A$1:$I$89,3,0)*0.475*44/12</f>
        <v>0</v>
      </c>
      <c r="FR22" s="21">
        <f>EXP(-LN(2)/25)*FR21+(1-EXP(-LN(2)/25))/(LN(2)/25)*Calculateur!FM22*Calculateur!FO22*VLOOKUP('Données projet'!$B$16,Paramètres!$A$1:$I$89,3,0)*0.475*44/12</f>
        <v>0</v>
      </c>
      <c r="FS22" s="21">
        <f>EXP(-LN(2)/2)*FS21+(1-EXP(-LN(2)/2))/(LN(2)/2)*FM22*FP22*VLOOKUP('Données projet'!$B$16,Paramètres!$A$1:$I$89,3,0)*0.475*44/12</f>
        <v>0</v>
      </c>
      <c r="FT22" s="22">
        <f t="shared" si="24"/>
        <v>0</v>
      </c>
      <c r="FU22" s="75">
        <f>('Scénario référence'!$F$8+'Scénario référence'!$F$9+'Scénario référence'!$B$17+'Scénario référence'!$B$9+'Scénario référence'!$B$10)*70+IF((45+25*(1-EXP(-0.0175*A22)))&lt;70,'Scénario référence'!$B$16*(45+25*(1-EXP(-0.0175*A22))),70*'Scénario référence'!$B$16)+IF((32+38*(1-EXP(-0.0175*A22)))&lt;70,'Scénario référence'!$B$18*(32+38*(1-EXP(-0.0175*A22))),70*'Scénario référence'!$B$18)</f>
        <v>70</v>
      </c>
      <c r="FV22" s="12">
        <f>IF(A22&gt;30,10,('Scénario référence'!$B$16+'Scénario référence'!$B$17+'Scénario référence'!$B$18+'Scénario référence'!$B$9+'Scénario référence'!$B$10)*A22*10/30+('Scénario référence'!$F$8+'Scénario référence'!$F$9)*10)</f>
        <v>10</v>
      </c>
      <c r="FW22" s="12" t="e">
        <f>VLOOKUP(A22,'Données projet'!$A$243:$I$263,2,0)</f>
        <v>#N/A</v>
      </c>
      <c r="FX22" s="12" t="e">
        <f>VLOOKUP(A22,'Données projet'!$A$243:$I$263,9,0)</f>
        <v>#N/A</v>
      </c>
      <c r="FY22" s="12">
        <f t="array" ref="FY22">INDEX(FX:FX,MIN(IF(ISNUMBER(FX22:FX218),ROW(FX22:FX218),"")))</f>
        <v>4.0628205128205126</v>
      </c>
      <c r="FZ22" s="12">
        <f>IF('Données projet'!$A$244&gt;35,FZ21+FY22-GH21,IF(A22&lt;'Données projet'!$A$244,$FW$205^A22,IF(A22='Données projet'!$A$244,'Données projet'!$B$244,FZ21+FY22-GH21)))</f>
        <v>20.945993500590358</v>
      </c>
      <c r="GA22" s="17">
        <f>FZ22*VLOOKUP('Données projet'!$B$17,Paramètres!$A$1:$I$89,3,0)*VLOOKUP('Données projet'!$B$17,Paramètres!$A$1:$I$89,5,0)</f>
        <v>22.546267404035461</v>
      </c>
      <c r="GB22" s="13">
        <f t="shared" si="49"/>
        <v>7.2298423719774645</v>
      </c>
      <c r="GC22" s="20">
        <f t="shared" si="25"/>
        <v>51.860057859889174</v>
      </c>
      <c r="GD22" s="59">
        <f t="shared" si="26"/>
        <v>345.19339119322251</v>
      </c>
      <c r="GE22" s="59">
        <f ca="1">AVERAGE(OFFSET($GD$3,0,0,'Données projet'!$E$17+1,1))-AVERAGE(OFFSET($H$3,0,0,'Données projet'!$E$17+1,1))</f>
        <v>286.77702855541287</v>
      </c>
      <c r="GF22" s="59">
        <f t="shared" si="50"/>
        <v>227.12211541860779</v>
      </c>
      <c r="GG22" s="15">
        <f>IF(ISNA(VLOOKUP(A22,'Données projet'!$A$243:$I$263,3,0)),0,VLOOKUP(A22,'Données projet'!$A$243:$I$263,3,0))</f>
        <v>0</v>
      </c>
      <c r="GH22" s="15">
        <f>IF(ISNA(VLOOKUP(A22,'Données projet'!$A$243:$I$263,4,0)),0,VLOOKUP(A22,'Données projet'!$A$243:$I$263,4,0))</f>
        <v>0</v>
      </c>
      <c r="GI22" s="16">
        <f>IF(ISNA(VLOOKUP(A22,'Données projet'!$A$243:$I$263,5,0)),0%,VLOOKUP(A22,'Données projet'!$A$243:$I$263,5,0)*VLOOKUP('Données projet'!$B$17,Paramètres!$A$1:$I$89,7,0))</f>
        <v>0</v>
      </c>
      <c r="GJ22" s="16">
        <f>IF(ISNA(VLOOKUP(A22,'Données projet'!$A$243:$I$263,6,0)),0%,VLOOKUP(A22,'Données projet'!$A$243:$I$263,6,0)*VLOOKUP('Données projet'!$B$17,Paramètres!$A$1:$I$89,7,0))</f>
        <v>0</v>
      </c>
      <c r="GK22" s="16">
        <f>IF(ISNA(VLOOKUP(A22,'Données projet'!$A$243:$I$263,7,0)),0%,VLOOKUP(A22,'Données projet'!$A$243:$I$263,7,0))</f>
        <v>0</v>
      </c>
      <c r="GL22" s="21">
        <f>EXP(-LN(2)/35)*GL21+(1-EXP(-LN(2)/35))/(LN(2)/35)*GH22*GI22*VLOOKUP('Données projet'!$B$17,Paramètres!$A$1:$I$89,3,0)*0.475*44/12</f>
        <v>0</v>
      </c>
      <c r="GM22" s="21">
        <f>EXP(-LN(2)/25)*GM21+(1-EXP(-LN(2)/25))/(LN(2)/25)*Calculateur!GH22*Calculateur!GJ22*VLOOKUP('Données projet'!$B$17,Paramètres!$A$1:$I$89,3,0)*0.475*44/12</f>
        <v>0</v>
      </c>
      <c r="GN22" s="21">
        <f>EXP(-LN(2)/2)*GN21+(1-EXP(-LN(2)/2))/(LN(2)/2)*GH22*GK22*VLOOKUP('Données projet'!$B$17,Paramètres!$A$1:$I$89,3,0)*0.475*44/12</f>
        <v>0</v>
      </c>
      <c r="GO22" s="21">
        <f t="shared" si="27"/>
        <v>0</v>
      </c>
      <c r="GP22" s="75">
        <f>('Scénario référence'!$F$8+'Scénario référence'!$F$9+'Scénario référence'!$B$17+'Scénario référence'!$B$9+'Scénario référence'!$B$10)*70+IF((45+25*(1-EXP(-0.0175*A22)))&lt;70,'Scénario référence'!$B$16*(45+25*(1-EXP(-0.0175*A22))),70*'Scénario référence'!$B$16)+IF((32+38*(1-EXP(-0.0175*A22)))&lt;70,'Scénario référence'!$B$18*(32+38*(1-EXP(-0.0175*A22))),70*'Scénario référence'!$B$18)</f>
        <v>70</v>
      </c>
      <c r="GQ22" s="12">
        <f>IF(A22&gt;30,10,('Scénario référence'!$B$16+'Scénario référence'!$B$17+'Scénario référence'!$B$18+'Scénario référence'!$B$9+'Scénario référence'!$B$10)*A22*10/30+('Scénario référence'!$F$8+'Scénario référence'!$F$9)*10)</f>
        <v>10</v>
      </c>
      <c r="GR22" s="12" t="e">
        <f>VLOOKUP(A22,'Données projet'!$A$269:$I$289,2,0)</f>
        <v>#N/A</v>
      </c>
      <c r="GS22" s="12" t="e">
        <f>VLOOKUP(A22,'Données projet'!$A$269:$I$289,9,0)</f>
        <v>#N/A</v>
      </c>
      <c r="GT22" s="12">
        <f t="array" ref="GT22">INDEX(GS:GS,MIN(IF(ISNUMBER(GS22:GS218),ROW(GS22:GS218),"")))</f>
        <v>4.0628205128205126</v>
      </c>
      <c r="GU22" s="12">
        <f>IF('Données projet'!$A$270&gt;35,GU21+GT22-HC21,IF(A22&lt;'Données projet'!$A$270,$GR$205^A22,IF(A22='Données projet'!$A$270,'Données projet'!$B$270,GU21+GT22-HC21)))</f>
        <v>20.945993500590358</v>
      </c>
      <c r="GV22" s="17">
        <f>GU22*VLOOKUP('Données projet'!$B$18,Paramètres!$A$1:$I$89,3,0)*VLOOKUP('Données projet'!$B$18,Paramètres!$A$1:$I$89,5,0)</f>
        <v>22.546267404035461</v>
      </c>
      <c r="GW22" s="13">
        <f t="shared" si="51"/>
        <v>7.2298423719774645</v>
      </c>
      <c r="GX22" s="20">
        <f t="shared" si="28"/>
        <v>51.860057859889174</v>
      </c>
      <c r="GY22" s="59">
        <f t="shared" si="29"/>
        <v>345.19339119322251</v>
      </c>
      <c r="GZ22" s="59">
        <f ca="1">AVERAGE(OFFSET($GY$3,0,0,'Données projet'!$E$18+1,1))-AVERAGE(OFFSET($H$3,0,0,'Données projet'!$E$18+1,1))</f>
        <v>286.77702855541287</v>
      </c>
      <c r="HA22" s="59">
        <f t="shared" si="52"/>
        <v>227.12211541860779</v>
      </c>
      <c r="HB22" s="15">
        <f>IF(ISNA(VLOOKUP(A22,'Données projet'!$A$269:$I$289,3,0)),0,VLOOKUP(A22,'Données projet'!$A$269:$I$289,3,0))</f>
        <v>0</v>
      </c>
      <c r="HC22" s="15">
        <f>IF(ISNA(VLOOKUP(A22,'Données projet'!$A$269:$I$289,4,0)),0,VLOOKUP(A22,'Données projet'!$A$269:$I$289,4,0))</f>
        <v>0</v>
      </c>
      <c r="HD22" s="16">
        <f>IF(ISNA(VLOOKUP(A22,'Données projet'!$A$269:$I$289,5,0)),0%,VLOOKUP(A22,'Données projet'!$A$269:$I$289,5,0)*VLOOKUP('Données projet'!$B$18,Paramètres!$A$1:$I$89,7,0))</f>
        <v>0</v>
      </c>
      <c r="HE22" s="16">
        <f>IF(ISNA(VLOOKUP(A22,'Données projet'!$A$269:$I$289,6,0)),0%,VLOOKUP(A22,'Données projet'!$A$269:$I$289,6,0)*VLOOKUP('Données projet'!$B$18,Paramètres!$A$1:$I$89,7,0))</f>
        <v>0</v>
      </c>
      <c r="HF22" s="16">
        <f>IF(ISNA(VLOOKUP(A22,'Données projet'!$A$269:$I$289,7,0)),0%,VLOOKUP(A22,'Données projet'!$A$269:$I$289,7,0))</f>
        <v>0</v>
      </c>
      <c r="HG22" s="21">
        <f>EXP(-LN(2)/35)*HG21+(1-EXP(-LN(2)/35))/(LN(2)/35)*HC22*HD22*VLOOKUP('Données projet'!$B$18,Paramètres!$A$1:$I$89,3,0)*0.475*44/12</f>
        <v>0</v>
      </c>
      <c r="HH22" s="21">
        <f>EXP(-LN(2)/25)*HH21+(1-EXP(-LN(2)/25))/(LN(2)/25)*Calculateur!HC22*Calculateur!HE22*VLOOKUP('Données projet'!$B$18,Paramètres!$A$1:$I$89,3,0)*0.475*44/12</f>
        <v>0</v>
      </c>
      <c r="HI22" s="21">
        <f>EXP(-LN(2)/2)*HI21+(1-EXP(-LN(2)/2))/(LN(2)/2)*HC22*HF22*VLOOKUP('Données projet'!$B$18,Paramètres!$A$1:$I$89,3,0)*0.475*44/12</f>
        <v>0</v>
      </c>
      <c r="HJ22" s="22">
        <f t="shared" si="30"/>
        <v>0</v>
      </c>
    </row>
    <row r="23" spans="1:218" x14ac:dyDescent="0.25">
      <c r="A23" s="10">
        <f t="shared" si="31"/>
        <v>20</v>
      </c>
      <c r="B23" s="73">
        <f>'Scénario référence'!$B$16*5+'Scénario référence'!$B$17*0+'Scénario référence'!$B$18*5</f>
        <v>0</v>
      </c>
      <c r="C23" s="19">
        <f>Calculateur!C22+'Scénario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17.784000000000002</v>
      </c>
      <c r="D23" s="11">
        <f t="shared" si="32"/>
        <v>5.862435622634961</v>
      </c>
      <c r="E2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3" s="11">
        <f>IF(OR('Scénario référence'!$F$8&gt;0,'Scénario référence'!$F$9&gt;0),('Scénario référence'!$F$8+'Scénario référence'!$F$9)*10,0)</f>
        <v>10</v>
      </c>
      <c r="G23" s="11">
        <f>'Scénario référence'!$B$8*B23*44/12+'Scénario référence'!$B$9*(C23+D23)/0.475*44/12+'Scénario référence'!$B$10*(C23+D23)/0.475*44/12+'Scénario référence'!$F$8*(C23+D23)/0.475*44/12+'Scénario référence'!$F$9*(C23+D23)/0.475*44/12</f>
        <v>182.5338890168313</v>
      </c>
      <c r="H23" s="67">
        <f t="shared" si="1"/>
        <v>334.51754204275585</v>
      </c>
      <c r="I23" s="70">
        <f>('Scénario référence'!$F$8+'Scénario référence'!$F$9+'Scénario référence'!$B$17+'Scénario référence'!$B$9+'Scénario référence'!$B$10)*70+IF((45+25*(1-EXP(-0.0175*A23)))&lt;70,'Scénario référence'!$B$16*(45+25*(1-EXP(-0.0175*A23))),70*'Scénario référence'!$B$16)+IF((32+38*(1-EXP(-0.0175*A23)))&lt;70,'Scénario référence'!$B$18*(32+38*(1-EXP(-0.0175*A23))),70*'Scénario référence'!$B$18)</f>
        <v>70</v>
      </c>
      <c r="J23" s="13">
        <f>IF(A23&gt;30,10,('Scénario référence'!$B$16+'Scénario référence'!$B$17+'Scénario référence'!$B$18+'Scénario référence'!$B$9+'Scénario référence'!$B$10)*A23*10/30+('Scénario référence'!$F$8+'Scénario référence'!$F$9)*10)</f>
        <v>10</v>
      </c>
      <c r="K23" s="12" t="e">
        <f>VLOOKUP(A23,'Données projet'!$A$35:$I$55,2,0)</f>
        <v>#N/A</v>
      </c>
      <c r="L23" s="12" t="e">
        <f>VLOOKUP(A23,'Données projet'!$A$35:$I$55,9,0)</f>
        <v>#N/A</v>
      </c>
      <c r="M23" s="12">
        <f t="array" ref="M23">INDEX(L:L,MIN(IF(ISNUMBER(L23:L219),ROW(L23:L219),"")))</f>
        <v>20.658974358974358</v>
      </c>
      <c r="N23" s="13">
        <f>IF('Données projet'!$A$36&gt;35,N22+M23-V22,IF(A23&lt;'Données projet'!$A$36,$K$205^A23,IF(A23='Données projet'!$A$36,'Données projet'!$B$36,N22+M23-V22)))</f>
        <v>154.925641025641</v>
      </c>
      <c r="O23" s="13">
        <f>N23*VLOOKUP('Données projet'!$B$9,Paramètres!$A$1:$I$89,3,0)*VLOOKUP('Données projet'!$B$9,Paramètres!$A$1:$I$89,5,0)</f>
        <v>86.603433333333314</v>
      </c>
      <c r="P23" s="13">
        <f t="shared" si="33"/>
        <v>23.744229853900279</v>
      </c>
      <c r="Q23" s="20">
        <f t="shared" si="2"/>
        <v>192.18884671776516</v>
      </c>
      <c r="R23" s="59">
        <f t="shared" si="0"/>
        <v>485.52218005109847</v>
      </c>
      <c r="S23" s="59">
        <f ca="1">AVERAGE(OFFSET($R$3,0,0,'Données projet'!$E$9+1,1))-AVERAGE(OFFSET($H$3,0,0,'Données projet'!$E$9+1,1))</f>
        <v>255.5374979188561</v>
      </c>
      <c r="T23" s="59">
        <f t="shared" si="34"/>
        <v>343.10418468620901</v>
      </c>
      <c r="U23" s="15">
        <f>IF(ISNA(VLOOKUP(A23,'Données projet'!$A$35:$I$55,3,0)),0,VLOOKUP(A23,'Données projet'!$A$35:$I$55,3,0))</f>
        <v>0</v>
      </c>
      <c r="V23" s="15">
        <f>IF(ISNA(VLOOKUP(A23,'Données projet'!$A$35:$I$55,4,0)),0,VLOOKUP(A23,'Données projet'!$A$35:$I$55,4,0))</f>
        <v>0</v>
      </c>
      <c r="W23" s="16">
        <f>IF(ISNA(VLOOKUP(A23,'Données projet'!$A$35:$I$55,5,0)),0%,VLOOKUP(A23,'Données projet'!$A$35:$I$55,5,0)*VLOOKUP('Données projet'!$B$9,Paramètres!$A$1:$I$89,7,0))</f>
        <v>0</v>
      </c>
      <c r="X23" s="16">
        <f>IF(ISNA(VLOOKUP(A23,'Données projet'!$A$35:$I$55,6,0)),0%,VLOOKUP(A23,'Données projet'!$A$35:$I$55,6,0)*VLOOKUP('Données projet'!$B$9,Paramètres!$A$1:$I$89,7,0))</f>
        <v>0</v>
      </c>
      <c r="Y23" s="16">
        <f>IF(ISNA(VLOOKUP(A23,'Données projet'!$A$35:$I$55,7,0)),0%,VLOOKUP(A23,'Données projet'!$A$35:$I$55,7,0))</f>
        <v>0</v>
      </c>
      <c r="Z23" s="21">
        <f>EXP(-LN(2)/35)*Z22+(1-EXP(-LN(2)/35))/(LN(2)/35)*V23*W23*VLOOKUP('Données projet'!$B$9,Paramètres!$A$1:$I$89,3,0)*0.475*44/12</f>
        <v>0</v>
      </c>
      <c r="AA23" s="21">
        <f>EXP(-LN(2)/25)*AA22+(1-EXP(-LN(2)/25))/(LN(2)/25)*Calculateur!V23*Calculateur!X23*VLOOKUP('Données projet'!$B$9,Paramètres!$A$1:$I$89,3,0)*0.475*44/12</f>
        <v>13.314164264646086</v>
      </c>
      <c r="AB23" s="21">
        <f>EXP(-LN(2)/2)*AB22+(1-EXP(-LN(2)/2))/(LN(2)/2)*V23*Y23*VLOOKUP('Données projet'!$B$9,Paramètres!$A$1:$I$89,3,0)*0.475*44/12</f>
        <v>10.962867526607443</v>
      </c>
      <c r="AC23" s="22">
        <f t="shared" si="3"/>
        <v>24.277031791253528</v>
      </c>
      <c r="AD23" s="13">
        <f>('Scénario référence'!$F$8+'Scénario référence'!$F$9+'Scénario référence'!$B$17+'Scénario référence'!$B$9+'Scénario référence'!$B$10)*70+IF((45+25*(1-EXP(-0.0175*A23)))&lt;70,'Scénario référence'!$B$16*(45+25*(1-EXP(-0.0175*A23))),70*'Scénario référence'!$B$16)+IF((32+38*(1-EXP(-0.0175*A23)))&lt;70,'Scénario référence'!$B$18*(32+38*(1-EXP(-0.0175*A23))),70*'Scénario référence'!$B$18)</f>
        <v>70</v>
      </c>
      <c r="AE23" s="13">
        <f>IF(A23&gt;30,10,('Scénario référence'!$B$16+'Scénario référence'!$B$17+'Scénario référence'!$B$18+'Scénario référence'!$B$9+'Scénario référence'!$B$10)*A23*10/30+('Scénario référence'!$F$8+'Scénario référence'!$F$9)*10)</f>
        <v>10</v>
      </c>
      <c r="AF23" s="12">
        <f>VLOOKUP(A23,'Données projet'!$A$61:$I$81,2,0)</f>
        <v>158</v>
      </c>
      <c r="AG23" s="12">
        <f>VLOOKUP(A23,'Données projet'!$A$61:$I$81,9,0)</f>
        <v>13.2</v>
      </c>
      <c r="AH23" s="12">
        <f t="array" ref="AH23">INDEX(AG:AG,MIN(IF(ISNUMBER(AG23:AG219),ROW(AG23:AG219),"")))</f>
        <v>13.2</v>
      </c>
      <c r="AI23" s="13">
        <f>IF('Données projet'!$A$62&gt;35,AI22+AH23-AQ22,IF(A23&lt;'Données projet'!$A$62,$AF$205^A23,IF(A23='Données projet'!$A$62,'Données projet'!$B$62,AI22+AH23-AQ22)))</f>
        <v>158</v>
      </c>
      <c r="AJ23" s="13">
        <f>AI23*VLOOKUP('Données projet'!$B$10,Paramètres!$A$1:$I$89,3,0)*VLOOKUP('Données projet'!$B$10,Paramètres!$A$1:$I$89,5,0)</f>
        <v>98.592000000000013</v>
      </c>
      <c r="AK23" s="13">
        <f t="shared" si="35"/>
        <v>26.626284637602105</v>
      </c>
      <c r="AL23" s="20">
        <f t="shared" si="4"/>
        <v>218.08851241049035</v>
      </c>
      <c r="AM23" s="59">
        <f t="shared" si="5"/>
        <v>511.42184574382367</v>
      </c>
      <c r="AN23" s="59">
        <f ca="1">AVERAGE(OFFSET($AM$3,0,0,'Données projet'!$E$10+1,1))-AVERAGE(OFFSET($H$3,0,0,'Données projet'!$E$10+1,1))</f>
        <v>261.78489480911571</v>
      </c>
      <c r="AO23" s="59">
        <f t="shared" si="36"/>
        <v>297.50513563712764</v>
      </c>
      <c r="AP23" s="15">
        <f>IF(ISNA(VLOOKUP(A23,'Données projet'!$A$61:$I$81,3,0)),0,VLOOKUP(A23,'Données projet'!$A$61:$I$81,3,0))</f>
        <v>1</v>
      </c>
      <c r="AQ23" s="15">
        <f>IF(ISNA(VLOOKUP(A23,'Données projet'!$A$61:$I$81,4,0)),0,VLOOKUP(A23,'Données projet'!$A$61:$I$81,4,0))</f>
        <v>60</v>
      </c>
      <c r="AR23" s="16">
        <f>IF(ISNA(VLOOKUP(A23,'Données projet'!$A$61:$I$81,5,0)),0%,VLOOKUP(A23,'Données projet'!$A$61:$I$81,5,0)*VLOOKUP('Données projet'!$B$10,Paramètres!$A$1:$I$89,7,0))</f>
        <v>0</v>
      </c>
      <c r="AS23" s="16">
        <f>IF(ISNA(VLOOKUP(A23,'Données projet'!$A$61:$I$81,6,0)),0%,VLOOKUP(A23,'Données projet'!$A$61:$I$81,6,0)*VLOOKUP('Données projet'!$B$10,Paramètres!$A$1:$I$89,7,0))</f>
        <v>0.3</v>
      </c>
      <c r="AT23" s="16">
        <f>IF(ISNA(VLOOKUP(A23,'Données projet'!$A$61:$I$81,7,0)),0%,VLOOKUP(A23,'Données projet'!$A$61:$I$81,7,0))</f>
        <v>0.5</v>
      </c>
      <c r="AU23" s="21">
        <f>EXP(-LN(2)/35)*AU22+(1-EXP(-LN(2)/35))/(LN(2)/35)*AQ23*AR23*VLOOKUP('Données projet'!$B$10,Paramètres!$A$1:$I$89,3,0)*0.475*44/12</f>
        <v>0</v>
      </c>
      <c r="AV23" s="21">
        <f>EXP(-LN(2)/25)*AV22+(1-EXP(-LN(2)/25))/(LN(2)/25)*Calculateur!AQ23*Calculateur!AS23*VLOOKUP('Données projet'!$B$10,Paramètres!$A$1:$I$89,3,0)*0.475*44/12</f>
        <v>14.841305096542214</v>
      </c>
      <c r="AW23" s="21">
        <f>EXP(-LN(2)/2)*AW22+(1-EXP(-LN(2)/2))/(LN(2)/2)*AQ23*AT23*VLOOKUP('Données projet'!$B$10,Paramètres!$A$1:$I$89,3,0)*0.475*44/12</f>
        <v>21.195388609695438</v>
      </c>
      <c r="AX23" s="21">
        <f t="shared" si="6"/>
        <v>36.036693706237656</v>
      </c>
      <c r="AY23" s="74">
        <f>('Scénario référence'!$F$8+'Scénario référence'!$F$9+'Scénario référence'!$B$17+'Scénario référence'!$B$9+'Scénario référence'!$B$10)*70+IF((45+25*(1-EXP(-0.0175*A23)))&lt;70,'Scénario référence'!$B$16*(45+25*(1-EXP(-0.0175*A23))),70*'Scénario référence'!$B$16)+IF((32+38*(1-EXP(-0.0175*A23)))&lt;70,'Scénario référence'!$B$18*(32+38*(1-EXP(-0.0175*A23))),70*'Scénario référence'!$B$18)</f>
        <v>70</v>
      </c>
      <c r="AZ23" s="12">
        <f>IF(A23&gt;30,10,('Scénario référence'!$B$16+'Scénario référence'!$B$17+'Scénario référence'!$B$18+'Scénario référence'!$B$9+'Scénario référence'!$B$10)*A23*10/30+('Scénario référence'!$F$8+'Scénario référence'!$F$9)*10)</f>
        <v>10</v>
      </c>
      <c r="BA23" s="12">
        <f>VLOOKUP(A23,'Données projet'!$A$87:$I$107,2,0)</f>
        <v>106</v>
      </c>
      <c r="BB23" s="12">
        <f>VLOOKUP(A23,'Données projet'!$A$87:$I$107,9,0)</f>
        <v>5.3</v>
      </c>
      <c r="BC23" s="12">
        <f t="array" ref="BC23">INDEX(BB:BB,MIN(IF(ISNUMBER(BB23:BB219),ROW(BB23:BB219),"")))</f>
        <v>5.3</v>
      </c>
      <c r="BD23" s="12">
        <f>IF('Données projet'!$A$88&gt;35,BD22+BC23-BL22,IF(A23&lt;'Données projet'!$A$88,$BA$205^A23,IF(A23='Données projet'!$A$88,'Données projet'!$B$88,BD22+BC23-BL22)))</f>
        <v>106</v>
      </c>
      <c r="BE23" s="13">
        <f>BD23*VLOOKUP('Données projet'!$B$11,Paramètres!$A$1:$I$89,3,0)*VLOOKUP('Données projet'!$B$11,Paramètres!$A$1:$I$89,5,0)</f>
        <v>63.388000000000012</v>
      </c>
      <c r="BF23" s="13">
        <f t="shared" si="37"/>
        <v>18.022104085041263</v>
      </c>
      <c r="BG23" s="20">
        <f t="shared" si="7"/>
        <v>141.78926461478019</v>
      </c>
      <c r="BH23" s="59">
        <f t="shared" si="8"/>
        <v>435.12259794811348</v>
      </c>
      <c r="BI23" s="59">
        <f ca="1">AVERAGE(OFFSET($BH$3,0,0,'Données projet'!$E$11+1,1))-AVERAGE(OFFSET($H$3,0,0,'Données projet'!$E$11+1,1))</f>
        <v>316.58509520829671</v>
      </c>
      <c r="BJ23" s="59">
        <f t="shared" si="38"/>
        <v>240.71332110643596</v>
      </c>
      <c r="BK23" s="15">
        <f>IF(ISNA(VLOOKUP(A23,'Données projet'!$A$87:$I$107,3,0)),0,VLOOKUP(A23,'Données projet'!$A$87:$I$107,3,0))</f>
        <v>1</v>
      </c>
      <c r="BL23" s="15">
        <f>IF(ISNA(VLOOKUP(A23,'Données projet'!$A$87:$I$107,4,0)),0,VLOOKUP(A23,'Données projet'!$A$87:$I$107,4,0))</f>
        <v>29</v>
      </c>
      <c r="BM23" s="16">
        <f>IF(ISNA(VLOOKUP(A23,'Données projet'!$A$87:$I$107,5,0)),0%,VLOOKUP(A23,'Données projet'!$A$87:$I$107,5,0)*VLOOKUP('Données projet'!$B$11,Paramètres!$A$1:$I$89,7,0))</f>
        <v>0</v>
      </c>
      <c r="BN23" s="16">
        <f>IF(ISNA(VLOOKUP(A23,'Données projet'!$A$87:$I$107,6,0)),0%,VLOOKUP(A23,'Données projet'!$A$87:$I$107,6,0)*VLOOKUP('Données projet'!$B$11,Paramètres!$A$1:$I$89,7,0))</f>
        <v>0.22500000000000001</v>
      </c>
      <c r="BO23" s="16">
        <f>IF(ISNA(VLOOKUP(A23,'Données projet'!$A$87:$I$107,7,0)),0%,VLOOKUP(A23,'Données projet'!$A$87:$I$107,7,0))</f>
        <v>0.5</v>
      </c>
      <c r="BP23" s="21">
        <f>EXP(-LN(2)/35)*BP22+(1-EXP(-LN(2)/35))/(LN(2)/35)*BL23*BM23*VLOOKUP('Données projet'!$B$11,Paramètres!$A$1:$I$89,3,0)*0.475*44/12</f>
        <v>0</v>
      </c>
      <c r="BQ23" s="21">
        <f>EXP(-LN(2)/25)*BQ22+(1-EXP(-LN(2)/25))/(LN(2)/25)*Calculateur!BL23*Calculateur!BN23*VLOOKUP('Données projet'!$B$11,Paramètres!$A$1:$I$89,3,0)*0.475*44/12</f>
        <v>5.1558075517675315</v>
      </c>
      <c r="BR23" s="21">
        <f>EXP(-LN(2)/2)*BR22+(1-EXP(-LN(2)/2))/(LN(2)/2)*BL23*BO23*VLOOKUP('Données projet'!$B$11,Paramètres!$A$1:$I$89,3,0)*0.475*44/12</f>
        <v>9.8175862518519867</v>
      </c>
      <c r="BS23" s="22">
        <f t="shared" si="9"/>
        <v>14.973393803619519</v>
      </c>
      <c r="BT23" s="75">
        <f>('Scénario référence'!$F$8+'Scénario référence'!$F$9+'Scénario référence'!$B$17+'Scénario référence'!$B$9+'Scénario référence'!$B$10)*70+IF((45+25*(1-EXP(-0.0175*A23)))&lt;70,'Scénario référence'!$B$16*(45+25*(1-EXP(-0.0175*A23))),70*'Scénario référence'!$B$16)+IF((32+38*(1-EXP(-0.0175*A23)))&lt;70,'Scénario référence'!$B$18*(32+38*(1-EXP(-0.0175*A23))),70*'Scénario référence'!$B$18)</f>
        <v>70</v>
      </c>
      <c r="BU23" s="12">
        <f>IF(A23&gt;30,10,('Scénario référence'!$B$16+'Scénario référence'!$B$17+'Scénario référence'!$B$18+'Scénario référence'!$B$9+'Scénario référence'!$B$10)*A23*10/30+('Scénario référence'!$F$8+'Scénario référence'!$F$9)*10)</f>
        <v>10</v>
      </c>
      <c r="BV23" s="12">
        <f>VLOOKUP(A23,'Données projet'!$A$113:$I$133,2,0)</f>
        <v>106</v>
      </c>
      <c r="BW23" s="12">
        <f>VLOOKUP(A23,'Données projet'!$A$113:$I$133,9,0)</f>
        <v>11.6</v>
      </c>
      <c r="BX23" s="12">
        <f t="array" ref="BX23">INDEX(BW:BW,MIN(IF(ISNUMBER(BW23:BW219),ROW(BW23:BW219),"")))</f>
        <v>11.6</v>
      </c>
      <c r="BY23" s="12">
        <f>IF('Données projet'!$A$114&gt;35,BY22+BX23-CG22,IF(A23&lt;'Données projet'!$A$114,$BV$205^A23,IF(A23='Données projet'!$A$114,'Données projet'!$B$114,BY22+BX23-CG22)))</f>
        <v>105.99999999999999</v>
      </c>
      <c r="BZ23" s="13">
        <f>BY23*VLOOKUP('Données projet'!$B$12,Paramètres!$A$1:$I$89,3,0)*VLOOKUP('Données projet'!$B$12,Paramètres!$A$1:$I$89,5,0)</f>
        <v>60.631999999999991</v>
      </c>
      <c r="CA23" s="13">
        <f t="shared" si="39"/>
        <v>17.327960866027382</v>
      </c>
      <c r="CB23" s="20">
        <f t="shared" si="10"/>
        <v>135.78026517499768</v>
      </c>
      <c r="CC23" s="59">
        <f t="shared" si="11"/>
        <v>429.11359850833099</v>
      </c>
      <c r="CD23" s="59">
        <f ca="1">AVERAGE(OFFSET($CC$3,0,0,'Données projet'!$E$12+1,1))-AVERAGE(OFFSET($H$3,0,0,'Données projet'!$E$12+1,1))</f>
        <v>188.64374818906128</v>
      </c>
      <c r="CE23" s="59">
        <f t="shared" si="40"/>
        <v>211.95157880548652</v>
      </c>
      <c r="CF23" s="15">
        <f>IF(ISNA(VLOOKUP(A23,'Données projet'!$A$113:$I$133,3,0)),0,VLOOKUP(A23,'Données projet'!$A$113:$I$133,3,0))</f>
        <v>1</v>
      </c>
      <c r="CG23" s="15">
        <f>IF(ISNA(VLOOKUP(A23,'Données projet'!$A$113:$I$133,4,0)),0,VLOOKUP(A23,'Données projet'!$A$113:$I$133,4,0))</f>
        <v>26</v>
      </c>
      <c r="CH23" s="16">
        <f>IF(ISNA(VLOOKUP(A23,'Données projet'!$A$113:$I$133,5,0)),0%,VLOOKUP(A23,'Données projet'!$A$113:$I$133,5,0)*VLOOKUP('Données projet'!$B$12,Paramètres!$A$1:$I$89,7,0))</f>
        <v>0</v>
      </c>
      <c r="CI23" s="16">
        <f>IF(ISNA(VLOOKUP(A23,'Données projet'!$A$113:$I$133,6,0)),0%,VLOOKUP(A23,'Données projet'!$A$113:$I$133,6,0)*VLOOKUP('Données projet'!$B$12,Paramètres!$A$1:$I$89,7,0))</f>
        <v>0.22500000000000001</v>
      </c>
      <c r="CJ23" s="16">
        <f>IF(ISNA(VLOOKUP(A23,'Données projet'!$A$113:$I$133,7,0)),0%,VLOOKUP(A23,'Données projet'!$A$113:$I$133,7,0))</f>
        <v>0.5</v>
      </c>
      <c r="CK23" s="21">
        <f>EXP(-LN(2)/35)*CK22+(1-EXP(-LN(2)/35))/(LN(2)/35)*CG23*CH23*VLOOKUP('Données projet'!$B$12,Paramètres!$A$1:$I$89,3,0)*0.475*44/12</f>
        <v>0</v>
      </c>
      <c r="CL23" s="21">
        <f>EXP(-LN(2)/25)*CL22+(1-EXP(-LN(2)/25))/(LN(2)/25)*Calculateur!CG23*Calculateur!CI23*VLOOKUP('Données projet'!$B$12,Paramètres!$A$1:$I$89,3,0)*0.475*44/12</f>
        <v>4.4214721433448672</v>
      </c>
      <c r="CM23" s="21">
        <f>EXP(-LN(2)/2)*CM22+(1-EXP(-LN(2)/2))/(LN(2)/2)*CG23*CJ23*VLOOKUP('Données projet'!$B$12,Paramètres!$A$1:$I$89,3,0)*0.475*44/12</f>
        <v>8.4192793644068011</v>
      </c>
      <c r="CN23" s="22">
        <f t="shared" si="12"/>
        <v>12.840751507751669</v>
      </c>
      <c r="CO23" s="75">
        <f>('Scénario référence'!$F$8+'Scénario référence'!$F$9+'Scénario référence'!$B$17+'Scénario référence'!$B$9+'Scénario référence'!$B$10)*70+IF((45+25*(1-EXP(-0.0175*A23)))&lt;70,'Scénario référence'!$B$16*(45+25*(1-EXP(-0.0175*A23))),70*'Scénario référence'!$B$16)+IF((32+38*(1-EXP(-0.0175*A23)))&lt;70,'Scénario référence'!$B$18*(32+38*(1-EXP(-0.0175*A23))),70*'Scénario référence'!$B$18)</f>
        <v>70</v>
      </c>
      <c r="CP23" s="12">
        <f>IF(A23&gt;30,10,('Scénario référence'!$B$16+'Scénario référence'!$B$17+'Scénario référence'!$B$18+'Scénario référence'!$B$9+'Scénario référence'!$B$10)*A23*10/30+('Scénario référence'!$F$8+'Scénario référence'!$F$9)*10)</f>
        <v>10</v>
      </c>
      <c r="CQ23" s="12" t="e">
        <f>VLOOKUP(A23,'Données projet'!$A$139:$I$159,2,0)</f>
        <v>#N/A</v>
      </c>
      <c r="CR23" s="12" t="e">
        <f>VLOOKUP(A23,'Données projet'!$A$139:$I$159,9,0)</f>
        <v>#N/A</v>
      </c>
      <c r="CS23" s="12">
        <f t="array" ref="CS23">INDEX(CR:CR,MIN(IF(ISNUMBER(CR23:CR219),ROW(CR23:CR219),"")))</f>
        <v>0</v>
      </c>
      <c r="CT23" s="12">
        <f>IF('Données projet'!$A$140&gt;35,CT22+CS23-DB22,IF(A23&lt;'Données projet'!$A$140,$CQ$205^A23,IF(A23='Données projet'!$A$140,'Données projet'!$B$140,CT22+CS23-DB22)))</f>
        <v>0</v>
      </c>
      <c r="CU23" s="17" t="e">
        <f>CT23*VLOOKUP('Données projet'!$B$13,Paramètres!$A$1:$I$89,3,0)*VLOOKUP('Données projet'!$B$13,Paramètres!$A$1:$I$89,5,0)</f>
        <v>#N/A</v>
      </c>
      <c r="CV23" s="13" t="e">
        <f t="shared" si="41"/>
        <v>#N/A</v>
      </c>
      <c r="CW23" s="20" t="e">
        <f t="shared" si="13"/>
        <v>#N/A</v>
      </c>
      <c r="CX23" s="59" t="e">
        <f t="shared" si="14"/>
        <v>#N/A</v>
      </c>
      <c r="CY23" s="59" t="e">
        <f ca="1">AVERAGE(OFFSET($CX$3,0,0,'Données projet'!$E$13+1,1))-AVERAGE(OFFSET($H$3,0,0,'Données projet'!$E$13+1,1))</f>
        <v>#N/A</v>
      </c>
      <c r="CZ23" s="59" t="e">
        <f t="shared" si="42"/>
        <v>#N/A</v>
      </c>
      <c r="DA23" s="15">
        <f>IF(ISNA(VLOOKUP(A23,'Données projet'!$A$139:$I$159,3,0)),0,VLOOKUP(A23,'Données projet'!$A$139:$I$159,3,0))</f>
        <v>0</v>
      </c>
      <c r="DB23" s="15">
        <f>IF(ISNA(VLOOKUP(A23,'Données projet'!$A$139:$I$159,4,0)),0,VLOOKUP(A23,'Données projet'!$A$139:$I$159,4,0))</f>
        <v>0</v>
      </c>
      <c r="DC23" s="16">
        <f>IF(ISNA(VLOOKUP(A23,'Données projet'!$A$139:$I$159,5,0)),0%,VLOOKUP(A23,'Données projet'!$A$139:$I$159,5,0)*VLOOKUP('Données projet'!$B$13,Paramètres!$A$1:$I$89,7,0))</f>
        <v>0</v>
      </c>
      <c r="DD23" s="16">
        <f>IF(ISNA(VLOOKUP(A23,'Données projet'!$A$139:$I$159,6,0)),0%,VLOOKUP(A23,'Données projet'!$A$139:$I$159,6,0)*VLOOKUP('Données projet'!$B$13,Paramètres!$A$1:$I$89,7,0))</f>
        <v>0</v>
      </c>
      <c r="DE23" s="16">
        <f>IF(ISNA(VLOOKUP(A23,'Données projet'!$A$139:$I$159,7,0)),0%,VLOOKUP(A23,'Données projet'!$A$139:$I$159,7,0))</f>
        <v>0</v>
      </c>
      <c r="DF23" s="21" t="e">
        <f>EXP(-LN(2)/35)*DF22+(1-EXP(-LN(2)/35))/(LN(2)/35)*DB23*DC23*VLOOKUP('Données projet'!$B$13,Paramètres!$A$1:$I$89,3,0)*0.475*44/12</f>
        <v>#N/A</v>
      </c>
      <c r="DG23" s="21" t="e">
        <f>EXP(-LN(2)/25)*DG22+(1-EXP(-LN(2)/25))/(LN(2)/25)*Calculateur!DB23*Calculateur!DD23*VLOOKUP('Données projet'!$B$13,Paramètres!$A$1:$I$89,3,0)*0.475*44/12</f>
        <v>#N/A</v>
      </c>
      <c r="DH23" s="21" t="e">
        <f>EXP(-LN(2)/2)*DH22+(1-EXP(-LN(2)/2))/(LN(2)/2)*DB23*DE23*VLOOKUP('Données projet'!$B$13,Paramètres!$A$1:$I$89,3,0)*0.475*44/12</f>
        <v>#N/A</v>
      </c>
      <c r="DI23" s="22" t="e">
        <f t="shared" si="15"/>
        <v>#N/A</v>
      </c>
      <c r="DJ23" s="75">
        <f>('Scénario référence'!$F$8+'Scénario référence'!$F$9+'Scénario référence'!$B$17+'Scénario référence'!$B$9+'Scénario référence'!$B$10)*70+IF((45+25*(1-EXP(-0.0175*A23)))&lt;70,'Scénario référence'!$B$16*(45+25*(1-EXP(-0.0175*A23))),70*'Scénario référence'!$B$16)+IF((32+38*(1-EXP(-0.0175*A23)))&lt;70,'Scénario référence'!$B$18*(32+38*(1-EXP(-0.0175*A23))),70*'Scénario référence'!$B$18)</f>
        <v>70</v>
      </c>
      <c r="DK23" s="12">
        <f>IF(A23&gt;30,10,('Scénario référence'!$B$16+'Scénario référence'!$B$17+'Scénario référence'!$B$18+'Scénario référence'!$B$9+'Scénario référence'!$B$10)*A23*10/30+('Scénario référence'!$F$8+'Scénario référence'!$F$9)*10)</f>
        <v>10</v>
      </c>
      <c r="DL23" s="12">
        <f>VLOOKUP(A23,'Données projet'!$A$165:$I$185,2,0)</f>
        <v>123</v>
      </c>
      <c r="DM23" s="12">
        <f>VLOOKUP(A23,'Données projet'!$A$165:$I$185,9,0)</f>
        <v>11</v>
      </c>
      <c r="DN23" s="12">
        <f t="array" ref="DN23">INDEX(DM:DM,MIN(IF(ISNUMBER(DM23:DM219),ROW(DM23:DM219),"")))</f>
        <v>11</v>
      </c>
      <c r="DO23" s="12">
        <f>IF('Données projet'!$A$166&gt;35,DO22+DN23-DW22,IF(A23&lt;'Données projet'!$A$166,$DL$205^A23,IF(A23='Données projet'!$A$166,'Données projet'!$B$166,DO22+DN23-DW22)))</f>
        <v>123</v>
      </c>
      <c r="DP23" s="17">
        <f>DO23*VLOOKUP('Données projet'!$B$14,Paramètres!$A$1:$I$89,3,0)*VLOOKUP('Données projet'!$B$14,Paramètres!$A$1:$I$89,5,0)</f>
        <v>80.589600000000004</v>
      </c>
      <c r="DQ23" s="13">
        <f t="shared" si="43"/>
        <v>22.281282727508763</v>
      </c>
      <c r="DR23" s="20">
        <f t="shared" si="16"/>
        <v>179.16678741707778</v>
      </c>
      <c r="DS23" s="59">
        <f t="shared" si="17"/>
        <v>472.5001207504111</v>
      </c>
      <c r="DT23" s="59">
        <f ca="1">AVERAGE(OFFSET($DS$3,0,0,'Données projet'!$E$14+1,1))-AVERAGE(OFFSET($H$3,0,0,'Données projet'!$E$14+1,1))</f>
        <v>188.68915783955595</v>
      </c>
      <c r="DU23" s="59">
        <f t="shared" si="44"/>
        <v>240.82467772396944</v>
      </c>
      <c r="DV23" s="15">
        <f>IF(ISNA(VLOOKUP(A23,'Données projet'!$A$165:$I$185,3,0)),0,VLOOKUP(A23,'Données projet'!$A$165:$I$185,3,0))</f>
        <v>1</v>
      </c>
      <c r="DW23" s="15">
        <f>IF(ISNA(VLOOKUP(A23,'Données projet'!$A$165:$I$185,4,0)),0,VLOOKUP(A23,'Données projet'!$A$165:$I$185,4,0))</f>
        <v>18</v>
      </c>
      <c r="DX23" s="16">
        <f>IF(ISNA(VLOOKUP(A23,'Données projet'!$A$165:$I$185,5,0)),0%,VLOOKUP(A23,'Données projet'!$A$165:$I$185,5,0)*VLOOKUP('Données projet'!$B$14,Paramètres!$A$1:$I$89,7,0))</f>
        <v>0</v>
      </c>
      <c r="DY23" s="16">
        <f>IF(ISNA(VLOOKUP(A23,'Données projet'!$A$165:$I$185,6,0)),0%,VLOOKUP(A23,'Données projet'!$A$165:$I$185,6,0)*VLOOKUP('Données projet'!$B$14,Paramètres!$A$1:$I$89,7,0))</f>
        <v>0.1075</v>
      </c>
      <c r="DZ23" s="16">
        <f>IF(ISNA(VLOOKUP(A23,'Données projet'!$A$165:$I$185,7,0)),0%,VLOOKUP(A23,'Données projet'!$A$165:$I$185,7,0))</f>
        <v>0.25</v>
      </c>
      <c r="EA23" s="21">
        <f>EXP(-LN(2)/35)*EA22+(1-EXP(-LN(2)/35))/(LN(2)/35)*DW23*DX23*VLOOKUP('Données projet'!$B$14,Paramètres!$A$1:$I$89,3,0)*0.475*44/12</f>
        <v>0</v>
      </c>
      <c r="EB23" s="21">
        <f>EXP(-LN(2)/25)*EB22+(1-EXP(-LN(2)/25))/(LN(2)/25)*Calculateur!DW23*Calculateur!DY23*VLOOKUP('Données projet'!$B$14,Paramètres!$A$1:$I$89,3,0)*0.475*44/12</f>
        <v>1.3960102606435021</v>
      </c>
      <c r="EC23" s="21">
        <f>EXP(-LN(2)/2)*EC22+(1-EXP(-LN(2)/2))/(LN(2)/2)*DW23*DZ23*VLOOKUP('Données projet'!$B$14,Paramètres!$A$1:$I$89,3,0)*0.475*44/12</f>
        <v>2.7818947550225261</v>
      </c>
      <c r="ED23" s="22">
        <f t="shared" si="18"/>
        <v>4.1779050156660285</v>
      </c>
      <c r="EE23" s="75">
        <f>('Scénario référence'!$F$8+'Scénario référence'!$F$9+'Scénario référence'!$B$17+'Scénario référence'!$B$9+'Scénario référence'!$B$10)*70+IF((45+25*(1-EXP(-0.0175*A23)))&lt;70,'Scénario référence'!$B$16*(45+25*(1-EXP(-0.0175*A23))),70*'Scénario référence'!$B$16)+IF((32+38*(1-EXP(-0.0175*A23)))&lt;70,'Scénario référence'!$B$18*(32+38*(1-EXP(-0.0175*A23))),70*'Scénario référence'!$B$18)</f>
        <v>70</v>
      </c>
      <c r="EF23" s="12">
        <f>IF(A23&gt;30,10,('Scénario référence'!$B$16+'Scénario référence'!$B$17+'Scénario référence'!$B$18+'Scénario référence'!$B$9+'Scénario référence'!$B$10)*A23*10/30+('Scénario référence'!$F$8+'Scénario référence'!$F$9)*10)</f>
        <v>10</v>
      </c>
      <c r="EG23" s="12">
        <f>VLOOKUP(A23,'Données projet'!$A$191:$I$211,2,0)</f>
        <v>83</v>
      </c>
      <c r="EH23" s="12">
        <f>VLOOKUP(A23,'Données projet'!$A$191:$I$211,9,0)</f>
        <v>7.8</v>
      </c>
      <c r="EI23" s="12">
        <f t="array" ref="EI23">INDEX(EH:EH,MIN(IF(ISNUMBER(EH23:EH219),ROW(EH23:EH219),"")))</f>
        <v>7.8</v>
      </c>
      <c r="EJ23" s="12">
        <f>IF('Données projet'!$A$192&gt;35,EJ22+EI23-ER22,IF(A23&lt;'Données projet'!$A$192,$EG$205^A23,IF(A23='Données projet'!$A$192,'Données projet'!$B$192,EJ22+EI23-ER22)))</f>
        <v>82.999999999999986</v>
      </c>
      <c r="EK23" s="17">
        <f>EJ23*VLOOKUP('Données projet'!$B$15,Paramètres!$A$1:$I$89,3,0)*VLOOKUP('Données projet'!$B$15,Paramètres!$A$1:$I$89,5,0)</f>
        <v>67.329599999999999</v>
      </c>
      <c r="EL23" s="13">
        <f t="shared" si="45"/>
        <v>19.008809433660961</v>
      </c>
      <c r="EM23" s="20">
        <f t="shared" si="19"/>
        <v>150.37272976362615</v>
      </c>
      <c r="EN23" s="59">
        <f t="shared" si="20"/>
        <v>443.7060630969595</v>
      </c>
      <c r="EO23" s="59">
        <f ca="1">AVERAGE(OFFSET($EN$3,0,0,'Données projet'!$E$15+1,1))-AVERAGE(OFFSET($H$3,0,0,'Données projet'!$E$15+1,1))</f>
        <v>205.5272583787887</v>
      </c>
      <c r="EP23" s="59">
        <f t="shared" si="46"/>
        <v>180.54762778843178</v>
      </c>
      <c r="EQ23" s="15">
        <f>IF(ISNA(VLOOKUP(A23,'Données projet'!$A$191:$I$211,3,0)),0,VLOOKUP(A23,'Données projet'!$A$191:$I$211,3,0))</f>
        <v>1</v>
      </c>
      <c r="ER23" s="15">
        <f>IF(ISNA(VLOOKUP(A23,'Données projet'!$A$191:$I$211,4,0)),0,VLOOKUP(A23,'Données projet'!$A$191:$I$211,4,0))</f>
        <v>18</v>
      </c>
      <c r="ES23" s="16">
        <f>IF(ISNA(VLOOKUP(A23,'Données projet'!$A$191:$I$211,5,0)),0%,VLOOKUP(A23,'Données projet'!$A$191:$I$211,5,0)*VLOOKUP('Données projet'!$B$15,Paramètres!$A$1:$I$89,7,0))</f>
        <v>0</v>
      </c>
      <c r="ET23" s="16">
        <f>IF(ISNA(VLOOKUP(A23,'Données projet'!$A$191:$I$211,6,0)),0%,VLOOKUP(A23,'Données projet'!$A$191:$I$211,6,0)*VLOOKUP('Données projet'!$B$15,Paramètres!$A$1:$I$89,7,0))</f>
        <v>0.1075</v>
      </c>
      <c r="EU23" s="16">
        <f>IF(ISNA(VLOOKUP(A23,'Données projet'!$A$191:$I$211,7,0)),0%,VLOOKUP(A23,'Données projet'!$A$191:$I$211,7,0))</f>
        <v>0.25</v>
      </c>
      <c r="EV23" s="21">
        <f>EXP(-LN(2)/35)*EV22+(1-EXP(-LN(2)/35))/(LN(2)/35)*ER23*ES23*VLOOKUP('Données projet'!$B$15,Paramètres!$A$1:$I$89,3,0)*0.475*44/12</f>
        <v>0</v>
      </c>
      <c r="EW23" s="21">
        <f>EXP(-LN(2)/25)*EW22+(1-EXP(-LN(2)/25))/(LN(2)/25)*Calculateur!ER23*Calculateur!ET23*VLOOKUP('Données projet'!$B$15,Paramètres!$A$1:$I$89,3,0)*0.475*44/12</f>
        <v>1.7283936560348121</v>
      </c>
      <c r="EX23" s="21">
        <f>EXP(-LN(2)/2)*EX22+(1-EXP(-LN(2)/2))/(LN(2)/2)*ER23*EU23*VLOOKUP('Données projet'!$B$15,Paramètres!$A$1:$I$89,3,0)*0.475*44/12</f>
        <v>3.4442506490755087</v>
      </c>
      <c r="EY23" s="22">
        <f t="shared" si="21"/>
        <v>5.172644305110321</v>
      </c>
      <c r="EZ23" s="75">
        <f>('Scénario référence'!$F$8+'Scénario référence'!$F$9+'Scénario référence'!$B$17+'Scénario référence'!$B$9+'Scénario référence'!$B$10)*70+IF((45+25*(1-EXP(-0.0175*A23)))&lt;70,'Scénario référence'!$B$16*(45+25*(1-EXP(-0.0175*A23))),70*'Scénario référence'!$B$16)+IF((32+38*(1-EXP(-0.0175*A23)))&lt;70,'Scénario référence'!$B$18*(32+38*(1-EXP(-0.0175*A23))),70*'Scénario référence'!$B$18)</f>
        <v>70</v>
      </c>
      <c r="FA23" s="12">
        <f>IF(A23&gt;30,10,('Scénario référence'!$B$16+'Scénario référence'!$B$17+'Scénario référence'!$B$18+'Scénario référence'!$B$9+'Scénario référence'!$B$10)*A23*10/30+('Scénario référence'!$F$8+'Scénario référence'!$F$9)*10)</f>
        <v>10</v>
      </c>
      <c r="FB23" s="12">
        <f>VLOOKUP(A23,'Données projet'!$A$217:$I$237,2,0)</f>
        <v>57</v>
      </c>
      <c r="FC23" s="12">
        <f>VLOOKUP(A23,'Données projet'!$A$217:$I$237,9,0)</f>
        <v>6.2</v>
      </c>
      <c r="FD23" s="12">
        <f t="array" ref="FD23">INDEX(FC:FC,MIN(IF(ISNUMBER(FC23:FC219),ROW(FC23:FC219),"")))</f>
        <v>6.2</v>
      </c>
      <c r="FE23" s="12">
        <f>IF('Données projet'!$A$218&gt;35,FE22+FD23-FM22,IF(A23&lt;'Données projet'!$A$218,$FB$205^A23,IF(A23='Données projet'!$A$218,'Données projet'!$B$218,FE22+FD23-FM22)))</f>
        <v>57.000000000000014</v>
      </c>
      <c r="FF23" s="17">
        <f>FE23*VLOOKUP('Données projet'!$B$16,Paramètres!$A$1:$I$89,3,0)*VLOOKUP('Données projet'!$B$16,Paramètres!$A$1:$I$89,5,0)</f>
        <v>48.90600000000002</v>
      </c>
      <c r="FG23" s="13">
        <f t="shared" si="47"/>
        <v>14.330866650402033</v>
      </c>
      <c r="FH23" s="20">
        <f t="shared" si="22"/>
        <v>110.13754274945023</v>
      </c>
      <c r="FI23" s="59">
        <f t="shared" si="23"/>
        <v>403.47087608278355</v>
      </c>
      <c r="FJ23" s="59">
        <f ca="1">AVERAGE(OFFSET($FI$3,0,0,'Données projet'!$E$16+1,1))-AVERAGE(OFFSET($H$3,0,0,'Données projet'!$E$16+1,1))</f>
        <v>383.97627237444709</v>
      </c>
      <c r="FK23" s="59">
        <f t="shared" si="48"/>
        <v>203.35476578922339</v>
      </c>
      <c r="FL23" s="15">
        <f>IF(ISNA(VLOOKUP(A23,'Données projet'!$A$217:$I$237,3,0)),0,VLOOKUP(A23,'Données projet'!$A$217:$I$237,3,0))</f>
        <v>1</v>
      </c>
      <c r="FM23" s="15">
        <f>IF(ISNA(VLOOKUP(A23,'Données projet'!$A$217:$I$237,4,0)),0,VLOOKUP(A23,'Données projet'!$A$217:$I$237,4,0))</f>
        <v>8</v>
      </c>
      <c r="FN23" s="16">
        <f>IF(ISNA(VLOOKUP(A23,'Données projet'!$A$217:$I$237,5,0)),0%,VLOOKUP(A23,'Données projet'!$A$217:$I$237,5,0)*VLOOKUP('Données projet'!$B$16,Paramètres!$A$1:$I$89,7,0))</f>
        <v>0</v>
      </c>
      <c r="FO23" s="16">
        <f>IF(ISNA(VLOOKUP(A23,'Données projet'!$A$217:$I$237,6,0)),0%,VLOOKUP(A23,'Données projet'!$A$217:$I$237,6,0)*VLOOKUP('Données projet'!$B$16,Paramètres!$A$1:$I$89,7,0))</f>
        <v>0.13250000000000001</v>
      </c>
      <c r="FP23" s="16">
        <f>IF(ISNA(VLOOKUP(A23,'Données projet'!$A$217:$I$237,7,0)),0%,VLOOKUP(A23,'Données projet'!$A$217:$I$237,7,0))</f>
        <v>0.25</v>
      </c>
      <c r="FQ23" s="21">
        <f>EXP(-LN(2)/35)*FQ22+(1-EXP(-LN(2)/35))/(LN(2)/35)*FM23*FN23*VLOOKUP('Données projet'!$B$16,Paramètres!$A$1:$I$89,3,0)*0.475*44/12</f>
        <v>0</v>
      </c>
      <c r="FR23" s="21">
        <f>EXP(-LN(2)/25)*FR22+(1-EXP(-LN(2)/25))/(LN(2)/25)*Calculateur!FM23*Calculateur!FO23*VLOOKUP('Données projet'!$B$16,Paramètres!$A$1:$I$89,3,0)*0.475*44/12</f>
        <v>1.0014445452875129</v>
      </c>
      <c r="FS23" s="21">
        <f>EXP(-LN(2)/2)*FS22+(1-EXP(-LN(2)/2))/(LN(2)/2)*FM23*FP23*VLOOKUP('Données projet'!$B$16,Paramètres!$A$1:$I$89,3,0)*0.475*44/12</f>
        <v>1.6190921854628464</v>
      </c>
      <c r="FT23" s="22">
        <f t="shared" si="24"/>
        <v>2.6205367307503593</v>
      </c>
      <c r="FU23" s="75">
        <f>('Scénario référence'!$F$8+'Scénario référence'!$F$9+'Scénario référence'!$B$17+'Scénario référence'!$B$9+'Scénario référence'!$B$10)*70+IF((45+25*(1-EXP(-0.0175*A23)))&lt;70,'Scénario référence'!$B$16*(45+25*(1-EXP(-0.0175*A23))),70*'Scénario référence'!$B$16)+IF((32+38*(1-EXP(-0.0175*A23)))&lt;70,'Scénario référence'!$B$18*(32+38*(1-EXP(-0.0175*A23))),70*'Scénario référence'!$B$18)</f>
        <v>70</v>
      </c>
      <c r="FV23" s="12">
        <f>IF(A23&gt;30,10,('Scénario référence'!$B$16+'Scénario référence'!$B$17+'Scénario référence'!$B$18+'Scénario référence'!$B$9+'Scénario référence'!$B$10)*A23*10/30+('Scénario référence'!$F$8+'Scénario référence'!$F$9)*10)</f>
        <v>10</v>
      </c>
      <c r="FW23" s="12" t="e">
        <f>VLOOKUP(A23,'Données projet'!$A$243:$I$263,2,0)</f>
        <v>#N/A</v>
      </c>
      <c r="FX23" s="12" t="e">
        <f>VLOOKUP(A23,'Données projet'!$A$243:$I$263,9,0)</f>
        <v>#N/A</v>
      </c>
      <c r="FY23" s="12">
        <f t="array" ref="FY23">INDEX(FX:FX,MIN(IF(ISNUMBER(FX23:FX219),ROW(FX23:FX219),"")))</f>
        <v>4.0628205128205126</v>
      </c>
      <c r="FZ23" s="12">
        <f>IF('Données projet'!$A$244&gt;35,FZ22+FY23-GH22,IF(A23&lt;'Données projet'!$A$244,$FW$205^A23,IF(A23='Données projet'!$A$244,'Données projet'!$B$244,FZ22+FY23-GH22)))</f>
        <v>24.582870545650774</v>
      </c>
      <c r="GA23" s="17">
        <f>FZ23*VLOOKUP('Données projet'!$B$17,Paramètres!$A$1:$I$89,3,0)*VLOOKUP('Données projet'!$B$17,Paramètres!$A$1:$I$89,5,0)</f>
        <v>26.461001855338495</v>
      </c>
      <c r="GB23" s="13">
        <f t="shared" si="49"/>
        <v>8.3285035796405325</v>
      </c>
      <c r="GC23" s="20">
        <f t="shared" si="25"/>
        <v>60.591721965921806</v>
      </c>
      <c r="GD23" s="59">
        <f t="shared" si="26"/>
        <v>353.92505529925512</v>
      </c>
      <c r="GE23" s="59">
        <f ca="1">AVERAGE(OFFSET($GD$3,0,0,'Données projet'!$E$17+1,1))-AVERAGE(OFFSET($H$3,0,0,'Données projet'!$E$17+1,1))</f>
        <v>286.77702855541287</v>
      </c>
      <c r="GF23" s="59">
        <f t="shared" si="50"/>
        <v>227.12211541860779</v>
      </c>
      <c r="GG23" s="15">
        <f>IF(ISNA(VLOOKUP(A23,'Données projet'!$A$243:$I$263,3,0)),0,VLOOKUP(A23,'Données projet'!$A$243:$I$263,3,0))</f>
        <v>0</v>
      </c>
      <c r="GH23" s="15">
        <f>IF(ISNA(VLOOKUP(A23,'Données projet'!$A$243:$I$263,4,0)),0,VLOOKUP(A23,'Données projet'!$A$243:$I$263,4,0))</f>
        <v>0</v>
      </c>
      <c r="GI23" s="16">
        <f>IF(ISNA(VLOOKUP(A23,'Données projet'!$A$243:$I$263,5,0)),0%,VLOOKUP(A23,'Données projet'!$A$243:$I$263,5,0)*VLOOKUP('Données projet'!$B$17,Paramètres!$A$1:$I$89,7,0))</f>
        <v>0</v>
      </c>
      <c r="GJ23" s="16">
        <f>IF(ISNA(VLOOKUP(A23,'Données projet'!$A$243:$I$263,6,0)),0%,VLOOKUP(A23,'Données projet'!$A$243:$I$263,6,0)*VLOOKUP('Données projet'!$B$17,Paramètres!$A$1:$I$89,7,0))</f>
        <v>0</v>
      </c>
      <c r="GK23" s="16">
        <f>IF(ISNA(VLOOKUP(A23,'Données projet'!$A$243:$I$263,7,0)),0%,VLOOKUP(A23,'Données projet'!$A$243:$I$263,7,0))</f>
        <v>0</v>
      </c>
      <c r="GL23" s="21">
        <f>EXP(-LN(2)/35)*GL22+(1-EXP(-LN(2)/35))/(LN(2)/35)*GH23*GI23*VLOOKUP('Données projet'!$B$17,Paramètres!$A$1:$I$89,3,0)*0.475*44/12</f>
        <v>0</v>
      </c>
      <c r="GM23" s="21">
        <f>EXP(-LN(2)/25)*GM22+(1-EXP(-LN(2)/25))/(LN(2)/25)*Calculateur!GH23*Calculateur!GJ23*VLOOKUP('Données projet'!$B$17,Paramètres!$A$1:$I$89,3,0)*0.475*44/12</f>
        <v>0</v>
      </c>
      <c r="GN23" s="21">
        <f>EXP(-LN(2)/2)*GN22+(1-EXP(-LN(2)/2))/(LN(2)/2)*GH23*GK23*VLOOKUP('Données projet'!$B$17,Paramètres!$A$1:$I$89,3,0)*0.475*44/12</f>
        <v>0</v>
      </c>
      <c r="GO23" s="21">
        <f t="shared" si="27"/>
        <v>0</v>
      </c>
      <c r="GP23" s="75">
        <f>('Scénario référence'!$F$8+'Scénario référence'!$F$9+'Scénario référence'!$B$17+'Scénario référence'!$B$9+'Scénario référence'!$B$10)*70+IF((45+25*(1-EXP(-0.0175*A23)))&lt;70,'Scénario référence'!$B$16*(45+25*(1-EXP(-0.0175*A23))),70*'Scénario référence'!$B$16)+IF((32+38*(1-EXP(-0.0175*A23)))&lt;70,'Scénario référence'!$B$18*(32+38*(1-EXP(-0.0175*A23))),70*'Scénario référence'!$B$18)</f>
        <v>70</v>
      </c>
      <c r="GQ23" s="12">
        <f>IF(A23&gt;30,10,('Scénario référence'!$B$16+'Scénario référence'!$B$17+'Scénario référence'!$B$18+'Scénario référence'!$B$9+'Scénario référence'!$B$10)*A23*10/30+('Scénario référence'!$F$8+'Scénario référence'!$F$9)*10)</f>
        <v>10</v>
      </c>
      <c r="GR23" s="12" t="e">
        <f>VLOOKUP(A23,'Données projet'!$A$269:$I$289,2,0)</f>
        <v>#N/A</v>
      </c>
      <c r="GS23" s="12" t="e">
        <f>VLOOKUP(A23,'Données projet'!$A$269:$I$289,9,0)</f>
        <v>#N/A</v>
      </c>
      <c r="GT23" s="12">
        <f t="array" ref="GT23">INDEX(GS:GS,MIN(IF(ISNUMBER(GS23:GS219),ROW(GS23:GS219),"")))</f>
        <v>4.0628205128205126</v>
      </c>
      <c r="GU23" s="12">
        <f>IF('Données projet'!$A$270&gt;35,GU22+GT23-HC22,IF(A23&lt;'Données projet'!$A$270,$GR$205^A23,IF(A23='Données projet'!$A$270,'Données projet'!$B$270,GU22+GT23-HC22)))</f>
        <v>24.582870545650774</v>
      </c>
      <c r="GV23" s="17">
        <f>GU23*VLOOKUP('Données projet'!$B$18,Paramètres!$A$1:$I$89,3,0)*VLOOKUP('Données projet'!$B$18,Paramètres!$A$1:$I$89,5,0)</f>
        <v>26.461001855338495</v>
      </c>
      <c r="GW23" s="13">
        <f t="shared" si="51"/>
        <v>8.3285035796405325</v>
      </c>
      <c r="GX23" s="20">
        <f t="shared" si="28"/>
        <v>60.591721965921806</v>
      </c>
      <c r="GY23" s="59">
        <f t="shared" si="29"/>
        <v>353.92505529925512</v>
      </c>
      <c r="GZ23" s="59">
        <f ca="1">AVERAGE(OFFSET($GY$3,0,0,'Données projet'!$E$18+1,1))-AVERAGE(OFFSET($H$3,0,0,'Données projet'!$E$18+1,1))</f>
        <v>286.77702855541287</v>
      </c>
      <c r="HA23" s="59">
        <f t="shared" si="52"/>
        <v>227.12211541860779</v>
      </c>
      <c r="HB23" s="15">
        <f>IF(ISNA(VLOOKUP(A23,'Données projet'!$A$269:$I$289,3,0)),0,VLOOKUP(A23,'Données projet'!$A$269:$I$289,3,0))</f>
        <v>0</v>
      </c>
      <c r="HC23" s="15">
        <f>IF(ISNA(VLOOKUP(A23,'Données projet'!$A$269:$I$289,4,0)),0,VLOOKUP(A23,'Données projet'!$A$269:$I$289,4,0))</f>
        <v>0</v>
      </c>
      <c r="HD23" s="16">
        <f>IF(ISNA(VLOOKUP(A23,'Données projet'!$A$269:$I$289,5,0)),0%,VLOOKUP(A23,'Données projet'!$A$269:$I$289,5,0)*VLOOKUP('Données projet'!$B$18,Paramètres!$A$1:$I$89,7,0))</f>
        <v>0</v>
      </c>
      <c r="HE23" s="16">
        <f>IF(ISNA(VLOOKUP(A23,'Données projet'!$A$269:$I$289,6,0)),0%,VLOOKUP(A23,'Données projet'!$A$269:$I$289,6,0)*VLOOKUP('Données projet'!$B$18,Paramètres!$A$1:$I$89,7,0))</f>
        <v>0</v>
      </c>
      <c r="HF23" s="16">
        <f>IF(ISNA(VLOOKUP(A23,'Données projet'!$A$269:$I$289,7,0)),0%,VLOOKUP(A23,'Données projet'!$A$269:$I$289,7,0))</f>
        <v>0</v>
      </c>
      <c r="HG23" s="21">
        <f>EXP(-LN(2)/35)*HG22+(1-EXP(-LN(2)/35))/(LN(2)/35)*HC23*HD23*VLOOKUP('Données projet'!$B$18,Paramètres!$A$1:$I$89,3,0)*0.475*44/12</f>
        <v>0</v>
      </c>
      <c r="HH23" s="21">
        <f>EXP(-LN(2)/25)*HH22+(1-EXP(-LN(2)/25))/(LN(2)/25)*Calculateur!HC23*Calculateur!HE23*VLOOKUP('Données projet'!$B$18,Paramètres!$A$1:$I$89,3,0)*0.475*44/12</f>
        <v>0</v>
      </c>
      <c r="HI23" s="21">
        <f>EXP(-LN(2)/2)*HI22+(1-EXP(-LN(2)/2))/(LN(2)/2)*HC23*HF23*VLOOKUP('Données projet'!$B$18,Paramètres!$A$1:$I$89,3,0)*0.475*44/12</f>
        <v>0</v>
      </c>
      <c r="HJ23" s="22">
        <f t="shared" si="30"/>
        <v>0</v>
      </c>
    </row>
    <row r="24" spans="1:218" x14ac:dyDescent="0.25">
      <c r="A24" s="10">
        <f t="shared" si="31"/>
        <v>21</v>
      </c>
      <c r="B24" s="73">
        <f>'Scénario référence'!$B$16*5+'Scénario référence'!$B$17*0+'Scénario référence'!$B$18*5</f>
        <v>0</v>
      </c>
      <c r="C24" s="19">
        <f>Calculateur!C23+'Scénario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18.673200000000001</v>
      </c>
      <c r="D24" s="11">
        <f t="shared" si="32"/>
        <v>6.1206979954107776</v>
      </c>
      <c r="E2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4" s="11">
        <f>IF(OR('Scénario référence'!$F$8&gt;0,'Scénario référence'!$F$9&gt;0),('Scénario référence'!$F$8+'Scénario référence'!$F$9)*10,0)</f>
        <v>10</v>
      </c>
      <c r="G24" s="11">
        <f>'Scénario référence'!$B$8*B24*44/12+'Scénario référence'!$B$9*(C24+D24)/0.475*44/12+'Scénario référence'!$B$10*(C24+D24)/0.475*44/12+'Scénario référence'!$F$8*(C24+D24)/0.475*44/12+'Scénario référence'!$F$9*(C24+D24)/0.475*44/12</f>
        <v>191.3914932979078</v>
      </c>
      <c r="H24" s="67">
        <f t="shared" si="1"/>
        <v>336.51603900867377</v>
      </c>
      <c r="I24" s="70">
        <f>('Scénario référence'!$F$8+'Scénario référence'!$F$9+'Scénario référence'!$B$17+'Scénario référence'!$B$9+'Scénario référence'!$B$10)*70+IF((45+25*(1-EXP(-0.0175*A24)))&lt;70,'Scénario référence'!$B$16*(45+25*(1-EXP(-0.0175*A24))),70*'Scénario référence'!$B$16)+IF((32+38*(1-EXP(-0.0175*A24)))&lt;70,'Scénario référence'!$B$18*(32+38*(1-EXP(-0.0175*A24))),70*'Scénario référence'!$B$18)</f>
        <v>70</v>
      </c>
      <c r="J24" s="13">
        <f>IF(A24&gt;30,10,('Scénario référence'!$B$16+'Scénario référence'!$B$17+'Scénario référence'!$B$18+'Scénario référence'!$B$9+'Scénario référence'!$B$10)*A24*10/30+('Scénario référence'!$F$8+'Scénario référence'!$F$9)*10)</f>
        <v>10</v>
      </c>
      <c r="K24" s="12" t="e">
        <f>VLOOKUP(A24,'Données projet'!$A$35:$I$55,2,0)</f>
        <v>#N/A</v>
      </c>
      <c r="L24" s="12" t="e">
        <f>VLOOKUP(A24,'Données projet'!$A$35:$I$55,9,0)</f>
        <v>#N/A</v>
      </c>
      <c r="M24" s="12">
        <f t="array" ref="M24">INDEX(L:L,MIN(IF(ISNUMBER(L24:L220),ROW(L24:L220),"")))</f>
        <v>20.658974358974358</v>
      </c>
      <c r="N24" s="13">
        <f>IF('Données projet'!$A$36&gt;35,N23+M24-V23,IF(A24&lt;'Données projet'!$A$36,$K$205^A24,IF(A24='Données projet'!$A$36,'Données projet'!$B$36,N23+M24-V23)))</f>
        <v>175.58461538461535</v>
      </c>
      <c r="O24" s="13">
        <f>N24*VLOOKUP('Données projet'!$B$9,Paramètres!$A$1:$I$89,3,0)*VLOOKUP('Données projet'!$B$9,Paramètres!$A$1:$I$89,5,0)</f>
        <v>98.15179999999998</v>
      </c>
      <c r="P24" s="13">
        <f t="shared" si="33"/>
        <v>26.52121247620833</v>
      </c>
      <c r="Q24" s="20">
        <f t="shared" si="2"/>
        <v>217.13883006272945</v>
      </c>
      <c r="R24" s="59">
        <f t="shared" si="0"/>
        <v>510.4721633960628</v>
      </c>
      <c r="S24" s="59">
        <f ca="1">AVERAGE(OFFSET($R$3,0,0,'Données projet'!$E$9+1,1))-AVERAGE(OFFSET($H$3,0,0,'Données projet'!$E$9+1,1))</f>
        <v>255.5374979188561</v>
      </c>
      <c r="T24" s="59">
        <f t="shared" si="34"/>
        <v>343.10418468620901</v>
      </c>
      <c r="U24" s="15">
        <f>IF(ISNA(VLOOKUP(A24,'Données projet'!$A$35:$I$55,3,0)),0,VLOOKUP(A24,'Données projet'!$A$35:$I$55,3,0))</f>
        <v>0</v>
      </c>
      <c r="V24" s="15">
        <f>IF(ISNA(VLOOKUP(A24,'Données projet'!$A$35:$I$55,4,0)),0,VLOOKUP(A24,'Données projet'!$A$35:$I$55,4,0))</f>
        <v>0</v>
      </c>
      <c r="W24" s="16">
        <f>IF(ISNA(VLOOKUP(A24,'Données projet'!$A$35:$I$55,5,0)),0%,VLOOKUP(A24,'Données projet'!$A$35:$I$55,5,0)*VLOOKUP('Données projet'!$B$9,Paramètres!$A$1:$I$89,7,0))</f>
        <v>0</v>
      </c>
      <c r="X24" s="16">
        <f>IF(ISNA(VLOOKUP(A24,'Données projet'!$A$35:$I$55,6,0)),0%,VLOOKUP(A24,'Données projet'!$A$35:$I$55,6,0)*VLOOKUP('Données projet'!$B$9,Paramètres!$A$1:$I$89,7,0))</f>
        <v>0</v>
      </c>
      <c r="Y24" s="16">
        <f>IF(ISNA(VLOOKUP(A24,'Données projet'!$A$35:$I$55,7,0)),0%,VLOOKUP(A24,'Données projet'!$A$35:$I$55,7,0))</f>
        <v>0</v>
      </c>
      <c r="Z24" s="21">
        <f>EXP(-LN(2)/35)*Z23+(1-EXP(-LN(2)/35))/(LN(2)/35)*V24*W24*VLOOKUP('Données projet'!$B$9,Paramètres!$A$1:$I$89,3,0)*0.475*44/12</f>
        <v>0</v>
      </c>
      <c r="AA24" s="21">
        <f>EXP(-LN(2)/25)*AA23+(1-EXP(-LN(2)/25))/(LN(2)/25)*Calculateur!V24*Calculateur!X24*VLOOKUP('Données projet'!$B$9,Paramètres!$A$1:$I$89,3,0)*0.475*44/12</f>
        <v>12.95008774266787</v>
      </c>
      <c r="AB24" s="21">
        <f>EXP(-LN(2)/2)*AB23+(1-EXP(-LN(2)/2))/(LN(2)/2)*V24*Y24*VLOOKUP('Données projet'!$B$9,Paramètres!$A$1:$I$89,3,0)*0.475*44/12</f>
        <v>7.7519179693139169</v>
      </c>
      <c r="AC24" s="22">
        <f t="shared" si="3"/>
        <v>20.702005711981787</v>
      </c>
      <c r="AD24" s="13">
        <f>('Scénario référence'!$F$8+'Scénario référence'!$F$9+'Scénario référence'!$B$17+'Scénario référence'!$B$9+'Scénario référence'!$B$10)*70+IF((45+25*(1-EXP(-0.0175*A24)))&lt;70,'Scénario référence'!$B$16*(45+25*(1-EXP(-0.0175*A24))),70*'Scénario référence'!$B$16)+IF((32+38*(1-EXP(-0.0175*A24)))&lt;70,'Scénario référence'!$B$18*(32+38*(1-EXP(-0.0175*A24))),70*'Scénario référence'!$B$18)</f>
        <v>70</v>
      </c>
      <c r="AE24" s="13">
        <f>IF(A24&gt;30,10,('Scénario référence'!$B$16+'Scénario référence'!$B$17+'Scénario référence'!$B$18+'Scénario référence'!$B$9+'Scénario référence'!$B$10)*A24*10/30+('Scénario référence'!$F$8+'Scénario référence'!$F$9)*10)</f>
        <v>10</v>
      </c>
      <c r="AF24" s="12" t="e">
        <f>VLOOKUP(A24,'Données projet'!$A$61:$I$81,2,0)</f>
        <v>#N/A</v>
      </c>
      <c r="AG24" s="12" t="e">
        <f>VLOOKUP(A24,'Données projet'!$A$61:$I$81,9,0)</f>
        <v>#N/A</v>
      </c>
      <c r="AH24" s="12">
        <f t="array" ref="AH24">INDEX(AG:AG,MIN(IF(ISNUMBER(AG24:AG220),ROW(AG24:AG220),"")))</f>
        <v>16.5</v>
      </c>
      <c r="AI24" s="13">
        <f>IF('Données projet'!$A$62&gt;35,AI23+AH24-AQ23,IF(A24&lt;'Données projet'!$A$62,$AF$205^A24,IF(A24='Données projet'!$A$62,'Données projet'!$B$62,AI23+AH24-AQ23)))</f>
        <v>114.5</v>
      </c>
      <c r="AJ24" s="13">
        <f>AI24*VLOOKUP('Données projet'!$B$10,Paramètres!$A$1:$I$89,3,0)*VLOOKUP('Données projet'!$B$10,Paramètres!$A$1:$I$89,5,0)</f>
        <v>71.448000000000008</v>
      </c>
      <c r="AK24" s="13">
        <f t="shared" si="35"/>
        <v>20.03261738899662</v>
      </c>
      <c r="AL24" s="20">
        <f t="shared" si="4"/>
        <v>159.32874195250244</v>
      </c>
      <c r="AM24" s="59">
        <f t="shared" si="5"/>
        <v>452.66207528583573</v>
      </c>
      <c r="AN24" s="59">
        <f ca="1">AVERAGE(OFFSET($AM$3,0,0,'Données projet'!$E$10+1,1))-AVERAGE(OFFSET($H$3,0,0,'Données projet'!$E$10+1,1))</f>
        <v>261.78489480911571</v>
      </c>
      <c r="AO24" s="59">
        <f t="shared" si="36"/>
        <v>297.50513563712764</v>
      </c>
      <c r="AP24" s="15">
        <f>IF(ISNA(VLOOKUP(A24,'Données projet'!$A$61:$I$81,3,0)),0,VLOOKUP(A24,'Données projet'!$A$61:$I$81,3,0))</f>
        <v>0</v>
      </c>
      <c r="AQ24" s="15">
        <f>IF(ISNA(VLOOKUP(A24,'Données projet'!$A$61:$I$81,4,0)),0,VLOOKUP(A24,'Données projet'!$A$61:$I$81,4,0))</f>
        <v>0</v>
      </c>
      <c r="AR24" s="16">
        <f>IF(ISNA(VLOOKUP(A24,'Données projet'!$A$61:$I$81,5,0)),0%,VLOOKUP(A24,'Données projet'!$A$61:$I$81,5,0)*VLOOKUP('Données projet'!$B$10,Paramètres!$A$1:$I$89,7,0))</f>
        <v>0</v>
      </c>
      <c r="AS24" s="16">
        <f>IF(ISNA(VLOOKUP(A24,'Données projet'!$A$61:$I$81,6,0)),0%,VLOOKUP(A24,'Données projet'!$A$61:$I$81,6,0)*VLOOKUP('Données projet'!$B$10,Paramètres!$A$1:$I$89,7,0))</f>
        <v>0</v>
      </c>
      <c r="AT24" s="16">
        <f>IF(ISNA(VLOOKUP(A24,'Données projet'!$A$61:$I$81,7,0)),0%,VLOOKUP(A24,'Données projet'!$A$61:$I$81,7,0))</f>
        <v>0</v>
      </c>
      <c r="AU24" s="21">
        <f>EXP(-LN(2)/35)*AU23+(1-EXP(-LN(2)/35))/(LN(2)/35)*AQ24*AR24*VLOOKUP('Données projet'!$B$10,Paramètres!$A$1:$I$89,3,0)*0.475*44/12</f>
        <v>0</v>
      </c>
      <c r="AV24" s="21">
        <f>EXP(-LN(2)/25)*AV23+(1-EXP(-LN(2)/25))/(LN(2)/25)*Calculateur!AQ24*Calculateur!AS24*VLOOKUP('Données projet'!$B$10,Paramètres!$A$1:$I$89,3,0)*0.475*44/12</f>
        <v>14.435468828206952</v>
      </c>
      <c r="AW24" s="21">
        <f>EXP(-LN(2)/2)*AW23+(1-EXP(-LN(2)/2))/(LN(2)/2)*AQ24*AT24*VLOOKUP('Données projet'!$B$10,Paramètres!$A$1:$I$89,3,0)*0.475*44/12</f>
        <v>14.987403015799755</v>
      </c>
      <c r="AX24" s="21">
        <f t="shared" si="6"/>
        <v>29.422871844006707</v>
      </c>
      <c r="AY24" s="74">
        <f>('Scénario référence'!$F$8+'Scénario référence'!$F$9+'Scénario référence'!$B$17+'Scénario référence'!$B$9+'Scénario référence'!$B$10)*70+IF((45+25*(1-EXP(-0.0175*A24)))&lt;70,'Scénario référence'!$B$16*(45+25*(1-EXP(-0.0175*A24))),70*'Scénario référence'!$B$16)+IF((32+38*(1-EXP(-0.0175*A24)))&lt;70,'Scénario référence'!$B$18*(32+38*(1-EXP(-0.0175*A24))),70*'Scénario référence'!$B$18)</f>
        <v>70</v>
      </c>
      <c r="AZ24" s="12">
        <f>IF(A24&gt;30,10,('Scénario référence'!$B$16+'Scénario référence'!$B$17+'Scénario référence'!$B$18+'Scénario référence'!$B$9+'Scénario référence'!$B$10)*A24*10/30+('Scénario référence'!$F$8+'Scénario référence'!$F$9)*10)</f>
        <v>10</v>
      </c>
      <c r="BA24" s="12" t="e">
        <f>VLOOKUP(A24,'Données projet'!$A$87:$I$107,2,0)</f>
        <v>#N/A</v>
      </c>
      <c r="BB24" s="12" t="e">
        <f>VLOOKUP(A24,'Données projet'!$A$87:$I$107,9,0)</f>
        <v>#N/A</v>
      </c>
      <c r="BC24" s="12">
        <f t="array" ref="BC24">INDEX(BB:BB,MIN(IF(ISNUMBER(BB24:BB220),ROW(BB24:BB220),"")))</f>
        <v>15.3</v>
      </c>
      <c r="BD24" s="12">
        <f>IF('Données projet'!$A$88&gt;35,BD23+BC24-BL23,IF(A24&lt;'Données projet'!$A$88,$BA$205^A24,IF(A24='Données projet'!$A$88,'Données projet'!$B$88,BD23+BC24-BL23)))</f>
        <v>92.3</v>
      </c>
      <c r="BE24" s="13">
        <f>BD24*VLOOKUP('Données projet'!$B$11,Paramètres!$A$1:$I$89,3,0)*VLOOKUP('Données projet'!$B$11,Paramètres!$A$1:$I$89,5,0)</f>
        <v>55.195399999999999</v>
      </c>
      <c r="BF24" s="13">
        <f t="shared" si="37"/>
        <v>15.947677847278364</v>
      </c>
      <c r="BG24" s="20">
        <f t="shared" si="7"/>
        <v>123.90752725067647</v>
      </c>
      <c r="BH24" s="59">
        <f t="shared" si="8"/>
        <v>417.24086058400979</v>
      </c>
      <c r="BI24" s="59">
        <f ca="1">AVERAGE(OFFSET($BH$3,0,0,'Données projet'!$E$11+1,1))-AVERAGE(OFFSET($H$3,0,0,'Données projet'!$E$11+1,1))</f>
        <v>316.58509520829671</v>
      </c>
      <c r="BJ24" s="59">
        <f t="shared" si="38"/>
        <v>240.71332110643596</v>
      </c>
      <c r="BK24" s="15">
        <f>IF(ISNA(VLOOKUP(A24,'Données projet'!$A$87:$I$107,3,0)),0,VLOOKUP(A24,'Données projet'!$A$87:$I$107,3,0))</f>
        <v>0</v>
      </c>
      <c r="BL24" s="15">
        <f>IF(ISNA(VLOOKUP(A24,'Données projet'!$A$87:$I$107,4,0)),0,VLOOKUP(A24,'Données projet'!$A$87:$I$107,4,0))</f>
        <v>0</v>
      </c>
      <c r="BM24" s="16">
        <f>IF(ISNA(VLOOKUP(A24,'Données projet'!$A$87:$I$107,5,0)),0%,VLOOKUP(A24,'Données projet'!$A$87:$I$107,5,0)*VLOOKUP('Données projet'!$B$11,Paramètres!$A$1:$I$89,7,0))</f>
        <v>0</v>
      </c>
      <c r="BN24" s="16">
        <f>IF(ISNA(VLOOKUP(A24,'Données projet'!$A$87:$I$107,6,0)),0%,VLOOKUP(A24,'Données projet'!$A$87:$I$107,6,0)*VLOOKUP('Données projet'!$B$11,Paramètres!$A$1:$I$89,7,0))</f>
        <v>0</v>
      </c>
      <c r="BO24" s="16">
        <f>IF(ISNA(VLOOKUP(A24,'Données projet'!$A$87:$I$107,7,0)),0%,VLOOKUP(A24,'Données projet'!$A$87:$I$107,7,0))</f>
        <v>0</v>
      </c>
      <c r="BP24" s="21">
        <f>EXP(-LN(2)/35)*BP23+(1-EXP(-LN(2)/35))/(LN(2)/35)*BL24*BM24*VLOOKUP('Données projet'!$B$11,Paramètres!$A$1:$I$89,3,0)*0.475*44/12</f>
        <v>0</v>
      </c>
      <c r="BQ24" s="21">
        <f>EXP(-LN(2)/25)*BQ23+(1-EXP(-LN(2)/25))/(LN(2)/25)*Calculateur!BL24*Calculateur!BN24*VLOOKUP('Données projet'!$B$11,Paramètres!$A$1:$I$89,3,0)*0.475*44/12</f>
        <v>5.0148217231323127</v>
      </c>
      <c r="BR24" s="21">
        <f>EXP(-LN(2)/2)*BR23+(1-EXP(-LN(2)/2))/(LN(2)/2)*BL24*BO24*VLOOKUP('Données projet'!$B$11,Paramètres!$A$1:$I$89,3,0)*0.475*44/12</f>
        <v>6.9420818135683602</v>
      </c>
      <c r="BS24" s="22">
        <f t="shared" si="9"/>
        <v>11.956903536700672</v>
      </c>
      <c r="BT24" s="75">
        <f>('Scénario référence'!$F$8+'Scénario référence'!$F$9+'Scénario référence'!$B$17+'Scénario référence'!$B$9+'Scénario référence'!$B$10)*70+IF((45+25*(1-EXP(-0.0175*A24)))&lt;70,'Scénario référence'!$B$16*(45+25*(1-EXP(-0.0175*A24))),70*'Scénario référence'!$B$16)+IF((32+38*(1-EXP(-0.0175*A24)))&lt;70,'Scénario référence'!$B$18*(32+38*(1-EXP(-0.0175*A24))),70*'Scénario référence'!$B$18)</f>
        <v>70</v>
      </c>
      <c r="BU24" s="12">
        <f>IF(A24&gt;30,10,('Scénario référence'!$B$16+'Scénario référence'!$B$17+'Scénario référence'!$B$18+'Scénario référence'!$B$9+'Scénario référence'!$B$10)*A24*10/30+('Scénario référence'!$F$8+'Scénario référence'!$F$9)*10)</f>
        <v>10</v>
      </c>
      <c r="BV24" s="12" t="e">
        <f>VLOOKUP(A24,'Données projet'!$A$113:$I$133,2,0)</f>
        <v>#N/A</v>
      </c>
      <c r="BW24" s="12" t="e">
        <f>VLOOKUP(A24,'Données projet'!$A$113:$I$133,9,0)</f>
        <v>#N/A</v>
      </c>
      <c r="BX24" s="12">
        <f t="array" ref="BX24">INDEX(BW:BW,MIN(IF(ISNUMBER(BW24:BW220),ROW(BW24:BW220),"")))</f>
        <v>13.7</v>
      </c>
      <c r="BY24" s="12">
        <f>IF('Données projet'!$A$114&gt;35,BY23+BX24-CG23,IF(A24&lt;'Données projet'!$A$114,$BV$205^A24,IF(A24='Données projet'!$A$114,'Données projet'!$B$114,BY23+BX24-CG23)))</f>
        <v>93.699999999999989</v>
      </c>
      <c r="BZ24" s="13">
        <f>BY24*VLOOKUP('Données projet'!$B$12,Paramètres!$A$1:$I$89,3,0)*VLOOKUP('Données projet'!$B$12,Paramètres!$A$1:$I$89,5,0)</f>
        <v>53.596399999999996</v>
      </c>
      <c r="CA24" s="13">
        <f t="shared" si="39"/>
        <v>15.538757834128749</v>
      </c>
      <c r="CB24" s="20">
        <f t="shared" si="10"/>
        <v>120.41039989444089</v>
      </c>
      <c r="CC24" s="59">
        <f t="shared" si="11"/>
        <v>413.74373322777421</v>
      </c>
      <c r="CD24" s="59">
        <f ca="1">AVERAGE(OFFSET($CC$3,0,0,'Données projet'!$E$12+1,1))-AVERAGE(OFFSET($H$3,0,0,'Données projet'!$E$12+1,1))</f>
        <v>188.64374818906128</v>
      </c>
      <c r="CE24" s="59">
        <f t="shared" si="40"/>
        <v>211.95157880548652</v>
      </c>
      <c r="CF24" s="15">
        <f>IF(ISNA(VLOOKUP(A24,'Données projet'!$A$113:$I$133,3,0)),0,VLOOKUP(A24,'Données projet'!$A$113:$I$133,3,0))</f>
        <v>0</v>
      </c>
      <c r="CG24" s="15">
        <f>IF(ISNA(VLOOKUP(A24,'Données projet'!$A$113:$I$133,4,0)),0,VLOOKUP(A24,'Données projet'!$A$113:$I$133,4,0))</f>
        <v>0</v>
      </c>
      <c r="CH24" s="16">
        <f>IF(ISNA(VLOOKUP(A24,'Données projet'!$A$113:$I$133,5,0)),0%,VLOOKUP(A24,'Données projet'!$A$113:$I$133,5,0)*VLOOKUP('Données projet'!$B$12,Paramètres!$A$1:$I$89,7,0))</f>
        <v>0</v>
      </c>
      <c r="CI24" s="16">
        <f>IF(ISNA(VLOOKUP(A24,'Données projet'!$A$113:$I$133,6,0)),0%,VLOOKUP(A24,'Données projet'!$A$113:$I$133,6,0)*VLOOKUP('Données projet'!$B$12,Paramètres!$A$1:$I$89,7,0))</f>
        <v>0</v>
      </c>
      <c r="CJ24" s="16">
        <f>IF(ISNA(VLOOKUP(A24,'Données projet'!$A$113:$I$133,7,0)),0%,VLOOKUP(A24,'Données projet'!$A$113:$I$133,7,0))</f>
        <v>0</v>
      </c>
      <c r="CK24" s="21">
        <f>EXP(-LN(2)/35)*CK23+(1-EXP(-LN(2)/35))/(LN(2)/35)*CG24*CH24*VLOOKUP('Données projet'!$B$12,Paramètres!$A$1:$I$89,3,0)*0.475*44/12</f>
        <v>0</v>
      </c>
      <c r="CL24" s="21">
        <f>EXP(-LN(2)/25)*CL23+(1-EXP(-LN(2)/25))/(LN(2)/25)*Calculateur!CG24*Calculateur!CI24*VLOOKUP('Données projet'!$B$12,Paramètres!$A$1:$I$89,3,0)*0.475*44/12</f>
        <v>4.3005667550699869</v>
      </c>
      <c r="CM24" s="21">
        <f>EXP(-LN(2)/2)*CM23+(1-EXP(-LN(2)/2))/(LN(2)/2)*CG24*CJ24*VLOOKUP('Données projet'!$B$12,Paramètres!$A$1:$I$89,3,0)*0.475*44/12</f>
        <v>5.9533295312760153</v>
      </c>
      <c r="CN24" s="22">
        <f t="shared" si="12"/>
        <v>10.253896286346002</v>
      </c>
      <c r="CO24" s="75">
        <f>('Scénario référence'!$F$8+'Scénario référence'!$F$9+'Scénario référence'!$B$17+'Scénario référence'!$B$9+'Scénario référence'!$B$10)*70+IF((45+25*(1-EXP(-0.0175*A24)))&lt;70,'Scénario référence'!$B$16*(45+25*(1-EXP(-0.0175*A24))),70*'Scénario référence'!$B$16)+IF((32+38*(1-EXP(-0.0175*A24)))&lt;70,'Scénario référence'!$B$18*(32+38*(1-EXP(-0.0175*A24))),70*'Scénario référence'!$B$18)</f>
        <v>70</v>
      </c>
      <c r="CP24" s="12">
        <f>IF(A24&gt;30,10,('Scénario référence'!$B$16+'Scénario référence'!$B$17+'Scénario référence'!$B$18+'Scénario référence'!$B$9+'Scénario référence'!$B$10)*A24*10/30+('Scénario référence'!$F$8+'Scénario référence'!$F$9)*10)</f>
        <v>10</v>
      </c>
      <c r="CQ24" s="12" t="e">
        <f>VLOOKUP(A24,'Données projet'!$A$139:$I$159,2,0)</f>
        <v>#N/A</v>
      </c>
      <c r="CR24" s="12" t="e">
        <f>VLOOKUP(A24,'Données projet'!$A$139:$I$159,9,0)</f>
        <v>#N/A</v>
      </c>
      <c r="CS24" s="12">
        <f t="array" ref="CS24">INDEX(CR:CR,MIN(IF(ISNUMBER(CR24:CR220),ROW(CR24:CR220),"")))</f>
        <v>0</v>
      </c>
      <c r="CT24" s="12">
        <f>IF('Données projet'!$A$140&gt;35,CT23+CS24-DB23,IF(A24&lt;'Données projet'!$A$140,$CQ$205^A24,IF(A24='Données projet'!$A$140,'Données projet'!$B$140,CT23+CS24-DB23)))</f>
        <v>0</v>
      </c>
      <c r="CU24" s="17" t="e">
        <f>CT24*VLOOKUP('Données projet'!$B$13,Paramètres!$A$1:$I$89,3,0)*VLOOKUP('Données projet'!$B$13,Paramètres!$A$1:$I$89,5,0)</f>
        <v>#N/A</v>
      </c>
      <c r="CV24" s="13" t="e">
        <f t="shared" si="41"/>
        <v>#N/A</v>
      </c>
      <c r="CW24" s="20" t="e">
        <f t="shared" si="13"/>
        <v>#N/A</v>
      </c>
      <c r="CX24" s="59" t="e">
        <f t="shared" si="14"/>
        <v>#N/A</v>
      </c>
      <c r="CY24" s="59" t="e">
        <f ca="1">AVERAGE(OFFSET($CX$3,0,0,'Données projet'!$E$13+1,1))-AVERAGE(OFFSET($H$3,0,0,'Données projet'!$E$13+1,1))</f>
        <v>#N/A</v>
      </c>
      <c r="CZ24" s="59" t="e">
        <f t="shared" si="42"/>
        <v>#N/A</v>
      </c>
      <c r="DA24" s="15">
        <f>IF(ISNA(VLOOKUP(A24,'Données projet'!$A$139:$I$159,3,0)),0,VLOOKUP(A24,'Données projet'!$A$139:$I$159,3,0))</f>
        <v>0</v>
      </c>
      <c r="DB24" s="15">
        <f>IF(ISNA(VLOOKUP(A24,'Données projet'!$A$139:$I$159,4,0)),0,VLOOKUP(A24,'Données projet'!$A$139:$I$159,4,0))</f>
        <v>0</v>
      </c>
      <c r="DC24" s="16">
        <f>IF(ISNA(VLOOKUP(A24,'Données projet'!$A$139:$I$159,5,0)),0%,VLOOKUP(A24,'Données projet'!$A$139:$I$159,5,0)*VLOOKUP('Données projet'!$B$13,Paramètres!$A$1:$I$89,7,0))</f>
        <v>0</v>
      </c>
      <c r="DD24" s="16">
        <f>IF(ISNA(VLOOKUP(A24,'Données projet'!$A$139:$I$159,6,0)),0%,VLOOKUP(A24,'Données projet'!$A$139:$I$159,6,0)*VLOOKUP('Données projet'!$B$13,Paramètres!$A$1:$I$89,7,0))</f>
        <v>0</v>
      </c>
      <c r="DE24" s="16">
        <f>IF(ISNA(VLOOKUP(A24,'Données projet'!$A$139:$I$159,7,0)),0%,VLOOKUP(A24,'Données projet'!$A$139:$I$159,7,0))</f>
        <v>0</v>
      </c>
      <c r="DF24" s="21" t="e">
        <f>EXP(-LN(2)/35)*DF23+(1-EXP(-LN(2)/35))/(LN(2)/35)*DB24*DC24*VLOOKUP('Données projet'!$B$13,Paramètres!$A$1:$I$89,3,0)*0.475*44/12</f>
        <v>#N/A</v>
      </c>
      <c r="DG24" s="21" t="e">
        <f>EXP(-LN(2)/25)*DG23+(1-EXP(-LN(2)/25))/(LN(2)/25)*Calculateur!DB24*Calculateur!DD24*VLOOKUP('Données projet'!$B$13,Paramètres!$A$1:$I$89,3,0)*0.475*44/12</f>
        <v>#N/A</v>
      </c>
      <c r="DH24" s="21" t="e">
        <f>EXP(-LN(2)/2)*DH23+(1-EXP(-LN(2)/2))/(LN(2)/2)*DB24*DE24*VLOOKUP('Données projet'!$B$13,Paramètres!$A$1:$I$89,3,0)*0.475*44/12</f>
        <v>#N/A</v>
      </c>
      <c r="DI24" s="22" t="e">
        <f t="shared" si="15"/>
        <v>#N/A</v>
      </c>
      <c r="DJ24" s="75">
        <f>('Scénario référence'!$F$8+'Scénario référence'!$F$9+'Scénario référence'!$B$17+'Scénario référence'!$B$9+'Scénario référence'!$B$10)*70+IF((45+25*(1-EXP(-0.0175*A24)))&lt;70,'Scénario référence'!$B$16*(45+25*(1-EXP(-0.0175*A24))),70*'Scénario référence'!$B$16)+IF((32+38*(1-EXP(-0.0175*A24)))&lt;70,'Scénario référence'!$B$18*(32+38*(1-EXP(-0.0175*A24))),70*'Scénario référence'!$B$18)</f>
        <v>70</v>
      </c>
      <c r="DK24" s="12">
        <f>IF(A24&gt;30,10,('Scénario référence'!$B$16+'Scénario référence'!$B$17+'Scénario référence'!$B$18+'Scénario référence'!$B$9+'Scénario référence'!$B$10)*A24*10/30+('Scénario référence'!$F$8+'Scénario référence'!$F$9)*10)</f>
        <v>10</v>
      </c>
      <c r="DL24" s="12" t="e">
        <f>VLOOKUP(A24,'Données projet'!$A$165:$I$185,2,0)</f>
        <v>#N/A</v>
      </c>
      <c r="DM24" s="12" t="e">
        <f>VLOOKUP(A24,'Données projet'!$A$165:$I$185,9,0)</f>
        <v>#N/A</v>
      </c>
      <c r="DN24" s="12">
        <f t="array" ref="DN24">INDEX(DM:DM,MIN(IF(ISNUMBER(DM24:DM220),ROW(DM24:DM220),"")))</f>
        <v>10.5</v>
      </c>
      <c r="DO24" s="12">
        <f>IF('Données projet'!$A$166&gt;35,DO23+DN24-DW23,IF(A24&lt;'Données projet'!$A$166,$DL$205^A24,IF(A24='Données projet'!$A$166,'Données projet'!$B$166,DO23+DN24-DW23)))</f>
        <v>115.5</v>
      </c>
      <c r="DP24" s="17">
        <f>DO24*VLOOKUP('Données projet'!$B$14,Paramètres!$A$1:$I$89,3,0)*VLOOKUP('Données projet'!$B$14,Paramètres!$A$1:$I$89,5,0)</f>
        <v>75.675600000000003</v>
      </c>
      <c r="DQ24" s="13">
        <f t="shared" si="43"/>
        <v>21.076450566911173</v>
      </c>
      <c r="DR24" s="20">
        <f t="shared" si="16"/>
        <v>168.50982140403696</v>
      </c>
      <c r="DS24" s="59">
        <f t="shared" si="17"/>
        <v>461.84315473737024</v>
      </c>
      <c r="DT24" s="59">
        <f ca="1">AVERAGE(OFFSET($DS$3,0,0,'Données projet'!$E$14+1,1))-AVERAGE(OFFSET($H$3,0,0,'Données projet'!$E$14+1,1))</f>
        <v>188.68915783955595</v>
      </c>
      <c r="DU24" s="59">
        <f t="shared" si="44"/>
        <v>240.82467772396944</v>
      </c>
      <c r="DV24" s="15">
        <f>IF(ISNA(VLOOKUP(A24,'Données projet'!$A$165:$I$185,3,0)),0,VLOOKUP(A24,'Données projet'!$A$165:$I$185,3,0))</f>
        <v>0</v>
      </c>
      <c r="DW24" s="15">
        <f>IF(ISNA(VLOOKUP(A24,'Données projet'!$A$165:$I$185,4,0)),0,VLOOKUP(A24,'Données projet'!$A$165:$I$185,4,0))</f>
        <v>0</v>
      </c>
      <c r="DX24" s="16">
        <f>IF(ISNA(VLOOKUP(A24,'Données projet'!$A$165:$I$185,5,0)),0%,VLOOKUP(A24,'Données projet'!$A$165:$I$185,5,0)*VLOOKUP('Données projet'!$B$14,Paramètres!$A$1:$I$89,7,0))</f>
        <v>0</v>
      </c>
      <c r="DY24" s="16">
        <f>IF(ISNA(VLOOKUP(A24,'Données projet'!$A$165:$I$185,6,0)),0%,VLOOKUP(A24,'Données projet'!$A$165:$I$185,6,0)*VLOOKUP('Données projet'!$B$14,Paramètres!$A$1:$I$89,7,0))</f>
        <v>0</v>
      </c>
      <c r="DZ24" s="16">
        <f>IF(ISNA(VLOOKUP(A24,'Données projet'!$A$165:$I$185,7,0)),0%,VLOOKUP(A24,'Données projet'!$A$165:$I$185,7,0))</f>
        <v>0</v>
      </c>
      <c r="EA24" s="21">
        <f>EXP(-LN(2)/35)*EA23+(1-EXP(-LN(2)/35))/(LN(2)/35)*DW24*DX24*VLOOKUP('Données projet'!$B$14,Paramètres!$A$1:$I$89,3,0)*0.475*44/12</f>
        <v>0</v>
      </c>
      <c r="EB24" s="21">
        <f>EXP(-LN(2)/25)*EB23+(1-EXP(-LN(2)/25))/(LN(2)/25)*Calculateur!DW24*Calculateur!DY24*VLOOKUP('Données projet'!$B$14,Paramètres!$A$1:$I$89,3,0)*0.475*44/12</f>
        <v>1.3578362866532165</v>
      </c>
      <c r="EC24" s="21">
        <f>EXP(-LN(2)/2)*EC23+(1-EXP(-LN(2)/2))/(LN(2)/2)*DW24*DZ24*VLOOKUP('Données projet'!$B$14,Paramètres!$A$1:$I$89,3,0)*0.475*44/12</f>
        <v>1.9670966458237178</v>
      </c>
      <c r="ED24" s="22">
        <f t="shared" si="18"/>
        <v>3.3249329324769343</v>
      </c>
      <c r="EE24" s="75">
        <f>('Scénario référence'!$F$8+'Scénario référence'!$F$9+'Scénario référence'!$B$17+'Scénario référence'!$B$9+'Scénario référence'!$B$10)*70+IF((45+25*(1-EXP(-0.0175*A24)))&lt;70,'Scénario référence'!$B$16*(45+25*(1-EXP(-0.0175*A24))),70*'Scénario référence'!$B$16)+IF((32+38*(1-EXP(-0.0175*A24)))&lt;70,'Scénario référence'!$B$18*(32+38*(1-EXP(-0.0175*A24))),70*'Scénario référence'!$B$18)</f>
        <v>70</v>
      </c>
      <c r="EF24" s="12">
        <f>IF(A24&gt;30,10,('Scénario référence'!$B$16+'Scénario référence'!$B$17+'Scénario référence'!$B$18+'Scénario référence'!$B$9+'Scénario référence'!$B$10)*A24*10/30+('Scénario référence'!$F$8+'Scénario référence'!$F$9)*10)</f>
        <v>10</v>
      </c>
      <c r="EG24" s="12" t="e">
        <f>VLOOKUP(A24,'Données projet'!$A$191:$I$211,2,0)</f>
        <v>#N/A</v>
      </c>
      <c r="EH24" s="12" t="e">
        <f>VLOOKUP(A24,'Données projet'!$A$191:$I$211,9,0)</f>
        <v>#N/A</v>
      </c>
      <c r="EI24" s="12">
        <f t="array" ref="EI24">INDEX(EH:EH,MIN(IF(ISNUMBER(EH24:EH220),ROW(EH24:EH220),"")))</f>
        <v>7</v>
      </c>
      <c r="EJ24" s="12">
        <f>IF('Données projet'!$A$192&gt;35,EJ23+EI24-ER23,IF(A24&lt;'Données projet'!$A$192,$EG$205^A24,IF(A24='Données projet'!$A$192,'Données projet'!$B$192,EJ23+EI24-ER23)))</f>
        <v>71.999999999999986</v>
      </c>
      <c r="EK24" s="17">
        <f>EJ24*VLOOKUP('Données projet'!$B$15,Paramètres!$A$1:$I$89,3,0)*VLOOKUP('Données projet'!$B$15,Paramètres!$A$1:$I$89,5,0)</f>
        <v>58.406399999999991</v>
      </c>
      <c r="EL24" s="13">
        <f t="shared" si="45"/>
        <v>16.764727871227809</v>
      </c>
      <c r="EM24" s="20">
        <f t="shared" si="19"/>
        <v>130.92304770905506</v>
      </c>
      <c r="EN24" s="59">
        <f t="shared" si="20"/>
        <v>424.2563810423884</v>
      </c>
      <c r="EO24" s="59">
        <f ca="1">AVERAGE(OFFSET($EN$3,0,0,'Données projet'!$E$15+1,1))-AVERAGE(OFFSET($H$3,0,0,'Données projet'!$E$15+1,1))</f>
        <v>205.5272583787887</v>
      </c>
      <c r="EP24" s="59">
        <f t="shared" si="46"/>
        <v>180.54762778843178</v>
      </c>
      <c r="EQ24" s="15">
        <f>IF(ISNA(VLOOKUP(A24,'Données projet'!$A$191:$I$211,3,0)),0,VLOOKUP(A24,'Données projet'!$A$191:$I$211,3,0))</f>
        <v>0</v>
      </c>
      <c r="ER24" s="15">
        <f>IF(ISNA(VLOOKUP(A24,'Données projet'!$A$191:$I$211,4,0)),0,VLOOKUP(A24,'Données projet'!$A$191:$I$211,4,0))</f>
        <v>0</v>
      </c>
      <c r="ES24" s="16">
        <f>IF(ISNA(VLOOKUP(A24,'Données projet'!$A$191:$I$211,5,0)),0%,VLOOKUP(A24,'Données projet'!$A$191:$I$211,5,0)*VLOOKUP('Données projet'!$B$15,Paramètres!$A$1:$I$89,7,0))</f>
        <v>0</v>
      </c>
      <c r="ET24" s="16">
        <f>IF(ISNA(VLOOKUP(A24,'Données projet'!$A$191:$I$211,6,0)),0%,VLOOKUP(A24,'Données projet'!$A$191:$I$211,6,0)*VLOOKUP('Données projet'!$B$15,Paramètres!$A$1:$I$89,7,0))</f>
        <v>0</v>
      </c>
      <c r="EU24" s="16">
        <f>IF(ISNA(VLOOKUP(A24,'Données projet'!$A$191:$I$211,7,0)),0%,VLOOKUP(A24,'Données projet'!$A$191:$I$211,7,0))</f>
        <v>0</v>
      </c>
      <c r="EV24" s="21">
        <f>EXP(-LN(2)/35)*EV23+(1-EXP(-LN(2)/35))/(LN(2)/35)*ER24*ES24*VLOOKUP('Données projet'!$B$15,Paramètres!$A$1:$I$89,3,0)*0.475*44/12</f>
        <v>0</v>
      </c>
      <c r="EW24" s="21">
        <f>EXP(-LN(2)/25)*EW23+(1-EXP(-LN(2)/25))/(LN(2)/25)*Calculateur!ER24*Calculateur!ET24*VLOOKUP('Données projet'!$B$15,Paramètres!$A$1:$I$89,3,0)*0.475*44/12</f>
        <v>1.681130640618268</v>
      </c>
      <c r="EX24" s="21">
        <f>EXP(-LN(2)/2)*EX23+(1-EXP(-LN(2)/2))/(LN(2)/2)*ER24*EU24*VLOOKUP('Données projet'!$B$15,Paramètres!$A$1:$I$89,3,0)*0.475*44/12</f>
        <v>2.4354529900674602</v>
      </c>
      <c r="EY24" s="22">
        <f t="shared" si="21"/>
        <v>4.116583630685728</v>
      </c>
      <c r="EZ24" s="75">
        <f>('Scénario référence'!$F$8+'Scénario référence'!$F$9+'Scénario référence'!$B$17+'Scénario référence'!$B$9+'Scénario référence'!$B$10)*70+IF((45+25*(1-EXP(-0.0175*A24)))&lt;70,'Scénario référence'!$B$16*(45+25*(1-EXP(-0.0175*A24))),70*'Scénario référence'!$B$16)+IF((32+38*(1-EXP(-0.0175*A24)))&lt;70,'Scénario référence'!$B$18*(32+38*(1-EXP(-0.0175*A24))),70*'Scénario référence'!$B$18)</f>
        <v>70</v>
      </c>
      <c r="FA24" s="12">
        <f>IF(A24&gt;30,10,('Scénario référence'!$B$16+'Scénario référence'!$B$17+'Scénario référence'!$B$18+'Scénario référence'!$B$9+'Scénario référence'!$B$10)*A24*10/30+('Scénario référence'!$F$8+'Scénario référence'!$F$9)*10)</f>
        <v>10</v>
      </c>
      <c r="FB24" s="12" t="e">
        <f>VLOOKUP(A24,'Données projet'!$A$217:$I$237,2,0)</f>
        <v>#N/A</v>
      </c>
      <c r="FC24" s="12" t="e">
        <f>VLOOKUP(A24,'Données projet'!$A$217:$I$237,9,0)</f>
        <v>#N/A</v>
      </c>
      <c r="FD24" s="12">
        <f t="array" ref="FD24">INDEX(FC:FC,MIN(IF(ISNUMBER(FC24:FC220),ROW(FC24:FC220),"")))</f>
        <v>9.1</v>
      </c>
      <c r="FE24" s="12">
        <f>IF('Données projet'!$A$218&gt;35,FE23+FD24-FM23,IF(A24&lt;'Données projet'!$A$218,$FB$205^A24,IF(A24='Données projet'!$A$218,'Données projet'!$B$218,FE23+FD24-FM23)))</f>
        <v>58.100000000000009</v>
      </c>
      <c r="FF24" s="17">
        <f>FE24*VLOOKUP('Données projet'!$B$16,Paramètres!$A$1:$I$89,3,0)*VLOOKUP('Données projet'!$B$16,Paramètres!$A$1:$I$89,5,0)</f>
        <v>49.849800000000016</v>
      </c>
      <c r="FG24" s="13">
        <f t="shared" si="47"/>
        <v>14.574963069142246</v>
      </c>
      <c r="FH24" s="20">
        <f t="shared" si="22"/>
        <v>112.20646234542276</v>
      </c>
      <c r="FI24" s="59">
        <f t="shared" si="23"/>
        <v>405.53979567875609</v>
      </c>
      <c r="FJ24" s="59">
        <f ca="1">AVERAGE(OFFSET($FI$3,0,0,'Données projet'!$E$16+1,1))-AVERAGE(OFFSET($H$3,0,0,'Données projet'!$E$16+1,1))</f>
        <v>383.97627237444709</v>
      </c>
      <c r="FK24" s="59">
        <f t="shared" si="48"/>
        <v>203.35476578922339</v>
      </c>
      <c r="FL24" s="15">
        <f>IF(ISNA(VLOOKUP(A24,'Données projet'!$A$217:$I$237,3,0)),0,VLOOKUP(A24,'Données projet'!$A$217:$I$237,3,0))</f>
        <v>0</v>
      </c>
      <c r="FM24" s="15">
        <f>IF(ISNA(VLOOKUP(A24,'Données projet'!$A$217:$I$237,4,0)),0,VLOOKUP(A24,'Données projet'!$A$217:$I$237,4,0))</f>
        <v>0</v>
      </c>
      <c r="FN24" s="16">
        <f>IF(ISNA(VLOOKUP(A24,'Données projet'!$A$217:$I$237,5,0)),0%,VLOOKUP(A24,'Données projet'!$A$217:$I$237,5,0)*VLOOKUP('Données projet'!$B$16,Paramètres!$A$1:$I$89,7,0))</f>
        <v>0</v>
      </c>
      <c r="FO24" s="16">
        <f>IF(ISNA(VLOOKUP(A24,'Données projet'!$A$217:$I$237,6,0)),0%,VLOOKUP(A24,'Données projet'!$A$217:$I$237,6,0)*VLOOKUP('Données projet'!$B$16,Paramètres!$A$1:$I$89,7,0))</f>
        <v>0</v>
      </c>
      <c r="FP24" s="16">
        <f>IF(ISNA(VLOOKUP(A24,'Données projet'!$A$217:$I$237,7,0)),0%,VLOOKUP(A24,'Données projet'!$A$217:$I$237,7,0))</f>
        <v>0</v>
      </c>
      <c r="FQ24" s="21">
        <f>EXP(-LN(2)/35)*FQ23+(1-EXP(-LN(2)/35))/(LN(2)/35)*FM24*FN24*VLOOKUP('Données projet'!$B$16,Paramètres!$A$1:$I$89,3,0)*0.475*44/12</f>
        <v>0</v>
      </c>
      <c r="FR24" s="21">
        <f>EXP(-LN(2)/25)*FR23+(1-EXP(-LN(2)/25))/(LN(2)/25)*Calculateur!FM24*Calculateur!FO24*VLOOKUP('Données projet'!$B$16,Paramètres!$A$1:$I$89,3,0)*0.475*44/12</f>
        <v>0.97405999153294609</v>
      </c>
      <c r="FS24" s="21">
        <f>EXP(-LN(2)/2)*FS23+(1-EXP(-LN(2)/2))/(LN(2)/2)*FM24*FP24*VLOOKUP('Données projet'!$B$16,Paramètres!$A$1:$I$89,3,0)*0.475*44/12</f>
        <v>1.1448710637069259</v>
      </c>
      <c r="FT24" s="22">
        <f t="shared" si="24"/>
        <v>2.1189310552398721</v>
      </c>
      <c r="FU24" s="75">
        <f>('Scénario référence'!$F$8+'Scénario référence'!$F$9+'Scénario référence'!$B$17+'Scénario référence'!$B$9+'Scénario référence'!$B$10)*70+IF((45+25*(1-EXP(-0.0175*A24)))&lt;70,'Scénario référence'!$B$16*(45+25*(1-EXP(-0.0175*A24))),70*'Scénario référence'!$B$16)+IF((32+38*(1-EXP(-0.0175*A24)))&lt;70,'Scénario référence'!$B$18*(32+38*(1-EXP(-0.0175*A24))),70*'Scénario référence'!$B$18)</f>
        <v>70</v>
      </c>
      <c r="FV24" s="12">
        <f>IF(A24&gt;30,10,('Scénario référence'!$B$16+'Scénario référence'!$B$17+'Scénario référence'!$B$18+'Scénario référence'!$B$9+'Scénario référence'!$B$10)*A24*10/30+('Scénario référence'!$F$8+'Scénario référence'!$F$9)*10)</f>
        <v>10</v>
      </c>
      <c r="FW24" s="12" t="e">
        <f>VLOOKUP(A24,'Données projet'!$A$243:$I$263,2,0)</f>
        <v>#N/A</v>
      </c>
      <c r="FX24" s="12" t="e">
        <f>VLOOKUP(A24,'Données projet'!$A$243:$I$263,9,0)</f>
        <v>#N/A</v>
      </c>
      <c r="FY24" s="12">
        <f t="array" ref="FY24">INDEX(FX:FX,MIN(IF(ISNUMBER(FX24:FX220),ROW(FX24:FX220),"")))</f>
        <v>4.0628205128205126</v>
      </c>
      <c r="FZ24" s="12">
        <f>IF('Données projet'!$A$244&gt;35,FZ23+FY24-GH23,IF(A24&lt;'Données projet'!$A$244,$FW$205^A24,IF(A24='Données projet'!$A$244,'Données projet'!$B$244,FZ23+FY24-GH23)))</f>
        <v>28.851222752799568</v>
      </c>
      <c r="GA24" s="17">
        <f>FZ24*VLOOKUP('Données projet'!$B$17,Paramètres!$A$1:$I$89,3,0)*VLOOKUP('Données projet'!$B$17,Paramètres!$A$1:$I$89,5,0)</f>
        <v>31.055456171113452</v>
      </c>
      <c r="GB24" s="13">
        <f t="shared" si="49"/>
        <v>9.5941195267184156</v>
      </c>
      <c r="GC24" s="20">
        <f t="shared" si="25"/>
        <v>70.798011007057156</v>
      </c>
      <c r="GD24" s="59">
        <f t="shared" si="26"/>
        <v>364.13134434039046</v>
      </c>
      <c r="GE24" s="59">
        <f ca="1">AVERAGE(OFFSET($GD$3,0,0,'Données projet'!$E$17+1,1))-AVERAGE(OFFSET($H$3,0,0,'Données projet'!$E$17+1,1))</f>
        <v>286.77702855541287</v>
      </c>
      <c r="GF24" s="59">
        <f t="shared" si="50"/>
        <v>227.12211541860779</v>
      </c>
      <c r="GG24" s="15">
        <f>IF(ISNA(VLOOKUP(A24,'Données projet'!$A$243:$I$263,3,0)),0,VLOOKUP(A24,'Données projet'!$A$243:$I$263,3,0))</f>
        <v>0</v>
      </c>
      <c r="GH24" s="15">
        <f>IF(ISNA(VLOOKUP(A24,'Données projet'!$A$243:$I$263,4,0)),0,VLOOKUP(A24,'Données projet'!$A$243:$I$263,4,0))</f>
        <v>0</v>
      </c>
      <c r="GI24" s="16">
        <f>IF(ISNA(VLOOKUP(A24,'Données projet'!$A$243:$I$263,5,0)),0%,VLOOKUP(A24,'Données projet'!$A$243:$I$263,5,0)*VLOOKUP('Données projet'!$B$17,Paramètres!$A$1:$I$89,7,0))</f>
        <v>0</v>
      </c>
      <c r="GJ24" s="16">
        <f>IF(ISNA(VLOOKUP(A24,'Données projet'!$A$243:$I$263,6,0)),0%,VLOOKUP(A24,'Données projet'!$A$243:$I$263,6,0)*VLOOKUP('Données projet'!$B$17,Paramètres!$A$1:$I$89,7,0))</f>
        <v>0</v>
      </c>
      <c r="GK24" s="16">
        <f>IF(ISNA(VLOOKUP(A24,'Données projet'!$A$243:$I$263,7,0)),0%,VLOOKUP(A24,'Données projet'!$A$243:$I$263,7,0))</f>
        <v>0</v>
      </c>
      <c r="GL24" s="21">
        <f>EXP(-LN(2)/35)*GL23+(1-EXP(-LN(2)/35))/(LN(2)/35)*GH24*GI24*VLOOKUP('Données projet'!$B$17,Paramètres!$A$1:$I$89,3,0)*0.475*44/12</f>
        <v>0</v>
      </c>
      <c r="GM24" s="21">
        <f>EXP(-LN(2)/25)*GM23+(1-EXP(-LN(2)/25))/(LN(2)/25)*Calculateur!GH24*Calculateur!GJ24*VLOOKUP('Données projet'!$B$17,Paramètres!$A$1:$I$89,3,0)*0.475*44/12</f>
        <v>0</v>
      </c>
      <c r="GN24" s="21">
        <f>EXP(-LN(2)/2)*GN23+(1-EXP(-LN(2)/2))/(LN(2)/2)*GH24*GK24*VLOOKUP('Données projet'!$B$17,Paramètres!$A$1:$I$89,3,0)*0.475*44/12</f>
        <v>0</v>
      </c>
      <c r="GO24" s="21">
        <f t="shared" si="27"/>
        <v>0</v>
      </c>
      <c r="GP24" s="75">
        <f>('Scénario référence'!$F$8+'Scénario référence'!$F$9+'Scénario référence'!$B$17+'Scénario référence'!$B$9+'Scénario référence'!$B$10)*70+IF((45+25*(1-EXP(-0.0175*A24)))&lt;70,'Scénario référence'!$B$16*(45+25*(1-EXP(-0.0175*A24))),70*'Scénario référence'!$B$16)+IF((32+38*(1-EXP(-0.0175*A24)))&lt;70,'Scénario référence'!$B$18*(32+38*(1-EXP(-0.0175*A24))),70*'Scénario référence'!$B$18)</f>
        <v>70</v>
      </c>
      <c r="GQ24" s="12">
        <f>IF(A24&gt;30,10,('Scénario référence'!$B$16+'Scénario référence'!$B$17+'Scénario référence'!$B$18+'Scénario référence'!$B$9+'Scénario référence'!$B$10)*A24*10/30+('Scénario référence'!$F$8+'Scénario référence'!$F$9)*10)</f>
        <v>10</v>
      </c>
      <c r="GR24" s="12" t="e">
        <f>VLOOKUP(A24,'Données projet'!$A$269:$I$289,2,0)</f>
        <v>#N/A</v>
      </c>
      <c r="GS24" s="12" t="e">
        <f>VLOOKUP(A24,'Données projet'!$A$269:$I$289,9,0)</f>
        <v>#N/A</v>
      </c>
      <c r="GT24" s="12">
        <f t="array" ref="GT24">INDEX(GS:GS,MIN(IF(ISNUMBER(GS24:GS220),ROW(GS24:GS220),"")))</f>
        <v>4.0628205128205126</v>
      </c>
      <c r="GU24" s="12">
        <f>IF('Données projet'!$A$270&gt;35,GU23+GT24-HC23,IF(A24&lt;'Données projet'!$A$270,$GR$205^A24,IF(A24='Données projet'!$A$270,'Données projet'!$B$270,GU23+GT24-HC23)))</f>
        <v>28.851222752799568</v>
      </c>
      <c r="GV24" s="17">
        <f>GU24*VLOOKUP('Données projet'!$B$18,Paramètres!$A$1:$I$89,3,0)*VLOOKUP('Données projet'!$B$18,Paramètres!$A$1:$I$89,5,0)</f>
        <v>31.055456171113452</v>
      </c>
      <c r="GW24" s="13">
        <f t="shared" si="51"/>
        <v>9.5941195267184156</v>
      </c>
      <c r="GX24" s="20">
        <f t="shared" si="28"/>
        <v>70.798011007057156</v>
      </c>
      <c r="GY24" s="59">
        <f t="shared" si="29"/>
        <v>364.13134434039046</v>
      </c>
      <c r="GZ24" s="59">
        <f ca="1">AVERAGE(OFFSET($GY$3,0,0,'Données projet'!$E$18+1,1))-AVERAGE(OFFSET($H$3,0,0,'Données projet'!$E$18+1,1))</f>
        <v>286.77702855541287</v>
      </c>
      <c r="HA24" s="59">
        <f t="shared" si="52"/>
        <v>227.12211541860779</v>
      </c>
      <c r="HB24" s="15">
        <f>IF(ISNA(VLOOKUP(A24,'Données projet'!$A$269:$I$289,3,0)),0,VLOOKUP(A24,'Données projet'!$A$269:$I$289,3,0))</f>
        <v>0</v>
      </c>
      <c r="HC24" s="15">
        <f>IF(ISNA(VLOOKUP(A24,'Données projet'!$A$269:$I$289,4,0)),0,VLOOKUP(A24,'Données projet'!$A$269:$I$289,4,0))</f>
        <v>0</v>
      </c>
      <c r="HD24" s="16">
        <f>IF(ISNA(VLOOKUP(A24,'Données projet'!$A$269:$I$289,5,0)),0%,VLOOKUP(A24,'Données projet'!$A$269:$I$289,5,0)*VLOOKUP('Données projet'!$B$18,Paramètres!$A$1:$I$89,7,0))</f>
        <v>0</v>
      </c>
      <c r="HE24" s="16">
        <f>IF(ISNA(VLOOKUP(A24,'Données projet'!$A$269:$I$289,6,0)),0%,VLOOKUP(A24,'Données projet'!$A$269:$I$289,6,0)*VLOOKUP('Données projet'!$B$18,Paramètres!$A$1:$I$89,7,0))</f>
        <v>0</v>
      </c>
      <c r="HF24" s="16">
        <f>IF(ISNA(VLOOKUP(A24,'Données projet'!$A$269:$I$289,7,0)),0%,VLOOKUP(A24,'Données projet'!$A$269:$I$289,7,0))</f>
        <v>0</v>
      </c>
      <c r="HG24" s="21">
        <f>EXP(-LN(2)/35)*HG23+(1-EXP(-LN(2)/35))/(LN(2)/35)*HC24*HD24*VLOOKUP('Données projet'!$B$18,Paramètres!$A$1:$I$89,3,0)*0.475*44/12</f>
        <v>0</v>
      </c>
      <c r="HH24" s="21">
        <f>EXP(-LN(2)/25)*HH23+(1-EXP(-LN(2)/25))/(LN(2)/25)*Calculateur!HC24*Calculateur!HE24*VLOOKUP('Données projet'!$B$18,Paramètres!$A$1:$I$89,3,0)*0.475*44/12</f>
        <v>0</v>
      </c>
      <c r="HI24" s="21">
        <f>EXP(-LN(2)/2)*HI23+(1-EXP(-LN(2)/2))/(LN(2)/2)*HC24*HF24*VLOOKUP('Données projet'!$B$18,Paramètres!$A$1:$I$89,3,0)*0.475*44/12</f>
        <v>0</v>
      </c>
      <c r="HJ24" s="22">
        <f t="shared" si="30"/>
        <v>0</v>
      </c>
    </row>
    <row r="25" spans="1:218" x14ac:dyDescent="0.25">
      <c r="A25" s="10">
        <f t="shared" si="31"/>
        <v>22</v>
      </c>
      <c r="B25" s="73">
        <f>'Scénario référence'!$B$16*5+'Scénario référence'!$B$17*0+'Scénario référence'!$B$18*5</f>
        <v>0</v>
      </c>
      <c r="C25" s="19">
        <f>Calculateur!C24+'Scénario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19.5624</v>
      </c>
      <c r="D25" s="11">
        <f t="shared" si="32"/>
        <v>6.3775322468881095</v>
      </c>
      <c r="E2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5" s="11">
        <f>IF(OR('Scénario référence'!$F$8&gt;0,'Scénario référence'!$F$9&gt;0),('Scénario référence'!$F$8+'Scénario référence'!$F$9)*10,0)</f>
        <v>10</v>
      </c>
      <c r="G25" s="11">
        <f>'Scénario référence'!$B$8*B25*44/12+'Scénario référence'!$B$9*(C25+D25)/0.475*44/12+'Scénario référence'!$B$10*(C25+D25)/0.475*44/12+'Scénario référence'!$F$8*(C25+D25)/0.475*44/12+'Scénario référence'!$F$9*(C25+D25)/0.475*44/12</f>
        <v>200.23807348475032</v>
      </c>
      <c r="H25" s="67">
        <f t="shared" si="1"/>
        <v>338.51204866333012</v>
      </c>
      <c r="I25" s="70">
        <f>('Scénario référence'!$F$8+'Scénario référence'!$F$9+'Scénario référence'!$B$17+'Scénario référence'!$B$9+'Scénario référence'!$B$10)*70+IF((45+25*(1-EXP(-0.0175*A25)))&lt;70,'Scénario référence'!$B$16*(45+25*(1-EXP(-0.0175*A25))),70*'Scénario référence'!$B$16)+IF((32+38*(1-EXP(-0.0175*A25)))&lt;70,'Scénario référence'!$B$18*(32+38*(1-EXP(-0.0175*A25))),70*'Scénario référence'!$B$18)</f>
        <v>70</v>
      </c>
      <c r="J25" s="13">
        <f>IF(A25&gt;30,10,('Scénario référence'!$B$16+'Scénario référence'!$B$17+'Scénario référence'!$B$18+'Scénario référence'!$B$9+'Scénario référence'!$B$10)*A25*10/30+('Scénario référence'!$F$8+'Scénario référence'!$F$9)*10)</f>
        <v>10</v>
      </c>
      <c r="K25" s="12" t="e">
        <f>VLOOKUP(A25,'Données projet'!$A$35:$I$55,2,0)</f>
        <v>#N/A</v>
      </c>
      <c r="L25" s="12" t="e">
        <f>VLOOKUP(A25,'Données projet'!$A$35:$I$55,9,0)</f>
        <v>#N/A</v>
      </c>
      <c r="M25" s="12">
        <f t="array" ref="M25">INDEX(L:L,MIN(IF(ISNUMBER(L25:L221),ROW(L25:L221),"")))</f>
        <v>20.658974358974358</v>
      </c>
      <c r="N25" s="13">
        <f>IF('Données projet'!$A$36&gt;35,N24+M25-V24,IF(A25&lt;'Données projet'!$A$36,$K$205^A25,IF(A25='Données projet'!$A$36,'Données projet'!$B$36,N24+M25-V24)))</f>
        <v>196.24358974358969</v>
      </c>
      <c r="O25" s="13">
        <f>N25*VLOOKUP('Données projet'!$B$9,Paramètres!$A$1:$I$89,3,0)*VLOOKUP('Données projet'!$B$9,Paramètres!$A$1:$I$89,5,0)</f>
        <v>109.70016666666663</v>
      </c>
      <c r="P25" s="13">
        <f t="shared" si="33"/>
        <v>29.260330282475415</v>
      </c>
      <c r="Q25" s="20">
        <f t="shared" si="2"/>
        <v>242.02286551975575</v>
      </c>
      <c r="R25" s="59">
        <f t="shared" si="0"/>
        <v>535.35619885308904</v>
      </c>
      <c r="S25" s="59">
        <f ca="1">AVERAGE(OFFSET($R$3,0,0,'Données projet'!$E$9+1,1))-AVERAGE(OFFSET($H$3,0,0,'Données projet'!$E$9+1,1))</f>
        <v>255.5374979188561</v>
      </c>
      <c r="T25" s="59">
        <f t="shared" si="34"/>
        <v>343.10418468620901</v>
      </c>
      <c r="U25" s="15">
        <f>IF(ISNA(VLOOKUP(A25,'Données projet'!$A$35:$I$55,3,0)),0,VLOOKUP(A25,'Données projet'!$A$35:$I$55,3,0))</f>
        <v>0</v>
      </c>
      <c r="V25" s="15">
        <f>IF(ISNA(VLOOKUP(A25,'Données projet'!$A$35:$I$55,4,0)),0,VLOOKUP(A25,'Données projet'!$A$35:$I$55,4,0))</f>
        <v>0</v>
      </c>
      <c r="W25" s="16">
        <f>IF(ISNA(VLOOKUP(A25,'Données projet'!$A$35:$I$55,5,0)),0%,VLOOKUP(A25,'Données projet'!$A$35:$I$55,5,0)*VLOOKUP('Données projet'!$B$9,Paramètres!$A$1:$I$89,7,0))</f>
        <v>0</v>
      </c>
      <c r="X25" s="16">
        <f>IF(ISNA(VLOOKUP(A25,'Données projet'!$A$35:$I$55,6,0)),0%,VLOOKUP(A25,'Données projet'!$A$35:$I$55,6,0)*VLOOKUP('Données projet'!$B$9,Paramètres!$A$1:$I$89,7,0))</f>
        <v>0</v>
      </c>
      <c r="Y25" s="16">
        <f>IF(ISNA(VLOOKUP(A25,'Données projet'!$A$35:$I$55,7,0)),0%,VLOOKUP(A25,'Données projet'!$A$35:$I$55,7,0))</f>
        <v>0</v>
      </c>
      <c r="Z25" s="21">
        <f>EXP(-LN(2)/35)*Z24+(1-EXP(-LN(2)/35))/(LN(2)/35)*V25*W25*VLOOKUP('Données projet'!$B$9,Paramètres!$A$1:$I$89,3,0)*0.475*44/12</f>
        <v>0</v>
      </c>
      <c r="AA25" s="21">
        <f>EXP(-LN(2)/25)*AA24+(1-EXP(-LN(2)/25))/(LN(2)/25)*Calculateur!V25*Calculateur!X25*VLOOKUP('Données projet'!$B$9,Paramètres!$A$1:$I$89,3,0)*0.475*44/12</f>
        <v>12.5959669123291</v>
      </c>
      <c r="AB25" s="21">
        <f>EXP(-LN(2)/2)*AB24+(1-EXP(-LN(2)/2))/(LN(2)/2)*V25*Y25*VLOOKUP('Données projet'!$B$9,Paramètres!$A$1:$I$89,3,0)*0.475*44/12</f>
        <v>5.4814337633037225</v>
      </c>
      <c r="AC25" s="22">
        <f t="shared" si="3"/>
        <v>18.077400675632823</v>
      </c>
      <c r="AD25" s="13">
        <f>('Scénario référence'!$F$8+'Scénario référence'!$F$9+'Scénario référence'!$B$17+'Scénario référence'!$B$9+'Scénario référence'!$B$10)*70+IF((45+25*(1-EXP(-0.0175*A25)))&lt;70,'Scénario référence'!$B$16*(45+25*(1-EXP(-0.0175*A25))),70*'Scénario référence'!$B$16)+IF((32+38*(1-EXP(-0.0175*A25)))&lt;70,'Scénario référence'!$B$18*(32+38*(1-EXP(-0.0175*A25))),70*'Scénario référence'!$B$18)</f>
        <v>70</v>
      </c>
      <c r="AE25" s="13">
        <f>IF(A25&gt;30,10,('Scénario référence'!$B$16+'Scénario référence'!$B$17+'Scénario référence'!$B$18+'Scénario référence'!$B$9+'Scénario référence'!$B$10)*A25*10/30+('Scénario référence'!$F$8+'Scénario référence'!$F$9)*10)</f>
        <v>10</v>
      </c>
      <c r="AF25" s="12" t="e">
        <f>VLOOKUP(A25,'Données projet'!$A$61:$I$81,2,0)</f>
        <v>#N/A</v>
      </c>
      <c r="AG25" s="12" t="e">
        <f>VLOOKUP(A25,'Données projet'!$A$61:$I$81,9,0)</f>
        <v>#N/A</v>
      </c>
      <c r="AH25" s="12">
        <f t="array" ref="AH25">INDEX(AG:AG,MIN(IF(ISNUMBER(AG25:AG221),ROW(AG25:AG221),"")))</f>
        <v>16.5</v>
      </c>
      <c r="AI25" s="13">
        <f>IF('Données projet'!$A$62&gt;35,AI24+AH25-AQ24,IF(A25&lt;'Données projet'!$A$62,$AF$205^A25,IF(A25='Données projet'!$A$62,'Données projet'!$B$62,AI24+AH25-AQ24)))</f>
        <v>131</v>
      </c>
      <c r="AJ25" s="13">
        <f>AI25*VLOOKUP('Données projet'!$B$10,Paramètres!$A$1:$I$89,3,0)*VLOOKUP('Données projet'!$B$10,Paramètres!$A$1:$I$89,5,0)</f>
        <v>81.744</v>
      </c>
      <c r="AK25" s="13">
        <f t="shared" si="35"/>
        <v>22.563064513367394</v>
      </c>
      <c r="AL25" s="20">
        <f t="shared" si="4"/>
        <v>181.66813736078151</v>
      </c>
      <c r="AM25" s="59">
        <f t="shared" si="5"/>
        <v>475.0014706941148</v>
      </c>
      <c r="AN25" s="59">
        <f ca="1">AVERAGE(OFFSET($AM$3,0,0,'Données projet'!$E$10+1,1))-AVERAGE(OFFSET($H$3,0,0,'Données projet'!$E$10+1,1))</f>
        <v>261.78489480911571</v>
      </c>
      <c r="AO25" s="59">
        <f t="shared" si="36"/>
        <v>297.50513563712764</v>
      </c>
      <c r="AP25" s="15">
        <f>IF(ISNA(VLOOKUP(A25,'Données projet'!$A$61:$I$81,3,0)),0,VLOOKUP(A25,'Données projet'!$A$61:$I$81,3,0))</f>
        <v>0</v>
      </c>
      <c r="AQ25" s="15">
        <f>IF(ISNA(VLOOKUP(A25,'Données projet'!$A$61:$I$81,4,0)),0,VLOOKUP(A25,'Données projet'!$A$61:$I$81,4,0))</f>
        <v>0</v>
      </c>
      <c r="AR25" s="16">
        <f>IF(ISNA(VLOOKUP(A25,'Données projet'!$A$61:$I$81,5,0)),0%,VLOOKUP(A25,'Données projet'!$A$61:$I$81,5,0)*VLOOKUP('Données projet'!$B$10,Paramètres!$A$1:$I$89,7,0))</f>
        <v>0</v>
      </c>
      <c r="AS25" s="16">
        <f>IF(ISNA(VLOOKUP(A25,'Données projet'!$A$61:$I$81,6,0)),0%,VLOOKUP(A25,'Données projet'!$A$61:$I$81,6,0)*VLOOKUP('Données projet'!$B$10,Paramètres!$A$1:$I$89,7,0))</f>
        <v>0</v>
      </c>
      <c r="AT25" s="16">
        <f>IF(ISNA(VLOOKUP(A25,'Données projet'!$A$61:$I$81,7,0)),0%,VLOOKUP(A25,'Données projet'!$A$61:$I$81,7,0))</f>
        <v>0</v>
      </c>
      <c r="AU25" s="21">
        <f>EXP(-LN(2)/35)*AU24+(1-EXP(-LN(2)/35))/(LN(2)/35)*AQ25*AR25*VLOOKUP('Données projet'!$B$10,Paramètres!$A$1:$I$89,3,0)*0.475*44/12</f>
        <v>0</v>
      </c>
      <c r="AV25" s="21">
        <f>EXP(-LN(2)/25)*AV24+(1-EXP(-LN(2)/25))/(LN(2)/25)*Calculateur!AQ25*Calculateur!AS25*VLOOKUP('Données projet'!$B$10,Paramètres!$A$1:$I$89,3,0)*0.475*44/12</f>
        <v>14.040730173971321</v>
      </c>
      <c r="AW25" s="21">
        <f>EXP(-LN(2)/2)*AW24+(1-EXP(-LN(2)/2))/(LN(2)/2)*AQ25*AT25*VLOOKUP('Données projet'!$B$10,Paramètres!$A$1:$I$89,3,0)*0.475*44/12</f>
        <v>10.597694304847721</v>
      </c>
      <c r="AX25" s="21">
        <f t="shared" si="6"/>
        <v>24.63842447881904</v>
      </c>
      <c r="AY25" s="74">
        <f>('Scénario référence'!$F$8+'Scénario référence'!$F$9+'Scénario référence'!$B$17+'Scénario référence'!$B$9+'Scénario référence'!$B$10)*70+IF((45+25*(1-EXP(-0.0175*A25)))&lt;70,'Scénario référence'!$B$16*(45+25*(1-EXP(-0.0175*A25))),70*'Scénario référence'!$B$16)+IF((32+38*(1-EXP(-0.0175*A25)))&lt;70,'Scénario référence'!$B$18*(32+38*(1-EXP(-0.0175*A25))),70*'Scénario référence'!$B$18)</f>
        <v>70</v>
      </c>
      <c r="AZ25" s="12">
        <f>IF(A25&gt;30,10,('Scénario référence'!$B$16+'Scénario référence'!$B$17+'Scénario référence'!$B$18+'Scénario référence'!$B$9+'Scénario référence'!$B$10)*A25*10/30+('Scénario référence'!$F$8+'Scénario référence'!$F$9)*10)</f>
        <v>10</v>
      </c>
      <c r="BA25" s="12" t="e">
        <f>VLOOKUP(A25,'Données projet'!$A$87:$I$107,2,0)</f>
        <v>#N/A</v>
      </c>
      <c r="BB25" s="12" t="e">
        <f>VLOOKUP(A25,'Données projet'!$A$87:$I$107,9,0)</f>
        <v>#N/A</v>
      </c>
      <c r="BC25" s="12">
        <f t="array" ref="BC25">INDEX(BB:BB,MIN(IF(ISNUMBER(BB25:BB221),ROW(BB25:BB221),"")))</f>
        <v>15.3</v>
      </c>
      <c r="BD25" s="12">
        <f>IF('Données projet'!$A$88&gt;35,BD24+BC25-BL24,IF(A25&lt;'Données projet'!$A$88,$BA$205^A25,IF(A25='Données projet'!$A$88,'Données projet'!$B$88,BD24+BC25-BL24)))</f>
        <v>107.6</v>
      </c>
      <c r="BE25" s="13">
        <f>BD25*VLOOKUP('Données projet'!$B$11,Paramètres!$A$1:$I$89,3,0)*VLOOKUP('Données projet'!$B$11,Paramètres!$A$1:$I$89,5,0)</f>
        <v>64.344800000000006</v>
      </c>
      <c r="BF25" s="13">
        <f t="shared" si="37"/>
        <v>18.262261364330694</v>
      </c>
      <c r="BG25" s="20">
        <f t="shared" si="7"/>
        <v>143.87396520954266</v>
      </c>
      <c r="BH25" s="59">
        <f t="shared" si="8"/>
        <v>437.20729854287595</v>
      </c>
      <c r="BI25" s="59">
        <f ca="1">AVERAGE(OFFSET($BH$3,0,0,'Données projet'!$E$11+1,1))-AVERAGE(OFFSET($H$3,0,0,'Données projet'!$E$11+1,1))</f>
        <v>316.58509520829671</v>
      </c>
      <c r="BJ25" s="59">
        <f t="shared" si="38"/>
        <v>240.71332110643596</v>
      </c>
      <c r="BK25" s="15">
        <f>IF(ISNA(VLOOKUP(A25,'Données projet'!$A$87:$I$107,3,0)),0,VLOOKUP(A25,'Données projet'!$A$87:$I$107,3,0))</f>
        <v>0</v>
      </c>
      <c r="BL25" s="15">
        <f>IF(ISNA(VLOOKUP(A25,'Données projet'!$A$87:$I$107,4,0)),0,VLOOKUP(A25,'Données projet'!$A$87:$I$107,4,0))</f>
        <v>0</v>
      </c>
      <c r="BM25" s="16">
        <f>IF(ISNA(VLOOKUP(A25,'Données projet'!$A$87:$I$107,5,0)),0%,VLOOKUP(A25,'Données projet'!$A$87:$I$107,5,0)*VLOOKUP('Données projet'!$B$11,Paramètres!$A$1:$I$89,7,0))</f>
        <v>0</v>
      </c>
      <c r="BN25" s="16">
        <f>IF(ISNA(VLOOKUP(A25,'Données projet'!$A$87:$I$107,6,0)),0%,VLOOKUP(A25,'Données projet'!$A$87:$I$107,6,0)*VLOOKUP('Données projet'!$B$11,Paramètres!$A$1:$I$89,7,0))</f>
        <v>0</v>
      </c>
      <c r="BO25" s="16">
        <f>IF(ISNA(VLOOKUP(A25,'Données projet'!$A$87:$I$107,7,0)),0%,VLOOKUP(A25,'Données projet'!$A$87:$I$107,7,0))</f>
        <v>0</v>
      </c>
      <c r="BP25" s="21">
        <f>EXP(-LN(2)/35)*BP24+(1-EXP(-LN(2)/35))/(LN(2)/35)*BL25*BM25*VLOOKUP('Données projet'!$B$11,Paramètres!$A$1:$I$89,3,0)*0.475*44/12</f>
        <v>0</v>
      </c>
      <c r="BQ25" s="21">
        <f>EXP(-LN(2)/25)*BQ24+(1-EXP(-LN(2)/25))/(LN(2)/25)*Calculateur!BL25*Calculateur!BN25*VLOOKUP('Données projet'!$B$11,Paramètres!$A$1:$I$89,3,0)*0.475*44/12</f>
        <v>4.8776911593952468</v>
      </c>
      <c r="BR25" s="21">
        <f>EXP(-LN(2)/2)*BR24+(1-EXP(-LN(2)/2))/(LN(2)/2)*BL25*BO25*VLOOKUP('Données projet'!$B$11,Paramètres!$A$1:$I$89,3,0)*0.475*44/12</f>
        <v>4.9087931259259934</v>
      </c>
      <c r="BS25" s="22">
        <f t="shared" si="9"/>
        <v>9.7864842853212402</v>
      </c>
      <c r="BT25" s="75">
        <f>('Scénario référence'!$F$8+'Scénario référence'!$F$9+'Scénario référence'!$B$17+'Scénario référence'!$B$9+'Scénario référence'!$B$10)*70+IF((45+25*(1-EXP(-0.0175*A25)))&lt;70,'Scénario référence'!$B$16*(45+25*(1-EXP(-0.0175*A25))),70*'Scénario référence'!$B$16)+IF((32+38*(1-EXP(-0.0175*A25)))&lt;70,'Scénario référence'!$B$18*(32+38*(1-EXP(-0.0175*A25))),70*'Scénario référence'!$B$18)</f>
        <v>70</v>
      </c>
      <c r="BU25" s="12">
        <f>IF(A25&gt;30,10,('Scénario référence'!$B$16+'Scénario référence'!$B$17+'Scénario référence'!$B$18+'Scénario référence'!$B$9+'Scénario référence'!$B$10)*A25*10/30+('Scénario référence'!$F$8+'Scénario référence'!$F$9)*10)</f>
        <v>10</v>
      </c>
      <c r="BV25" s="12" t="e">
        <f>VLOOKUP(A25,'Données projet'!$A$113:$I$133,2,0)</f>
        <v>#N/A</v>
      </c>
      <c r="BW25" s="12" t="e">
        <f>VLOOKUP(A25,'Données projet'!$A$113:$I$133,9,0)</f>
        <v>#N/A</v>
      </c>
      <c r="BX25" s="12">
        <f t="array" ref="BX25">INDEX(BW:BW,MIN(IF(ISNUMBER(BW25:BW221),ROW(BW25:BW221),"")))</f>
        <v>13.7</v>
      </c>
      <c r="BY25" s="12">
        <f>IF('Données projet'!$A$114&gt;35,BY24+BX25-CG24,IF(A25&lt;'Données projet'!$A$114,$BV$205^A25,IF(A25='Données projet'!$A$114,'Données projet'!$B$114,BY24+BX25-CG24)))</f>
        <v>107.39999999999999</v>
      </c>
      <c r="BZ25" s="13">
        <f>BY25*VLOOKUP('Données projet'!$B$12,Paramètres!$A$1:$I$89,3,0)*VLOOKUP('Données projet'!$B$12,Paramètres!$A$1:$I$89,5,0)</f>
        <v>61.432799999999993</v>
      </c>
      <c r="CA25" s="13">
        <f t="shared" si="39"/>
        <v>17.53002675470421</v>
      </c>
      <c r="CB25" s="20">
        <f t="shared" si="10"/>
        <v>137.52692326444313</v>
      </c>
      <c r="CC25" s="59">
        <f t="shared" si="11"/>
        <v>430.86025659777647</v>
      </c>
      <c r="CD25" s="59">
        <f ca="1">AVERAGE(OFFSET($CC$3,0,0,'Données projet'!$E$12+1,1))-AVERAGE(OFFSET($H$3,0,0,'Données projet'!$E$12+1,1))</f>
        <v>188.64374818906128</v>
      </c>
      <c r="CE25" s="59">
        <f t="shared" si="40"/>
        <v>211.95157880548652</v>
      </c>
      <c r="CF25" s="15">
        <f>IF(ISNA(VLOOKUP(A25,'Données projet'!$A$113:$I$133,3,0)),0,VLOOKUP(A25,'Données projet'!$A$113:$I$133,3,0))</f>
        <v>0</v>
      </c>
      <c r="CG25" s="15">
        <f>IF(ISNA(VLOOKUP(A25,'Données projet'!$A$113:$I$133,4,0)),0,VLOOKUP(A25,'Données projet'!$A$113:$I$133,4,0))</f>
        <v>0</v>
      </c>
      <c r="CH25" s="16">
        <f>IF(ISNA(VLOOKUP(A25,'Données projet'!$A$113:$I$133,5,0)),0%,VLOOKUP(A25,'Données projet'!$A$113:$I$133,5,0)*VLOOKUP('Données projet'!$B$12,Paramètres!$A$1:$I$89,7,0))</f>
        <v>0</v>
      </c>
      <c r="CI25" s="16">
        <f>IF(ISNA(VLOOKUP(A25,'Données projet'!$A$113:$I$133,6,0)),0%,VLOOKUP(A25,'Données projet'!$A$113:$I$133,6,0)*VLOOKUP('Données projet'!$B$12,Paramètres!$A$1:$I$89,7,0))</f>
        <v>0</v>
      </c>
      <c r="CJ25" s="16">
        <f>IF(ISNA(VLOOKUP(A25,'Données projet'!$A$113:$I$133,7,0)),0%,VLOOKUP(A25,'Données projet'!$A$113:$I$133,7,0))</f>
        <v>0</v>
      </c>
      <c r="CK25" s="21">
        <f>EXP(-LN(2)/35)*CK24+(1-EXP(-LN(2)/35))/(LN(2)/35)*CG25*CH25*VLOOKUP('Données projet'!$B$12,Paramètres!$A$1:$I$89,3,0)*0.475*44/12</f>
        <v>0</v>
      </c>
      <c r="CL25" s="21">
        <f>EXP(-LN(2)/25)*CL24+(1-EXP(-LN(2)/25))/(LN(2)/25)*Calculateur!CG25*Calculateur!CI25*VLOOKUP('Données projet'!$B$12,Paramètres!$A$1:$I$89,3,0)*0.475*44/12</f>
        <v>4.1829675309956214</v>
      </c>
      <c r="CM25" s="21">
        <f>EXP(-LN(2)/2)*CM24+(1-EXP(-LN(2)/2))/(LN(2)/2)*CG25*CJ25*VLOOKUP('Données projet'!$B$12,Paramètres!$A$1:$I$89,3,0)*0.475*44/12</f>
        <v>4.2096396822034015</v>
      </c>
      <c r="CN25" s="22">
        <f t="shared" si="12"/>
        <v>8.3926072131990228</v>
      </c>
      <c r="CO25" s="75">
        <f>('Scénario référence'!$F$8+'Scénario référence'!$F$9+'Scénario référence'!$B$17+'Scénario référence'!$B$9+'Scénario référence'!$B$10)*70+IF((45+25*(1-EXP(-0.0175*A25)))&lt;70,'Scénario référence'!$B$16*(45+25*(1-EXP(-0.0175*A25))),70*'Scénario référence'!$B$16)+IF((32+38*(1-EXP(-0.0175*A25)))&lt;70,'Scénario référence'!$B$18*(32+38*(1-EXP(-0.0175*A25))),70*'Scénario référence'!$B$18)</f>
        <v>70</v>
      </c>
      <c r="CP25" s="12">
        <f>IF(A25&gt;30,10,('Scénario référence'!$B$16+'Scénario référence'!$B$17+'Scénario référence'!$B$18+'Scénario référence'!$B$9+'Scénario référence'!$B$10)*A25*10/30+('Scénario référence'!$F$8+'Scénario référence'!$F$9)*10)</f>
        <v>10</v>
      </c>
      <c r="CQ25" s="12" t="e">
        <f>VLOOKUP(A25,'Données projet'!$A$139:$I$159,2,0)</f>
        <v>#N/A</v>
      </c>
      <c r="CR25" s="12" t="e">
        <f>VLOOKUP(A25,'Données projet'!$A$139:$I$159,9,0)</f>
        <v>#N/A</v>
      </c>
      <c r="CS25" s="12">
        <f t="array" ref="CS25">INDEX(CR:CR,MIN(IF(ISNUMBER(CR25:CR221),ROW(CR25:CR221),"")))</f>
        <v>0</v>
      </c>
      <c r="CT25" s="12">
        <f>IF('Données projet'!$A$140&gt;35,CT24+CS25-DB24,IF(A25&lt;'Données projet'!$A$140,$CQ$205^A25,IF(A25='Données projet'!$A$140,'Données projet'!$B$140,CT24+CS25-DB24)))</f>
        <v>0</v>
      </c>
      <c r="CU25" s="17" t="e">
        <f>CT25*VLOOKUP('Données projet'!$B$13,Paramètres!$A$1:$I$89,3,0)*VLOOKUP('Données projet'!$B$13,Paramètres!$A$1:$I$89,5,0)</f>
        <v>#N/A</v>
      </c>
      <c r="CV25" s="13" t="e">
        <f t="shared" si="41"/>
        <v>#N/A</v>
      </c>
      <c r="CW25" s="20" t="e">
        <f t="shared" si="13"/>
        <v>#N/A</v>
      </c>
      <c r="CX25" s="59" t="e">
        <f t="shared" si="14"/>
        <v>#N/A</v>
      </c>
      <c r="CY25" s="59" t="e">
        <f ca="1">AVERAGE(OFFSET($CX$3,0,0,'Données projet'!$E$13+1,1))-AVERAGE(OFFSET($H$3,0,0,'Données projet'!$E$13+1,1))</f>
        <v>#N/A</v>
      </c>
      <c r="CZ25" s="59" t="e">
        <f t="shared" si="42"/>
        <v>#N/A</v>
      </c>
      <c r="DA25" s="15">
        <f>IF(ISNA(VLOOKUP(A25,'Données projet'!$A$139:$I$159,3,0)),0,VLOOKUP(A25,'Données projet'!$A$139:$I$159,3,0))</f>
        <v>0</v>
      </c>
      <c r="DB25" s="15">
        <f>IF(ISNA(VLOOKUP(A25,'Données projet'!$A$139:$I$159,4,0)),0,VLOOKUP(A25,'Données projet'!$A$139:$I$159,4,0))</f>
        <v>0</v>
      </c>
      <c r="DC25" s="16">
        <f>IF(ISNA(VLOOKUP(A25,'Données projet'!$A$139:$I$159,5,0)),0%,VLOOKUP(A25,'Données projet'!$A$139:$I$159,5,0)*VLOOKUP('Données projet'!$B$13,Paramètres!$A$1:$I$89,7,0))</f>
        <v>0</v>
      </c>
      <c r="DD25" s="16">
        <f>IF(ISNA(VLOOKUP(A25,'Données projet'!$A$139:$I$159,6,0)),0%,VLOOKUP(A25,'Données projet'!$A$139:$I$159,6,0)*VLOOKUP('Données projet'!$B$13,Paramètres!$A$1:$I$89,7,0))</f>
        <v>0</v>
      </c>
      <c r="DE25" s="16">
        <f>IF(ISNA(VLOOKUP(A25,'Données projet'!$A$139:$I$159,7,0)),0%,VLOOKUP(A25,'Données projet'!$A$139:$I$159,7,0))</f>
        <v>0</v>
      </c>
      <c r="DF25" s="21" t="e">
        <f>EXP(-LN(2)/35)*DF24+(1-EXP(-LN(2)/35))/(LN(2)/35)*DB25*DC25*VLOOKUP('Données projet'!$B$13,Paramètres!$A$1:$I$89,3,0)*0.475*44/12</f>
        <v>#N/A</v>
      </c>
      <c r="DG25" s="21" t="e">
        <f>EXP(-LN(2)/25)*DG24+(1-EXP(-LN(2)/25))/(LN(2)/25)*Calculateur!DB25*Calculateur!DD25*VLOOKUP('Données projet'!$B$13,Paramètres!$A$1:$I$89,3,0)*0.475*44/12</f>
        <v>#N/A</v>
      </c>
      <c r="DH25" s="21" t="e">
        <f>EXP(-LN(2)/2)*DH24+(1-EXP(-LN(2)/2))/(LN(2)/2)*DB25*DE25*VLOOKUP('Données projet'!$B$13,Paramètres!$A$1:$I$89,3,0)*0.475*44/12</f>
        <v>#N/A</v>
      </c>
      <c r="DI25" s="22" t="e">
        <f t="shared" si="15"/>
        <v>#N/A</v>
      </c>
      <c r="DJ25" s="75">
        <f>('Scénario référence'!$F$8+'Scénario référence'!$F$9+'Scénario référence'!$B$17+'Scénario référence'!$B$9+'Scénario référence'!$B$10)*70+IF((45+25*(1-EXP(-0.0175*A25)))&lt;70,'Scénario référence'!$B$16*(45+25*(1-EXP(-0.0175*A25))),70*'Scénario référence'!$B$16)+IF((32+38*(1-EXP(-0.0175*A25)))&lt;70,'Scénario référence'!$B$18*(32+38*(1-EXP(-0.0175*A25))),70*'Scénario référence'!$B$18)</f>
        <v>70</v>
      </c>
      <c r="DK25" s="12">
        <f>IF(A25&gt;30,10,('Scénario référence'!$B$16+'Scénario référence'!$B$17+'Scénario référence'!$B$18+'Scénario référence'!$B$9+'Scénario référence'!$B$10)*A25*10/30+('Scénario référence'!$F$8+'Scénario référence'!$F$9)*10)</f>
        <v>10</v>
      </c>
      <c r="DL25" s="12" t="e">
        <f>VLOOKUP(A25,'Données projet'!$A$165:$I$185,2,0)</f>
        <v>#N/A</v>
      </c>
      <c r="DM25" s="12" t="e">
        <f>VLOOKUP(A25,'Données projet'!$A$165:$I$185,9,0)</f>
        <v>#N/A</v>
      </c>
      <c r="DN25" s="12">
        <f t="array" ref="DN25">INDEX(DM:DM,MIN(IF(ISNUMBER(DM25:DM221),ROW(DM25:DM221),"")))</f>
        <v>10.5</v>
      </c>
      <c r="DO25" s="12">
        <f>IF('Données projet'!$A$166&gt;35,DO24+DN25-DW24,IF(A25&lt;'Données projet'!$A$166,$DL$205^A25,IF(A25='Données projet'!$A$166,'Données projet'!$B$166,DO24+DN25-DW24)))</f>
        <v>126</v>
      </c>
      <c r="DP25" s="17">
        <f>DO25*VLOOKUP('Données projet'!$B$14,Paramètres!$A$1:$I$89,3,0)*VLOOKUP('Données projet'!$B$14,Paramètres!$A$1:$I$89,5,0)</f>
        <v>82.555199999999999</v>
      </c>
      <c r="DQ25" s="13">
        <f t="shared" si="43"/>
        <v>22.760796016854769</v>
      </c>
      <c r="DR25" s="20">
        <f t="shared" si="16"/>
        <v>183.42535972935536</v>
      </c>
      <c r="DS25" s="59">
        <f t="shared" si="17"/>
        <v>476.75869306268868</v>
      </c>
      <c r="DT25" s="59">
        <f ca="1">AVERAGE(OFFSET($DS$3,0,0,'Données projet'!$E$14+1,1))-AVERAGE(OFFSET($H$3,0,0,'Données projet'!$E$14+1,1))</f>
        <v>188.68915783955595</v>
      </c>
      <c r="DU25" s="59">
        <f t="shared" si="44"/>
        <v>240.82467772396944</v>
      </c>
      <c r="DV25" s="15">
        <f>IF(ISNA(VLOOKUP(A25,'Données projet'!$A$165:$I$185,3,0)),0,VLOOKUP(A25,'Données projet'!$A$165:$I$185,3,0))</f>
        <v>0</v>
      </c>
      <c r="DW25" s="15">
        <f>IF(ISNA(VLOOKUP(A25,'Données projet'!$A$165:$I$185,4,0)),0,VLOOKUP(A25,'Données projet'!$A$165:$I$185,4,0))</f>
        <v>0</v>
      </c>
      <c r="DX25" s="16">
        <f>IF(ISNA(VLOOKUP(A25,'Données projet'!$A$165:$I$185,5,0)),0%,VLOOKUP(A25,'Données projet'!$A$165:$I$185,5,0)*VLOOKUP('Données projet'!$B$14,Paramètres!$A$1:$I$89,7,0))</f>
        <v>0</v>
      </c>
      <c r="DY25" s="16">
        <f>IF(ISNA(VLOOKUP(A25,'Données projet'!$A$165:$I$185,6,0)),0%,VLOOKUP(A25,'Données projet'!$A$165:$I$185,6,0)*VLOOKUP('Données projet'!$B$14,Paramètres!$A$1:$I$89,7,0))</f>
        <v>0</v>
      </c>
      <c r="DZ25" s="16">
        <f>IF(ISNA(VLOOKUP(A25,'Données projet'!$A$165:$I$185,7,0)),0%,VLOOKUP(A25,'Données projet'!$A$165:$I$185,7,0))</f>
        <v>0</v>
      </c>
      <c r="EA25" s="21">
        <f>EXP(-LN(2)/35)*EA24+(1-EXP(-LN(2)/35))/(LN(2)/35)*DW25*DX25*VLOOKUP('Données projet'!$B$14,Paramètres!$A$1:$I$89,3,0)*0.475*44/12</f>
        <v>0</v>
      </c>
      <c r="EB25" s="21">
        <f>EXP(-LN(2)/25)*EB24+(1-EXP(-LN(2)/25))/(LN(2)/25)*Calculateur!DW25*Calculateur!DY25*VLOOKUP('Données projet'!$B$14,Paramètres!$A$1:$I$89,3,0)*0.475*44/12</f>
        <v>1.3207061819891774</v>
      </c>
      <c r="EC25" s="21">
        <f>EXP(-LN(2)/2)*EC24+(1-EXP(-LN(2)/2))/(LN(2)/2)*DW25*DZ25*VLOOKUP('Données projet'!$B$14,Paramètres!$A$1:$I$89,3,0)*0.475*44/12</f>
        <v>1.3909473775112633</v>
      </c>
      <c r="ED25" s="22">
        <f t="shared" si="18"/>
        <v>2.7116535595004407</v>
      </c>
      <c r="EE25" s="75">
        <f>('Scénario référence'!$F$8+'Scénario référence'!$F$9+'Scénario référence'!$B$17+'Scénario référence'!$B$9+'Scénario référence'!$B$10)*70+IF((45+25*(1-EXP(-0.0175*A25)))&lt;70,'Scénario référence'!$B$16*(45+25*(1-EXP(-0.0175*A25))),70*'Scénario référence'!$B$16)+IF((32+38*(1-EXP(-0.0175*A25)))&lt;70,'Scénario référence'!$B$18*(32+38*(1-EXP(-0.0175*A25))),70*'Scénario référence'!$B$18)</f>
        <v>70</v>
      </c>
      <c r="EF25" s="12">
        <f>IF(A25&gt;30,10,('Scénario référence'!$B$16+'Scénario référence'!$B$17+'Scénario référence'!$B$18+'Scénario référence'!$B$9+'Scénario référence'!$B$10)*A25*10/30+('Scénario référence'!$F$8+'Scénario référence'!$F$9)*10)</f>
        <v>10</v>
      </c>
      <c r="EG25" s="12" t="e">
        <f>VLOOKUP(A25,'Données projet'!$A$191:$I$211,2,0)</f>
        <v>#N/A</v>
      </c>
      <c r="EH25" s="12" t="e">
        <f>VLOOKUP(A25,'Données projet'!$A$191:$I$211,9,0)</f>
        <v>#N/A</v>
      </c>
      <c r="EI25" s="12">
        <f t="array" ref="EI25">INDEX(EH:EH,MIN(IF(ISNUMBER(EH25:EH221),ROW(EH25:EH221),"")))</f>
        <v>7</v>
      </c>
      <c r="EJ25" s="12">
        <f>IF('Données projet'!$A$192&gt;35,EJ24+EI25-ER24,IF(A25&lt;'Données projet'!$A$192,$EG$205^A25,IF(A25='Données projet'!$A$192,'Données projet'!$B$192,EJ24+EI25-ER24)))</f>
        <v>78.999999999999986</v>
      </c>
      <c r="EK25" s="17">
        <f>EJ25*VLOOKUP('Données projet'!$B$15,Paramètres!$A$1:$I$89,3,0)*VLOOKUP('Données projet'!$B$15,Paramètres!$A$1:$I$89,5,0)</f>
        <v>64.084799999999987</v>
      </c>
      <c r="EL25" s="13">
        <f t="shared" si="45"/>
        <v>18.197042620605469</v>
      </c>
      <c r="EM25" s="20">
        <f t="shared" si="19"/>
        <v>143.30754256422117</v>
      </c>
      <c r="EN25" s="59">
        <f t="shared" si="20"/>
        <v>436.64087589755445</v>
      </c>
      <c r="EO25" s="59">
        <f ca="1">AVERAGE(OFFSET($EN$3,0,0,'Données projet'!$E$15+1,1))-AVERAGE(OFFSET($H$3,0,0,'Données projet'!$E$15+1,1))</f>
        <v>205.5272583787887</v>
      </c>
      <c r="EP25" s="59">
        <f t="shared" si="46"/>
        <v>180.54762778843178</v>
      </c>
      <c r="EQ25" s="15">
        <f>IF(ISNA(VLOOKUP(A25,'Données projet'!$A$191:$I$211,3,0)),0,VLOOKUP(A25,'Données projet'!$A$191:$I$211,3,0))</f>
        <v>0</v>
      </c>
      <c r="ER25" s="15">
        <f>IF(ISNA(VLOOKUP(A25,'Données projet'!$A$191:$I$211,4,0)),0,VLOOKUP(A25,'Données projet'!$A$191:$I$211,4,0))</f>
        <v>0</v>
      </c>
      <c r="ES25" s="16">
        <f>IF(ISNA(VLOOKUP(A25,'Données projet'!$A$191:$I$211,5,0)),0%,VLOOKUP(A25,'Données projet'!$A$191:$I$211,5,0)*VLOOKUP('Données projet'!$B$15,Paramètres!$A$1:$I$89,7,0))</f>
        <v>0</v>
      </c>
      <c r="ET25" s="16">
        <f>IF(ISNA(VLOOKUP(A25,'Données projet'!$A$191:$I$211,6,0)),0%,VLOOKUP(A25,'Données projet'!$A$191:$I$211,6,0)*VLOOKUP('Données projet'!$B$15,Paramètres!$A$1:$I$89,7,0))</f>
        <v>0</v>
      </c>
      <c r="EU25" s="16">
        <f>IF(ISNA(VLOOKUP(A25,'Données projet'!$A$191:$I$211,7,0)),0%,VLOOKUP(A25,'Données projet'!$A$191:$I$211,7,0))</f>
        <v>0</v>
      </c>
      <c r="EV25" s="21">
        <f>EXP(-LN(2)/35)*EV24+(1-EXP(-LN(2)/35))/(LN(2)/35)*ER25*ES25*VLOOKUP('Données projet'!$B$15,Paramètres!$A$1:$I$89,3,0)*0.475*44/12</f>
        <v>0</v>
      </c>
      <c r="EW25" s="21">
        <f>EXP(-LN(2)/25)*EW24+(1-EXP(-LN(2)/25))/(LN(2)/25)*Calculateur!ER25*Calculateur!ET25*VLOOKUP('Données projet'!$B$15,Paramètres!$A$1:$I$89,3,0)*0.475*44/12</f>
        <v>1.6351600348437434</v>
      </c>
      <c r="EX25" s="21">
        <f>EXP(-LN(2)/2)*EX24+(1-EXP(-LN(2)/2))/(LN(2)/2)*ER25*EU25*VLOOKUP('Données projet'!$B$15,Paramètres!$A$1:$I$89,3,0)*0.475*44/12</f>
        <v>1.7221253245377546</v>
      </c>
      <c r="EY25" s="22">
        <f t="shared" si="21"/>
        <v>3.357285359381498</v>
      </c>
      <c r="EZ25" s="75">
        <f>('Scénario référence'!$F$8+'Scénario référence'!$F$9+'Scénario référence'!$B$17+'Scénario référence'!$B$9+'Scénario référence'!$B$10)*70+IF((45+25*(1-EXP(-0.0175*A25)))&lt;70,'Scénario référence'!$B$16*(45+25*(1-EXP(-0.0175*A25))),70*'Scénario référence'!$B$16)+IF((32+38*(1-EXP(-0.0175*A25)))&lt;70,'Scénario référence'!$B$18*(32+38*(1-EXP(-0.0175*A25))),70*'Scénario référence'!$B$18)</f>
        <v>70</v>
      </c>
      <c r="FA25" s="12">
        <f>IF(A25&gt;30,10,('Scénario référence'!$B$16+'Scénario référence'!$B$17+'Scénario référence'!$B$18+'Scénario référence'!$B$9+'Scénario référence'!$B$10)*A25*10/30+('Scénario référence'!$F$8+'Scénario référence'!$F$9)*10)</f>
        <v>10</v>
      </c>
      <c r="FB25" s="12" t="e">
        <f>VLOOKUP(A25,'Données projet'!$A$217:$I$237,2,0)</f>
        <v>#N/A</v>
      </c>
      <c r="FC25" s="12" t="e">
        <f>VLOOKUP(A25,'Données projet'!$A$217:$I$237,9,0)</f>
        <v>#N/A</v>
      </c>
      <c r="FD25" s="12">
        <f t="array" ref="FD25">INDEX(FC:FC,MIN(IF(ISNUMBER(FC25:FC221),ROW(FC25:FC221),"")))</f>
        <v>9.1</v>
      </c>
      <c r="FE25" s="12">
        <f>IF('Données projet'!$A$218&gt;35,FE24+FD25-FM24,IF(A25&lt;'Données projet'!$A$218,$FB$205^A25,IF(A25='Données projet'!$A$218,'Données projet'!$B$218,FE24+FD25-FM24)))</f>
        <v>67.2</v>
      </c>
      <c r="FF25" s="17">
        <f>FE25*VLOOKUP('Données projet'!$B$16,Paramètres!$A$1:$I$89,3,0)*VLOOKUP('Données projet'!$B$16,Paramètres!$A$1:$I$89,5,0)</f>
        <v>57.657600000000016</v>
      </c>
      <c r="FG25" s="13">
        <f t="shared" si="47"/>
        <v>16.574671209026025</v>
      </c>
      <c r="FH25" s="20">
        <f t="shared" si="22"/>
        <v>129.28787235572034</v>
      </c>
      <c r="FI25" s="59">
        <f t="shared" si="23"/>
        <v>422.62120568905368</v>
      </c>
      <c r="FJ25" s="59">
        <f ca="1">AVERAGE(OFFSET($FI$3,0,0,'Données projet'!$E$16+1,1))-AVERAGE(OFFSET($H$3,0,0,'Données projet'!$E$16+1,1))</f>
        <v>383.97627237444709</v>
      </c>
      <c r="FK25" s="59">
        <f t="shared" si="48"/>
        <v>203.35476578922339</v>
      </c>
      <c r="FL25" s="15">
        <f>IF(ISNA(VLOOKUP(A25,'Données projet'!$A$217:$I$237,3,0)),0,VLOOKUP(A25,'Données projet'!$A$217:$I$237,3,0))</f>
        <v>0</v>
      </c>
      <c r="FM25" s="15">
        <f>IF(ISNA(VLOOKUP(A25,'Données projet'!$A$217:$I$237,4,0)),0,VLOOKUP(A25,'Données projet'!$A$217:$I$237,4,0))</f>
        <v>0</v>
      </c>
      <c r="FN25" s="16">
        <f>IF(ISNA(VLOOKUP(A25,'Données projet'!$A$217:$I$237,5,0)),0%,VLOOKUP(A25,'Données projet'!$A$217:$I$237,5,0)*VLOOKUP('Données projet'!$B$16,Paramètres!$A$1:$I$89,7,0))</f>
        <v>0</v>
      </c>
      <c r="FO25" s="16">
        <f>IF(ISNA(VLOOKUP(A25,'Données projet'!$A$217:$I$237,6,0)),0%,VLOOKUP(A25,'Données projet'!$A$217:$I$237,6,0)*VLOOKUP('Données projet'!$B$16,Paramètres!$A$1:$I$89,7,0))</f>
        <v>0</v>
      </c>
      <c r="FP25" s="16">
        <f>IF(ISNA(VLOOKUP(A25,'Données projet'!$A$217:$I$237,7,0)),0%,VLOOKUP(A25,'Données projet'!$A$217:$I$237,7,0))</f>
        <v>0</v>
      </c>
      <c r="FQ25" s="21">
        <f>EXP(-LN(2)/35)*FQ24+(1-EXP(-LN(2)/35))/(LN(2)/35)*FM25*FN25*VLOOKUP('Données projet'!$B$16,Paramètres!$A$1:$I$89,3,0)*0.475*44/12</f>
        <v>0</v>
      </c>
      <c r="FR25" s="21">
        <f>EXP(-LN(2)/25)*FR24+(1-EXP(-LN(2)/25))/(LN(2)/25)*Calculateur!FM25*Calculateur!FO25*VLOOKUP('Données projet'!$B$16,Paramètres!$A$1:$I$89,3,0)*0.475*44/12</f>
        <v>0.94742426984088901</v>
      </c>
      <c r="FS25" s="21">
        <f>EXP(-LN(2)/2)*FS24+(1-EXP(-LN(2)/2))/(LN(2)/2)*FM25*FP25*VLOOKUP('Données projet'!$B$16,Paramètres!$A$1:$I$89,3,0)*0.475*44/12</f>
        <v>0.80954609273142319</v>
      </c>
      <c r="FT25" s="22">
        <f t="shared" si="24"/>
        <v>1.7569703625723121</v>
      </c>
      <c r="FU25" s="75">
        <f>('Scénario référence'!$F$8+'Scénario référence'!$F$9+'Scénario référence'!$B$17+'Scénario référence'!$B$9+'Scénario référence'!$B$10)*70+IF((45+25*(1-EXP(-0.0175*A25)))&lt;70,'Scénario référence'!$B$16*(45+25*(1-EXP(-0.0175*A25))),70*'Scénario référence'!$B$16)+IF((32+38*(1-EXP(-0.0175*A25)))&lt;70,'Scénario référence'!$B$18*(32+38*(1-EXP(-0.0175*A25))),70*'Scénario référence'!$B$18)</f>
        <v>70</v>
      </c>
      <c r="FV25" s="12">
        <f>IF(A25&gt;30,10,('Scénario référence'!$B$16+'Scénario référence'!$B$17+'Scénario référence'!$B$18+'Scénario référence'!$B$9+'Scénario référence'!$B$10)*A25*10/30+('Scénario référence'!$F$8+'Scénario référence'!$F$9)*10)</f>
        <v>10</v>
      </c>
      <c r="FW25" s="12" t="e">
        <f>VLOOKUP(A25,'Données projet'!$A$243:$I$263,2,0)</f>
        <v>#N/A</v>
      </c>
      <c r="FX25" s="12" t="e">
        <f>VLOOKUP(A25,'Données projet'!$A$243:$I$263,9,0)</f>
        <v>#N/A</v>
      </c>
      <c r="FY25" s="12">
        <f t="array" ref="FY25">INDEX(FX:FX,MIN(IF(ISNUMBER(FX25:FX221),ROW(FX25:FX221),"")))</f>
        <v>4.0628205128205126</v>
      </c>
      <c r="FZ25" s="12">
        <f>IF('Données projet'!$A$244&gt;35,FZ24+FY25-GH24,IF(A25&lt;'Données projet'!$A$244,$FW$205^A25,IF(A25='Données projet'!$A$244,'Données projet'!$B$244,FZ24+FY25-GH24)))</f>
        <v>33.860693883812012</v>
      </c>
      <c r="GA25" s="17">
        <f>FZ25*VLOOKUP('Données projet'!$B$17,Paramètres!$A$1:$I$89,3,0)*VLOOKUP('Données projet'!$B$17,Paramètres!$A$1:$I$89,5,0)</f>
        <v>36.447650896535251</v>
      </c>
      <c r="GB25" s="13">
        <f t="shared" si="49"/>
        <v>11.052060987038981</v>
      </c>
      <c r="GC25" s="20">
        <f t="shared" si="25"/>
        <v>82.728664863891794</v>
      </c>
      <c r="GD25" s="59">
        <f t="shared" si="26"/>
        <v>376.06199819722508</v>
      </c>
      <c r="GE25" s="59">
        <f ca="1">AVERAGE(OFFSET($GD$3,0,0,'Données projet'!$E$17+1,1))-AVERAGE(OFFSET($H$3,0,0,'Données projet'!$E$17+1,1))</f>
        <v>286.77702855541287</v>
      </c>
      <c r="GF25" s="59">
        <f t="shared" si="50"/>
        <v>227.12211541860779</v>
      </c>
      <c r="GG25" s="15">
        <f>IF(ISNA(VLOOKUP(A25,'Données projet'!$A$243:$I$263,3,0)),0,VLOOKUP(A25,'Données projet'!$A$243:$I$263,3,0))</f>
        <v>0</v>
      </c>
      <c r="GH25" s="15">
        <f>IF(ISNA(VLOOKUP(A25,'Données projet'!$A$243:$I$263,4,0)),0,VLOOKUP(A25,'Données projet'!$A$243:$I$263,4,0))</f>
        <v>0</v>
      </c>
      <c r="GI25" s="16">
        <f>IF(ISNA(VLOOKUP(A25,'Données projet'!$A$243:$I$263,5,0)),0%,VLOOKUP(A25,'Données projet'!$A$243:$I$263,5,0)*VLOOKUP('Données projet'!$B$17,Paramètres!$A$1:$I$89,7,0))</f>
        <v>0</v>
      </c>
      <c r="GJ25" s="16">
        <f>IF(ISNA(VLOOKUP(A25,'Données projet'!$A$243:$I$263,6,0)),0%,VLOOKUP(A25,'Données projet'!$A$243:$I$263,6,0)*VLOOKUP('Données projet'!$B$17,Paramètres!$A$1:$I$89,7,0))</f>
        <v>0</v>
      </c>
      <c r="GK25" s="16">
        <f>IF(ISNA(VLOOKUP(A25,'Données projet'!$A$243:$I$263,7,0)),0%,VLOOKUP(A25,'Données projet'!$A$243:$I$263,7,0))</f>
        <v>0</v>
      </c>
      <c r="GL25" s="21">
        <f>EXP(-LN(2)/35)*GL24+(1-EXP(-LN(2)/35))/(LN(2)/35)*GH25*GI25*VLOOKUP('Données projet'!$B$17,Paramètres!$A$1:$I$89,3,0)*0.475*44/12</f>
        <v>0</v>
      </c>
      <c r="GM25" s="21">
        <f>EXP(-LN(2)/25)*GM24+(1-EXP(-LN(2)/25))/(LN(2)/25)*Calculateur!GH25*Calculateur!GJ25*VLOOKUP('Données projet'!$B$17,Paramètres!$A$1:$I$89,3,0)*0.475*44/12</f>
        <v>0</v>
      </c>
      <c r="GN25" s="21">
        <f>EXP(-LN(2)/2)*GN24+(1-EXP(-LN(2)/2))/(LN(2)/2)*GH25*GK25*VLOOKUP('Données projet'!$B$17,Paramètres!$A$1:$I$89,3,0)*0.475*44/12</f>
        <v>0</v>
      </c>
      <c r="GO25" s="21">
        <f t="shared" si="27"/>
        <v>0</v>
      </c>
      <c r="GP25" s="75">
        <f>('Scénario référence'!$F$8+'Scénario référence'!$F$9+'Scénario référence'!$B$17+'Scénario référence'!$B$9+'Scénario référence'!$B$10)*70+IF((45+25*(1-EXP(-0.0175*A25)))&lt;70,'Scénario référence'!$B$16*(45+25*(1-EXP(-0.0175*A25))),70*'Scénario référence'!$B$16)+IF((32+38*(1-EXP(-0.0175*A25)))&lt;70,'Scénario référence'!$B$18*(32+38*(1-EXP(-0.0175*A25))),70*'Scénario référence'!$B$18)</f>
        <v>70</v>
      </c>
      <c r="GQ25" s="12">
        <f>IF(A25&gt;30,10,('Scénario référence'!$B$16+'Scénario référence'!$B$17+'Scénario référence'!$B$18+'Scénario référence'!$B$9+'Scénario référence'!$B$10)*A25*10/30+('Scénario référence'!$F$8+'Scénario référence'!$F$9)*10)</f>
        <v>10</v>
      </c>
      <c r="GR25" s="12" t="e">
        <f>VLOOKUP(A25,'Données projet'!$A$269:$I$289,2,0)</f>
        <v>#N/A</v>
      </c>
      <c r="GS25" s="12" t="e">
        <f>VLOOKUP(A25,'Données projet'!$A$269:$I$289,9,0)</f>
        <v>#N/A</v>
      </c>
      <c r="GT25" s="12">
        <f t="array" ref="GT25">INDEX(GS:GS,MIN(IF(ISNUMBER(GS25:GS221),ROW(GS25:GS221),"")))</f>
        <v>4.0628205128205126</v>
      </c>
      <c r="GU25" s="12">
        <f>IF('Données projet'!$A$270&gt;35,GU24+GT25-HC24,IF(A25&lt;'Données projet'!$A$270,$GR$205^A25,IF(A25='Données projet'!$A$270,'Données projet'!$B$270,GU24+GT25-HC24)))</f>
        <v>33.860693883812012</v>
      </c>
      <c r="GV25" s="17">
        <f>GU25*VLOOKUP('Données projet'!$B$18,Paramètres!$A$1:$I$89,3,0)*VLOOKUP('Données projet'!$B$18,Paramètres!$A$1:$I$89,5,0)</f>
        <v>36.447650896535251</v>
      </c>
      <c r="GW25" s="13">
        <f t="shared" si="51"/>
        <v>11.052060987038981</v>
      </c>
      <c r="GX25" s="20">
        <f t="shared" si="28"/>
        <v>82.728664863891794</v>
      </c>
      <c r="GY25" s="59">
        <f t="shared" si="29"/>
        <v>376.06199819722508</v>
      </c>
      <c r="GZ25" s="59">
        <f ca="1">AVERAGE(OFFSET($GY$3,0,0,'Données projet'!$E$18+1,1))-AVERAGE(OFFSET($H$3,0,0,'Données projet'!$E$18+1,1))</f>
        <v>286.77702855541287</v>
      </c>
      <c r="HA25" s="59">
        <f t="shared" si="52"/>
        <v>227.12211541860779</v>
      </c>
      <c r="HB25" s="15">
        <f>IF(ISNA(VLOOKUP(A25,'Données projet'!$A$269:$I$289,3,0)),0,VLOOKUP(A25,'Données projet'!$A$269:$I$289,3,0))</f>
        <v>0</v>
      </c>
      <c r="HC25" s="15">
        <f>IF(ISNA(VLOOKUP(A25,'Données projet'!$A$269:$I$289,4,0)),0,VLOOKUP(A25,'Données projet'!$A$269:$I$289,4,0))</f>
        <v>0</v>
      </c>
      <c r="HD25" s="16">
        <f>IF(ISNA(VLOOKUP(A25,'Données projet'!$A$269:$I$289,5,0)),0%,VLOOKUP(A25,'Données projet'!$A$269:$I$289,5,0)*VLOOKUP('Données projet'!$B$18,Paramètres!$A$1:$I$89,7,0))</f>
        <v>0</v>
      </c>
      <c r="HE25" s="16">
        <f>IF(ISNA(VLOOKUP(A25,'Données projet'!$A$269:$I$289,6,0)),0%,VLOOKUP(A25,'Données projet'!$A$269:$I$289,6,0)*VLOOKUP('Données projet'!$B$18,Paramètres!$A$1:$I$89,7,0))</f>
        <v>0</v>
      </c>
      <c r="HF25" s="16">
        <f>IF(ISNA(VLOOKUP(A25,'Données projet'!$A$269:$I$289,7,0)),0%,VLOOKUP(A25,'Données projet'!$A$269:$I$289,7,0))</f>
        <v>0</v>
      </c>
      <c r="HG25" s="21">
        <f>EXP(-LN(2)/35)*HG24+(1-EXP(-LN(2)/35))/(LN(2)/35)*HC25*HD25*VLOOKUP('Données projet'!$B$18,Paramètres!$A$1:$I$89,3,0)*0.475*44/12</f>
        <v>0</v>
      </c>
      <c r="HH25" s="21">
        <f>EXP(-LN(2)/25)*HH24+(1-EXP(-LN(2)/25))/(LN(2)/25)*Calculateur!HC25*Calculateur!HE25*VLOOKUP('Données projet'!$B$18,Paramètres!$A$1:$I$89,3,0)*0.475*44/12</f>
        <v>0</v>
      </c>
      <c r="HI25" s="21">
        <f>EXP(-LN(2)/2)*HI24+(1-EXP(-LN(2)/2))/(LN(2)/2)*HC25*HF25*VLOOKUP('Données projet'!$B$18,Paramètres!$A$1:$I$89,3,0)*0.475*44/12</f>
        <v>0</v>
      </c>
      <c r="HJ25" s="22">
        <f t="shared" si="30"/>
        <v>0</v>
      </c>
    </row>
    <row r="26" spans="1:218" x14ac:dyDescent="0.25">
      <c r="A26" s="10">
        <f t="shared" si="31"/>
        <v>23</v>
      </c>
      <c r="B26" s="73">
        <f>'Scénario référence'!$B$16*5+'Scénario référence'!$B$17*0+'Scénario référence'!$B$18*5</f>
        <v>0</v>
      </c>
      <c r="C26" s="19">
        <f>Calculateur!C25+'Scénario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20.451599999999999</v>
      </c>
      <c r="D26" s="11">
        <f t="shared" si="32"/>
        <v>6.6330107072474558</v>
      </c>
      <c r="E2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6" s="11">
        <f>IF(OR('Scénario référence'!$F$8&gt;0,'Scénario référence'!$F$9&gt;0),('Scénario référence'!$F$8+'Scénario référence'!$F$9)*10,0)</f>
        <v>10</v>
      </c>
      <c r="G26" s="11">
        <f>'Scénario référence'!$B$8*B26*44/12+'Scénario référence'!$B$9*(C26+D26)/0.475*44/12+'Scénario référence'!$B$10*(C26+D26)/0.475*44/12+'Scénario référence'!$F$8*(C26+D26)/0.475*44/12+'Scénario référence'!$F$9*(C26+D26)/0.475*44/12</f>
        <v>209.07418791559442</v>
      </c>
      <c r="H26" s="67">
        <f t="shared" si="1"/>
        <v>340.5056969817893</v>
      </c>
      <c r="I26" s="70">
        <f>('Scénario référence'!$F$8+'Scénario référence'!$F$9+'Scénario référence'!$B$17+'Scénario référence'!$B$9+'Scénario référence'!$B$10)*70+IF((45+25*(1-EXP(-0.0175*A26)))&lt;70,'Scénario référence'!$B$16*(45+25*(1-EXP(-0.0175*A26))),70*'Scénario référence'!$B$16)+IF((32+38*(1-EXP(-0.0175*A26)))&lt;70,'Scénario référence'!$B$18*(32+38*(1-EXP(-0.0175*A26))),70*'Scénario référence'!$B$18)</f>
        <v>70</v>
      </c>
      <c r="J26" s="13">
        <f>IF(A26&gt;30,10,('Scénario référence'!$B$16+'Scénario référence'!$B$17+'Scénario référence'!$B$18+'Scénario référence'!$B$9+'Scénario référence'!$B$10)*A26*10/30+('Scénario référence'!$F$8+'Scénario référence'!$F$9)*10)</f>
        <v>10</v>
      </c>
      <c r="K26" s="12" t="e">
        <f>VLOOKUP(A26,'Données projet'!$A$35:$I$55,2,0)</f>
        <v>#N/A</v>
      </c>
      <c r="L26" s="12" t="e">
        <f>VLOOKUP(A26,'Données projet'!$A$35:$I$55,9,0)</f>
        <v>#N/A</v>
      </c>
      <c r="M26" s="12">
        <f t="array" ref="M26">INDEX(L:L,MIN(IF(ISNUMBER(L26:L222),ROW(L26:L222),"")))</f>
        <v>20.658974358974358</v>
      </c>
      <c r="N26" s="13">
        <f>IF('Données projet'!$A$36&gt;35,N25+M26-V25,IF(A26&lt;'Données projet'!$A$36,$K$205^A26,IF(A26='Données projet'!$A$36,'Données projet'!$B$36,N25+M26-V25)))</f>
        <v>216.90256410256404</v>
      </c>
      <c r="O26" s="13">
        <f>N26*VLOOKUP('Données projet'!$B$9,Paramètres!$A$1:$I$89,3,0)*VLOOKUP('Données projet'!$B$9,Paramètres!$A$1:$I$89,5,0)</f>
        <v>121.2485333333333</v>
      </c>
      <c r="P26" s="13">
        <f t="shared" si="33"/>
        <v>31.966023537079113</v>
      </c>
      <c r="Q26" s="20">
        <f t="shared" si="2"/>
        <v>266.84868654930165</v>
      </c>
      <c r="R26" s="59">
        <f t="shared" si="0"/>
        <v>560.1820198826349</v>
      </c>
      <c r="S26" s="59">
        <f ca="1">AVERAGE(OFFSET($R$3,0,0,'Données projet'!$E$9+1,1))-AVERAGE(OFFSET($H$3,0,0,'Données projet'!$E$9+1,1))</f>
        <v>255.5374979188561</v>
      </c>
      <c r="T26" s="59">
        <f t="shared" si="34"/>
        <v>343.10418468620901</v>
      </c>
      <c r="U26" s="15">
        <f>IF(ISNA(VLOOKUP(A26,'Données projet'!$A$35:$I$55,3,0)),0,VLOOKUP(A26,'Données projet'!$A$35:$I$55,3,0))</f>
        <v>0</v>
      </c>
      <c r="V26" s="15">
        <f>IF(ISNA(VLOOKUP(A26,'Données projet'!$A$35:$I$55,4,0)),0,VLOOKUP(A26,'Données projet'!$A$35:$I$55,4,0))</f>
        <v>0</v>
      </c>
      <c r="W26" s="16">
        <f>IF(ISNA(VLOOKUP(A26,'Données projet'!$A$35:$I$55,5,0)),0%,VLOOKUP(A26,'Données projet'!$A$35:$I$55,5,0)*VLOOKUP('Données projet'!$B$9,Paramètres!$A$1:$I$89,7,0))</f>
        <v>0</v>
      </c>
      <c r="X26" s="16">
        <f>IF(ISNA(VLOOKUP(A26,'Données projet'!$A$35:$I$55,6,0)),0%,VLOOKUP(A26,'Données projet'!$A$35:$I$55,6,0)*VLOOKUP('Données projet'!$B$9,Paramètres!$A$1:$I$89,7,0))</f>
        <v>0</v>
      </c>
      <c r="Y26" s="16">
        <f>IF(ISNA(VLOOKUP(A26,'Données projet'!$A$35:$I$55,7,0)),0%,VLOOKUP(A26,'Données projet'!$A$35:$I$55,7,0))</f>
        <v>0</v>
      </c>
      <c r="Z26" s="21">
        <f>EXP(-LN(2)/35)*Z25+(1-EXP(-LN(2)/35))/(LN(2)/35)*V26*W26*VLOOKUP('Données projet'!$B$9,Paramètres!$A$1:$I$89,3,0)*0.475*44/12</f>
        <v>0</v>
      </c>
      <c r="AA26" s="21">
        <f>EXP(-LN(2)/25)*AA25+(1-EXP(-LN(2)/25))/(LN(2)/25)*Calculateur!V26*Calculateur!X26*VLOOKUP('Données projet'!$B$9,Paramètres!$A$1:$I$89,3,0)*0.475*44/12</f>
        <v>12.251529534718349</v>
      </c>
      <c r="AB26" s="21">
        <f>EXP(-LN(2)/2)*AB25+(1-EXP(-LN(2)/2))/(LN(2)/2)*V26*Y26*VLOOKUP('Données projet'!$B$9,Paramètres!$A$1:$I$89,3,0)*0.475*44/12</f>
        <v>3.8759589846569593</v>
      </c>
      <c r="AC26" s="22">
        <f t="shared" si="3"/>
        <v>16.127488519375309</v>
      </c>
      <c r="AD26" s="13">
        <f>('Scénario référence'!$F$8+'Scénario référence'!$F$9+'Scénario référence'!$B$17+'Scénario référence'!$B$9+'Scénario référence'!$B$10)*70+IF((45+25*(1-EXP(-0.0175*A26)))&lt;70,'Scénario référence'!$B$16*(45+25*(1-EXP(-0.0175*A26))),70*'Scénario référence'!$B$16)+IF((32+38*(1-EXP(-0.0175*A26)))&lt;70,'Scénario référence'!$B$18*(32+38*(1-EXP(-0.0175*A26))),70*'Scénario référence'!$B$18)</f>
        <v>70</v>
      </c>
      <c r="AE26" s="13">
        <f>IF(A26&gt;30,10,('Scénario référence'!$B$16+'Scénario référence'!$B$17+'Scénario référence'!$B$18+'Scénario référence'!$B$9+'Scénario référence'!$B$10)*A26*10/30+('Scénario référence'!$F$8+'Scénario référence'!$F$9)*10)</f>
        <v>10</v>
      </c>
      <c r="AF26" s="12" t="e">
        <f>VLOOKUP(A26,'Données projet'!$A$61:$I$81,2,0)</f>
        <v>#N/A</v>
      </c>
      <c r="AG26" s="12" t="e">
        <f>VLOOKUP(A26,'Données projet'!$A$61:$I$81,9,0)</f>
        <v>#N/A</v>
      </c>
      <c r="AH26" s="12">
        <f t="array" ref="AH26">INDEX(AG:AG,MIN(IF(ISNUMBER(AG26:AG222),ROW(AG26:AG222),"")))</f>
        <v>16.5</v>
      </c>
      <c r="AI26" s="13">
        <f>IF('Données projet'!$A$62&gt;35,AI25+AH26-AQ25,IF(A26&lt;'Données projet'!$A$62,$AF$205^A26,IF(A26='Données projet'!$A$62,'Données projet'!$B$62,AI25+AH26-AQ25)))</f>
        <v>147.5</v>
      </c>
      <c r="AJ26" s="13">
        <f>AI26*VLOOKUP('Données projet'!$B$10,Paramètres!$A$1:$I$89,3,0)*VLOOKUP('Données projet'!$B$10,Paramètres!$A$1:$I$89,5,0)</f>
        <v>92.04</v>
      </c>
      <c r="AK26" s="13">
        <f t="shared" si="35"/>
        <v>25.056580235859606</v>
      </c>
      <c r="AL26" s="20">
        <f t="shared" si="4"/>
        <v>203.94321057745549</v>
      </c>
      <c r="AM26" s="59">
        <f t="shared" si="5"/>
        <v>497.2765439107888</v>
      </c>
      <c r="AN26" s="59">
        <f ca="1">AVERAGE(OFFSET($AM$3,0,0,'Données projet'!$E$10+1,1))-AVERAGE(OFFSET($H$3,0,0,'Données projet'!$E$10+1,1))</f>
        <v>261.78489480911571</v>
      </c>
      <c r="AO26" s="59">
        <f t="shared" si="36"/>
        <v>297.50513563712764</v>
      </c>
      <c r="AP26" s="15">
        <f>IF(ISNA(VLOOKUP(A26,'Données projet'!$A$61:$I$81,3,0)),0,VLOOKUP(A26,'Données projet'!$A$61:$I$81,3,0))</f>
        <v>0</v>
      </c>
      <c r="AQ26" s="15">
        <f>IF(ISNA(VLOOKUP(A26,'Données projet'!$A$61:$I$81,4,0)),0,VLOOKUP(A26,'Données projet'!$A$61:$I$81,4,0))</f>
        <v>0</v>
      </c>
      <c r="AR26" s="16">
        <f>IF(ISNA(VLOOKUP(A26,'Données projet'!$A$61:$I$81,5,0)),0%,VLOOKUP(A26,'Données projet'!$A$61:$I$81,5,0)*VLOOKUP('Données projet'!$B$10,Paramètres!$A$1:$I$89,7,0))</f>
        <v>0</v>
      </c>
      <c r="AS26" s="16">
        <f>IF(ISNA(VLOOKUP(A26,'Données projet'!$A$61:$I$81,6,0)),0%,VLOOKUP(A26,'Données projet'!$A$61:$I$81,6,0)*VLOOKUP('Données projet'!$B$10,Paramètres!$A$1:$I$89,7,0))</f>
        <v>0</v>
      </c>
      <c r="AT26" s="16">
        <f>IF(ISNA(VLOOKUP(A26,'Données projet'!$A$61:$I$81,7,0)),0%,VLOOKUP(A26,'Données projet'!$A$61:$I$81,7,0))</f>
        <v>0</v>
      </c>
      <c r="AU26" s="21">
        <f>EXP(-LN(2)/35)*AU25+(1-EXP(-LN(2)/35))/(LN(2)/35)*AQ26*AR26*VLOOKUP('Données projet'!$B$10,Paramètres!$A$1:$I$89,3,0)*0.475*44/12</f>
        <v>0</v>
      </c>
      <c r="AV26" s="21">
        <f>EXP(-LN(2)/25)*AV25+(1-EXP(-LN(2)/25))/(LN(2)/25)*Calculateur!AQ26*Calculateur!AS26*VLOOKUP('Données projet'!$B$10,Paramètres!$A$1:$I$89,3,0)*0.475*44/12</f>
        <v>13.656785668994166</v>
      </c>
      <c r="AW26" s="21">
        <f>EXP(-LN(2)/2)*AW25+(1-EXP(-LN(2)/2))/(LN(2)/2)*AQ26*AT26*VLOOKUP('Données projet'!$B$10,Paramètres!$A$1:$I$89,3,0)*0.475*44/12</f>
        <v>7.4937015078998792</v>
      </c>
      <c r="AX26" s="21">
        <f t="shared" si="6"/>
        <v>21.150487176894046</v>
      </c>
      <c r="AY26" s="74">
        <f>('Scénario référence'!$F$8+'Scénario référence'!$F$9+'Scénario référence'!$B$17+'Scénario référence'!$B$9+'Scénario référence'!$B$10)*70+IF((45+25*(1-EXP(-0.0175*A26)))&lt;70,'Scénario référence'!$B$16*(45+25*(1-EXP(-0.0175*A26))),70*'Scénario référence'!$B$16)+IF((32+38*(1-EXP(-0.0175*A26)))&lt;70,'Scénario référence'!$B$18*(32+38*(1-EXP(-0.0175*A26))),70*'Scénario référence'!$B$18)</f>
        <v>70</v>
      </c>
      <c r="AZ26" s="12">
        <f>IF(A26&gt;30,10,('Scénario référence'!$B$16+'Scénario référence'!$B$17+'Scénario référence'!$B$18+'Scénario référence'!$B$9+'Scénario référence'!$B$10)*A26*10/30+('Scénario référence'!$F$8+'Scénario référence'!$F$9)*10)</f>
        <v>10</v>
      </c>
      <c r="BA26" s="12" t="e">
        <f>VLOOKUP(A26,'Données projet'!$A$87:$I$107,2,0)</f>
        <v>#N/A</v>
      </c>
      <c r="BB26" s="12" t="e">
        <f>VLOOKUP(A26,'Données projet'!$A$87:$I$107,9,0)</f>
        <v>#N/A</v>
      </c>
      <c r="BC26" s="12">
        <f t="array" ref="BC26">INDEX(BB:BB,MIN(IF(ISNUMBER(BB26:BB222),ROW(BB26:BB222),"")))</f>
        <v>15.3</v>
      </c>
      <c r="BD26" s="12">
        <f>IF('Données projet'!$A$88&gt;35,BD25+BC26-BL25,IF(A26&lt;'Données projet'!$A$88,$BA$205^A26,IF(A26='Données projet'!$A$88,'Données projet'!$B$88,BD25+BC26-BL25)))</f>
        <v>122.89999999999999</v>
      </c>
      <c r="BE26" s="13">
        <f>BD26*VLOOKUP('Données projet'!$B$11,Paramètres!$A$1:$I$89,3,0)*VLOOKUP('Données projet'!$B$11,Paramètres!$A$1:$I$89,5,0)</f>
        <v>73.494200000000006</v>
      </c>
      <c r="BF26" s="13">
        <f t="shared" si="37"/>
        <v>20.538715292443293</v>
      </c>
      <c r="BG26" s="20">
        <f t="shared" si="7"/>
        <v>163.77399413433875</v>
      </c>
      <c r="BH26" s="59">
        <f t="shared" si="8"/>
        <v>457.10732746767206</v>
      </c>
      <c r="BI26" s="59">
        <f ca="1">AVERAGE(OFFSET($BH$3,0,0,'Données projet'!$E$11+1,1))-AVERAGE(OFFSET($H$3,0,0,'Données projet'!$E$11+1,1))</f>
        <v>316.58509520829671</v>
      </c>
      <c r="BJ26" s="59">
        <f t="shared" si="38"/>
        <v>240.71332110643596</v>
      </c>
      <c r="BK26" s="15">
        <f>IF(ISNA(VLOOKUP(A26,'Données projet'!$A$87:$I$107,3,0)),0,VLOOKUP(A26,'Données projet'!$A$87:$I$107,3,0))</f>
        <v>0</v>
      </c>
      <c r="BL26" s="15">
        <f>IF(ISNA(VLOOKUP(A26,'Données projet'!$A$87:$I$107,4,0)),0,VLOOKUP(A26,'Données projet'!$A$87:$I$107,4,0))</f>
        <v>0</v>
      </c>
      <c r="BM26" s="16">
        <f>IF(ISNA(VLOOKUP(A26,'Données projet'!$A$87:$I$107,5,0)),0%,VLOOKUP(A26,'Données projet'!$A$87:$I$107,5,0)*VLOOKUP('Données projet'!$B$11,Paramètres!$A$1:$I$89,7,0))</f>
        <v>0</v>
      </c>
      <c r="BN26" s="16">
        <f>IF(ISNA(VLOOKUP(A26,'Données projet'!$A$87:$I$107,6,0)),0%,VLOOKUP(A26,'Données projet'!$A$87:$I$107,6,0)*VLOOKUP('Données projet'!$B$11,Paramètres!$A$1:$I$89,7,0))</f>
        <v>0</v>
      </c>
      <c r="BO26" s="16">
        <f>IF(ISNA(VLOOKUP(A26,'Données projet'!$A$87:$I$107,7,0)),0%,VLOOKUP(A26,'Données projet'!$A$87:$I$107,7,0))</f>
        <v>0</v>
      </c>
      <c r="BP26" s="21">
        <f>EXP(-LN(2)/35)*BP25+(1-EXP(-LN(2)/35))/(LN(2)/35)*BL26*BM26*VLOOKUP('Données projet'!$B$11,Paramètres!$A$1:$I$89,3,0)*0.475*44/12</f>
        <v>0</v>
      </c>
      <c r="BQ26" s="21">
        <f>EXP(-LN(2)/25)*BQ25+(1-EXP(-LN(2)/25))/(LN(2)/25)*Calculateur!BL26*Calculateur!BN26*VLOOKUP('Données projet'!$B$11,Paramètres!$A$1:$I$89,3,0)*0.475*44/12</f>
        <v>4.7443104381349537</v>
      </c>
      <c r="BR26" s="21">
        <f>EXP(-LN(2)/2)*BR25+(1-EXP(-LN(2)/2))/(LN(2)/2)*BL26*BO26*VLOOKUP('Données projet'!$B$11,Paramètres!$A$1:$I$89,3,0)*0.475*44/12</f>
        <v>3.4710409067841801</v>
      </c>
      <c r="BS26" s="22">
        <f t="shared" si="9"/>
        <v>8.2153513449191333</v>
      </c>
      <c r="BT26" s="75">
        <f>('Scénario référence'!$F$8+'Scénario référence'!$F$9+'Scénario référence'!$B$17+'Scénario référence'!$B$9+'Scénario référence'!$B$10)*70+IF((45+25*(1-EXP(-0.0175*A26)))&lt;70,'Scénario référence'!$B$16*(45+25*(1-EXP(-0.0175*A26))),70*'Scénario référence'!$B$16)+IF((32+38*(1-EXP(-0.0175*A26)))&lt;70,'Scénario référence'!$B$18*(32+38*(1-EXP(-0.0175*A26))),70*'Scénario référence'!$B$18)</f>
        <v>70</v>
      </c>
      <c r="BU26" s="12">
        <f>IF(A26&gt;30,10,('Scénario référence'!$B$16+'Scénario référence'!$B$17+'Scénario référence'!$B$18+'Scénario référence'!$B$9+'Scénario référence'!$B$10)*A26*10/30+('Scénario référence'!$F$8+'Scénario référence'!$F$9)*10)</f>
        <v>10</v>
      </c>
      <c r="BV26" s="12" t="e">
        <f>VLOOKUP(A26,'Données projet'!$A$113:$I$133,2,0)</f>
        <v>#N/A</v>
      </c>
      <c r="BW26" s="12" t="e">
        <f>VLOOKUP(A26,'Données projet'!$A$113:$I$133,9,0)</f>
        <v>#N/A</v>
      </c>
      <c r="BX26" s="12">
        <f t="array" ref="BX26">INDEX(BW:BW,MIN(IF(ISNUMBER(BW26:BW222),ROW(BW26:BW222),"")))</f>
        <v>13.7</v>
      </c>
      <c r="BY26" s="12">
        <f>IF('Données projet'!$A$114&gt;35,BY25+BX26-CG25,IF(A26&lt;'Données projet'!$A$114,$BV$205^A26,IF(A26='Données projet'!$A$114,'Données projet'!$B$114,BY25+BX26-CG25)))</f>
        <v>121.1</v>
      </c>
      <c r="BZ26" s="13">
        <f>BY26*VLOOKUP('Données projet'!$B$12,Paramètres!$A$1:$I$89,3,0)*VLOOKUP('Données projet'!$B$12,Paramètres!$A$1:$I$89,5,0)</f>
        <v>69.269199999999998</v>
      </c>
      <c r="CA26" s="13">
        <f t="shared" si="39"/>
        <v>19.491863473194417</v>
      </c>
      <c r="CB26" s="20">
        <f t="shared" si="10"/>
        <v>154.59218554914693</v>
      </c>
      <c r="CC26" s="59">
        <f t="shared" si="11"/>
        <v>447.92551888248022</v>
      </c>
      <c r="CD26" s="59">
        <f ca="1">AVERAGE(OFFSET($CC$3,0,0,'Données projet'!$E$12+1,1))-AVERAGE(OFFSET($H$3,0,0,'Données projet'!$E$12+1,1))</f>
        <v>188.64374818906128</v>
      </c>
      <c r="CE26" s="59">
        <f t="shared" si="40"/>
        <v>211.95157880548652</v>
      </c>
      <c r="CF26" s="15">
        <f>IF(ISNA(VLOOKUP(A26,'Données projet'!$A$113:$I$133,3,0)),0,VLOOKUP(A26,'Données projet'!$A$113:$I$133,3,0))</f>
        <v>0</v>
      </c>
      <c r="CG26" s="15">
        <f>IF(ISNA(VLOOKUP(A26,'Données projet'!$A$113:$I$133,4,0)),0,VLOOKUP(A26,'Données projet'!$A$113:$I$133,4,0))</f>
        <v>0</v>
      </c>
      <c r="CH26" s="16">
        <f>IF(ISNA(VLOOKUP(A26,'Données projet'!$A$113:$I$133,5,0)),0%,VLOOKUP(A26,'Données projet'!$A$113:$I$133,5,0)*VLOOKUP('Données projet'!$B$12,Paramètres!$A$1:$I$89,7,0))</f>
        <v>0</v>
      </c>
      <c r="CI26" s="16">
        <f>IF(ISNA(VLOOKUP(A26,'Données projet'!$A$113:$I$133,6,0)),0%,VLOOKUP(A26,'Données projet'!$A$113:$I$133,6,0)*VLOOKUP('Données projet'!$B$12,Paramètres!$A$1:$I$89,7,0))</f>
        <v>0</v>
      </c>
      <c r="CJ26" s="16">
        <f>IF(ISNA(VLOOKUP(A26,'Données projet'!$A$113:$I$133,7,0)),0%,VLOOKUP(A26,'Données projet'!$A$113:$I$133,7,0))</f>
        <v>0</v>
      </c>
      <c r="CK26" s="21">
        <f>EXP(-LN(2)/35)*CK25+(1-EXP(-LN(2)/35))/(LN(2)/35)*CG26*CH26*VLOOKUP('Données projet'!$B$12,Paramètres!$A$1:$I$89,3,0)*0.475*44/12</f>
        <v>0</v>
      </c>
      <c r="CL26" s="21">
        <f>EXP(-LN(2)/25)*CL25+(1-EXP(-LN(2)/25))/(LN(2)/25)*Calculateur!CG26*Calculateur!CI26*VLOOKUP('Données projet'!$B$12,Paramètres!$A$1:$I$89,3,0)*0.475*44/12</f>
        <v>4.0685840638878439</v>
      </c>
      <c r="CM26" s="21">
        <f>EXP(-LN(2)/2)*CM25+(1-EXP(-LN(2)/2))/(LN(2)/2)*CG26*CJ26*VLOOKUP('Données projet'!$B$12,Paramètres!$A$1:$I$89,3,0)*0.475*44/12</f>
        <v>2.9766647656380081</v>
      </c>
      <c r="CN26" s="22">
        <f t="shared" si="12"/>
        <v>7.0452488295258515</v>
      </c>
      <c r="CO26" s="75">
        <f>('Scénario référence'!$F$8+'Scénario référence'!$F$9+'Scénario référence'!$B$17+'Scénario référence'!$B$9+'Scénario référence'!$B$10)*70+IF((45+25*(1-EXP(-0.0175*A26)))&lt;70,'Scénario référence'!$B$16*(45+25*(1-EXP(-0.0175*A26))),70*'Scénario référence'!$B$16)+IF((32+38*(1-EXP(-0.0175*A26)))&lt;70,'Scénario référence'!$B$18*(32+38*(1-EXP(-0.0175*A26))),70*'Scénario référence'!$B$18)</f>
        <v>70</v>
      </c>
      <c r="CP26" s="12">
        <f>IF(A26&gt;30,10,('Scénario référence'!$B$16+'Scénario référence'!$B$17+'Scénario référence'!$B$18+'Scénario référence'!$B$9+'Scénario référence'!$B$10)*A26*10/30+('Scénario référence'!$F$8+'Scénario référence'!$F$9)*10)</f>
        <v>10</v>
      </c>
      <c r="CQ26" s="12" t="e">
        <f>VLOOKUP(A26,'Données projet'!$A$139:$I$159,2,0)</f>
        <v>#N/A</v>
      </c>
      <c r="CR26" s="12" t="e">
        <f>VLOOKUP(A26,'Données projet'!$A$139:$I$159,9,0)</f>
        <v>#N/A</v>
      </c>
      <c r="CS26" s="12">
        <f t="array" ref="CS26">INDEX(CR:CR,MIN(IF(ISNUMBER(CR26:CR222),ROW(CR26:CR222),"")))</f>
        <v>0</v>
      </c>
      <c r="CT26" s="12">
        <f>IF('Données projet'!$A$140&gt;35,CT25+CS26-DB25,IF(A26&lt;'Données projet'!$A$140,$CQ$205^A26,IF(A26='Données projet'!$A$140,'Données projet'!$B$140,CT25+CS26-DB25)))</f>
        <v>0</v>
      </c>
      <c r="CU26" s="17" t="e">
        <f>CT26*VLOOKUP('Données projet'!$B$13,Paramètres!$A$1:$I$89,3,0)*VLOOKUP('Données projet'!$B$13,Paramètres!$A$1:$I$89,5,0)</f>
        <v>#N/A</v>
      </c>
      <c r="CV26" s="13" t="e">
        <f t="shared" si="41"/>
        <v>#N/A</v>
      </c>
      <c r="CW26" s="20" t="e">
        <f t="shared" si="13"/>
        <v>#N/A</v>
      </c>
      <c r="CX26" s="59" t="e">
        <f t="shared" si="14"/>
        <v>#N/A</v>
      </c>
      <c r="CY26" s="59" t="e">
        <f ca="1">AVERAGE(OFFSET($CX$3,0,0,'Données projet'!$E$13+1,1))-AVERAGE(OFFSET($H$3,0,0,'Données projet'!$E$13+1,1))</f>
        <v>#N/A</v>
      </c>
      <c r="CZ26" s="59" t="e">
        <f t="shared" si="42"/>
        <v>#N/A</v>
      </c>
      <c r="DA26" s="15">
        <f>IF(ISNA(VLOOKUP(A26,'Données projet'!$A$139:$I$159,3,0)),0,VLOOKUP(A26,'Données projet'!$A$139:$I$159,3,0))</f>
        <v>0</v>
      </c>
      <c r="DB26" s="15">
        <f>IF(ISNA(VLOOKUP(A26,'Données projet'!$A$139:$I$159,4,0)),0,VLOOKUP(A26,'Données projet'!$A$139:$I$159,4,0))</f>
        <v>0</v>
      </c>
      <c r="DC26" s="16">
        <f>IF(ISNA(VLOOKUP(A26,'Données projet'!$A$139:$I$159,5,0)),0%,VLOOKUP(A26,'Données projet'!$A$139:$I$159,5,0)*VLOOKUP('Données projet'!$B$13,Paramètres!$A$1:$I$89,7,0))</f>
        <v>0</v>
      </c>
      <c r="DD26" s="16">
        <f>IF(ISNA(VLOOKUP(A26,'Données projet'!$A$139:$I$159,6,0)),0%,VLOOKUP(A26,'Données projet'!$A$139:$I$159,6,0)*VLOOKUP('Données projet'!$B$13,Paramètres!$A$1:$I$89,7,0))</f>
        <v>0</v>
      </c>
      <c r="DE26" s="16">
        <f>IF(ISNA(VLOOKUP(A26,'Données projet'!$A$139:$I$159,7,0)),0%,VLOOKUP(A26,'Données projet'!$A$139:$I$159,7,0))</f>
        <v>0</v>
      </c>
      <c r="DF26" s="21" t="e">
        <f>EXP(-LN(2)/35)*DF25+(1-EXP(-LN(2)/35))/(LN(2)/35)*DB26*DC26*VLOOKUP('Données projet'!$B$13,Paramètres!$A$1:$I$89,3,0)*0.475*44/12</f>
        <v>#N/A</v>
      </c>
      <c r="DG26" s="21" t="e">
        <f>EXP(-LN(2)/25)*DG25+(1-EXP(-LN(2)/25))/(LN(2)/25)*Calculateur!DB26*Calculateur!DD26*VLOOKUP('Données projet'!$B$13,Paramètres!$A$1:$I$89,3,0)*0.475*44/12</f>
        <v>#N/A</v>
      </c>
      <c r="DH26" s="21" t="e">
        <f>EXP(-LN(2)/2)*DH25+(1-EXP(-LN(2)/2))/(LN(2)/2)*DB26*DE26*VLOOKUP('Données projet'!$B$13,Paramètres!$A$1:$I$89,3,0)*0.475*44/12</f>
        <v>#N/A</v>
      </c>
      <c r="DI26" s="22" t="e">
        <f t="shared" si="15"/>
        <v>#N/A</v>
      </c>
      <c r="DJ26" s="75">
        <f>('Scénario référence'!$F$8+'Scénario référence'!$F$9+'Scénario référence'!$B$17+'Scénario référence'!$B$9+'Scénario référence'!$B$10)*70+IF((45+25*(1-EXP(-0.0175*A26)))&lt;70,'Scénario référence'!$B$16*(45+25*(1-EXP(-0.0175*A26))),70*'Scénario référence'!$B$16)+IF((32+38*(1-EXP(-0.0175*A26)))&lt;70,'Scénario référence'!$B$18*(32+38*(1-EXP(-0.0175*A26))),70*'Scénario référence'!$B$18)</f>
        <v>70</v>
      </c>
      <c r="DK26" s="12">
        <f>IF(A26&gt;30,10,('Scénario référence'!$B$16+'Scénario référence'!$B$17+'Scénario référence'!$B$18+'Scénario référence'!$B$9+'Scénario référence'!$B$10)*A26*10/30+('Scénario référence'!$F$8+'Scénario référence'!$F$9)*10)</f>
        <v>10</v>
      </c>
      <c r="DL26" s="12" t="e">
        <f>VLOOKUP(A26,'Données projet'!$A$165:$I$185,2,0)</f>
        <v>#N/A</v>
      </c>
      <c r="DM26" s="12" t="e">
        <f>VLOOKUP(A26,'Données projet'!$A$165:$I$185,9,0)</f>
        <v>#N/A</v>
      </c>
      <c r="DN26" s="12">
        <f t="array" ref="DN26">INDEX(DM:DM,MIN(IF(ISNUMBER(DM26:DM222),ROW(DM26:DM222),"")))</f>
        <v>10.5</v>
      </c>
      <c r="DO26" s="12">
        <f>IF('Données projet'!$A$166&gt;35,DO25+DN26-DW25,IF(A26&lt;'Données projet'!$A$166,$DL$205^A26,IF(A26='Données projet'!$A$166,'Données projet'!$B$166,DO25+DN26-DW25)))</f>
        <v>136.5</v>
      </c>
      <c r="DP26" s="17">
        <f>DO26*VLOOKUP('Données projet'!$B$14,Paramètres!$A$1:$I$89,3,0)*VLOOKUP('Données projet'!$B$14,Paramètres!$A$1:$I$89,5,0)</f>
        <v>89.434799999999996</v>
      </c>
      <c r="DQ26" s="13">
        <f t="shared" si="43"/>
        <v>24.428862425353785</v>
      </c>
      <c r="DR26" s="20">
        <f t="shared" si="16"/>
        <v>198.31254539082451</v>
      </c>
      <c r="DS26" s="59">
        <f t="shared" si="17"/>
        <v>491.6458787241578</v>
      </c>
      <c r="DT26" s="59">
        <f ca="1">AVERAGE(OFFSET($DS$3,0,0,'Données projet'!$E$14+1,1))-AVERAGE(OFFSET($H$3,0,0,'Données projet'!$E$14+1,1))</f>
        <v>188.68915783955595</v>
      </c>
      <c r="DU26" s="59">
        <f t="shared" si="44"/>
        <v>240.82467772396944</v>
      </c>
      <c r="DV26" s="15">
        <f>IF(ISNA(VLOOKUP(A26,'Données projet'!$A$165:$I$185,3,0)),0,VLOOKUP(A26,'Données projet'!$A$165:$I$185,3,0))</f>
        <v>0</v>
      </c>
      <c r="DW26" s="15">
        <f>IF(ISNA(VLOOKUP(A26,'Données projet'!$A$165:$I$185,4,0)),0,VLOOKUP(A26,'Données projet'!$A$165:$I$185,4,0))</f>
        <v>0</v>
      </c>
      <c r="DX26" s="16">
        <f>IF(ISNA(VLOOKUP(A26,'Données projet'!$A$165:$I$185,5,0)),0%,VLOOKUP(A26,'Données projet'!$A$165:$I$185,5,0)*VLOOKUP('Données projet'!$B$14,Paramètres!$A$1:$I$89,7,0))</f>
        <v>0</v>
      </c>
      <c r="DY26" s="16">
        <f>IF(ISNA(VLOOKUP(A26,'Données projet'!$A$165:$I$185,6,0)),0%,VLOOKUP(A26,'Données projet'!$A$165:$I$185,6,0)*VLOOKUP('Données projet'!$B$14,Paramètres!$A$1:$I$89,7,0))</f>
        <v>0</v>
      </c>
      <c r="DZ26" s="16">
        <f>IF(ISNA(VLOOKUP(A26,'Données projet'!$A$165:$I$185,7,0)),0%,VLOOKUP(A26,'Données projet'!$A$165:$I$185,7,0))</f>
        <v>0</v>
      </c>
      <c r="EA26" s="21">
        <f>EXP(-LN(2)/35)*EA25+(1-EXP(-LN(2)/35))/(LN(2)/35)*DW26*DX26*VLOOKUP('Données projet'!$B$14,Paramètres!$A$1:$I$89,3,0)*0.475*44/12</f>
        <v>0</v>
      </c>
      <c r="EB26" s="21">
        <f>EXP(-LN(2)/25)*EB25+(1-EXP(-LN(2)/25))/(LN(2)/25)*Calculateur!DW26*Calculateur!DY26*VLOOKUP('Données projet'!$B$14,Paramètres!$A$1:$I$89,3,0)*0.475*44/12</f>
        <v>1.2845914019897637</v>
      </c>
      <c r="EC26" s="21">
        <f>EXP(-LN(2)/2)*EC25+(1-EXP(-LN(2)/2))/(LN(2)/2)*DW26*DZ26*VLOOKUP('Données projet'!$B$14,Paramètres!$A$1:$I$89,3,0)*0.475*44/12</f>
        <v>0.98354832291185901</v>
      </c>
      <c r="ED26" s="22">
        <f t="shared" si="18"/>
        <v>2.2681397249016229</v>
      </c>
      <c r="EE26" s="75">
        <f>('Scénario référence'!$F$8+'Scénario référence'!$F$9+'Scénario référence'!$B$17+'Scénario référence'!$B$9+'Scénario référence'!$B$10)*70+IF((45+25*(1-EXP(-0.0175*A26)))&lt;70,'Scénario référence'!$B$16*(45+25*(1-EXP(-0.0175*A26))),70*'Scénario référence'!$B$16)+IF((32+38*(1-EXP(-0.0175*A26)))&lt;70,'Scénario référence'!$B$18*(32+38*(1-EXP(-0.0175*A26))),70*'Scénario référence'!$B$18)</f>
        <v>70</v>
      </c>
      <c r="EF26" s="12">
        <f>IF(A26&gt;30,10,('Scénario référence'!$B$16+'Scénario référence'!$B$17+'Scénario référence'!$B$18+'Scénario référence'!$B$9+'Scénario référence'!$B$10)*A26*10/30+('Scénario référence'!$F$8+'Scénario référence'!$F$9)*10)</f>
        <v>10</v>
      </c>
      <c r="EG26" s="12" t="e">
        <f>VLOOKUP(A26,'Données projet'!$A$191:$I$211,2,0)</f>
        <v>#N/A</v>
      </c>
      <c r="EH26" s="12" t="e">
        <f>VLOOKUP(A26,'Données projet'!$A$191:$I$211,9,0)</f>
        <v>#N/A</v>
      </c>
      <c r="EI26" s="12">
        <f t="array" ref="EI26">INDEX(EH:EH,MIN(IF(ISNUMBER(EH26:EH222),ROW(EH26:EH222),"")))</f>
        <v>7</v>
      </c>
      <c r="EJ26" s="12">
        <f>IF('Données projet'!$A$192&gt;35,EJ25+EI26-ER25,IF(A26&lt;'Données projet'!$A$192,$EG$205^A26,IF(A26='Données projet'!$A$192,'Données projet'!$B$192,EJ25+EI26-ER25)))</f>
        <v>85.999999999999986</v>
      </c>
      <c r="EK26" s="17">
        <f>EJ26*VLOOKUP('Données projet'!$B$15,Paramètres!$A$1:$I$89,3,0)*VLOOKUP('Données projet'!$B$15,Paramètres!$A$1:$I$89,5,0)</f>
        <v>69.763199999999983</v>
      </c>
      <c r="EL26" s="13">
        <f t="shared" si="45"/>
        <v>19.614640193079403</v>
      </c>
      <c r="EM26" s="20">
        <f t="shared" si="19"/>
        <v>155.66640500294659</v>
      </c>
      <c r="EN26" s="59">
        <f t="shared" si="20"/>
        <v>448.9997383362799</v>
      </c>
      <c r="EO26" s="59">
        <f ca="1">AVERAGE(OFFSET($EN$3,0,0,'Données projet'!$E$15+1,1))-AVERAGE(OFFSET($H$3,0,0,'Données projet'!$E$15+1,1))</f>
        <v>205.5272583787887</v>
      </c>
      <c r="EP26" s="59">
        <f t="shared" si="46"/>
        <v>180.54762778843178</v>
      </c>
      <c r="EQ26" s="15">
        <f>IF(ISNA(VLOOKUP(A26,'Données projet'!$A$191:$I$211,3,0)),0,VLOOKUP(A26,'Données projet'!$A$191:$I$211,3,0))</f>
        <v>0</v>
      </c>
      <c r="ER26" s="15">
        <f>IF(ISNA(VLOOKUP(A26,'Données projet'!$A$191:$I$211,4,0)),0,VLOOKUP(A26,'Données projet'!$A$191:$I$211,4,0))</f>
        <v>0</v>
      </c>
      <c r="ES26" s="16">
        <f>IF(ISNA(VLOOKUP(A26,'Données projet'!$A$191:$I$211,5,0)),0%,VLOOKUP(A26,'Données projet'!$A$191:$I$211,5,0)*VLOOKUP('Données projet'!$B$15,Paramètres!$A$1:$I$89,7,0))</f>
        <v>0</v>
      </c>
      <c r="ET26" s="16">
        <f>IF(ISNA(VLOOKUP(A26,'Données projet'!$A$191:$I$211,6,0)),0%,VLOOKUP(A26,'Données projet'!$A$191:$I$211,6,0)*VLOOKUP('Données projet'!$B$15,Paramètres!$A$1:$I$89,7,0))</f>
        <v>0</v>
      </c>
      <c r="EU26" s="16">
        <f>IF(ISNA(VLOOKUP(A26,'Données projet'!$A$191:$I$211,7,0)),0%,VLOOKUP(A26,'Données projet'!$A$191:$I$211,7,0))</f>
        <v>0</v>
      </c>
      <c r="EV26" s="21">
        <f>EXP(-LN(2)/35)*EV25+(1-EXP(-LN(2)/35))/(LN(2)/35)*ER26*ES26*VLOOKUP('Données projet'!$B$15,Paramètres!$A$1:$I$89,3,0)*0.475*44/12</f>
        <v>0</v>
      </c>
      <c r="EW26" s="21">
        <f>EXP(-LN(2)/25)*EW25+(1-EXP(-LN(2)/25))/(LN(2)/25)*Calculateur!ER26*Calculateur!ET26*VLOOKUP('Données projet'!$B$15,Paramètres!$A$1:$I$89,3,0)*0.475*44/12</f>
        <v>1.5904464977016122</v>
      </c>
      <c r="EX26" s="21">
        <f>EXP(-LN(2)/2)*EX25+(1-EXP(-LN(2)/2))/(LN(2)/2)*ER26*EU26*VLOOKUP('Données projet'!$B$15,Paramètres!$A$1:$I$89,3,0)*0.475*44/12</f>
        <v>1.2177264950337303</v>
      </c>
      <c r="EY26" s="22">
        <f t="shared" si="21"/>
        <v>2.8081729927353427</v>
      </c>
      <c r="EZ26" s="75">
        <f>('Scénario référence'!$F$8+'Scénario référence'!$F$9+'Scénario référence'!$B$17+'Scénario référence'!$B$9+'Scénario référence'!$B$10)*70+IF((45+25*(1-EXP(-0.0175*A26)))&lt;70,'Scénario référence'!$B$16*(45+25*(1-EXP(-0.0175*A26))),70*'Scénario référence'!$B$16)+IF((32+38*(1-EXP(-0.0175*A26)))&lt;70,'Scénario référence'!$B$18*(32+38*(1-EXP(-0.0175*A26))),70*'Scénario référence'!$B$18)</f>
        <v>70</v>
      </c>
      <c r="FA26" s="12">
        <f>IF(A26&gt;30,10,('Scénario référence'!$B$16+'Scénario référence'!$B$17+'Scénario référence'!$B$18+'Scénario référence'!$B$9+'Scénario référence'!$B$10)*A26*10/30+('Scénario référence'!$F$8+'Scénario référence'!$F$9)*10)</f>
        <v>10</v>
      </c>
      <c r="FB26" s="12" t="e">
        <f>VLOOKUP(A26,'Données projet'!$A$217:$I$237,2,0)</f>
        <v>#N/A</v>
      </c>
      <c r="FC26" s="12" t="e">
        <f>VLOOKUP(A26,'Données projet'!$A$217:$I$237,9,0)</f>
        <v>#N/A</v>
      </c>
      <c r="FD26" s="12">
        <f t="array" ref="FD26">INDEX(FC:FC,MIN(IF(ISNUMBER(FC26:FC222),ROW(FC26:FC222),"")))</f>
        <v>9.1</v>
      </c>
      <c r="FE26" s="12">
        <f>IF('Données projet'!$A$218&gt;35,FE25+FD26-FM25,IF(A26&lt;'Données projet'!$A$218,$FB$205^A26,IF(A26='Données projet'!$A$218,'Données projet'!$B$218,FE25+FD26-FM25)))</f>
        <v>76.3</v>
      </c>
      <c r="FF26" s="17">
        <f>FE26*VLOOKUP('Données projet'!$B$16,Paramètres!$A$1:$I$89,3,0)*VLOOKUP('Données projet'!$B$16,Paramètres!$A$1:$I$89,5,0)</f>
        <v>65.465400000000002</v>
      </c>
      <c r="FG26" s="13">
        <f t="shared" si="47"/>
        <v>18.543004945921439</v>
      </c>
      <c r="FH26" s="20">
        <f t="shared" si="22"/>
        <v>146.3146386141465</v>
      </c>
      <c r="FI26" s="59">
        <f t="shared" si="23"/>
        <v>439.64797194747985</v>
      </c>
      <c r="FJ26" s="59">
        <f ca="1">AVERAGE(OFFSET($FI$3,0,0,'Données projet'!$E$16+1,1))-AVERAGE(OFFSET($H$3,0,0,'Données projet'!$E$16+1,1))</f>
        <v>383.97627237444709</v>
      </c>
      <c r="FK26" s="59">
        <f t="shared" si="48"/>
        <v>203.35476578922339</v>
      </c>
      <c r="FL26" s="15">
        <f>IF(ISNA(VLOOKUP(A26,'Données projet'!$A$217:$I$237,3,0)),0,VLOOKUP(A26,'Données projet'!$A$217:$I$237,3,0))</f>
        <v>0</v>
      </c>
      <c r="FM26" s="15">
        <f>IF(ISNA(VLOOKUP(A26,'Données projet'!$A$217:$I$237,4,0)),0,VLOOKUP(A26,'Données projet'!$A$217:$I$237,4,0))</f>
        <v>0</v>
      </c>
      <c r="FN26" s="16">
        <f>IF(ISNA(VLOOKUP(A26,'Données projet'!$A$217:$I$237,5,0)),0%,VLOOKUP(A26,'Données projet'!$A$217:$I$237,5,0)*VLOOKUP('Données projet'!$B$16,Paramètres!$A$1:$I$89,7,0))</f>
        <v>0</v>
      </c>
      <c r="FO26" s="16">
        <f>IF(ISNA(VLOOKUP(A26,'Données projet'!$A$217:$I$237,6,0)),0%,VLOOKUP(A26,'Données projet'!$A$217:$I$237,6,0)*VLOOKUP('Données projet'!$B$16,Paramètres!$A$1:$I$89,7,0))</f>
        <v>0</v>
      </c>
      <c r="FP26" s="16">
        <f>IF(ISNA(VLOOKUP(A26,'Données projet'!$A$217:$I$237,7,0)),0%,VLOOKUP(A26,'Données projet'!$A$217:$I$237,7,0))</f>
        <v>0</v>
      </c>
      <c r="FQ26" s="21">
        <f>EXP(-LN(2)/35)*FQ25+(1-EXP(-LN(2)/35))/(LN(2)/35)*FM26*FN26*VLOOKUP('Données projet'!$B$16,Paramètres!$A$1:$I$89,3,0)*0.475*44/12</f>
        <v>0</v>
      </c>
      <c r="FR26" s="21">
        <f>EXP(-LN(2)/25)*FR25+(1-EXP(-LN(2)/25))/(LN(2)/25)*Calculateur!FM26*Calculateur!FO26*VLOOKUP('Données projet'!$B$16,Paramètres!$A$1:$I$89,3,0)*0.475*44/12</f>
        <v>0.92151690335921288</v>
      </c>
      <c r="FS26" s="21">
        <f>EXP(-LN(2)/2)*FS25+(1-EXP(-LN(2)/2))/(LN(2)/2)*FM26*FP26*VLOOKUP('Données projet'!$B$16,Paramètres!$A$1:$I$89,3,0)*0.475*44/12</f>
        <v>0.57243553185346296</v>
      </c>
      <c r="FT26" s="22">
        <f t="shared" si="24"/>
        <v>1.4939524352126758</v>
      </c>
      <c r="FU26" s="75">
        <f>('Scénario référence'!$F$8+'Scénario référence'!$F$9+'Scénario référence'!$B$17+'Scénario référence'!$B$9+'Scénario référence'!$B$10)*70+IF((45+25*(1-EXP(-0.0175*A26)))&lt;70,'Scénario référence'!$B$16*(45+25*(1-EXP(-0.0175*A26))),70*'Scénario référence'!$B$16)+IF((32+38*(1-EXP(-0.0175*A26)))&lt;70,'Scénario référence'!$B$18*(32+38*(1-EXP(-0.0175*A26))),70*'Scénario référence'!$B$18)</f>
        <v>70</v>
      </c>
      <c r="FV26" s="12">
        <f>IF(A26&gt;30,10,('Scénario référence'!$B$16+'Scénario référence'!$B$17+'Scénario référence'!$B$18+'Scénario référence'!$B$9+'Scénario référence'!$B$10)*A26*10/30+('Scénario référence'!$F$8+'Scénario référence'!$F$9)*10)</f>
        <v>10</v>
      </c>
      <c r="FW26" s="12" t="e">
        <f>VLOOKUP(A26,'Données projet'!$A$243:$I$263,2,0)</f>
        <v>#N/A</v>
      </c>
      <c r="FX26" s="12" t="e">
        <f>VLOOKUP(A26,'Données projet'!$A$243:$I$263,9,0)</f>
        <v>#N/A</v>
      </c>
      <c r="FY26" s="12">
        <f t="array" ref="FY26">INDEX(FX:FX,MIN(IF(ISNUMBER(FX26:FX222),ROW(FX26:FX222),"")))</f>
        <v>4.0628205128205126</v>
      </c>
      <c r="FZ26" s="12">
        <f>IF('Données projet'!$A$244&gt;35,FZ25+FY26-GH25,IF(A26&lt;'Données projet'!$A$244,$FW$205^A26,IF(A26='Données projet'!$A$244,'Données projet'!$B$244,FZ25+FY26-GH25)))</f>
        <v>39.739965273463824</v>
      </c>
      <c r="GA26" s="17">
        <f>FZ26*VLOOKUP('Données projet'!$B$17,Paramètres!$A$1:$I$89,3,0)*VLOOKUP('Données projet'!$B$17,Paramètres!$A$1:$I$89,5,0)</f>
        <v>42.776098620356457</v>
      </c>
      <c r="GB26" s="13">
        <f t="shared" si="49"/>
        <v>12.731554127615578</v>
      </c>
      <c r="GC26" s="20">
        <f t="shared" si="25"/>
        <v>96.67582853605127</v>
      </c>
      <c r="GD26" s="59">
        <f t="shared" si="26"/>
        <v>390.00916186938457</v>
      </c>
      <c r="GE26" s="59">
        <f ca="1">AVERAGE(OFFSET($GD$3,0,0,'Données projet'!$E$17+1,1))-AVERAGE(OFFSET($H$3,0,0,'Données projet'!$E$17+1,1))</f>
        <v>286.77702855541287</v>
      </c>
      <c r="GF26" s="59">
        <f t="shared" si="50"/>
        <v>227.12211541860779</v>
      </c>
      <c r="GG26" s="15">
        <f>IF(ISNA(VLOOKUP(A26,'Données projet'!$A$243:$I$263,3,0)),0,VLOOKUP(A26,'Données projet'!$A$243:$I$263,3,0))</f>
        <v>0</v>
      </c>
      <c r="GH26" s="15">
        <f>IF(ISNA(VLOOKUP(A26,'Données projet'!$A$243:$I$263,4,0)),0,VLOOKUP(A26,'Données projet'!$A$243:$I$263,4,0))</f>
        <v>0</v>
      </c>
      <c r="GI26" s="16">
        <f>IF(ISNA(VLOOKUP(A26,'Données projet'!$A$243:$I$263,5,0)),0%,VLOOKUP(A26,'Données projet'!$A$243:$I$263,5,0)*VLOOKUP('Données projet'!$B$17,Paramètres!$A$1:$I$89,7,0))</f>
        <v>0</v>
      </c>
      <c r="GJ26" s="16">
        <f>IF(ISNA(VLOOKUP(A26,'Données projet'!$A$243:$I$263,6,0)),0%,VLOOKUP(A26,'Données projet'!$A$243:$I$263,6,0)*VLOOKUP('Données projet'!$B$17,Paramètres!$A$1:$I$89,7,0))</f>
        <v>0</v>
      </c>
      <c r="GK26" s="16">
        <f>IF(ISNA(VLOOKUP(A26,'Données projet'!$A$243:$I$263,7,0)),0%,VLOOKUP(A26,'Données projet'!$A$243:$I$263,7,0))</f>
        <v>0</v>
      </c>
      <c r="GL26" s="21">
        <f>EXP(-LN(2)/35)*GL25+(1-EXP(-LN(2)/35))/(LN(2)/35)*GH26*GI26*VLOOKUP('Données projet'!$B$17,Paramètres!$A$1:$I$89,3,0)*0.475*44/12</f>
        <v>0</v>
      </c>
      <c r="GM26" s="21">
        <f>EXP(-LN(2)/25)*GM25+(1-EXP(-LN(2)/25))/(LN(2)/25)*Calculateur!GH26*Calculateur!GJ26*VLOOKUP('Données projet'!$B$17,Paramètres!$A$1:$I$89,3,0)*0.475*44/12</f>
        <v>0</v>
      </c>
      <c r="GN26" s="21">
        <f>EXP(-LN(2)/2)*GN25+(1-EXP(-LN(2)/2))/(LN(2)/2)*GH26*GK26*VLOOKUP('Données projet'!$B$17,Paramètres!$A$1:$I$89,3,0)*0.475*44/12</f>
        <v>0</v>
      </c>
      <c r="GO26" s="21">
        <f t="shared" si="27"/>
        <v>0</v>
      </c>
      <c r="GP26" s="75">
        <f>('Scénario référence'!$F$8+'Scénario référence'!$F$9+'Scénario référence'!$B$17+'Scénario référence'!$B$9+'Scénario référence'!$B$10)*70+IF((45+25*(1-EXP(-0.0175*A26)))&lt;70,'Scénario référence'!$B$16*(45+25*(1-EXP(-0.0175*A26))),70*'Scénario référence'!$B$16)+IF((32+38*(1-EXP(-0.0175*A26)))&lt;70,'Scénario référence'!$B$18*(32+38*(1-EXP(-0.0175*A26))),70*'Scénario référence'!$B$18)</f>
        <v>70</v>
      </c>
      <c r="GQ26" s="12">
        <f>IF(A26&gt;30,10,('Scénario référence'!$B$16+'Scénario référence'!$B$17+'Scénario référence'!$B$18+'Scénario référence'!$B$9+'Scénario référence'!$B$10)*A26*10/30+('Scénario référence'!$F$8+'Scénario référence'!$F$9)*10)</f>
        <v>10</v>
      </c>
      <c r="GR26" s="12" t="e">
        <f>VLOOKUP(A26,'Données projet'!$A$269:$I$289,2,0)</f>
        <v>#N/A</v>
      </c>
      <c r="GS26" s="12" t="e">
        <f>VLOOKUP(A26,'Données projet'!$A$269:$I$289,9,0)</f>
        <v>#N/A</v>
      </c>
      <c r="GT26" s="12">
        <f t="array" ref="GT26">INDEX(GS:GS,MIN(IF(ISNUMBER(GS26:GS222),ROW(GS26:GS222),"")))</f>
        <v>4.0628205128205126</v>
      </c>
      <c r="GU26" s="12">
        <f>IF('Données projet'!$A$270&gt;35,GU25+GT26-HC25,IF(A26&lt;'Données projet'!$A$270,$GR$205^A26,IF(A26='Données projet'!$A$270,'Données projet'!$B$270,GU25+GT26-HC25)))</f>
        <v>39.739965273463824</v>
      </c>
      <c r="GV26" s="17">
        <f>GU26*VLOOKUP('Données projet'!$B$18,Paramètres!$A$1:$I$89,3,0)*VLOOKUP('Données projet'!$B$18,Paramètres!$A$1:$I$89,5,0)</f>
        <v>42.776098620356457</v>
      </c>
      <c r="GW26" s="13">
        <f t="shared" si="51"/>
        <v>12.731554127615578</v>
      </c>
      <c r="GX26" s="20">
        <f t="shared" si="28"/>
        <v>96.67582853605127</v>
      </c>
      <c r="GY26" s="59">
        <f t="shared" si="29"/>
        <v>390.00916186938457</v>
      </c>
      <c r="GZ26" s="59">
        <f ca="1">AVERAGE(OFFSET($GY$3,0,0,'Données projet'!$E$18+1,1))-AVERAGE(OFFSET($H$3,0,0,'Données projet'!$E$18+1,1))</f>
        <v>286.77702855541287</v>
      </c>
      <c r="HA26" s="59">
        <f t="shared" si="52"/>
        <v>227.12211541860779</v>
      </c>
      <c r="HB26" s="15">
        <f>IF(ISNA(VLOOKUP(A26,'Données projet'!$A$269:$I$289,3,0)),0,VLOOKUP(A26,'Données projet'!$A$269:$I$289,3,0))</f>
        <v>0</v>
      </c>
      <c r="HC26" s="15">
        <f>IF(ISNA(VLOOKUP(A26,'Données projet'!$A$269:$I$289,4,0)),0,VLOOKUP(A26,'Données projet'!$A$269:$I$289,4,0))</f>
        <v>0</v>
      </c>
      <c r="HD26" s="16">
        <f>IF(ISNA(VLOOKUP(A26,'Données projet'!$A$269:$I$289,5,0)),0%,VLOOKUP(A26,'Données projet'!$A$269:$I$289,5,0)*VLOOKUP('Données projet'!$B$18,Paramètres!$A$1:$I$89,7,0))</f>
        <v>0</v>
      </c>
      <c r="HE26" s="16">
        <f>IF(ISNA(VLOOKUP(A26,'Données projet'!$A$269:$I$289,6,0)),0%,VLOOKUP(A26,'Données projet'!$A$269:$I$289,6,0)*VLOOKUP('Données projet'!$B$18,Paramètres!$A$1:$I$89,7,0))</f>
        <v>0</v>
      </c>
      <c r="HF26" s="16">
        <f>IF(ISNA(VLOOKUP(A26,'Données projet'!$A$269:$I$289,7,0)),0%,VLOOKUP(A26,'Données projet'!$A$269:$I$289,7,0))</f>
        <v>0</v>
      </c>
      <c r="HG26" s="21">
        <f>EXP(-LN(2)/35)*HG25+(1-EXP(-LN(2)/35))/(LN(2)/35)*HC26*HD26*VLOOKUP('Données projet'!$B$18,Paramètres!$A$1:$I$89,3,0)*0.475*44/12</f>
        <v>0</v>
      </c>
      <c r="HH26" s="21">
        <f>EXP(-LN(2)/25)*HH25+(1-EXP(-LN(2)/25))/(LN(2)/25)*Calculateur!HC26*Calculateur!HE26*VLOOKUP('Données projet'!$B$18,Paramètres!$A$1:$I$89,3,0)*0.475*44/12</f>
        <v>0</v>
      </c>
      <c r="HI26" s="21">
        <f>EXP(-LN(2)/2)*HI25+(1-EXP(-LN(2)/2))/(LN(2)/2)*HC26*HF26*VLOOKUP('Données projet'!$B$18,Paramètres!$A$1:$I$89,3,0)*0.475*44/12</f>
        <v>0</v>
      </c>
      <c r="HJ26" s="22">
        <f t="shared" si="30"/>
        <v>0</v>
      </c>
    </row>
    <row r="27" spans="1:218" x14ac:dyDescent="0.25">
      <c r="A27" s="10">
        <f t="shared" si="31"/>
        <v>24</v>
      </c>
      <c r="B27" s="73">
        <f>'Scénario référence'!$B$16*5+'Scénario référence'!$B$17*0+'Scénario référence'!$B$18*5</f>
        <v>0</v>
      </c>
      <c r="C27" s="19">
        <f>Calculateur!C26+'Scénario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21.340799999999998</v>
      </c>
      <c r="D27" s="11">
        <f t="shared" si="32"/>
        <v>6.8871990614123195</v>
      </c>
      <c r="E2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7" s="11">
        <f>IF(OR('Scénario référence'!$F$8&gt;0,'Scénario référence'!$F$9&gt;0),('Scénario référence'!$F$8+'Scénario référence'!$F$9)*10,0)</f>
        <v>10</v>
      </c>
      <c r="G27" s="11">
        <f>'Scénario référence'!$B$8*B27*44/12+'Scénario référence'!$B$9*(C27+D27)/0.475*44/12+'Scénario référence'!$B$10*(C27+D27)/0.475*44/12+'Scénario référence'!$F$8*(C27+D27)/0.475*44/12+'Scénario référence'!$F$9*(C27+D27)/0.475*44/12</f>
        <v>217.90034363195477</v>
      </c>
      <c r="H27" s="67">
        <f t="shared" si="1"/>
        <v>342.49709836529308</v>
      </c>
      <c r="I27" s="70">
        <f>('Scénario référence'!$F$8+'Scénario référence'!$F$9+'Scénario référence'!$B$17+'Scénario référence'!$B$9+'Scénario référence'!$B$10)*70+IF((45+25*(1-EXP(-0.0175*A27)))&lt;70,'Scénario référence'!$B$16*(45+25*(1-EXP(-0.0175*A27))),70*'Scénario référence'!$B$16)+IF((32+38*(1-EXP(-0.0175*A27)))&lt;70,'Scénario référence'!$B$18*(32+38*(1-EXP(-0.0175*A27))),70*'Scénario référence'!$B$18)</f>
        <v>70</v>
      </c>
      <c r="J27" s="13">
        <f>IF(A27&gt;30,10,('Scénario référence'!$B$16+'Scénario référence'!$B$17+'Scénario référence'!$B$18+'Scénario référence'!$B$9+'Scénario référence'!$B$10)*A27*10/30+('Scénario référence'!$F$8+'Scénario référence'!$F$9)*10)</f>
        <v>10</v>
      </c>
      <c r="K27" s="12">
        <f>VLOOKUP(A27,'Données projet'!$A$35:$I$55,2,0)</f>
        <v>237.56153846153845</v>
      </c>
      <c r="L27" s="12">
        <f>VLOOKUP(A27,'Données projet'!$A$35:$I$55,9,0)</f>
        <v>20.658974358974358</v>
      </c>
      <c r="M27" s="12">
        <f t="array" ref="M27">INDEX(L:L,MIN(IF(ISNUMBER(L27:L223),ROW(L27:L223),"")))</f>
        <v>20.658974358974358</v>
      </c>
      <c r="N27" s="13">
        <f>IF('Données projet'!$A$36&gt;35,N26+M27-V26,IF(A27&lt;'Données projet'!$A$36,$K$205^A27,IF(A27='Données projet'!$A$36,'Données projet'!$B$36,N26+M27-V26)))</f>
        <v>237.56153846153839</v>
      </c>
      <c r="O27" s="13">
        <f>N27*VLOOKUP('Données projet'!$B$9,Paramètres!$A$1:$I$89,3,0)*VLOOKUP('Données projet'!$B$9,Paramètres!$A$1:$I$89,5,0)</f>
        <v>132.79689999999997</v>
      </c>
      <c r="P27" s="13">
        <f t="shared" si="33"/>
        <v>34.641837967861036</v>
      </c>
      <c r="Q27" s="20">
        <f t="shared" si="2"/>
        <v>291.62246862735793</v>
      </c>
      <c r="R27" s="59">
        <f t="shared" si="0"/>
        <v>584.95580196069125</v>
      </c>
      <c r="S27" s="59">
        <f ca="1">AVERAGE(OFFSET($R$3,0,0,'Données projet'!$E$9+1,1))-AVERAGE(OFFSET($H$3,0,0,'Données projet'!$E$9+1,1))</f>
        <v>255.5374979188561</v>
      </c>
      <c r="T27" s="59">
        <f t="shared" si="34"/>
        <v>343.10418468620901</v>
      </c>
      <c r="U27" s="15">
        <f>IF(ISNA(VLOOKUP(A27,'Données projet'!$A$35:$I$55,3,0)),0,VLOOKUP(A27,'Données projet'!$A$35:$I$55,3,0))</f>
        <v>2</v>
      </c>
      <c r="V27" s="15">
        <f>IF(ISNA(VLOOKUP(A27,'Données projet'!$A$35:$I$55,4,0)),0,VLOOKUP(A27,'Données projet'!$A$35:$I$55,4,0))</f>
        <v>42.661538461538463</v>
      </c>
      <c r="W27" s="16">
        <f>IF(ISNA(VLOOKUP(A27,'Données projet'!$A$35:$I$55,5,0)),0%,VLOOKUP(A27,'Données projet'!$A$35:$I$55,5,0)*VLOOKUP('Données projet'!$B$9,Paramètres!$A$1:$I$89,7,0))</f>
        <v>0.11000000000000001</v>
      </c>
      <c r="X27" s="16">
        <f>IF(ISNA(VLOOKUP(A27,'Données projet'!$A$35:$I$55,6,0)),0%,VLOOKUP(A27,'Données projet'!$A$35:$I$55,6,0)*VLOOKUP('Données projet'!$B$9,Paramètres!$A$1:$I$89,7,0))</f>
        <v>0.22000000000000003</v>
      </c>
      <c r="Y27" s="16">
        <f>IF(ISNA(VLOOKUP(A27,'Données projet'!$A$35:$I$55,7,0)),0%,VLOOKUP(A27,'Données projet'!$A$35:$I$55,7,0))</f>
        <v>0.4</v>
      </c>
      <c r="Z27" s="21">
        <f>EXP(-LN(2)/35)*Z26+(1-EXP(-LN(2)/35))/(LN(2)/35)*V27*W27*VLOOKUP('Données projet'!$B$9,Paramètres!$A$1:$I$89,3,0)*0.475*44/12</f>
        <v>3.4799208202474183</v>
      </c>
      <c r="AA27" s="21">
        <f>EXP(-LN(2)/25)*AA26+(1-EXP(-LN(2)/25))/(LN(2)/25)*Calculateur!V27*Calculateur!X27*VLOOKUP('Données projet'!$B$9,Paramètres!$A$1:$I$89,3,0)*0.475*44/12</f>
        <v>18.848948907360175</v>
      </c>
      <c r="AB27" s="21">
        <f>EXP(-LN(2)/2)*AB26+(1-EXP(-LN(2)/2))/(LN(2)/2)*V27*Y27*VLOOKUP('Données projet'!$B$9,Paramètres!$A$1:$I$89,3,0)*0.475*44/12</f>
        <v>13.541216635632523</v>
      </c>
      <c r="AC27" s="22">
        <f t="shared" si="3"/>
        <v>35.870086363240119</v>
      </c>
      <c r="AD27" s="13">
        <f>('Scénario référence'!$F$8+'Scénario référence'!$F$9+'Scénario référence'!$B$17+'Scénario référence'!$B$9+'Scénario référence'!$B$10)*70+IF((45+25*(1-EXP(-0.0175*A27)))&lt;70,'Scénario référence'!$B$16*(45+25*(1-EXP(-0.0175*A27))),70*'Scénario référence'!$B$16)+IF((32+38*(1-EXP(-0.0175*A27)))&lt;70,'Scénario référence'!$B$18*(32+38*(1-EXP(-0.0175*A27))),70*'Scénario référence'!$B$18)</f>
        <v>70</v>
      </c>
      <c r="AE27" s="13">
        <f>IF(A27&gt;30,10,('Scénario référence'!$B$16+'Scénario référence'!$B$17+'Scénario référence'!$B$18+'Scénario référence'!$B$9+'Scénario référence'!$B$10)*A27*10/30+('Scénario référence'!$F$8+'Scénario référence'!$F$9)*10)</f>
        <v>10</v>
      </c>
      <c r="AF27" s="12" t="e">
        <f>VLOOKUP(A27,'Données projet'!$A$61:$I$81,2,0)</f>
        <v>#N/A</v>
      </c>
      <c r="AG27" s="12" t="e">
        <f>VLOOKUP(A27,'Données projet'!$A$61:$I$81,9,0)</f>
        <v>#N/A</v>
      </c>
      <c r="AH27" s="12">
        <f t="array" ref="AH27">INDEX(AG:AG,MIN(IF(ISNUMBER(AG27:AG223),ROW(AG27:AG223),"")))</f>
        <v>16.5</v>
      </c>
      <c r="AI27" s="13">
        <f>IF('Données projet'!$A$62&gt;35,AI26+AH27-AQ26,IF(A27&lt;'Données projet'!$A$62,$AF$205^A27,IF(A27='Données projet'!$A$62,'Données projet'!$B$62,AI26+AH27-AQ26)))</f>
        <v>164</v>
      </c>
      <c r="AJ27" s="13">
        <f>AI27*VLOOKUP('Données projet'!$B$10,Paramètres!$A$1:$I$89,3,0)*VLOOKUP('Données projet'!$B$10,Paramètres!$A$1:$I$89,5,0)</f>
        <v>102.336</v>
      </c>
      <c r="AK27" s="13">
        <f t="shared" si="35"/>
        <v>27.517767215282735</v>
      </c>
      <c r="AL27" s="20">
        <f t="shared" si="4"/>
        <v>226.16197789995076</v>
      </c>
      <c r="AM27" s="59">
        <f t="shared" si="5"/>
        <v>519.49531123328404</v>
      </c>
      <c r="AN27" s="59">
        <f ca="1">AVERAGE(OFFSET($AM$3,0,0,'Données projet'!$E$10+1,1))-AVERAGE(OFFSET($H$3,0,0,'Données projet'!$E$10+1,1))</f>
        <v>261.78489480911571</v>
      </c>
      <c r="AO27" s="59">
        <f t="shared" si="36"/>
        <v>297.50513563712764</v>
      </c>
      <c r="AP27" s="15">
        <f>IF(ISNA(VLOOKUP(A27,'Données projet'!$A$61:$I$81,3,0)),0,VLOOKUP(A27,'Données projet'!$A$61:$I$81,3,0))</f>
        <v>0</v>
      </c>
      <c r="AQ27" s="15">
        <f>IF(ISNA(VLOOKUP(A27,'Données projet'!$A$61:$I$81,4,0)),0,VLOOKUP(A27,'Données projet'!$A$61:$I$81,4,0))</f>
        <v>0</v>
      </c>
      <c r="AR27" s="16">
        <f>IF(ISNA(VLOOKUP(A27,'Données projet'!$A$61:$I$81,5,0)),0%,VLOOKUP(A27,'Données projet'!$A$61:$I$81,5,0)*VLOOKUP('Données projet'!$B$10,Paramètres!$A$1:$I$89,7,0))</f>
        <v>0</v>
      </c>
      <c r="AS27" s="16">
        <f>IF(ISNA(VLOOKUP(A27,'Données projet'!$A$61:$I$81,6,0)),0%,VLOOKUP(A27,'Données projet'!$A$61:$I$81,6,0)*VLOOKUP('Données projet'!$B$10,Paramètres!$A$1:$I$89,7,0))</f>
        <v>0</v>
      </c>
      <c r="AT27" s="16">
        <f>IF(ISNA(VLOOKUP(A27,'Données projet'!$A$61:$I$81,7,0)),0%,VLOOKUP(A27,'Données projet'!$A$61:$I$81,7,0))</f>
        <v>0</v>
      </c>
      <c r="AU27" s="21">
        <f>EXP(-LN(2)/35)*AU26+(1-EXP(-LN(2)/35))/(LN(2)/35)*AQ27*AR27*VLOOKUP('Données projet'!$B$10,Paramètres!$A$1:$I$89,3,0)*0.475*44/12</f>
        <v>0</v>
      </c>
      <c r="AV27" s="21">
        <f>EXP(-LN(2)/25)*AV26+(1-EXP(-LN(2)/25))/(LN(2)/25)*Calculateur!AQ27*Calculateur!AS27*VLOOKUP('Données projet'!$B$10,Paramètres!$A$1:$I$89,3,0)*0.475*44/12</f>
        <v>13.283340146696375</v>
      </c>
      <c r="AW27" s="21">
        <f>EXP(-LN(2)/2)*AW26+(1-EXP(-LN(2)/2))/(LN(2)/2)*AQ27*AT27*VLOOKUP('Données projet'!$B$10,Paramètres!$A$1:$I$89,3,0)*0.475*44/12</f>
        <v>5.2988471524238614</v>
      </c>
      <c r="AX27" s="21">
        <f t="shared" si="6"/>
        <v>18.582187299120235</v>
      </c>
      <c r="AY27" s="74">
        <f>('Scénario référence'!$F$8+'Scénario référence'!$F$9+'Scénario référence'!$B$17+'Scénario référence'!$B$9+'Scénario référence'!$B$10)*70+IF((45+25*(1-EXP(-0.0175*A27)))&lt;70,'Scénario référence'!$B$16*(45+25*(1-EXP(-0.0175*A27))),70*'Scénario référence'!$B$16)+IF((32+38*(1-EXP(-0.0175*A27)))&lt;70,'Scénario référence'!$B$18*(32+38*(1-EXP(-0.0175*A27))),70*'Scénario référence'!$B$18)</f>
        <v>70</v>
      </c>
      <c r="AZ27" s="12">
        <f>IF(A27&gt;30,10,('Scénario référence'!$B$16+'Scénario référence'!$B$17+'Scénario référence'!$B$18+'Scénario référence'!$B$9+'Scénario référence'!$B$10)*A27*10/30+('Scénario référence'!$F$8+'Scénario référence'!$F$9)*10)</f>
        <v>10</v>
      </c>
      <c r="BA27" s="12" t="e">
        <f>VLOOKUP(A27,'Données projet'!$A$87:$I$107,2,0)</f>
        <v>#N/A</v>
      </c>
      <c r="BB27" s="12" t="e">
        <f>VLOOKUP(A27,'Données projet'!$A$87:$I$107,9,0)</f>
        <v>#N/A</v>
      </c>
      <c r="BC27" s="12">
        <f t="array" ref="BC27">INDEX(BB:BB,MIN(IF(ISNUMBER(BB27:BB223),ROW(BB27:BB223),"")))</f>
        <v>15.3</v>
      </c>
      <c r="BD27" s="12">
        <f>IF('Données projet'!$A$88&gt;35,BD26+BC27-BL26,IF(A27&lt;'Données projet'!$A$88,$BA$205^A27,IF(A27='Données projet'!$A$88,'Données projet'!$B$88,BD26+BC27-BL26)))</f>
        <v>138.19999999999999</v>
      </c>
      <c r="BE27" s="13">
        <f>BD27*VLOOKUP('Données projet'!$B$11,Paramètres!$A$1:$I$89,3,0)*VLOOKUP('Données projet'!$B$11,Paramètres!$A$1:$I$89,5,0)</f>
        <v>82.643599999999992</v>
      </c>
      <c r="BF27" s="13">
        <f t="shared" si="37"/>
        <v>22.782329978216918</v>
      </c>
      <c r="BG27" s="20">
        <f t="shared" si="7"/>
        <v>183.61682804539444</v>
      </c>
      <c r="BH27" s="59">
        <f t="shared" si="8"/>
        <v>476.95016137872778</v>
      </c>
      <c r="BI27" s="59">
        <f ca="1">AVERAGE(OFFSET($BH$3,0,0,'Données projet'!$E$11+1,1))-AVERAGE(OFFSET($H$3,0,0,'Données projet'!$E$11+1,1))</f>
        <v>316.58509520829671</v>
      </c>
      <c r="BJ27" s="59">
        <f t="shared" si="38"/>
        <v>240.71332110643596</v>
      </c>
      <c r="BK27" s="15">
        <f>IF(ISNA(VLOOKUP(A27,'Données projet'!$A$87:$I$107,3,0)),0,VLOOKUP(A27,'Données projet'!$A$87:$I$107,3,0))</f>
        <v>0</v>
      </c>
      <c r="BL27" s="15">
        <f>IF(ISNA(VLOOKUP(A27,'Données projet'!$A$87:$I$107,4,0)),0,VLOOKUP(A27,'Données projet'!$A$87:$I$107,4,0))</f>
        <v>0</v>
      </c>
      <c r="BM27" s="16">
        <f>IF(ISNA(VLOOKUP(A27,'Données projet'!$A$87:$I$107,5,0)),0%,VLOOKUP(A27,'Données projet'!$A$87:$I$107,5,0)*VLOOKUP('Données projet'!$B$11,Paramètres!$A$1:$I$89,7,0))</f>
        <v>0</v>
      </c>
      <c r="BN27" s="16">
        <f>IF(ISNA(VLOOKUP(A27,'Données projet'!$A$87:$I$107,6,0)),0%,VLOOKUP(A27,'Données projet'!$A$87:$I$107,6,0)*VLOOKUP('Données projet'!$B$11,Paramètres!$A$1:$I$89,7,0))</f>
        <v>0</v>
      </c>
      <c r="BO27" s="16">
        <f>IF(ISNA(VLOOKUP(A27,'Données projet'!$A$87:$I$107,7,0)),0%,VLOOKUP(A27,'Données projet'!$A$87:$I$107,7,0))</f>
        <v>0</v>
      </c>
      <c r="BP27" s="21">
        <f>EXP(-LN(2)/35)*BP26+(1-EXP(-LN(2)/35))/(LN(2)/35)*BL27*BM27*VLOOKUP('Données projet'!$B$11,Paramètres!$A$1:$I$89,3,0)*0.475*44/12</f>
        <v>0</v>
      </c>
      <c r="BQ27" s="21">
        <f>EXP(-LN(2)/25)*BQ26+(1-EXP(-LN(2)/25))/(LN(2)/25)*Calculateur!BL27*Calculateur!BN27*VLOOKUP('Données projet'!$B$11,Paramètres!$A$1:$I$89,3,0)*0.475*44/12</f>
        <v>4.6145770197117111</v>
      </c>
      <c r="BR27" s="21">
        <f>EXP(-LN(2)/2)*BR26+(1-EXP(-LN(2)/2))/(LN(2)/2)*BL27*BO27*VLOOKUP('Données projet'!$B$11,Paramètres!$A$1:$I$89,3,0)*0.475*44/12</f>
        <v>2.4543965629629967</v>
      </c>
      <c r="BS27" s="22">
        <f t="shared" si="9"/>
        <v>7.0689735826747082</v>
      </c>
      <c r="BT27" s="75">
        <f>('Scénario référence'!$F$8+'Scénario référence'!$F$9+'Scénario référence'!$B$17+'Scénario référence'!$B$9+'Scénario référence'!$B$10)*70+IF((45+25*(1-EXP(-0.0175*A27)))&lt;70,'Scénario référence'!$B$16*(45+25*(1-EXP(-0.0175*A27))),70*'Scénario référence'!$B$16)+IF((32+38*(1-EXP(-0.0175*A27)))&lt;70,'Scénario référence'!$B$18*(32+38*(1-EXP(-0.0175*A27))),70*'Scénario référence'!$B$18)</f>
        <v>70</v>
      </c>
      <c r="BU27" s="12">
        <f>IF(A27&gt;30,10,('Scénario référence'!$B$16+'Scénario référence'!$B$17+'Scénario référence'!$B$18+'Scénario référence'!$B$9+'Scénario référence'!$B$10)*A27*10/30+('Scénario référence'!$F$8+'Scénario référence'!$F$9)*10)</f>
        <v>10</v>
      </c>
      <c r="BV27" s="12" t="e">
        <f>VLOOKUP(A27,'Données projet'!$A$113:$I$133,2,0)</f>
        <v>#N/A</v>
      </c>
      <c r="BW27" s="12" t="e">
        <f>VLOOKUP(A27,'Données projet'!$A$113:$I$133,9,0)</f>
        <v>#N/A</v>
      </c>
      <c r="BX27" s="12">
        <f t="array" ref="BX27">INDEX(BW:BW,MIN(IF(ISNUMBER(BW27:BW223),ROW(BW27:BW223),"")))</f>
        <v>13.7</v>
      </c>
      <c r="BY27" s="12">
        <f>IF('Données projet'!$A$114&gt;35,BY26+BX27-CG26,IF(A27&lt;'Données projet'!$A$114,$BV$205^A27,IF(A27='Données projet'!$A$114,'Données projet'!$B$114,BY26+BX27-CG26)))</f>
        <v>134.79999999999998</v>
      </c>
      <c r="BZ27" s="13">
        <f>BY27*VLOOKUP('Données projet'!$B$12,Paramètres!$A$1:$I$89,3,0)*VLOOKUP('Données projet'!$B$12,Paramètres!$A$1:$I$89,5,0)</f>
        <v>77.105599999999995</v>
      </c>
      <c r="CA27" s="13">
        <f t="shared" si="39"/>
        <v>21.427977646990666</v>
      </c>
      <c r="CB27" s="20">
        <f t="shared" si="10"/>
        <v>171.61264773517541</v>
      </c>
      <c r="CC27" s="59">
        <f t="shared" si="11"/>
        <v>464.94598106850873</v>
      </c>
      <c r="CD27" s="59">
        <f ca="1">AVERAGE(OFFSET($CC$3,0,0,'Données projet'!$E$12+1,1))-AVERAGE(OFFSET($H$3,0,0,'Données projet'!$E$12+1,1))</f>
        <v>188.64374818906128</v>
      </c>
      <c r="CE27" s="59">
        <f t="shared" si="40"/>
        <v>211.95157880548652</v>
      </c>
      <c r="CF27" s="15">
        <f>IF(ISNA(VLOOKUP(A27,'Données projet'!$A$113:$I$133,3,0)),0,VLOOKUP(A27,'Données projet'!$A$113:$I$133,3,0))</f>
        <v>0</v>
      </c>
      <c r="CG27" s="15">
        <f>IF(ISNA(VLOOKUP(A27,'Données projet'!$A$113:$I$133,4,0)),0,VLOOKUP(A27,'Données projet'!$A$113:$I$133,4,0))</f>
        <v>0</v>
      </c>
      <c r="CH27" s="16">
        <f>IF(ISNA(VLOOKUP(A27,'Données projet'!$A$113:$I$133,5,0)),0%,VLOOKUP(A27,'Données projet'!$A$113:$I$133,5,0)*VLOOKUP('Données projet'!$B$12,Paramètres!$A$1:$I$89,7,0))</f>
        <v>0</v>
      </c>
      <c r="CI27" s="16">
        <f>IF(ISNA(VLOOKUP(A27,'Données projet'!$A$113:$I$133,6,0)),0%,VLOOKUP(A27,'Données projet'!$A$113:$I$133,6,0)*VLOOKUP('Données projet'!$B$12,Paramètres!$A$1:$I$89,7,0))</f>
        <v>0</v>
      </c>
      <c r="CJ27" s="16">
        <f>IF(ISNA(VLOOKUP(A27,'Données projet'!$A$113:$I$133,7,0)),0%,VLOOKUP(A27,'Données projet'!$A$113:$I$133,7,0))</f>
        <v>0</v>
      </c>
      <c r="CK27" s="21">
        <f>EXP(-LN(2)/35)*CK26+(1-EXP(-LN(2)/35))/(LN(2)/35)*CG27*CH27*VLOOKUP('Données projet'!$B$12,Paramètres!$A$1:$I$89,3,0)*0.475*44/12</f>
        <v>0</v>
      </c>
      <c r="CL27" s="21">
        <f>EXP(-LN(2)/25)*CL26+(1-EXP(-LN(2)/25))/(LN(2)/25)*Calculateur!CG27*Calculateur!CI27*VLOOKUP('Données projet'!$B$12,Paramètres!$A$1:$I$89,3,0)*0.475*44/12</f>
        <v>3.9573284187032938</v>
      </c>
      <c r="CM27" s="21">
        <f>EXP(-LN(2)/2)*CM26+(1-EXP(-LN(2)/2))/(LN(2)/2)*CG27*CJ27*VLOOKUP('Données projet'!$B$12,Paramètres!$A$1:$I$89,3,0)*0.475*44/12</f>
        <v>2.1048198411017007</v>
      </c>
      <c r="CN27" s="22">
        <f t="shared" si="12"/>
        <v>6.0621482598049941</v>
      </c>
      <c r="CO27" s="75">
        <f>('Scénario référence'!$F$8+'Scénario référence'!$F$9+'Scénario référence'!$B$17+'Scénario référence'!$B$9+'Scénario référence'!$B$10)*70+IF((45+25*(1-EXP(-0.0175*A27)))&lt;70,'Scénario référence'!$B$16*(45+25*(1-EXP(-0.0175*A27))),70*'Scénario référence'!$B$16)+IF((32+38*(1-EXP(-0.0175*A27)))&lt;70,'Scénario référence'!$B$18*(32+38*(1-EXP(-0.0175*A27))),70*'Scénario référence'!$B$18)</f>
        <v>70</v>
      </c>
      <c r="CP27" s="12">
        <f>IF(A27&gt;30,10,('Scénario référence'!$B$16+'Scénario référence'!$B$17+'Scénario référence'!$B$18+'Scénario référence'!$B$9+'Scénario référence'!$B$10)*A27*10/30+('Scénario référence'!$F$8+'Scénario référence'!$F$9)*10)</f>
        <v>10</v>
      </c>
      <c r="CQ27" s="12" t="e">
        <f>VLOOKUP(A27,'Données projet'!$A$139:$I$159,2,0)</f>
        <v>#N/A</v>
      </c>
      <c r="CR27" s="12" t="e">
        <f>VLOOKUP(A27,'Données projet'!$A$139:$I$159,9,0)</f>
        <v>#N/A</v>
      </c>
      <c r="CS27" s="12">
        <f t="array" ref="CS27">INDEX(CR:CR,MIN(IF(ISNUMBER(CR27:CR223),ROW(CR27:CR223),"")))</f>
        <v>0</v>
      </c>
      <c r="CT27" s="12">
        <f>IF('Données projet'!$A$140&gt;35,CT26+CS27-DB26,IF(A27&lt;'Données projet'!$A$140,$CQ$205^A27,IF(A27='Données projet'!$A$140,'Données projet'!$B$140,CT26+CS27-DB26)))</f>
        <v>0</v>
      </c>
      <c r="CU27" s="17" t="e">
        <f>CT27*VLOOKUP('Données projet'!$B$13,Paramètres!$A$1:$I$89,3,0)*VLOOKUP('Données projet'!$B$13,Paramètres!$A$1:$I$89,5,0)</f>
        <v>#N/A</v>
      </c>
      <c r="CV27" s="13" t="e">
        <f t="shared" si="41"/>
        <v>#N/A</v>
      </c>
      <c r="CW27" s="20" t="e">
        <f t="shared" si="13"/>
        <v>#N/A</v>
      </c>
      <c r="CX27" s="59" t="e">
        <f t="shared" si="14"/>
        <v>#N/A</v>
      </c>
      <c r="CY27" s="59" t="e">
        <f ca="1">AVERAGE(OFFSET($CX$3,0,0,'Données projet'!$E$13+1,1))-AVERAGE(OFFSET($H$3,0,0,'Données projet'!$E$13+1,1))</f>
        <v>#N/A</v>
      </c>
      <c r="CZ27" s="59" t="e">
        <f t="shared" si="42"/>
        <v>#N/A</v>
      </c>
      <c r="DA27" s="15">
        <f>IF(ISNA(VLOOKUP(A27,'Données projet'!$A$139:$I$159,3,0)),0,VLOOKUP(A27,'Données projet'!$A$139:$I$159,3,0))</f>
        <v>0</v>
      </c>
      <c r="DB27" s="15">
        <f>IF(ISNA(VLOOKUP(A27,'Données projet'!$A$139:$I$159,4,0)),0,VLOOKUP(A27,'Données projet'!$A$139:$I$159,4,0))</f>
        <v>0</v>
      </c>
      <c r="DC27" s="16">
        <f>IF(ISNA(VLOOKUP(A27,'Données projet'!$A$139:$I$159,5,0)),0%,VLOOKUP(A27,'Données projet'!$A$139:$I$159,5,0)*VLOOKUP('Données projet'!$B$13,Paramètres!$A$1:$I$89,7,0))</f>
        <v>0</v>
      </c>
      <c r="DD27" s="16">
        <f>IF(ISNA(VLOOKUP(A27,'Données projet'!$A$139:$I$159,6,0)),0%,VLOOKUP(A27,'Données projet'!$A$139:$I$159,6,0)*VLOOKUP('Données projet'!$B$13,Paramètres!$A$1:$I$89,7,0))</f>
        <v>0</v>
      </c>
      <c r="DE27" s="16">
        <f>IF(ISNA(VLOOKUP(A27,'Données projet'!$A$139:$I$159,7,0)),0%,VLOOKUP(A27,'Données projet'!$A$139:$I$159,7,0))</f>
        <v>0</v>
      </c>
      <c r="DF27" s="21" t="e">
        <f>EXP(-LN(2)/35)*DF26+(1-EXP(-LN(2)/35))/(LN(2)/35)*DB27*DC27*VLOOKUP('Données projet'!$B$13,Paramètres!$A$1:$I$89,3,0)*0.475*44/12</f>
        <v>#N/A</v>
      </c>
      <c r="DG27" s="21" t="e">
        <f>EXP(-LN(2)/25)*DG26+(1-EXP(-LN(2)/25))/(LN(2)/25)*Calculateur!DB27*Calculateur!DD27*VLOOKUP('Données projet'!$B$13,Paramètres!$A$1:$I$89,3,0)*0.475*44/12</f>
        <v>#N/A</v>
      </c>
      <c r="DH27" s="21" t="e">
        <f>EXP(-LN(2)/2)*DH26+(1-EXP(-LN(2)/2))/(LN(2)/2)*DB27*DE27*VLOOKUP('Données projet'!$B$13,Paramètres!$A$1:$I$89,3,0)*0.475*44/12</f>
        <v>#N/A</v>
      </c>
      <c r="DI27" s="22" t="e">
        <f t="shared" si="15"/>
        <v>#N/A</v>
      </c>
      <c r="DJ27" s="75">
        <f>('Scénario référence'!$F$8+'Scénario référence'!$F$9+'Scénario référence'!$B$17+'Scénario référence'!$B$9+'Scénario référence'!$B$10)*70+IF((45+25*(1-EXP(-0.0175*A27)))&lt;70,'Scénario référence'!$B$16*(45+25*(1-EXP(-0.0175*A27))),70*'Scénario référence'!$B$16)+IF((32+38*(1-EXP(-0.0175*A27)))&lt;70,'Scénario référence'!$B$18*(32+38*(1-EXP(-0.0175*A27))),70*'Scénario référence'!$B$18)</f>
        <v>70</v>
      </c>
      <c r="DK27" s="12">
        <f>IF(A27&gt;30,10,('Scénario référence'!$B$16+'Scénario référence'!$B$17+'Scénario référence'!$B$18+'Scénario référence'!$B$9+'Scénario référence'!$B$10)*A27*10/30+('Scénario référence'!$F$8+'Scénario référence'!$F$9)*10)</f>
        <v>10</v>
      </c>
      <c r="DL27" s="12" t="e">
        <f>VLOOKUP(A27,'Données projet'!$A$165:$I$185,2,0)</f>
        <v>#N/A</v>
      </c>
      <c r="DM27" s="12" t="e">
        <f>VLOOKUP(A27,'Données projet'!$A$165:$I$185,9,0)</f>
        <v>#N/A</v>
      </c>
      <c r="DN27" s="12">
        <f t="array" ref="DN27">INDEX(DM:DM,MIN(IF(ISNUMBER(DM27:DM223),ROW(DM27:DM223),"")))</f>
        <v>10.5</v>
      </c>
      <c r="DO27" s="12">
        <f>IF('Données projet'!$A$166&gt;35,DO26+DN27-DW26,IF(A27&lt;'Données projet'!$A$166,$DL$205^A27,IF(A27='Données projet'!$A$166,'Données projet'!$B$166,DO26+DN27-DW26)))</f>
        <v>147</v>
      </c>
      <c r="DP27" s="17">
        <f>DO27*VLOOKUP('Données projet'!$B$14,Paramètres!$A$1:$I$89,3,0)*VLOOKUP('Données projet'!$B$14,Paramètres!$A$1:$I$89,5,0)</f>
        <v>96.314399999999992</v>
      </c>
      <c r="DQ27" s="13">
        <f t="shared" si="43"/>
        <v>26.082044404269869</v>
      </c>
      <c r="DR27" s="20">
        <f t="shared" si="16"/>
        <v>213.17380733743667</v>
      </c>
      <c r="DS27" s="59">
        <f t="shared" si="17"/>
        <v>506.50714067077001</v>
      </c>
      <c r="DT27" s="59">
        <f ca="1">AVERAGE(OFFSET($DS$3,0,0,'Données projet'!$E$14+1,1))-AVERAGE(OFFSET($H$3,0,0,'Données projet'!$E$14+1,1))</f>
        <v>188.68915783955595</v>
      </c>
      <c r="DU27" s="59">
        <f t="shared" si="44"/>
        <v>240.82467772396944</v>
      </c>
      <c r="DV27" s="15">
        <f>IF(ISNA(VLOOKUP(A27,'Données projet'!$A$165:$I$185,3,0)),0,VLOOKUP(A27,'Données projet'!$A$165:$I$185,3,0))</f>
        <v>0</v>
      </c>
      <c r="DW27" s="15">
        <f>IF(ISNA(VLOOKUP(A27,'Données projet'!$A$165:$I$185,4,0)),0,VLOOKUP(A27,'Données projet'!$A$165:$I$185,4,0))</f>
        <v>0</v>
      </c>
      <c r="DX27" s="16">
        <f>IF(ISNA(VLOOKUP(A27,'Données projet'!$A$165:$I$185,5,0)),0%,VLOOKUP(A27,'Données projet'!$A$165:$I$185,5,0)*VLOOKUP('Données projet'!$B$14,Paramètres!$A$1:$I$89,7,0))</f>
        <v>0</v>
      </c>
      <c r="DY27" s="16">
        <f>IF(ISNA(VLOOKUP(A27,'Données projet'!$A$165:$I$185,6,0)),0%,VLOOKUP(A27,'Données projet'!$A$165:$I$185,6,0)*VLOOKUP('Données projet'!$B$14,Paramètres!$A$1:$I$89,7,0))</f>
        <v>0</v>
      </c>
      <c r="DZ27" s="16">
        <f>IF(ISNA(VLOOKUP(A27,'Données projet'!$A$165:$I$185,7,0)),0%,VLOOKUP(A27,'Données projet'!$A$165:$I$185,7,0))</f>
        <v>0</v>
      </c>
      <c r="EA27" s="21">
        <f>EXP(-LN(2)/35)*EA26+(1-EXP(-LN(2)/35))/(LN(2)/35)*DW27*DX27*VLOOKUP('Données projet'!$B$14,Paramètres!$A$1:$I$89,3,0)*0.475*44/12</f>
        <v>0</v>
      </c>
      <c r="EB27" s="21">
        <f>EXP(-LN(2)/25)*EB26+(1-EXP(-LN(2)/25))/(LN(2)/25)*Calculateur!DW27*Calculateur!DY27*VLOOKUP('Données projet'!$B$14,Paramètres!$A$1:$I$89,3,0)*0.475*44/12</f>
        <v>1.2494641825486279</v>
      </c>
      <c r="EC27" s="21">
        <f>EXP(-LN(2)/2)*EC26+(1-EXP(-LN(2)/2))/(LN(2)/2)*DW27*DZ27*VLOOKUP('Données projet'!$B$14,Paramètres!$A$1:$I$89,3,0)*0.475*44/12</f>
        <v>0.69547368875563176</v>
      </c>
      <c r="ED27" s="22">
        <f t="shared" si="18"/>
        <v>1.9449378713042598</v>
      </c>
      <c r="EE27" s="75">
        <f>('Scénario référence'!$F$8+'Scénario référence'!$F$9+'Scénario référence'!$B$17+'Scénario référence'!$B$9+'Scénario référence'!$B$10)*70+IF((45+25*(1-EXP(-0.0175*A27)))&lt;70,'Scénario référence'!$B$16*(45+25*(1-EXP(-0.0175*A27))),70*'Scénario référence'!$B$16)+IF((32+38*(1-EXP(-0.0175*A27)))&lt;70,'Scénario référence'!$B$18*(32+38*(1-EXP(-0.0175*A27))),70*'Scénario référence'!$B$18)</f>
        <v>70</v>
      </c>
      <c r="EF27" s="12">
        <f>IF(A27&gt;30,10,('Scénario référence'!$B$16+'Scénario référence'!$B$17+'Scénario référence'!$B$18+'Scénario référence'!$B$9+'Scénario référence'!$B$10)*A27*10/30+('Scénario référence'!$F$8+'Scénario référence'!$F$9)*10)</f>
        <v>10</v>
      </c>
      <c r="EG27" s="12" t="e">
        <f>VLOOKUP(A27,'Données projet'!$A$191:$I$211,2,0)</f>
        <v>#N/A</v>
      </c>
      <c r="EH27" s="12" t="e">
        <f>VLOOKUP(A27,'Données projet'!$A$191:$I$211,9,0)</f>
        <v>#N/A</v>
      </c>
      <c r="EI27" s="12">
        <f t="array" ref="EI27">INDEX(EH:EH,MIN(IF(ISNUMBER(EH27:EH223),ROW(EH27:EH223),"")))</f>
        <v>7</v>
      </c>
      <c r="EJ27" s="12">
        <f>IF('Données projet'!$A$192&gt;35,EJ26+EI27-ER26,IF(A27&lt;'Données projet'!$A$192,$EG$205^A27,IF(A27='Données projet'!$A$192,'Données projet'!$B$192,EJ26+EI27-ER26)))</f>
        <v>92.999999999999986</v>
      </c>
      <c r="EK27" s="17">
        <f>EJ27*VLOOKUP('Données projet'!$B$15,Paramètres!$A$1:$I$89,3,0)*VLOOKUP('Données projet'!$B$15,Paramètres!$A$1:$I$89,5,0)</f>
        <v>75.441599999999994</v>
      </c>
      <c r="EL27" s="13">
        <f t="shared" si="45"/>
        <v>21.018854688556068</v>
      </c>
      <c r="EM27" s="20">
        <f t="shared" si="19"/>
        <v>168.00195858256848</v>
      </c>
      <c r="EN27" s="59">
        <f t="shared" si="20"/>
        <v>461.33529191590179</v>
      </c>
      <c r="EO27" s="59">
        <f ca="1">AVERAGE(OFFSET($EN$3,0,0,'Données projet'!$E$15+1,1))-AVERAGE(OFFSET($H$3,0,0,'Données projet'!$E$15+1,1))</f>
        <v>205.5272583787887</v>
      </c>
      <c r="EP27" s="59">
        <f t="shared" si="46"/>
        <v>180.54762778843178</v>
      </c>
      <c r="EQ27" s="15">
        <f>IF(ISNA(VLOOKUP(A27,'Données projet'!$A$191:$I$211,3,0)),0,VLOOKUP(A27,'Données projet'!$A$191:$I$211,3,0))</f>
        <v>0</v>
      </c>
      <c r="ER27" s="15">
        <f>IF(ISNA(VLOOKUP(A27,'Données projet'!$A$191:$I$211,4,0)),0,VLOOKUP(A27,'Données projet'!$A$191:$I$211,4,0))</f>
        <v>0</v>
      </c>
      <c r="ES27" s="16">
        <f>IF(ISNA(VLOOKUP(A27,'Données projet'!$A$191:$I$211,5,0)),0%,VLOOKUP(A27,'Données projet'!$A$191:$I$211,5,0)*VLOOKUP('Données projet'!$B$15,Paramètres!$A$1:$I$89,7,0))</f>
        <v>0</v>
      </c>
      <c r="ET27" s="16">
        <f>IF(ISNA(VLOOKUP(A27,'Données projet'!$A$191:$I$211,6,0)),0%,VLOOKUP(A27,'Données projet'!$A$191:$I$211,6,0)*VLOOKUP('Données projet'!$B$15,Paramètres!$A$1:$I$89,7,0))</f>
        <v>0</v>
      </c>
      <c r="EU27" s="16">
        <f>IF(ISNA(VLOOKUP(A27,'Données projet'!$A$191:$I$211,7,0)),0%,VLOOKUP(A27,'Données projet'!$A$191:$I$211,7,0))</f>
        <v>0</v>
      </c>
      <c r="EV27" s="21">
        <f>EXP(-LN(2)/35)*EV26+(1-EXP(-LN(2)/35))/(LN(2)/35)*ER27*ES27*VLOOKUP('Données projet'!$B$15,Paramètres!$A$1:$I$89,3,0)*0.475*44/12</f>
        <v>0</v>
      </c>
      <c r="EW27" s="21">
        <f>EXP(-LN(2)/25)*EW26+(1-EXP(-LN(2)/25))/(LN(2)/25)*Calculateur!ER27*Calculateur!ET27*VLOOKUP('Données projet'!$B$15,Paramètres!$A$1:$I$89,3,0)*0.475*44/12</f>
        <v>1.5469556545840153</v>
      </c>
      <c r="EX27" s="21">
        <f>EXP(-LN(2)/2)*EX26+(1-EXP(-LN(2)/2))/(LN(2)/2)*ER27*EU27*VLOOKUP('Données projet'!$B$15,Paramètres!$A$1:$I$89,3,0)*0.475*44/12</f>
        <v>0.8610626622688774</v>
      </c>
      <c r="EY27" s="22">
        <f t="shared" si="21"/>
        <v>2.4080183168528926</v>
      </c>
      <c r="EZ27" s="75">
        <f>('Scénario référence'!$F$8+'Scénario référence'!$F$9+'Scénario référence'!$B$17+'Scénario référence'!$B$9+'Scénario référence'!$B$10)*70+IF((45+25*(1-EXP(-0.0175*A27)))&lt;70,'Scénario référence'!$B$16*(45+25*(1-EXP(-0.0175*A27))),70*'Scénario référence'!$B$16)+IF((32+38*(1-EXP(-0.0175*A27)))&lt;70,'Scénario référence'!$B$18*(32+38*(1-EXP(-0.0175*A27))),70*'Scénario référence'!$B$18)</f>
        <v>70</v>
      </c>
      <c r="FA27" s="12">
        <f>IF(A27&gt;30,10,('Scénario référence'!$B$16+'Scénario référence'!$B$17+'Scénario référence'!$B$18+'Scénario référence'!$B$9+'Scénario référence'!$B$10)*A27*10/30+('Scénario référence'!$F$8+'Scénario référence'!$F$9)*10)</f>
        <v>10</v>
      </c>
      <c r="FB27" s="12" t="e">
        <f>VLOOKUP(A27,'Données projet'!$A$217:$I$237,2,0)</f>
        <v>#N/A</v>
      </c>
      <c r="FC27" s="12" t="e">
        <f>VLOOKUP(A27,'Données projet'!$A$217:$I$237,9,0)</f>
        <v>#N/A</v>
      </c>
      <c r="FD27" s="12">
        <f t="array" ref="FD27">INDEX(FC:FC,MIN(IF(ISNUMBER(FC27:FC223),ROW(FC27:FC223),"")))</f>
        <v>9.1</v>
      </c>
      <c r="FE27" s="12">
        <f>IF('Données projet'!$A$218&gt;35,FE26+FD27-FM26,IF(A27&lt;'Données projet'!$A$218,$FB$205^A27,IF(A27='Données projet'!$A$218,'Données projet'!$B$218,FE26+FD27-FM26)))</f>
        <v>85.399999999999991</v>
      </c>
      <c r="FF27" s="17">
        <f>FE27*VLOOKUP('Données projet'!$B$16,Paramètres!$A$1:$I$89,3,0)*VLOOKUP('Données projet'!$B$16,Paramètres!$A$1:$I$89,5,0)</f>
        <v>73.273200000000003</v>
      </c>
      <c r="FG27" s="13">
        <f t="shared" si="47"/>
        <v>20.484133942460197</v>
      </c>
      <c r="FH27" s="20">
        <f t="shared" si="22"/>
        <v>163.29402328311821</v>
      </c>
      <c r="FI27" s="59">
        <f t="shared" si="23"/>
        <v>456.62735661645149</v>
      </c>
      <c r="FJ27" s="59">
        <f ca="1">AVERAGE(OFFSET($FI$3,0,0,'Données projet'!$E$16+1,1))-AVERAGE(OFFSET($H$3,0,0,'Données projet'!$E$16+1,1))</f>
        <v>383.97627237444709</v>
      </c>
      <c r="FK27" s="59">
        <f t="shared" si="48"/>
        <v>203.35476578922339</v>
      </c>
      <c r="FL27" s="15">
        <f>IF(ISNA(VLOOKUP(A27,'Données projet'!$A$217:$I$237,3,0)),0,VLOOKUP(A27,'Données projet'!$A$217:$I$237,3,0))</f>
        <v>0</v>
      </c>
      <c r="FM27" s="15">
        <f>IF(ISNA(VLOOKUP(A27,'Données projet'!$A$217:$I$237,4,0)),0,VLOOKUP(A27,'Données projet'!$A$217:$I$237,4,0))</f>
        <v>0</v>
      </c>
      <c r="FN27" s="16">
        <f>IF(ISNA(VLOOKUP(A27,'Données projet'!$A$217:$I$237,5,0)),0%,VLOOKUP(A27,'Données projet'!$A$217:$I$237,5,0)*VLOOKUP('Données projet'!$B$16,Paramètres!$A$1:$I$89,7,0))</f>
        <v>0</v>
      </c>
      <c r="FO27" s="16">
        <f>IF(ISNA(VLOOKUP(A27,'Données projet'!$A$217:$I$237,6,0)),0%,VLOOKUP(A27,'Données projet'!$A$217:$I$237,6,0)*VLOOKUP('Données projet'!$B$16,Paramètres!$A$1:$I$89,7,0))</f>
        <v>0</v>
      </c>
      <c r="FP27" s="16">
        <f>IF(ISNA(VLOOKUP(A27,'Données projet'!$A$217:$I$237,7,0)),0%,VLOOKUP(A27,'Données projet'!$A$217:$I$237,7,0))</f>
        <v>0</v>
      </c>
      <c r="FQ27" s="21">
        <f>EXP(-LN(2)/35)*FQ26+(1-EXP(-LN(2)/35))/(LN(2)/35)*FM27*FN27*VLOOKUP('Données projet'!$B$16,Paramètres!$A$1:$I$89,3,0)*0.475*44/12</f>
        <v>0</v>
      </c>
      <c r="FR27" s="21">
        <f>EXP(-LN(2)/25)*FR26+(1-EXP(-LN(2)/25))/(LN(2)/25)*Calculateur!FM27*Calculateur!FO27*VLOOKUP('Données projet'!$B$16,Paramètres!$A$1:$I$89,3,0)*0.475*44/12</f>
        <v>0.89631797517638745</v>
      </c>
      <c r="FS27" s="21">
        <f>EXP(-LN(2)/2)*FS26+(1-EXP(-LN(2)/2))/(LN(2)/2)*FM27*FP27*VLOOKUP('Données projet'!$B$16,Paramètres!$A$1:$I$89,3,0)*0.475*44/12</f>
        <v>0.4047730463657116</v>
      </c>
      <c r="FT27" s="22">
        <f t="shared" si="24"/>
        <v>1.301091021542099</v>
      </c>
      <c r="FU27" s="75">
        <f>('Scénario référence'!$F$8+'Scénario référence'!$F$9+'Scénario référence'!$B$17+'Scénario référence'!$B$9+'Scénario référence'!$B$10)*70+IF((45+25*(1-EXP(-0.0175*A27)))&lt;70,'Scénario référence'!$B$16*(45+25*(1-EXP(-0.0175*A27))),70*'Scénario référence'!$B$16)+IF((32+38*(1-EXP(-0.0175*A27)))&lt;70,'Scénario référence'!$B$18*(32+38*(1-EXP(-0.0175*A27))),70*'Scénario référence'!$B$18)</f>
        <v>70</v>
      </c>
      <c r="FV27" s="12">
        <f>IF(A27&gt;30,10,('Scénario référence'!$B$16+'Scénario référence'!$B$17+'Scénario référence'!$B$18+'Scénario référence'!$B$9+'Scénario référence'!$B$10)*A27*10/30+('Scénario référence'!$F$8+'Scénario référence'!$F$9)*10)</f>
        <v>10</v>
      </c>
      <c r="FW27" s="12" t="e">
        <f>VLOOKUP(A27,'Données projet'!$A$243:$I$263,2,0)</f>
        <v>#N/A</v>
      </c>
      <c r="FX27" s="12" t="e">
        <f>VLOOKUP(A27,'Données projet'!$A$243:$I$263,9,0)</f>
        <v>#N/A</v>
      </c>
      <c r="FY27" s="12">
        <f t="array" ref="FY27">INDEX(FX:FX,MIN(IF(ISNUMBER(FX27:FX223),ROW(FX27:FX223),"")))</f>
        <v>4.0628205128205126</v>
      </c>
      <c r="FZ27" s="12">
        <f>IF('Données projet'!$A$244&gt;35,FZ26+FY27-GH26,IF(A27&lt;'Données projet'!$A$244,$FW$205^A27,IF(A27='Données projet'!$A$244,'Données projet'!$B$244,FZ26+FY27-GH26)))</f>
        <v>46.640061345320483</v>
      </c>
      <c r="GA27" s="17">
        <f>FZ27*VLOOKUP('Données projet'!$B$17,Paramètres!$A$1:$I$89,3,0)*VLOOKUP('Données projet'!$B$17,Paramètres!$A$1:$I$89,5,0)</f>
        <v>50.203362032102966</v>
      </c>
      <c r="GB27" s="13">
        <f t="shared" si="49"/>
        <v>14.666266381853569</v>
      </c>
      <c r="GC27" s="20">
        <f t="shared" si="25"/>
        <v>112.98126948764094</v>
      </c>
      <c r="GD27" s="59">
        <f t="shared" si="26"/>
        <v>406.31460282097424</v>
      </c>
      <c r="GE27" s="59">
        <f ca="1">AVERAGE(OFFSET($GD$3,0,0,'Données projet'!$E$17+1,1))-AVERAGE(OFFSET($H$3,0,0,'Données projet'!$E$17+1,1))</f>
        <v>286.77702855541287</v>
      </c>
      <c r="GF27" s="59">
        <f t="shared" si="50"/>
        <v>227.12211541860779</v>
      </c>
      <c r="GG27" s="15">
        <f>IF(ISNA(VLOOKUP(A27,'Données projet'!$A$243:$I$263,3,0)),0,VLOOKUP(A27,'Données projet'!$A$243:$I$263,3,0))</f>
        <v>0</v>
      </c>
      <c r="GH27" s="15">
        <f>IF(ISNA(VLOOKUP(A27,'Données projet'!$A$243:$I$263,4,0)),0,VLOOKUP(A27,'Données projet'!$A$243:$I$263,4,0))</f>
        <v>0</v>
      </c>
      <c r="GI27" s="16">
        <f>IF(ISNA(VLOOKUP(A27,'Données projet'!$A$243:$I$263,5,0)),0%,VLOOKUP(A27,'Données projet'!$A$243:$I$263,5,0)*VLOOKUP('Données projet'!$B$17,Paramètres!$A$1:$I$89,7,0))</f>
        <v>0</v>
      </c>
      <c r="GJ27" s="16">
        <f>IF(ISNA(VLOOKUP(A27,'Données projet'!$A$243:$I$263,6,0)),0%,VLOOKUP(A27,'Données projet'!$A$243:$I$263,6,0)*VLOOKUP('Données projet'!$B$17,Paramètres!$A$1:$I$89,7,0))</f>
        <v>0</v>
      </c>
      <c r="GK27" s="16">
        <f>IF(ISNA(VLOOKUP(A27,'Données projet'!$A$243:$I$263,7,0)),0%,VLOOKUP(A27,'Données projet'!$A$243:$I$263,7,0))</f>
        <v>0</v>
      </c>
      <c r="GL27" s="21">
        <f>EXP(-LN(2)/35)*GL26+(1-EXP(-LN(2)/35))/(LN(2)/35)*GH27*GI27*VLOOKUP('Données projet'!$B$17,Paramètres!$A$1:$I$89,3,0)*0.475*44/12</f>
        <v>0</v>
      </c>
      <c r="GM27" s="21">
        <f>EXP(-LN(2)/25)*GM26+(1-EXP(-LN(2)/25))/(LN(2)/25)*Calculateur!GH27*Calculateur!GJ27*VLOOKUP('Données projet'!$B$17,Paramètres!$A$1:$I$89,3,0)*0.475*44/12</f>
        <v>0</v>
      </c>
      <c r="GN27" s="21">
        <f>EXP(-LN(2)/2)*GN26+(1-EXP(-LN(2)/2))/(LN(2)/2)*GH27*GK27*VLOOKUP('Données projet'!$B$17,Paramètres!$A$1:$I$89,3,0)*0.475*44/12</f>
        <v>0</v>
      </c>
      <c r="GO27" s="21">
        <f t="shared" si="27"/>
        <v>0</v>
      </c>
      <c r="GP27" s="75">
        <f>('Scénario référence'!$F$8+'Scénario référence'!$F$9+'Scénario référence'!$B$17+'Scénario référence'!$B$9+'Scénario référence'!$B$10)*70+IF((45+25*(1-EXP(-0.0175*A27)))&lt;70,'Scénario référence'!$B$16*(45+25*(1-EXP(-0.0175*A27))),70*'Scénario référence'!$B$16)+IF((32+38*(1-EXP(-0.0175*A27)))&lt;70,'Scénario référence'!$B$18*(32+38*(1-EXP(-0.0175*A27))),70*'Scénario référence'!$B$18)</f>
        <v>70</v>
      </c>
      <c r="GQ27" s="12">
        <f>IF(A27&gt;30,10,('Scénario référence'!$B$16+'Scénario référence'!$B$17+'Scénario référence'!$B$18+'Scénario référence'!$B$9+'Scénario référence'!$B$10)*A27*10/30+('Scénario référence'!$F$8+'Scénario référence'!$F$9)*10)</f>
        <v>10</v>
      </c>
      <c r="GR27" s="12" t="e">
        <f>VLOOKUP(A27,'Données projet'!$A$269:$I$289,2,0)</f>
        <v>#N/A</v>
      </c>
      <c r="GS27" s="12" t="e">
        <f>VLOOKUP(A27,'Données projet'!$A$269:$I$289,9,0)</f>
        <v>#N/A</v>
      </c>
      <c r="GT27" s="12">
        <f t="array" ref="GT27">INDEX(GS:GS,MIN(IF(ISNUMBER(GS27:GS223),ROW(GS27:GS223),"")))</f>
        <v>4.0628205128205126</v>
      </c>
      <c r="GU27" s="12">
        <f>IF('Données projet'!$A$270&gt;35,GU26+GT27-HC26,IF(A27&lt;'Données projet'!$A$270,$GR$205^A27,IF(A27='Données projet'!$A$270,'Données projet'!$B$270,GU26+GT27-HC26)))</f>
        <v>46.640061345320483</v>
      </c>
      <c r="GV27" s="17">
        <f>GU27*VLOOKUP('Données projet'!$B$18,Paramètres!$A$1:$I$89,3,0)*VLOOKUP('Données projet'!$B$18,Paramètres!$A$1:$I$89,5,0)</f>
        <v>50.203362032102966</v>
      </c>
      <c r="GW27" s="13">
        <f t="shared" si="51"/>
        <v>14.666266381853569</v>
      </c>
      <c r="GX27" s="20">
        <f t="shared" si="28"/>
        <v>112.98126948764094</v>
      </c>
      <c r="GY27" s="59">
        <f t="shared" si="29"/>
        <v>406.31460282097424</v>
      </c>
      <c r="GZ27" s="59">
        <f ca="1">AVERAGE(OFFSET($GY$3,0,0,'Données projet'!$E$18+1,1))-AVERAGE(OFFSET($H$3,0,0,'Données projet'!$E$18+1,1))</f>
        <v>286.77702855541287</v>
      </c>
      <c r="HA27" s="59">
        <f t="shared" si="52"/>
        <v>227.12211541860779</v>
      </c>
      <c r="HB27" s="15">
        <f>IF(ISNA(VLOOKUP(A27,'Données projet'!$A$269:$I$289,3,0)),0,VLOOKUP(A27,'Données projet'!$A$269:$I$289,3,0))</f>
        <v>0</v>
      </c>
      <c r="HC27" s="15">
        <f>IF(ISNA(VLOOKUP(A27,'Données projet'!$A$269:$I$289,4,0)),0,VLOOKUP(A27,'Données projet'!$A$269:$I$289,4,0))</f>
        <v>0</v>
      </c>
      <c r="HD27" s="16">
        <f>IF(ISNA(VLOOKUP(A27,'Données projet'!$A$269:$I$289,5,0)),0%,VLOOKUP(A27,'Données projet'!$A$269:$I$289,5,0)*VLOOKUP('Données projet'!$B$18,Paramètres!$A$1:$I$89,7,0))</f>
        <v>0</v>
      </c>
      <c r="HE27" s="16">
        <f>IF(ISNA(VLOOKUP(A27,'Données projet'!$A$269:$I$289,6,0)),0%,VLOOKUP(A27,'Données projet'!$A$269:$I$289,6,0)*VLOOKUP('Données projet'!$B$18,Paramètres!$A$1:$I$89,7,0))</f>
        <v>0</v>
      </c>
      <c r="HF27" s="16">
        <f>IF(ISNA(VLOOKUP(A27,'Données projet'!$A$269:$I$289,7,0)),0%,VLOOKUP(A27,'Données projet'!$A$269:$I$289,7,0))</f>
        <v>0</v>
      </c>
      <c r="HG27" s="21">
        <f>EXP(-LN(2)/35)*HG26+(1-EXP(-LN(2)/35))/(LN(2)/35)*HC27*HD27*VLOOKUP('Données projet'!$B$18,Paramètres!$A$1:$I$89,3,0)*0.475*44/12</f>
        <v>0</v>
      </c>
      <c r="HH27" s="21">
        <f>EXP(-LN(2)/25)*HH26+(1-EXP(-LN(2)/25))/(LN(2)/25)*Calculateur!HC27*Calculateur!HE27*VLOOKUP('Données projet'!$B$18,Paramètres!$A$1:$I$89,3,0)*0.475*44/12</f>
        <v>0</v>
      </c>
      <c r="HI27" s="21">
        <f>EXP(-LN(2)/2)*HI26+(1-EXP(-LN(2)/2))/(LN(2)/2)*HC27*HF27*VLOOKUP('Données projet'!$B$18,Paramètres!$A$1:$I$89,3,0)*0.475*44/12</f>
        <v>0</v>
      </c>
      <c r="HJ27" s="22">
        <f t="shared" si="30"/>
        <v>0</v>
      </c>
    </row>
    <row r="28" spans="1:218" x14ac:dyDescent="0.25">
      <c r="A28" s="10">
        <f t="shared" si="31"/>
        <v>25</v>
      </c>
      <c r="B28" s="73">
        <f>'Scénario référence'!$B$16*5+'Scénario référence'!$B$17*0+'Scénario référence'!$B$18*5</f>
        <v>0</v>
      </c>
      <c r="C28" s="19">
        <f>Calculateur!C27+'Scénario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22.229999999999997</v>
      </c>
      <c r="D28" s="11">
        <f t="shared" si="32"/>
        <v>7.140157210880437</v>
      </c>
      <c r="E2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8" s="11">
        <f>IF(OR('Scénario référence'!$F$8&gt;0,'Scénario référence'!$F$9&gt;0),('Scénario référence'!$F$8+'Scénario référence'!$F$9)*10,0)</f>
        <v>10</v>
      </c>
      <c r="G28" s="11">
        <f>'Scénario référence'!$B$8*B28*44/12+'Scénario référence'!$B$9*(C28+D28)/0.475*44/12+'Scénario référence'!$B$10*(C28+D28)/0.475*44/12+'Scénario référence'!$F$8*(C28+D28)/0.475*44/12+'Scénario référence'!$F$9*(C28+D28)/0.475*44/12</f>
        <v>226.71700303135776</v>
      </c>
      <c r="H28" s="67">
        <f t="shared" si="1"/>
        <v>344.4863571422834</v>
      </c>
      <c r="I28" s="70">
        <f>('Scénario référence'!$F$8+'Scénario référence'!$F$9+'Scénario référence'!$B$17+'Scénario référence'!$B$9+'Scénario référence'!$B$10)*70+IF((45+25*(1-EXP(-0.0175*A28)))&lt;70,'Scénario référence'!$B$16*(45+25*(1-EXP(-0.0175*A28))),70*'Scénario référence'!$B$16)+IF((32+38*(1-EXP(-0.0175*A28)))&lt;70,'Scénario référence'!$B$18*(32+38*(1-EXP(-0.0175*A28))),70*'Scénario référence'!$B$18)</f>
        <v>70</v>
      </c>
      <c r="J28" s="13">
        <f>IF(A28&gt;30,10,('Scénario référence'!$B$16+'Scénario référence'!$B$17+'Scénario référence'!$B$18+'Scénario référence'!$B$9+'Scénario référence'!$B$10)*A28*10/30+('Scénario référence'!$F$8+'Scénario référence'!$F$9)*10)</f>
        <v>10</v>
      </c>
      <c r="K28" s="12" t="e">
        <f>VLOOKUP(A28,'Données projet'!$A$35:$I$55,2,0)</f>
        <v>#N/A</v>
      </c>
      <c r="L28" s="12" t="e">
        <f>VLOOKUP(A28,'Données projet'!$A$35:$I$55,9,0)</f>
        <v>#N/A</v>
      </c>
      <c r="M28" s="12">
        <f t="array" ref="M28">INDEX(L:L,MIN(IF(ISNUMBER(L28:L224),ROW(L28:L224),"")))</f>
        <v>22.828205128205127</v>
      </c>
      <c r="N28" s="13">
        <f>IF('Données projet'!$A$36&gt;35,N27+M28-V27,IF(A28&lt;'Données projet'!$A$36,$K$205^A28,IF(A28='Données projet'!$A$36,'Données projet'!$B$36,N27+M28-V27)))</f>
        <v>217.72820512820502</v>
      </c>
      <c r="O28" s="13">
        <f>N28*VLOOKUP('Données projet'!$B$9,Paramètres!$A$1:$I$89,3,0)*VLOOKUP('Données projet'!$B$9,Paramètres!$A$1:$I$89,5,0)</f>
        <v>121.71006666666661</v>
      </c>
      <c r="P28" s="13">
        <f t="shared" si="33"/>
        <v>32.073515207801002</v>
      </c>
      <c r="Q28" s="20">
        <f t="shared" si="2"/>
        <v>267.83973843136442</v>
      </c>
      <c r="R28" s="59">
        <f t="shared" si="0"/>
        <v>561.17307176469774</v>
      </c>
      <c r="S28" s="59">
        <f ca="1">AVERAGE(OFFSET($R$3,0,0,'Données projet'!$E$9+1,1))-AVERAGE(OFFSET($H$3,0,0,'Données projet'!$E$9+1,1))</f>
        <v>255.5374979188561</v>
      </c>
      <c r="T28" s="59">
        <f t="shared" si="34"/>
        <v>343.10418468620901</v>
      </c>
      <c r="U28" s="15">
        <f>IF(ISNA(VLOOKUP(A28,'Données projet'!$A$35:$I$55,3,0)),0,VLOOKUP(A28,'Données projet'!$A$35:$I$55,3,0))</f>
        <v>0</v>
      </c>
      <c r="V28" s="15">
        <f>IF(ISNA(VLOOKUP(A28,'Données projet'!$A$35:$I$55,4,0)),0,VLOOKUP(A28,'Données projet'!$A$35:$I$55,4,0))</f>
        <v>0</v>
      </c>
      <c r="W28" s="16">
        <f>IF(ISNA(VLOOKUP(A28,'Données projet'!$A$35:$I$55,5,0)),0%,VLOOKUP(A28,'Données projet'!$A$35:$I$55,5,0)*VLOOKUP('Données projet'!$B$9,Paramètres!$A$1:$I$89,7,0))</f>
        <v>0</v>
      </c>
      <c r="X28" s="16">
        <f>IF(ISNA(VLOOKUP(A28,'Données projet'!$A$35:$I$55,6,0)),0%,VLOOKUP(A28,'Données projet'!$A$35:$I$55,6,0)*VLOOKUP('Données projet'!$B$9,Paramètres!$A$1:$I$89,7,0))</f>
        <v>0</v>
      </c>
      <c r="Y28" s="16">
        <f>IF(ISNA(VLOOKUP(A28,'Données projet'!$A$35:$I$55,7,0)),0%,VLOOKUP(A28,'Données projet'!$A$35:$I$55,7,0))</f>
        <v>0</v>
      </c>
      <c r="Z28" s="21">
        <f>EXP(-LN(2)/35)*Z27+(1-EXP(-LN(2)/35))/(LN(2)/35)*V28*W28*VLOOKUP('Données projet'!$B$9,Paramètres!$A$1:$I$89,3,0)*0.475*44/12</f>
        <v>3.4116816955044831</v>
      </c>
      <c r="AA28" s="21">
        <f>EXP(-LN(2)/25)*AA27+(1-EXP(-LN(2)/25))/(LN(2)/25)*Calculateur!V28*Calculateur!X28*VLOOKUP('Données projet'!$B$9,Paramètres!$A$1:$I$89,3,0)*0.475*44/12</f>
        <v>18.333523408265268</v>
      </c>
      <c r="AB28" s="21">
        <f>EXP(-LN(2)/2)*AB27+(1-EXP(-LN(2)/2))/(LN(2)/2)*V28*Y28*VLOOKUP('Données projet'!$B$9,Paramètres!$A$1:$I$89,3,0)*0.475*44/12</f>
        <v>9.5750861085718437</v>
      </c>
      <c r="AC28" s="22">
        <f t="shared" si="3"/>
        <v>31.320291212341594</v>
      </c>
      <c r="AD28" s="13">
        <f>('Scénario référence'!$F$8+'Scénario référence'!$F$9+'Scénario référence'!$B$17+'Scénario référence'!$B$9+'Scénario référence'!$B$10)*70+IF((45+25*(1-EXP(-0.0175*A28)))&lt;70,'Scénario référence'!$B$16*(45+25*(1-EXP(-0.0175*A28))),70*'Scénario référence'!$B$16)+IF((32+38*(1-EXP(-0.0175*A28)))&lt;70,'Scénario référence'!$B$18*(32+38*(1-EXP(-0.0175*A28))),70*'Scénario référence'!$B$18)</f>
        <v>70</v>
      </c>
      <c r="AE28" s="13">
        <f>IF(A28&gt;30,10,('Scénario référence'!$B$16+'Scénario référence'!$B$17+'Scénario référence'!$B$18+'Scénario référence'!$B$9+'Scénario référence'!$B$10)*A28*10/30+('Scénario référence'!$F$8+'Scénario référence'!$F$9)*10)</f>
        <v>10</v>
      </c>
      <c r="AF28" s="12" t="e">
        <f>VLOOKUP(A28,'Données projet'!$A$61:$I$81,2,0)</f>
        <v>#N/A</v>
      </c>
      <c r="AG28" s="12" t="e">
        <f>VLOOKUP(A28,'Données projet'!$A$61:$I$81,9,0)</f>
        <v>#N/A</v>
      </c>
      <c r="AH28" s="12">
        <f t="array" ref="AH28">INDEX(AG:AG,MIN(IF(ISNUMBER(AG28:AG224),ROW(AG28:AG224),"")))</f>
        <v>16.5</v>
      </c>
      <c r="AI28" s="13">
        <f>IF('Données projet'!$A$62&gt;35,AI27+AH28-AQ27,IF(A28&lt;'Données projet'!$A$62,$AF$205^A28,IF(A28='Données projet'!$A$62,'Données projet'!$B$62,AI27+AH28-AQ27)))</f>
        <v>180.5</v>
      </c>
      <c r="AJ28" s="13">
        <f>AI28*VLOOKUP('Données projet'!$B$10,Paramètres!$A$1:$I$89,3,0)*VLOOKUP('Données projet'!$B$10,Paramètres!$A$1:$I$89,5,0)</f>
        <v>112.63200000000001</v>
      </c>
      <c r="AK28" s="13">
        <f t="shared" si="35"/>
        <v>29.950248336286034</v>
      </c>
      <c r="AL28" s="20">
        <f t="shared" si="4"/>
        <v>248.33074918569818</v>
      </c>
      <c r="AM28" s="59">
        <f t="shared" si="5"/>
        <v>541.66408251903147</v>
      </c>
      <c r="AN28" s="59">
        <f ca="1">AVERAGE(OFFSET($AM$3,0,0,'Données projet'!$E$10+1,1))-AVERAGE(OFFSET($H$3,0,0,'Données projet'!$E$10+1,1))</f>
        <v>261.78489480911571</v>
      </c>
      <c r="AO28" s="59">
        <f t="shared" si="36"/>
        <v>297.50513563712764</v>
      </c>
      <c r="AP28" s="15">
        <f>IF(ISNA(VLOOKUP(A28,'Données projet'!$A$61:$I$81,3,0)),0,VLOOKUP(A28,'Données projet'!$A$61:$I$81,3,0))</f>
        <v>0</v>
      </c>
      <c r="AQ28" s="15">
        <f>IF(ISNA(VLOOKUP(A28,'Données projet'!$A$61:$I$81,4,0)),0,VLOOKUP(A28,'Données projet'!$A$61:$I$81,4,0))</f>
        <v>0</v>
      </c>
      <c r="AR28" s="16">
        <f>IF(ISNA(VLOOKUP(A28,'Données projet'!$A$61:$I$81,5,0)),0%,VLOOKUP(A28,'Données projet'!$A$61:$I$81,5,0)*VLOOKUP('Données projet'!$B$10,Paramètres!$A$1:$I$89,7,0))</f>
        <v>0</v>
      </c>
      <c r="AS28" s="16">
        <f>IF(ISNA(VLOOKUP(A28,'Données projet'!$A$61:$I$81,6,0)),0%,VLOOKUP(A28,'Données projet'!$A$61:$I$81,6,0)*VLOOKUP('Données projet'!$B$10,Paramètres!$A$1:$I$89,7,0))</f>
        <v>0</v>
      </c>
      <c r="AT28" s="16">
        <f>IF(ISNA(VLOOKUP(A28,'Données projet'!$A$61:$I$81,7,0)),0%,VLOOKUP(A28,'Données projet'!$A$61:$I$81,7,0))</f>
        <v>0</v>
      </c>
      <c r="AU28" s="21">
        <f>EXP(-LN(2)/35)*AU27+(1-EXP(-LN(2)/35))/(LN(2)/35)*AQ28*AR28*VLOOKUP('Données projet'!$B$10,Paramètres!$A$1:$I$89,3,0)*0.475*44/12</f>
        <v>0</v>
      </c>
      <c r="AV28" s="21">
        <f>EXP(-LN(2)/25)*AV27+(1-EXP(-LN(2)/25))/(LN(2)/25)*Calculateur!AQ28*Calculateur!AS28*VLOOKUP('Données projet'!$B$10,Paramètres!$A$1:$I$89,3,0)*0.475*44/12</f>
        <v>12.920106511844464</v>
      </c>
      <c r="AW28" s="21">
        <f>EXP(-LN(2)/2)*AW27+(1-EXP(-LN(2)/2))/(LN(2)/2)*AQ28*AT28*VLOOKUP('Données projet'!$B$10,Paramètres!$A$1:$I$89,3,0)*0.475*44/12</f>
        <v>3.74685075394994</v>
      </c>
      <c r="AX28" s="21">
        <f t="shared" si="6"/>
        <v>16.666957265794405</v>
      </c>
      <c r="AY28" s="74">
        <f>('Scénario référence'!$F$8+'Scénario référence'!$F$9+'Scénario référence'!$B$17+'Scénario référence'!$B$9+'Scénario référence'!$B$10)*70+IF((45+25*(1-EXP(-0.0175*A28)))&lt;70,'Scénario référence'!$B$16*(45+25*(1-EXP(-0.0175*A28))),70*'Scénario référence'!$B$16)+IF((32+38*(1-EXP(-0.0175*A28)))&lt;70,'Scénario référence'!$B$18*(32+38*(1-EXP(-0.0175*A28))),70*'Scénario référence'!$B$18)</f>
        <v>70</v>
      </c>
      <c r="AZ28" s="12">
        <f>IF(A28&gt;30,10,('Scénario référence'!$B$16+'Scénario référence'!$B$17+'Scénario référence'!$B$18+'Scénario référence'!$B$9+'Scénario référence'!$B$10)*A28*10/30+('Scénario référence'!$F$8+'Scénario référence'!$F$9)*10)</f>
        <v>10</v>
      </c>
      <c r="BA28" s="12" t="e">
        <f>VLOOKUP(A28,'Données projet'!$A$87:$I$107,2,0)</f>
        <v>#N/A</v>
      </c>
      <c r="BB28" s="12" t="e">
        <f>VLOOKUP(A28,'Données projet'!$A$87:$I$107,9,0)</f>
        <v>#N/A</v>
      </c>
      <c r="BC28" s="12">
        <f t="array" ref="BC28">INDEX(BB:BB,MIN(IF(ISNUMBER(BB28:BB224),ROW(BB28:BB224),"")))</f>
        <v>15.3</v>
      </c>
      <c r="BD28" s="12">
        <f>IF('Données projet'!$A$88&gt;35,BD27+BC28-BL27,IF(A28&lt;'Données projet'!$A$88,$BA$205^A28,IF(A28='Données projet'!$A$88,'Données projet'!$B$88,BD27+BC28-BL27)))</f>
        <v>153.5</v>
      </c>
      <c r="BE28" s="13">
        <f>BD28*VLOOKUP('Données projet'!$B$11,Paramètres!$A$1:$I$89,3,0)*VLOOKUP('Données projet'!$B$11,Paramètres!$A$1:$I$89,5,0)</f>
        <v>91.793000000000006</v>
      </c>
      <c r="BF28" s="13">
        <f t="shared" si="37"/>
        <v>24.997155707793262</v>
      </c>
      <c r="BG28" s="20">
        <f t="shared" si="7"/>
        <v>203.40952119107328</v>
      </c>
      <c r="BH28" s="59">
        <f t="shared" si="8"/>
        <v>496.7428545244066</v>
      </c>
      <c r="BI28" s="59">
        <f ca="1">AVERAGE(OFFSET($BH$3,0,0,'Données projet'!$E$11+1,1))-AVERAGE(OFFSET($H$3,0,0,'Données projet'!$E$11+1,1))</f>
        <v>316.58509520829671</v>
      </c>
      <c r="BJ28" s="59">
        <f t="shared" si="38"/>
        <v>240.71332110643596</v>
      </c>
      <c r="BK28" s="15">
        <f>IF(ISNA(VLOOKUP(A28,'Données projet'!$A$87:$I$107,3,0)),0,VLOOKUP(A28,'Données projet'!$A$87:$I$107,3,0))</f>
        <v>0</v>
      </c>
      <c r="BL28" s="15">
        <f>IF(ISNA(VLOOKUP(A28,'Données projet'!$A$87:$I$107,4,0)),0,VLOOKUP(A28,'Données projet'!$A$87:$I$107,4,0))</f>
        <v>0</v>
      </c>
      <c r="BM28" s="16">
        <f>IF(ISNA(VLOOKUP(A28,'Données projet'!$A$87:$I$107,5,0)),0%,VLOOKUP(A28,'Données projet'!$A$87:$I$107,5,0)*VLOOKUP('Données projet'!$B$11,Paramètres!$A$1:$I$89,7,0))</f>
        <v>0</v>
      </c>
      <c r="BN28" s="16">
        <f>IF(ISNA(VLOOKUP(A28,'Données projet'!$A$87:$I$107,6,0)),0%,VLOOKUP(A28,'Données projet'!$A$87:$I$107,6,0)*VLOOKUP('Données projet'!$B$11,Paramètres!$A$1:$I$89,7,0))</f>
        <v>0</v>
      </c>
      <c r="BO28" s="16">
        <f>IF(ISNA(VLOOKUP(A28,'Données projet'!$A$87:$I$107,7,0)),0%,VLOOKUP(A28,'Données projet'!$A$87:$I$107,7,0))</f>
        <v>0</v>
      </c>
      <c r="BP28" s="21">
        <f>EXP(-LN(2)/35)*BP27+(1-EXP(-LN(2)/35))/(LN(2)/35)*BL28*BM28*VLOOKUP('Données projet'!$B$11,Paramètres!$A$1:$I$89,3,0)*0.475*44/12</f>
        <v>0</v>
      </c>
      <c r="BQ28" s="21">
        <f>EXP(-LN(2)/25)*BQ27+(1-EXP(-LN(2)/25))/(LN(2)/25)*Calculateur!BL28*Calculateur!BN28*VLOOKUP('Données projet'!$B$11,Paramètres!$A$1:$I$89,3,0)*0.475*44/12</f>
        <v>4.4883911684376354</v>
      </c>
      <c r="BR28" s="21">
        <f>EXP(-LN(2)/2)*BR27+(1-EXP(-LN(2)/2))/(LN(2)/2)*BL28*BO28*VLOOKUP('Données projet'!$B$11,Paramètres!$A$1:$I$89,3,0)*0.475*44/12</f>
        <v>1.73552045339209</v>
      </c>
      <c r="BS28" s="22">
        <f t="shared" si="9"/>
        <v>6.2239116218297257</v>
      </c>
      <c r="BT28" s="75">
        <f>('Scénario référence'!$F$8+'Scénario référence'!$F$9+'Scénario référence'!$B$17+'Scénario référence'!$B$9+'Scénario référence'!$B$10)*70+IF((45+25*(1-EXP(-0.0175*A28)))&lt;70,'Scénario référence'!$B$16*(45+25*(1-EXP(-0.0175*A28))),70*'Scénario référence'!$B$16)+IF((32+38*(1-EXP(-0.0175*A28)))&lt;70,'Scénario référence'!$B$18*(32+38*(1-EXP(-0.0175*A28))),70*'Scénario référence'!$B$18)</f>
        <v>70</v>
      </c>
      <c r="BU28" s="12">
        <f>IF(A28&gt;30,10,('Scénario référence'!$B$16+'Scénario référence'!$B$17+'Scénario référence'!$B$18+'Scénario référence'!$B$9+'Scénario référence'!$B$10)*A28*10/30+('Scénario référence'!$F$8+'Scénario référence'!$F$9)*10)</f>
        <v>10</v>
      </c>
      <c r="BV28" s="12" t="e">
        <f>VLOOKUP(A28,'Données projet'!$A$113:$I$133,2,0)</f>
        <v>#N/A</v>
      </c>
      <c r="BW28" s="12" t="e">
        <f>VLOOKUP(A28,'Données projet'!$A$113:$I$133,9,0)</f>
        <v>#N/A</v>
      </c>
      <c r="BX28" s="12">
        <f t="array" ref="BX28">INDEX(BW:BW,MIN(IF(ISNUMBER(BW28:BW224),ROW(BW28:BW224),"")))</f>
        <v>13.7</v>
      </c>
      <c r="BY28" s="12">
        <f>IF('Données projet'!$A$114&gt;35,BY27+BX28-CG27,IF(A28&lt;'Données projet'!$A$114,$BV$205^A28,IF(A28='Données projet'!$A$114,'Données projet'!$B$114,BY27+BX28-CG27)))</f>
        <v>148.49999999999997</v>
      </c>
      <c r="BZ28" s="13">
        <f>BY28*VLOOKUP('Données projet'!$B$12,Paramètres!$A$1:$I$89,3,0)*VLOOKUP('Données projet'!$B$12,Paramètres!$A$1:$I$89,5,0)</f>
        <v>84.941999999999993</v>
      </c>
      <c r="CA28" s="13">
        <f t="shared" si="39"/>
        <v>23.34128117988622</v>
      </c>
      <c r="CB28" s="20">
        <f t="shared" si="10"/>
        <v>188.59338138830182</v>
      </c>
      <c r="CC28" s="59">
        <f t="shared" si="11"/>
        <v>481.92671472163511</v>
      </c>
      <c r="CD28" s="59">
        <f ca="1">AVERAGE(OFFSET($CC$3,0,0,'Données projet'!$E$12+1,1))-AVERAGE(OFFSET($H$3,0,0,'Données projet'!$E$12+1,1))</f>
        <v>188.64374818906128</v>
      </c>
      <c r="CE28" s="59">
        <f t="shared" si="40"/>
        <v>211.95157880548652</v>
      </c>
      <c r="CF28" s="15">
        <f>IF(ISNA(VLOOKUP(A28,'Données projet'!$A$113:$I$133,3,0)),0,VLOOKUP(A28,'Données projet'!$A$113:$I$133,3,0))</f>
        <v>0</v>
      </c>
      <c r="CG28" s="15">
        <f>IF(ISNA(VLOOKUP(A28,'Données projet'!$A$113:$I$133,4,0)),0,VLOOKUP(A28,'Données projet'!$A$113:$I$133,4,0))</f>
        <v>0</v>
      </c>
      <c r="CH28" s="16">
        <f>IF(ISNA(VLOOKUP(A28,'Données projet'!$A$113:$I$133,5,0)),0%,VLOOKUP(A28,'Données projet'!$A$113:$I$133,5,0)*VLOOKUP('Données projet'!$B$12,Paramètres!$A$1:$I$89,7,0))</f>
        <v>0</v>
      </c>
      <c r="CI28" s="16">
        <f>IF(ISNA(VLOOKUP(A28,'Données projet'!$A$113:$I$133,6,0)),0%,VLOOKUP(A28,'Données projet'!$A$113:$I$133,6,0)*VLOOKUP('Données projet'!$B$12,Paramètres!$A$1:$I$89,7,0))</f>
        <v>0</v>
      </c>
      <c r="CJ28" s="16">
        <f>IF(ISNA(VLOOKUP(A28,'Données projet'!$A$113:$I$133,7,0)),0%,VLOOKUP(A28,'Données projet'!$A$113:$I$133,7,0))</f>
        <v>0</v>
      </c>
      <c r="CK28" s="21">
        <f>EXP(-LN(2)/35)*CK27+(1-EXP(-LN(2)/35))/(LN(2)/35)*CG28*CH28*VLOOKUP('Données projet'!$B$12,Paramètres!$A$1:$I$89,3,0)*0.475*44/12</f>
        <v>0</v>
      </c>
      <c r="CL28" s="21">
        <f>EXP(-LN(2)/25)*CL27+(1-EXP(-LN(2)/25))/(LN(2)/25)*Calculateur!CG28*Calculateur!CI28*VLOOKUP('Données projet'!$B$12,Paramètres!$A$1:$I$89,3,0)*0.475*44/12</f>
        <v>3.8491150649869952</v>
      </c>
      <c r="CM28" s="21">
        <f>EXP(-LN(2)/2)*CM27+(1-EXP(-LN(2)/2))/(LN(2)/2)*CG28*CJ28*VLOOKUP('Données projet'!$B$12,Paramètres!$A$1:$I$89,3,0)*0.475*44/12</f>
        <v>1.488332382819004</v>
      </c>
      <c r="CN28" s="22">
        <f t="shared" si="12"/>
        <v>5.3374474478059994</v>
      </c>
      <c r="CO28" s="75">
        <f>('Scénario référence'!$F$8+'Scénario référence'!$F$9+'Scénario référence'!$B$17+'Scénario référence'!$B$9+'Scénario référence'!$B$10)*70+IF((45+25*(1-EXP(-0.0175*A28)))&lt;70,'Scénario référence'!$B$16*(45+25*(1-EXP(-0.0175*A28))),70*'Scénario référence'!$B$16)+IF((32+38*(1-EXP(-0.0175*A28)))&lt;70,'Scénario référence'!$B$18*(32+38*(1-EXP(-0.0175*A28))),70*'Scénario référence'!$B$18)</f>
        <v>70</v>
      </c>
      <c r="CP28" s="12">
        <f>IF(A28&gt;30,10,('Scénario référence'!$B$16+'Scénario référence'!$B$17+'Scénario référence'!$B$18+'Scénario référence'!$B$9+'Scénario référence'!$B$10)*A28*10/30+('Scénario référence'!$F$8+'Scénario référence'!$F$9)*10)</f>
        <v>10</v>
      </c>
      <c r="CQ28" s="12" t="e">
        <f>VLOOKUP(A28,'Données projet'!$A$139:$I$159,2,0)</f>
        <v>#N/A</v>
      </c>
      <c r="CR28" s="12" t="e">
        <f>VLOOKUP(A28,'Données projet'!$A$139:$I$159,9,0)</f>
        <v>#N/A</v>
      </c>
      <c r="CS28" s="12">
        <f t="array" ref="CS28">INDEX(CR:CR,MIN(IF(ISNUMBER(CR28:CR224),ROW(CR28:CR224),"")))</f>
        <v>0</v>
      </c>
      <c r="CT28" s="12">
        <f>IF('Données projet'!$A$140&gt;35,CT27+CS28-DB27,IF(A28&lt;'Données projet'!$A$140,$CQ$205^A28,IF(A28='Données projet'!$A$140,'Données projet'!$B$140,CT27+CS28-DB27)))</f>
        <v>0</v>
      </c>
      <c r="CU28" s="17" t="e">
        <f>CT28*VLOOKUP('Données projet'!$B$13,Paramètres!$A$1:$I$89,3,0)*VLOOKUP('Données projet'!$B$13,Paramètres!$A$1:$I$89,5,0)</f>
        <v>#N/A</v>
      </c>
      <c r="CV28" s="13" t="e">
        <f t="shared" si="41"/>
        <v>#N/A</v>
      </c>
      <c r="CW28" s="20" t="e">
        <f t="shared" si="13"/>
        <v>#N/A</v>
      </c>
      <c r="CX28" s="59" t="e">
        <f t="shared" si="14"/>
        <v>#N/A</v>
      </c>
      <c r="CY28" s="59" t="e">
        <f ca="1">AVERAGE(OFFSET($CX$3,0,0,'Données projet'!$E$13+1,1))-AVERAGE(OFFSET($H$3,0,0,'Données projet'!$E$13+1,1))</f>
        <v>#N/A</v>
      </c>
      <c r="CZ28" s="59" t="e">
        <f t="shared" si="42"/>
        <v>#N/A</v>
      </c>
      <c r="DA28" s="15">
        <f>IF(ISNA(VLOOKUP(A28,'Données projet'!$A$139:$I$159,3,0)),0,VLOOKUP(A28,'Données projet'!$A$139:$I$159,3,0))</f>
        <v>0</v>
      </c>
      <c r="DB28" s="15">
        <f>IF(ISNA(VLOOKUP(A28,'Données projet'!$A$139:$I$159,4,0)),0,VLOOKUP(A28,'Données projet'!$A$139:$I$159,4,0))</f>
        <v>0</v>
      </c>
      <c r="DC28" s="16">
        <f>IF(ISNA(VLOOKUP(A28,'Données projet'!$A$139:$I$159,5,0)),0%,VLOOKUP(A28,'Données projet'!$A$139:$I$159,5,0)*VLOOKUP('Données projet'!$B$13,Paramètres!$A$1:$I$89,7,0))</f>
        <v>0</v>
      </c>
      <c r="DD28" s="16">
        <f>IF(ISNA(VLOOKUP(A28,'Données projet'!$A$139:$I$159,6,0)),0%,VLOOKUP(A28,'Données projet'!$A$139:$I$159,6,0)*VLOOKUP('Données projet'!$B$13,Paramètres!$A$1:$I$89,7,0))</f>
        <v>0</v>
      </c>
      <c r="DE28" s="16">
        <f>IF(ISNA(VLOOKUP(A28,'Données projet'!$A$139:$I$159,7,0)),0%,VLOOKUP(A28,'Données projet'!$A$139:$I$159,7,0))</f>
        <v>0</v>
      </c>
      <c r="DF28" s="21" t="e">
        <f>EXP(-LN(2)/35)*DF27+(1-EXP(-LN(2)/35))/(LN(2)/35)*DB28*DC28*VLOOKUP('Données projet'!$B$13,Paramètres!$A$1:$I$89,3,0)*0.475*44/12</f>
        <v>#N/A</v>
      </c>
      <c r="DG28" s="21" t="e">
        <f>EXP(-LN(2)/25)*DG27+(1-EXP(-LN(2)/25))/(LN(2)/25)*Calculateur!DB28*Calculateur!DD28*VLOOKUP('Données projet'!$B$13,Paramètres!$A$1:$I$89,3,0)*0.475*44/12</f>
        <v>#N/A</v>
      </c>
      <c r="DH28" s="21" t="e">
        <f>EXP(-LN(2)/2)*DH27+(1-EXP(-LN(2)/2))/(LN(2)/2)*DB28*DE28*VLOOKUP('Données projet'!$B$13,Paramètres!$A$1:$I$89,3,0)*0.475*44/12</f>
        <v>#N/A</v>
      </c>
      <c r="DI28" s="22" t="e">
        <f t="shared" si="15"/>
        <v>#N/A</v>
      </c>
      <c r="DJ28" s="75">
        <f>('Scénario référence'!$F$8+'Scénario référence'!$F$9+'Scénario référence'!$B$17+'Scénario référence'!$B$9+'Scénario référence'!$B$10)*70+IF((45+25*(1-EXP(-0.0175*A28)))&lt;70,'Scénario référence'!$B$16*(45+25*(1-EXP(-0.0175*A28))),70*'Scénario référence'!$B$16)+IF((32+38*(1-EXP(-0.0175*A28)))&lt;70,'Scénario référence'!$B$18*(32+38*(1-EXP(-0.0175*A28))),70*'Scénario référence'!$B$18)</f>
        <v>70</v>
      </c>
      <c r="DK28" s="12">
        <f>IF(A28&gt;30,10,('Scénario référence'!$B$16+'Scénario référence'!$B$17+'Scénario référence'!$B$18+'Scénario référence'!$B$9+'Scénario référence'!$B$10)*A28*10/30+('Scénario référence'!$F$8+'Scénario référence'!$F$9)*10)</f>
        <v>10</v>
      </c>
      <c r="DL28" s="12" t="e">
        <f>VLOOKUP(A28,'Données projet'!$A$165:$I$185,2,0)</f>
        <v>#N/A</v>
      </c>
      <c r="DM28" s="12" t="e">
        <f>VLOOKUP(A28,'Données projet'!$A$165:$I$185,9,0)</f>
        <v>#N/A</v>
      </c>
      <c r="DN28" s="12">
        <f t="array" ref="DN28">INDEX(DM:DM,MIN(IF(ISNUMBER(DM28:DM224),ROW(DM28:DM224),"")))</f>
        <v>10.5</v>
      </c>
      <c r="DO28" s="12">
        <f>IF('Données projet'!$A$166&gt;35,DO27+DN28-DW27,IF(A28&lt;'Données projet'!$A$166,$DL$205^A28,IF(A28='Données projet'!$A$166,'Données projet'!$B$166,DO27+DN28-DW27)))</f>
        <v>157.5</v>
      </c>
      <c r="DP28" s="17">
        <f>DO28*VLOOKUP('Données projet'!$B$14,Paramètres!$A$1:$I$89,3,0)*VLOOKUP('Données projet'!$B$14,Paramètres!$A$1:$I$89,5,0)</f>
        <v>103.19399999999999</v>
      </c>
      <c r="DQ28" s="13">
        <f t="shared" si="43"/>
        <v>27.721526045872263</v>
      </c>
      <c r="DR28" s="20">
        <f t="shared" si="16"/>
        <v>228.01120786322747</v>
      </c>
      <c r="DS28" s="59">
        <f t="shared" si="17"/>
        <v>521.34454119656084</v>
      </c>
      <c r="DT28" s="59">
        <f ca="1">AVERAGE(OFFSET($DS$3,0,0,'Données projet'!$E$14+1,1))-AVERAGE(OFFSET($H$3,0,0,'Données projet'!$E$14+1,1))</f>
        <v>188.68915783955595</v>
      </c>
      <c r="DU28" s="59">
        <f t="shared" si="44"/>
        <v>240.82467772396944</v>
      </c>
      <c r="DV28" s="15">
        <f>IF(ISNA(VLOOKUP(A28,'Données projet'!$A$165:$I$185,3,0)),0,VLOOKUP(A28,'Données projet'!$A$165:$I$185,3,0))</f>
        <v>0</v>
      </c>
      <c r="DW28" s="15">
        <f>IF(ISNA(VLOOKUP(A28,'Données projet'!$A$165:$I$185,4,0)),0,VLOOKUP(A28,'Données projet'!$A$165:$I$185,4,0))</f>
        <v>0</v>
      </c>
      <c r="DX28" s="16">
        <f>IF(ISNA(VLOOKUP(A28,'Données projet'!$A$165:$I$185,5,0)),0%,VLOOKUP(A28,'Données projet'!$A$165:$I$185,5,0)*VLOOKUP('Données projet'!$B$14,Paramètres!$A$1:$I$89,7,0))</f>
        <v>0</v>
      </c>
      <c r="DY28" s="16">
        <f>IF(ISNA(VLOOKUP(A28,'Données projet'!$A$165:$I$185,6,0)),0%,VLOOKUP(A28,'Données projet'!$A$165:$I$185,6,0)*VLOOKUP('Données projet'!$B$14,Paramètres!$A$1:$I$89,7,0))</f>
        <v>0</v>
      </c>
      <c r="DZ28" s="16">
        <f>IF(ISNA(VLOOKUP(A28,'Données projet'!$A$165:$I$185,7,0)),0%,VLOOKUP(A28,'Données projet'!$A$165:$I$185,7,0))</f>
        <v>0</v>
      </c>
      <c r="EA28" s="21">
        <f>EXP(-LN(2)/35)*EA27+(1-EXP(-LN(2)/35))/(LN(2)/35)*DW28*DX28*VLOOKUP('Données projet'!$B$14,Paramètres!$A$1:$I$89,3,0)*0.475*44/12</f>
        <v>0</v>
      </c>
      <c r="EB28" s="21">
        <f>EXP(-LN(2)/25)*EB27+(1-EXP(-LN(2)/25))/(LN(2)/25)*Calculateur!DW28*Calculateur!DY28*VLOOKUP('Données projet'!$B$14,Paramètres!$A$1:$I$89,3,0)*0.475*44/12</f>
        <v>1.2152975187703701</v>
      </c>
      <c r="EC28" s="21">
        <f>EXP(-LN(2)/2)*EC27+(1-EXP(-LN(2)/2))/(LN(2)/2)*DW28*DZ28*VLOOKUP('Données projet'!$B$14,Paramètres!$A$1:$I$89,3,0)*0.475*44/12</f>
        <v>0.49177416145592961</v>
      </c>
      <c r="ED28" s="22">
        <f t="shared" si="18"/>
        <v>1.7070716802262997</v>
      </c>
      <c r="EE28" s="75">
        <f>('Scénario référence'!$F$8+'Scénario référence'!$F$9+'Scénario référence'!$B$17+'Scénario référence'!$B$9+'Scénario référence'!$B$10)*70+IF((45+25*(1-EXP(-0.0175*A28)))&lt;70,'Scénario référence'!$B$16*(45+25*(1-EXP(-0.0175*A28))),70*'Scénario référence'!$B$16)+IF((32+38*(1-EXP(-0.0175*A28)))&lt;70,'Scénario référence'!$B$18*(32+38*(1-EXP(-0.0175*A28))),70*'Scénario référence'!$B$18)</f>
        <v>70</v>
      </c>
      <c r="EF28" s="12">
        <f>IF(A28&gt;30,10,('Scénario référence'!$B$16+'Scénario référence'!$B$17+'Scénario référence'!$B$18+'Scénario référence'!$B$9+'Scénario référence'!$B$10)*A28*10/30+('Scénario référence'!$F$8+'Scénario référence'!$F$9)*10)</f>
        <v>10</v>
      </c>
      <c r="EG28" s="12" t="e">
        <f>VLOOKUP(A28,'Données projet'!$A$191:$I$211,2,0)</f>
        <v>#N/A</v>
      </c>
      <c r="EH28" s="12" t="e">
        <f>VLOOKUP(A28,'Données projet'!$A$191:$I$211,9,0)</f>
        <v>#N/A</v>
      </c>
      <c r="EI28" s="12">
        <f t="array" ref="EI28">INDEX(EH:EH,MIN(IF(ISNUMBER(EH28:EH224),ROW(EH28:EH224),"")))</f>
        <v>7</v>
      </c>
      <c r="EJ28" s="12">
        <f>IF('Données projet'!$A$192&gt;35,EJ27+EI28-ER27,IF(A28&lt;'Données projet'!$A$192,$EG$205^A28,IF(A28='Données projet'!$A$192,'Données projet'!$B$192,EJ27+EI28-ER27)))</f>
        <v>99.999999999999986</v>
      </c>
      <c r="EK28" s="17">
        <f>EJ28*VLOOKUP('Données projet'!$B$15,Paramètres!$A$1:$I$89,3,0)*VLOOKUP('Données projet'!$B$15,Paramètres!$A$1:$I$89,5,0)</f>
        <v>81.11999999999999</v>
      </c>
      <c r="EL28" s="13">
        <f t="shared" si="45"/>
        <v>22.410807975569174</v>
      </c>
      <c r="EM28" s="20">
        <f t="shared" si="19"/>
        <v>180.3161572241163</v>
      </c>
      <c r="EN28" s="59">
        <f t="shared" si="20"/>
        <v>473.64949055744961</v>
      </c>
      <c r="EO28" s="59">
        <f ca="1">AVERAGE(OFFSET($EN$3,0,0,'Données projet'!$E$15+1,1))-AVERAGE(OFFSET($H$3,0,0,'Données projet'!$E$15+1,1))</f>
        <v>205.5272583787887</v>
      </c>
      <c r="EP28" s="59">
        <f t="shared" si="46"/>
        <v>180.54762778843178</v>
      </c>
      <c r="EQ28" s="15">
        <f>IF(ISNA(VLOOKUP(A28,'Données projet'!$A$191:$I$211,3,0)),0,VLOOKUP(A28,'Données projet'!$A$191:$I$211,3,0))</f>
        <v>0</v>
      </c>
      <c r="ER28" s="15">
        <f>IF(ISNA(VLOOKUP(A28,'Données projet'!$A$191:$I$211,4,0)),0,VLOOKUP(A28,'Données projet'!$A$191:$I$211,4,0))</f>
        <v>0</v>
      </c>
      <c r="ES28" s="16">
        <f>IF(ISNA(VLOOKUP(A28,'Données projet'!$A$191:$I$211,5,0)),0%,VLOOKUP(A28,'Données projet'!$A$191:$I$211,5,0)*VLOOKUP('Données projet'!$B$15,Paramètres!$A$1:$I$89,7,0))</f>
        <v>0</v>
      </c>
      <c r="ET28" s="16">
        <f>IF(ISNA(VLOOKUP(A28,'Données projet'!$A$191:$I$211,6,0)),0%,VLOOKUP(A28,'Données projet'!$A$191:$I$211,6,0)*VLOOKUP('Données projet'!$B$15,Paramètres!$A$1:$I$89,7,0))</f>
        <v>0</v>
      </c>
      <c r="EU28" s="16">
        <f>IF(ISNA(VLOOKUP(A28,'Données projet'!$A$191:$I$211,7,0)),0%,VLOOKUP(A28,'Données projet'!$A$191:$I$211,7,0))</f>
        <v>0</v>
      </c>
      <c r="EV28" s="21">
        <f>EXP(-LN(2)/35)*EV27+(1-EXP(-LN(2)/35))/(LN(2)/35)*ER28*ES28*VLOOKUP('Données projet'!$B$15,Paramètres!$A$1:$I$89,3,0)*0.475*44/12</f>
        <v>0</v>
      </c>
      <c r="EW28" s="21">
        <f>EXP(-LN(2)/25)*EW27+(1-EXP(-LN(2)/25))/(LN(2)/25)*Calculateur!ER28*Calculateur!ET28*VLOOKUP('Données projet'!$B$15,Paramètres!$A$1:$I$89,3,0)*0.475*44/12</f>
        <v>1.5046540708585532</v>
      </c>
      <c r="EX28" s="21">
        <f>EXP(-LN(2)/2)*EX27+(1-EXP(-LN(2)/2))/(LN(2)/2)*ER28*EU28*VLOOKUP('Données projet'!$B$15,Paramètres!$A$1:$I$89,3,0)*0.475*44/12</f>
        <v>0.60886324751686516</v>
      </c>
      <c r="EY28" s="22">
        <f t="shared" si="21"/>
        <v>2.1135173183754183</v>
      </c>
      <c r="EZ28" s="75">
        <f>('Scénario référence'!$F$8+'Scénario référence'!$F$9+'Scénario référence'!$B$17+'Scénario référence'!$B$9+'Scénario référence'!$B$10)*70+IF((45+25*(1-EXP(-0.0175*A28)))&lt;70,'Scénario référence'!$B$16*(45+25*(1-EXP(-0.0175*A28))),70*'Scénario référence'!$B$16)+IF((32+38*(1-EXP(-0.0175*A28)))&lt;70,'Scénario référence'!$B$18*(32+38*(1-EXP(-0.0175*A28))),70*'Scénario référence'!$B$18)</f>
        <v>70</v>
      </c>
      <c r="FA28" s="12">
        <f>IF(A28&gt;30,10,('Scénario référence'!$B$16+'Scénario référence'!$B$17+'Scénario référence'!$B$18+'Scénario référence'!$B$9+'Scénario référence'!$B$10)*A28*10/30+('Scénario référence'!$F$8+'Scénario référence'!$F$9)*10)</f>
        <v>10</v>
      </c>
      <c r="FB28" s="12" t="e">
        <f>VLOOKUP(A28,'Données projet'!$A$217:$I$237,2,0)</f>
        <v>#N/A</v>
      </c>
      <c r="FC28" s="12" t="e">
        <f>VLOOKUP(A28,'Données projet'!$A$217:$I$237,9,0)</f>
        <v>#N/A</v>
      </c>
      <c r="FD28" s="12">
        <f t="array" ref="FD28">INDEX(FC:FC,MIN(IF(ISNUMBER(FC28:FC224),ROW(FC28:FC224),"")))</f>
        <v>9.1</v>
      </c>
      <c r="FE28" s="12">
        <f>IF('Données projet'!$A$218&gt;35,FE27+FD28-FM27,IF(A28&lt;'Données projet'!$A$218,$FB$205^A28,IF(A28='Données projet'!$A$218,'Données projet'!$B$218,FE27+FD28-FM27)))</f>
        <v>94.499999999999986</v>
      </c>
      <c r="FF28" s="17">
        <f>FE28*VLOOKUP('Données projet'!$B$16,Paramètres!$A$1:$I$89,3,0)*VLOOKUP('Données projet'!$B$16,Paramètres!$A$1:$I$89,5,0)</f>
        <v>81.080999999999989</v>
      </c>
      <c r="FG28" s="13">
        <f t="shared" si="47"/>
        <v>22.401287425517783</v>
      </c>
      <c r="FH28" s="20">
        <f t="shared" si="22"/>
        <v>180.23165059944344</v>
      </c>
      <c r="FI28" s="59">
        <f t="shared" si="23"/>
        <v>473.56498393277673</v>
      </c>
      <c r="FJ28" s="59">
        <f ca="1">AVERAGE(OFFSET($FI$3,0,0,'Données projet'!$E$16+1,1))-AVERAGE(OFFSET($H$3,0,0,'Données projet'!$E$16+1,1))</f>
        <v>383.97627237444709</v>
      </c>
      <c r="FK28" s="59">
        <f t="shared" si="48"/>
        <v>203.35476578922339</v>
      </c>
      <c r="FL28" s="15">
        <f>IF(ISNA(VLOOKUP(A28,'Données projet'!$A$217:$I$237,3,0)),0,VLOOKUP(A28,'Données projet'!$A$217:$I$237,3,0))</f>
        <v>0</v>
      </c>
      <c r="FM28" s="15">
        <f>IF(ISNA(VLOOKUP(A28,'Données projet'!$A$217:$I$237,4,0)),0,VLOOKUP(A28,'Données projet'!$A$217:$I$237,4,0))</f>
        <v>0</v>
      </c>
      <c r="FN28" s="16">
        <f>IF(ISNA(VLOOKUP(A28,'Données projet'!$A$217:$I$237,5,0)),0%,VLOOKUP(A28,'Données projet'!$A$217:$I$237,5,0)*VLOOKUP('Données projet'!$B$16,Paramètres!$A$1:$I$89,7,0))</f>
        <v>0</v>
      </c>
      <c r="FO28" s="16">
        <f>IF(ISNA(VLOOKUP(A28,'Données projet'!$A$217:$I$237,6,0)),0%,VLOOKUP(A28,'Données projet'!$A$217:$I$237,6,0)*VLOOKUP('Données projet'!$B$16,Paramètres!$A$1:$I$89,7,0))</f>
        <v>0</v>
      </c>
      <c r="FP28" s="16">
        <f>IF(ISNA(VLOOKUP(A28,'Données projet'!$A$217:$I$237,7,0)),0%,VLOOKUP(A28,'Données projet'!$A$217:$I$237,7,0))</f>
        <v>0</v>
      </c>
      <c r="FQ28" s="21">
        <f>EXP(-LN(2)/35)*FQ27+(1-EXP(-LN(2)/35))/(LN(2)/35)*FM28*FN28*VLOOKUP('Données projet'!$B$16,Paramètres!$A$1:$I$89,3,0)*0.475*44/12</f>
        <v>0</v>
      </c>
      <c r="FR28" s="21">
        <f>EXP(-LN(2)/25)*FR27+(1-EXP(-LN(2)/25))/(LN(2)/25)*Calculateur!FM28*Calculateur!FO28*VLOOKUP('Données projet'!$B$16,Paramètres!$A$1:$I$89,3,0)*0.475*44/12</f>
        <v>0.87180811300987537</v>
      </c>
      <c r="FS28" s="21">
        <f>EXP(-LN(2)/2)*FS27+(1-EXP(-LN(2)/2))/(LN(2)/2)*FM28*FP28*VLOOKUP('Données projet'!$B$16,Paramètres!$A$1:$I$89,3,0)*0.475*44/12</f>
        <v>0.28621776592673148</v>
      </c>
      <c r="FT28" s="22">
        <f t="shared" si="24"/>
        <v>1.1580258789366069</v>
      </c>
      <c r="FU28" s="75">
        <f>('Scénario référence'!$F$8+'Scénario référence'!$F$9+'Scénario référence'!$B$17+'Scénario référence'!$B$9+'Scénario référence'!$B$10)*70+IF((45+25*(1-EXP(-0.0175*A28)))&lt;70,'Scénario référence'!$B$16*(45+25*(1-EXP(-0.0175*A28))),70*'Scénario référence'!$B$16)+IF((32+38*(1-EXP(-0.0175*A28)))&lt;70,'Scénario référence'!$B$18*(32+38*(1-EXP(-0.0175*A28))),70*'Scénario référence'!$B$18)</f>
        <v>70</v>
      </c>
      <c r="FV28" s="12">
        <f>IF(A28&gt;30,10,('Scénario référence'!$B$16+'Scénario référence'!$B$17+'Scénario référence'!$B$18+'Scénario référence'!$B$9+'Scénario référence'!$B$10)*A28*10/30+('Scénario référence'!$F$8+'Scénario référence'!$F$9)*10)</f>
        <v>10</v>
      </c>
      <c r="FW28" s="12" t="e">
        <f>VLOOKUP(A28,'Données projet'!$A$243:$I$263,2,0)</f>
        <v>#N/A</v>
      </c>
      <c r="FX28" s="12" t="e">
        <f>VLOOKUP(A28,'Données projet'!$A$243:$I$263,9,0)</f>
        <v>#N/A</v>
      </c>
      <c r="FY28" s="12">
        <f t="array" ref="FY28">INDEX(FX:FX,MIN(IF(ISNUMBER(FX28:FX224),ROW(FX28:FX224),"")))</f>
        <v>4.0628205128205126</v>
      </c>
      <c r="FZ28" s="12">
        <f>IF('Données projet'!$A$244&gt;35,FZ27+FY28-GH27,IF(A28&lt;'Données projet'!$A$244,$FW$205^A28,IF(A28='Données projet'!$A$244,'Données projet'!$B$244,FZ27+FY28-GH27)))</f>
        <v>54.738229068051083</v>
      </c>
      <c r="GA28" s="17">
        <f>FZ28*VLOOKUP('Données projet'!$B$17,Paramètres!$A$1:$I$89,3,0)*VLOOKUP('Données projet'!$B$17,Paramètres!$A$1:$I$89,5,0)</f>
        <v>58.920229768850184</v>
      </c>
      <c r="GB28" s="13">
        <f t="shared" si="49"/>
        <v>16.894981353213087</v>
      </c>
      <c r="GC28" s="20">
        <f t="shared" si="25"/>
        <v>132.04482603759354</v>
      </c>
      <c r="GD28" s="59">
        <f t="shared" si="26"/>
        <v>425.37815937092682</v>
      </c>
      <c r="GE28" s="59">
        <f ca="1">AVERAGE(OFFSET($GD$3,0,0,'Données projet'!$E$17+1,1))-AVERAGE(OFFSET($H$3,0,0,'Données projet'!$E$17+1,1))</f>
        <v>286.77702855541287</v>
      </c>
      <c r="GF28" s="59">
        <f t="shared" si="50"/>
        <v>227.12211541860779</v>
      </c>
      <c r="GG28" s="15">
        <f>IF(ISNA(VLOOKUP(A28,'Données projet'!$A$243:$I$263,3,0)),0,VLOOKUP(A28,'Données projet'!$A$243:$I$263,3,0))</f>
        <v>0</v>
      </c>
      <c r="GH28" s="15">
        <f>IF(ISNA(VLOOKUP(A28,'Données projet'!$A$243:$I$263,4,0)),0,VLOOKUP(A28,'Données projet'!$A$243:$I$263,4,0))</f>
        <v>0</v>
      </c>
      <c r="GI28" s="16">
        <f>IF(ISNA(VLOOKUP(A28,'Données projet'!$A$243:$I$263,5,0)),0%,VLOOKUP(A28,'Données projet'!$A$243:$I$263,5,0)*VLOOKUP('Données projet'!$B$17,Paramètres!$A$1:$I$89,7,0))</f>
        <v>0</v>
      </c>
      <c r="GJ28" s="16">
        <f>IF(ISNA(VLOOKUP(A28,'Données projet'!$A$243:$I$263,6,0)),0%,VLOOKUP(A28,'Données projet'!$A$243:$I$263,6,0)*VLOOKUP('Données projet'!$B$17,Paramètres!$A$1:$I$89,7,0))</f>
        <v>0</v>
      </c>
      <c r="GK28" s="16">
        <f>IF(ISNA(VLOOKUP(A28,'Données projet'!$A$243:$I$263,7,0)),0%,VLOOKUP(A28,'Données projet'!$A$243:$I$263,7,0))</f>
        <v>0</v>
      </c>
      <c r="GL28" s="21">
        <f>EXP(-LN(2)/35)*GL27+(1-EXP(-LN(2)/35))/(LN(2)/35)*GH28*GI28*VLOOKUP('Données projet'!$B$17,Paramètres!$A$1:$I$89,3,0)*0.475*44/12</f>
        <v>0</v>
      </c>
      <c r="GM28" s="21">
        <f>EXP(-LN(2)/25)*GM27+(1-EXP(-LN(2)/25))/(LN(2)/25)*Calculateur!GH28*Calculateur!GJ28*VLOOKUP('Données projet'!$B$17,Paramètres!$A$1:$I$89,3,0)*0.475*44/12</f>
        <v>0</v>
      </c>
      <c r="GN28" s="21">
        <f>EXP(-LN(2)/2)*GN27+(1-EXP(-LN(2)/2))/(LN(2)/2)*GH28*GK28*VLOOKUP('Données projet'!$B$17,Paramètres!$A$1:$I$89,3,0)*0.475*44/12</f>
        <v>0</v>
      </c>
      <c r="GO28" s="21">
        <f t="shared" si="27"/>
        <v>0</v>
      </c>
      <c r="GP28" s="75">
        <f>('Scénario référence'!$F$8+'Scénario référence'!$F$9+'Scénario référence'!$B$17+'Scénario référence'!$B$9+'Scénario référence'!$B$10)*70+IF((45+25*(1-EXP(-0.0175*A28)))&lt;70,'Scénario référence'!$B$16*(45+25*(1-EXP(-0.0175*A28))),70*'Scénario référence'!$B$16)+IF((32+38*(1-EXP(-0.0175*A28)))&lt;70,'Scénario référence'!$B$18*(32+38*(1-EXP(-0.0175*A28))),70*'Scénario référence'!$B$18)</f>
        <v>70</v>
      </c>
      <c r="GQ28" s="12">
        <f>IF(A28&gt;30,10,('Scénario référence'!$B$16+'Scénario référence'!$B$17+'Scénario référence'!$B$18+'Scénario référence'!$B$9+'Scénario référence'!$B$10)*A28*10/30+('Scénario référence'!$F$8+'Scénario référence'!$F$9)*10)</f>
        <v>10</v>
      </c>
      <c r="GR28" s="12" t="e">
        <f>VLOOKUP(A28,'Données projet'!$A$269:$I$289,2,0)</f>
        <v>#N/A</v>
      </c>
      <c r="GS28" s="12" t="e">
        <f>VLOOKUP(A28,'Données projet'!$A$269:$I$289,9,0)</f>
        <v>#N/A</v>
      </c>
      <c r="GT28" s="12">
        <f t="array" ref="GT28">INDEX(GS:GS,MIN(IF(ISNUMBER(GS28:GS224),ROW(GS28:GS224),"")))</f>
        <v>4.0628205128205126</v>
      </c>
      <c r="GU28" s="12">
        <f>IF('Données projet'!$A$270&gt;35,GU27+GT28-HC27,IF(A28&lt;'Données projet'!$A$270,$GR$205^A28,IF(A28='Données projet'!$A$270,'Données projet'!$B$270,GU27+GT28-HC27)))</f>
        <v>54.738229068051083</v>
      </c>
      <c r="GV28" s="17">
        <f>GU28*VLOOKUP('Données projet'!$B$18,Paramètres!$A$1:$I$89,3,0)*VLOOKUP('Données projet'!$B$18,Paramètres!$A$1:$I$89,5,0)</f>
        <v>58.920229768850184</v>
      </c>
      <c r="GW28" s="13">
        <f t="shared" si="51"/>
        <v>16.894981353213087</v>
      </c>
      <c r="GX28" s="20">
        <f t="shared" si="28"/>
        <v>132.04482603759354</v>
      </c>
      <c r="GY28" s="59">
        <f t="shared" si="29"/>
        <v>425.37815937092682</v>
      </c>
      <c r="GZ28" s="59">
        <f ca="1">AVERAGE(OFFSET($GY$3,0,0,'Données projet'!$E$18+1,1))-AVERAGE(OFFSET($H$3,0,0,'Données projet'!$E$18+1,1))</f>
        <v>286.77702855541287</v>
      </c>
      <c r="HA28" s="59">
        <f t="shared" si="52"/>
        <v>227.12211541860779</v>
      </c>
      <c r="HB28" s="15">
        <f>IF(ISNA(VLOOKUP(A28,'Données projet'!$A$269:$I$289,3,0)),0,VLOOKUP(A28,'Données projet'!$A$269:$I$289,3,0))</f>
        <v>0</v>
      </c>
      <c r="HC28" s="15">
        <f>IF(ISNA(VLOOKUP(A28,'Données projet'!$A$269:$I$289,4,0)),0,VLOOKUP(A28,'Données projet'!$A$269:$I$289,4,0))</f>
        <v>0</v>
      </c>
      <c r="HD28" s="16">
        <f>IF(ISNA(VLOOKUP(A28,'Données projet'!$A$269:$I$289,5,0)),0%,VLOOKUP(A28,'Données projet'!$A$269:$I$289,5,0)*VLOOKUP('Données projet'!$B$18,Paramètres!$A$1:$I$89,7,0))</f>
        <v>0</v>
      </c>
      <c r="HE28" s="16">
        <f>IF(ISNA(VLOOKUP(A28,'Données projet'!$A$269:$I$289,6,0)),0%,VLOOKUP(A28,'Données projet'!$A$269:$I$289,6,0)*VLOOKUP('Données projet'!$B$18,Paramètres!$A$1:$I$89,7,0))</f>
        <v>0</v>
      </c>
      <c r="HF28" s="16">
        <f>IF(ISNA(VLOOKUP(A28,'Données projet'!$A$269:$I$289,7,0)),0%,VLOOKUP(A28,'Données projet'!$A$269:$I$289,7,0))</f>
        <v>0</v>
      </c>
      <c r="HG28" s="21">
        <f>EXP(-LN(2)/35)*HG27+(1-EXP(-LN(2)/35))/(LN(2)/35)*HC28*HD28*VLOOKUP('Données projet'!$B$18,Paramètres!$A$1:$I$89,3,0)*0.475*44/12</f>
        <v>0</v>
      </c>
      <c r="HH28" s="21">
        <f>EXP(-LN(2)/25)*HH27+(1-EXP(-LN(2)/25))/(LN(2)/25)*Calculateur!HC28*Calculateur!HE28*VLOOKUP('Données projet'!$B$18,Paramètres!$A$1:$I$89,3,0)*0.475*44/12</f>
        <v>0</v>
      </c>
      <c r="HI28" s="21">
        <f>EXP(-LN(2)/2)*HI27+(1-EXP(-LN(2)/2))/(LN(2)/2)*HC28*HF28*VLOOKUP('Données projet'!$B$18,Paramètres!$A$1:$I$89,3,0)*0.475*44/12</f>
        <v>0</v>
      </c>
      <c r="HJ28" s="22">
        <f t="shared" si="30"/>
        <v>0</v>
      </c>
    </row>
    <row r="29" spans="1:218" x14ac:dyDescent="0.25">
      <c r="A29" s="10">
        <f t="shared" si="31"/>
        <v>26</v>
      </c>
      <c r="B29" s="73">
        <f>'Scénario référence'!$B$16*5+'Scénario référence'!$B$17*0+'Scénario référence'!$B$18*5</f>
        <v>0</v>
      </c>
      <c r="C29" s="19">
        <f>Calculateur!C28+'Scénario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23.119199999999996</v>
      </c>
      <c r="D29" s="11">
        <f t="shared" si="32"/>
        <v>7.3919399937804329</v>
      </c>
      <c r="E2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9" s="11">
        <f>IF(OR('Scénario référence'!$F$8&gt;0,'Scénario référence'!$F$9&gt;0),('Scénario référence'!$F$8+'Scénario référence'!$F$9)*10,0)</f>
        <v>10</v>
      </c>
      <c r="G29" s="11">
        <f>'Scénario référence'!$B$8*B29*44/12+'Scénario référence'!$B$9*(C29+D29)/0.475*44/12+'Scénario référence'!$B$10*(C29+D29)/0.475*44/12+'Scénario référence'!$F$8*(C29+D29)/0.475*44/12+'Scénario référence'!$F$9*(C29+D29)/0.475*44/12</f>
        <v>235.5245894256735</v>
      </c>
      <c r="H29" s="67">
        <f t="shared" si="1"/>
        <v>346.47356882250091</v>
      </c>
      <c r="I29" s="70">
        <f>('Scénario référence'!$F$8+'Scénario référence'!$F$9+'Scénario référence'!$B$17+'Scénario référence'!$B$9+'Scénario référence'!$B$10)*70+IF((45+25*(1-EXP(-0.0175*A29)))&lt;70,'Scénario référence'!$B$16*(45+25*(1-EXP(-0.0175*A29))),70*'Scénario référence'!$B$16)+IF((32+38*(1-EXP(-0.0175*A29)))&lt;70,'Scénario référence'!$B$18*(32+38*(1-EXP(-0.0175*A29))),70*'Scénario référence'!$B$18)</f>
        <v>70</v>
      </c>
      <c r="J29" s="13">
        <f>IF(A29&gt;30,10,('Scénario référence'!$B$16+'Scénario référence'!$B$17+'Scénario référence'!$B$18+'Scénario référence'!$B$9+'Scénario référence'!$B$10)*A29*10/30+('Scénario référence'!$F$8+'Scénario référence'!$F$9)*10)</f>
        <v>10</v>
      </c>
      <c r="K29" s="12" t="e">
        <f>VLOOKUP(A29,'Données projet'!$A$35:$I$55,2,0)</f>
        <v>#N/A</v>
      </c>
      <c r="L29" s="12" t="e">
        <f>VLOOKUP(A29,'Données projet'!$A$35:$I$55,9,0)</f>
        <v>#N/A</v>
      </c>
      <c r="M29" s="12">
        <f t="array" ref="M29">INDEX(L:L,MIN(IF(ISNUMBER(L29:L225),ROW(L29:L225),"")))</f>
        <v>22.828205128205127</v>
      </c>
      <c r="N29" s="13">
        <f>IF('Données projet'!$A$36&gt;35,N28+M29-V28,IF(A29&lt;'Données projet'!$A$36,$K$205^A29,IF(A29='Données projet'!$A$36,'Données projet'!$B$36,N28+M29-V28)))</f>
        <v>240.55641025641015</v>
      </c>
      <c r="O29" s="13">
        <f>N29*VLOOKUP('Données projet'!$B$9,Paramètres!$A$1:$I$89,3,0)*VLOOKUP('Données projet'!$B$9,Paramètres!$A$1:$I$89,5,0)</f>
        <v>134.47103333333328</v>
      </c>
      <c r="P29" s="13">
        <f t="shared" si="33"/>
        <v>35.027441907439481</v>
      </c>
      <c r="Q29" s="20">
        <f t="shared" si="2"/>
        <v>295.20984437767919</v>
      </c>
      <c r="R29" s="59">
        <f t="shared" si="0"/>
        <v>588.5431777110125</v>
      </c>
      <c r="S29" s="59">
        <f ca="1">AVERAGE(OFFSET($R$3,0,0,'Données projet'!$E$9+1,1))-AVERAGE(OFFSET($H$3,0,0,'Données projet'!$E$9+1,1))</f>
        <v>255.5374979188561</v>
      </c>
      <c r="T29" s="59">
        <f t="shared" si="34"/>
        <v>343.10418468620901</v>
      </c>
      <c r="U29" s="15">
        <f>IF(ISNA(VLOOKUP(A29,'Données projet'!$A$35:$I$55,3,0)),0,VLOOKUP(A29,'Données projet'!$A$35:$I$55,3,0))</f>
        <v>0</v>
      </c>
      <c r="V29" s="15">
        <f>IF(ISNA(VLOOKUP(A29,'Données projet'!$A$35:$I$55,4,0)),0,VLOOKUP(A29,'Données projet'!$A$35:$I$55,4,0))</f>
        <v>0</v>
      </c>
      <c r="W29" s="16">
        <f>IF(ISNA(VLOOKUP(A29,'Données projet'!$A$35:$I$55,5,0)),0%,VLOOKUP(A29,'Données projet'!$A$35:$I$55,5,0)*VLOOKUP('Données projet'!$B$9,Paramètres!$A$1:$I$89,7,0))</f>
        <v>0</v>
      </c>
      <c r="X29" s="16">
        <f>IF(ISNA(VLOOKUP(A29,'Données projet'!$A$35:$I$55,6,0)),0%,VLOOKUP(A29,'Données projet'!$A$35:$I$55,6,0)*VLOOKUP('Données projet'!$B$9,Paramètres!$A$1:$I$89,7,0))</f>
        <v>0</v>
      </c>
      <c r="Y29" s="16">
        <f>IF(ISNA(VLOOKUP(A29,'Données projet'!$A$35:$I$55,7,0)),0%,VLOOKUP(A29,'Données projet'!$A$35:$I$55,7,0))</f>
        <v>0</v>
      </c>
      <c r="Z29" s="21">
        <f>EXP(-LN(2)/35)*Z28+(1-EXP(-LN(2)/35))/(LN(2)/35)*V29*W29*VLOOKUP('Données projet'!$B$9,Paramètres!$A$1:$I$89,3,0)*0.475*44/12</f>
        <v>3.3447806983760007</v>
      </c>
      <c r="AA29" s="21">
        <f>EXP(-LN(2)/25)*AA28+(1-EXP(-LN(2)/25))/(LN(2)/25)*Calculateur!V29*Calculateur!X29*VLOOKUP('Données projet'!$B$9,Paramètres!$A$1:$I$89,3,0)*0.475*44/12</f>
        <v>17.832192246548161</v>
      </c>
      <c r="AB29" s="21">
        <f>EXP(-LN(2)/2)*AB28+(1-EXP(-LN(2)/2))/(LN(2)/2)*V29*Y29*VLOOKUP('Données projet'!$B$9,Paramètres!$A$1:$I$89,3,0)*0.475*44/12</f>
        <v>6.7706083178162624</v>
      </c>
      <c r="AC29" s="22">
        <f t="shared" si="3"/>
        <v>27.947581262740421</v>
      </c>
      <c r="AD29" s="13">
        <f>('Scénario référence'!$F$8+'Scénario référence'!$F$9+'Scénario référence'!$B$17+'Scénario référence'!$B$9+'Scénario référence'!$B$10)*70+IF((45+25*(1-EXP(-0.0175*A29)))&lt;70,'Scénario référence'!$B$16*(45+25*(1-EXP(-0.0175*A29))),70*'Scénario référence'!$B$16)+IF((32+38*(1-EXP(-0.0175*A29)))&lt;70,'Scénario référence'!$B$18*(32+38*(1-EXP(-0.0175*A29))),70*'Scénario référence'!$B$18)</f>
        <v>70</v>
      </c>
      <c r="AE29" s="13">
        <f>IF(A29&gt;30,10,('Scénario référence'!$B$16+'Scénario référence'!$B$17+'Scénario référence'!$B$18+'Scénario référence'!$B$9+'Scénario référence'!$B$10)*A29*10/30+('Scénario référence'!$F$8+'Scénario référence'!$F$9)*10)</f>
        <v>10</v>
      </c>
      <c r="AF29" s="12" t="e">
        <f>VLOOKUP(A29,'Données projet'!$A$61:$I$81,2,0)</f>
        <v>#N/A</v>
      </c>
      <c r="AG29" s="12" t="e">
        <f>VLOOKUP(A29,'Données projet'!$A$61:$I$81,9,0)</f>
        <v>#N/A</v>
      </c>
      <c r="AH29" s="12">
        <f t="array" ref="AH29">INDEX(AG:AG,MIN(IF(ISNUMBER(AG29:AG225),ROW(AG29:AG225),"")))</f>
        <v>16.5</v>
      </c>
      <c r="AI29" s="13">
        <f>IF('Données projet'!$A$62&gt;35,AI28+AH29-AQ28,IF(A29&lt;'Données projet'!$A$62,$AF$205^A29,IF(A29='Données projet'!$A$62,'Données projet'!$B$62,AI28+AH29-AQ28)))</f>
        <v>197</v>
      </c>
      <c r="AJ29" s="13">
        <f>AI29*VLOOKUP('Données projet'!$B$10,Paramètres!$A$1:$I$89,3,0)*VLOOKUP('Données projet'!$B$10,Paramètres!$A$1:$I$89,5,0)</f>
        <v>122.92800000000001</v>
      </c>
      <c r="AK29" s="13">
        <f t="shared" si="35"/>
        <v>32.356946120737945</v>
      </c>
      <c r="AL29" s="20">
        <f t="shared" si="4"/>
        <v>270.45461449361864</v>
      </c>
      <c r="AM29" s="59">
        <f t="shared" si="5"/>
        <v>563.78794782695195</v>
      </c>
      <c r="AN29" s="59">
        <f ca="1">AVERAGE(OFFSET($AM$3,0,0,'Données projet'!$E$10+1,1))-AVERAGE(OFFSET($H$3,0,0,'Données projet'!$E$10+1,1))</f>
        <v>261.78489480911571</v>
      </c>
      <c r="AO29" s="59">
        <f t="shared" si="36"/>
        <v>297.50513563712764</v>
      </c>
      <c r="AP29" s="15">
        <f>IF(ISNA(VLOOKUP(A29,'Données projet'!$A$61:$I$81,3,0)),0,VLOOKUP(A29,'Données projet'!$A$61:$I$81,3,0))</f>
        <v>0</v>
      </c>
      <c r="AQ29" s="15">
        <f>IF(ISNA(VLOOKUP(A29,'Données projet'!$A$61:$I$81,4,0)),0,VLOOKUP(A29,'Données projet'!$A$61:$I$81,4,0))</f>
        <v>0</v>
      </c>
      <c r="AR29" s="16">
        <f>IF(ISNA(VLOOKUP(A29,'Données projet'!$A$61:$I$81,5,0)),0%,VLOOKUP(A29,'Données projet'!$A$61:$I$81,5,0)*VLOOKUP('Données projet'!$B$10,Paramètres!$A$1:$I$89,7,0))</f>
        <v>0</v>
      </c>
      <c r="AS29" s="16">
        <f>IF(ISNA(VLOOKUP(A29,'Données projet'!$A$61:$I$81,6,0)),0%,VLOOKUP(A29,'Données projet'!$A$61:$I$81,6,0)*VLOOKUP('Données projet'!$B$10,Paramètres!$A$1:$I$89,7,0))</f>
        <v>0</v>
      </c>
      <c r="AT29" s="16">
        <f>IF(ISNA(VLOOKUP(A29,'Données projet'!$A$61:$I$81,7,0)),0%,VLOOKUP(A29,'Données projet'!$A$61:$I$81,7,0))</f>
        <v>0</v>
      </c>
      <c r="AU29" s="21">
        <f>EXP(-LN(2)/35)*AU28+(1-EXP(-LN(2)/35))/(LN(2)/35)*AQ29*AR29*VLOOKUP('Données projet'!$B$10,Paramètres!$A$1:$I$89,3,0)*0.475*44/12</f>
        <v>0</v>
      </c>
      <c r="AV29" s="21">
        <f>EXP(-LN(2)/25)*AV28+(1-EXP(-LN(2)/25))/(LN(2)/25)*Calculateur!AQ29*Calculateur!AS29*VLOOKUP('Données projet'!$B$10,Paramètres!$A$1:$I$89,3,0)*0.475*44/12</f>
        <v>12.566805519839205</v>
      </c>
      <c r="AW29" s="21">
        <f>EXP(-LN(2)/2)*AW28+(1-EXP(-LN(2)/2))/(LN(2)/2)*AQ29*AT29*VLOOKUP('Données projet'!$B$10,Paramètres!$A$1:$I$89,3,0)*0.475*44/12</f>
        <v>2.6494235762119311</v>
      </c>
      <c r="AX29" s="21">
        <f t="shared" si="6"/>
        <v>15.216229096051137</v>
      </c>
      <c r="AY29" s="74">
        <f>('Scénario référence'!$F$8+'Scénario référence'!$F$9+'Scénario référence'!$B$17+'Scénario référence'!$B$9+'Scénario référence'!$B$10)*70+IF((45+25*(1-EXP(-0.0175*A29)))&lt;70,'Scénario référence'!$B$16*(45+25*(1-EXP(-0.0175*A29))),70*'Scénario référence'!$B$16)+IF((32+38*(1-EXP(-0.0175*A29)))&lt;70,'Scénario référence'!$B$18*(32+38*(1-EXP(-0.0175*A29))),70*'Scénario référence'!$B$18)</f>
        <v>70</v>
      </c>
      <c r="AZ29" s="12">
        <f>IF(A29&gt;30,10,('Scénario référence'!$B$16+'Scénario référence'!$B$17+'Scénario référence'!$B$18+'Scénario référence'!$B$9+'Scénario référence'!$B$10)*A29*10/30+('Scénario référence'!$F$8+'Scénario référence'!$F$9)*10)</f>
        <v>10</v>
      </c>
      <c r="BA29" s="12" t="e">
        <f>VLOOKUP(A29,'Données projet'!$A$87:$I$107,2,0)</f>
        <v>#N/A</v>
      </c>
      <c r="BB29" s="12" t="e">
        <f>VLOOKUP(A29,'Données projet'!$A$87:$I$107,9,0)</f>
        <v>#N/A</v>
      </c>
      <c r="BC29" s="12">
        <f t="array" ref="BC29">INDEX(BB:BB,MIN(IF(ISNUMBER(BB29:BB225),ROW(BB29:BB225),"")))</f>
        <v>15.3</v>
      </c>
      <c r="BD29" s="12">
        <f>IF('Données projet'!$A$88&gt;35,BD28+BC29-BL28,IF(A29&lt;'Données projet'!$A$88,$BA$205^A29,IF(A29='Données projet'!$A$88,'Données projet'!$B$88,BD28+BC29-BL28)))</f>
        <v>168.8</v>
      </c>
      <c r="BE29" s="13">
        <f>BD29*VLOOKUP('Données projet'!$B$11,Paramètres!$A$1:$I$89,3,0)*VLOOKUP('Données projet'!$B$11,Paramètres!$A$1:$I$89,5,0)</f>
        <v>100.94240000000002</v>
      </c>
      <c r="BF29" s="13">
        <f t="shared" si="37"/>
        <v>27.186388642071154</v>
      </c>
      <c r="BG29" s="20">
        <f t="shared" si="7"/>
        <v>223.15764021827397</v>
      </c>
      <c r="BH29" s="59">
        <f t="shared" si="8"/>
        <v>516.49097355160734</v>
      </c>
      <c r="BI29" s="59">
        <f ca="1">AVERAGE(OFFSET($BH$3,0,0,'Données projet'!$E$11+1,1))-AVERAGE(OFFSET($H$3,0,0,'Données projet'!$E$11+1,1))</f>
        <v>316.58509520829671</v>
      </c>
      <c r="BJ29" s="59">
        <f t="shared" si="38"/>
        <v>240.71332110643596</v>
      </c>
      <c r="BK29" s="15">
        <f>IF(ISNA(VLOOKUP(A29,'Données projet'!$A$87:$I$107,3,0)),0,VLOOKUP(A29,'Données projet'!$A$87:$I$107,3,0))</f>
        <v>0</v>
      </c>
      <c r="BL29" s="15">
        <f>IF(ISNA(VLOOKUP(A29,'Données projet'!$A$87:$I$107,4,0)),0,VLOOKUP(A29,'Données projet'!$A$87:$I$107,4,0))</f>
        <v>0</v>
      </c>
      <c r="BM29" s="16">
        <f>IF(ISNA(VLOOKUP(A29,'Données projet'!$A$87:$I$107,5,0)),0%,VLOOKUP(A29,'Données projet'!$A$87:$I$107,5,0)*VLOOKUP('Données projet'!$B$11,Paramètres!$A$1:$I$89,7,0))</f>
        <v>0</v>
      </c>
      <c r="BN29" s="16">
        <f>IF(ISNA(VLOOKUP(A29,'Données projet'!$A$87:$I$107,6,0)),0%,VLOOKUP(A29,'Données projet'!$A$87:$I$107,6,0)*VLOOKUP('Données projet'!$B$11,Paramètres!$A$1:$I$89,7,0))</f>
        <v>0</v>
      </c>
      <c r="BO29" s="16">
        <f>IF(ISNA(VLOOKUP(A29,'Données projet'!$A$87:$I$107,7,0)),0%,VLOOKUP(A29,'Données projet'!$A$87:$I$107,7,0))</f>
        <v>0</v>
      </c>
      <c r="BP29" s="21">
        <f>EXP(-LN(2)/35)*BP28+(1-EXP(-LN(2)/35))/(LN(2)/35)*BL29*BM29*VLOOKUP('Données projet'!$B$11,Paramètres!$A$1:$I$89,3,0)*0.475*44/12</f>
        <v>0</v>
      </c>
      <c r="BQ29" s="21">
        <f>EXP(-LN(2)/25)*BQ28+(1-EXP(-LN(2)/25))/(LN(2)/25)*Calculateur!BL29*Calculateur!BN29*VLOOKUP('Données projet'!$B$11,Paramètres!$A$1:$I$89,3,0)*0.475*44/12</f>
        <v>4.3656558759024753</v>
      </c>
      <c r="BR29" s="21">
        <f>EXP(-LN(2)/2)*BR28+(1-EXP(-LN(2)/2))/(LN(2)/2)*BL29*BO29*VLOOKUP('Données projet'!$B$11,Paramètres!$A$1:$I$89,3,0)*0.475*44/12</f>
        <v>1.2271982814814983</v>
      </c>
      <c r="BS29" s="22">
        <f t="shared" si="9"/>
        <v>5.5928541573839734</v>
      </c>
      <c r="BT29" s="75">
        <f>('Scénario référence'!$F$8+'Scénario référence'!$F$9+'Scénario référence'!$B$17+'Scénario référence'!$B$9+'Scénario référence'!$B$10)*70+IF((45+25*(1-EXP(-0.0175*A29)))&lt;70,'Scénario référence'!$B$16*(45+25*(1-EXP(-0.0175*A29))),70*'Scénario référence'!$B$16)+IF((32+38*(1-EXP(-0.0175*A29)))&lt;70,'Scénario référence'!$B$18*(32+38*(1-EXP(-0.0175*A29))),70*'Scénario référence'!$B$18)</f>
        <v>70</v>
      </c>
      <c r="BU29" s="12">
        <f>IF(A29&gt;30,10,('Scénario référence'!$B$16+'Scénario référence'!$B$17+'Scénario référence'!$B$18+'Scénario référence'!$B$9+'Scénario référence'!$B$10)*A29*10/30+('Scénario référence'!$F$8+'Scénario référence'!$F$9)*10)</f>
        <v>10</v>
      </c>
      <c r="BV29" s="12" t="e">
        <f>VLOOKUP(A29,'Données projet'!$A$113:$I$133,2,0)</f>
        <v>#N/A</v>
      </c>
      <c r="BW29" s="12" t="e">
        <f>VLOOKUP(A29,'Données projet'!$A$113:$I$133,9,0)</f>
        <v>#N/A</v>
      </c>
      <c r="BX29" s="12">
        <f t="array" ref="BX29">INDEX(BW:BW,MIN(IF(ISNUMBER(BW29:BW225),ROW(BW29:BW225),"")))</f>
        <v>13.7</v>
      </c>
      <c r="BY29" s="12">
        <f>IF('Données projet'!$A$114&gt;35,BY28+BX29-CG28,IF(A29&lt;'Données projet'!$A$114,$BV$205^A29,IF(A29='Données projet'!$A$114,'Données projet'!$B$114,BY28+BX29-CG28)))</f>
        <v>162.19999999999996</v>
      </c>
      <c r="BZ29" s="13">
        <f>BY29*VLOOKUP('Données projet'!$B$12,Paramètres!$A$1:$I$89,3,0)*VLOOKUP('Données projet'!$B$12,Paramètres!$A$1:$I$89,5,0)</f>
        <v>92.778399999999976</v>
      </c>
      <c r="CA29" s="13">
        <f t="shared" si="39"/>
        <v>25.234117842011262</v>
      </c>
      <c r="CB29" s="20">
        <f t="shared" si="10"/>
        <v>205.53846857483623</v>
      </c>
      <c r="CC29" s="59">
        <f t="shared" si="11"/>
        <v>498.87180190816957</v>
      </c>
      <c r="CD29" s="59">
        <f ca="1">AVERAGE(OFFSET($CC$3,0,0,'Données projet'!$E$12+1,1))-AVERAGE(OFFSET($H$3,0,0,'Données projet'!$E$12+1,1))</f>
        <v>188.64374818906128</v>
      </c>
      <c r="CE29" s="59">
        <f t="shared" si="40"/>
        <v>211.95157880548652</v>
      </c>
      <c r="CF29" s="15">
        <f>IF(ISNA(VLOOKUP(A29,'Données projet'!$A$113:$I$133,3,0)),0,VLOOKUP(A29,'Données projet'!$A$113:$I$133,3,0))</f>
        <v>0</v>
      </c>
      <c r="CG29" s="15">
        <f>IF(ISNA(VLOOKUP(A29,'Données projet'!$A$113:$I$133,4,0)),0,VLOOKUP(A29,'Données projet'!$A$113:$I$133,4,0))</f>
        <v>0</v>
      </c>
      <c r="CH29" s="16">
        <f>IF(ISNA(VLOOKUP(A29,'Données projet'!$A$113:$I$133,5,0)),0%,VLOOKUP(A29,'Données projet'!$A$113:$I$133,5,0)*VLOOKUP('Données projet'!$B$12,Paramètres!$A$1:$I$89,7,0))</f>
        <v>0</v>
      </c>
      <c r="CI29" s="16">
        <f>IF(ISNA(VLOOKUP(A29,'Données projet'!$A$113:$I$133,6,0)),0%,VLOOKUP(A29,'Données projet'!$A$113:$I$133,6,0)*VLOOKUP('Données projet'!$B$12,Paramètres!$A$1:$I$89,7,0))</f>
        <v>0</v>
      </c>
      <c r="CJ29" s="16">
        <f>IF(ISNA(VLOOKUP(A29,'Données projet'!$A$113:$I$133,7,0)),0%,VLOOKUP(A29,'Données projet'!$A$113:$I$133,7,0))</f>
        <v>0</v>
      </c>
      <c r="CK29" s="21">
        <f>EXP(-LN(2)/35)*CK28+(1-EXP(-LN(2)/35))/(LN(2)/35)*CG29*CH29*VLOOKUP('Données projet'!$B$12,Paramètres!$A$1:$I$89,3,0)*0.475*44/12</f>
        <v>0</v>
      </c>
      <c r="CL29" s="21">
        <f>EXP(-LN(2)/25)*CL28+(1-EXP(-LN(2)/25))/(LN(2)/25)*Calculateur!CG29*Calculateur!CI29*VLOOKUP('Données projet'!$B$12,Paramètres!$A$1:$I$89,3,0)*0.475*44/12</f>
        <v>3.7438608111187617</v>
      </c>
      <c r="CM29" s="21">
        <f>EXP(-LN(2)/2)*CM28+(1-EXP(-LN(2)/2))/(LN(2)/2)*CG29*CJ29*VLOOKUP('Données projet'!$B$12,Paramètres!$A$1:$I$89,3,0)*0.475*44/12</f>
        <v>1.0524099205508504</v>
      </c>
      <c r="CN29" s="22">
        <f t="shared" si="12"/>
        <v>4.7962707316696118</v>
      </c>
      <c r="CO29" s="75">
        <f>('Scénario référence'!$F$8+'Scénario référence'!$F$9+'Scénario référence'!$B$17+'Scénario référence'!$B$9+'Scénario référence'!$B$10)*70+IF((45+25*(1-EXP(-0.0175*A29)))&lt;70,'Scénario référence'!$B$16*(45+25*(1-EXP(-0.0175*A29))),70*'Scénario référence'!$B$16)+IF((32+38*(1-EXP(-0.0175*A29)))&lt;70,'Scénario référence'!$B$18*(32+38*(1-EXP(-0.0175*A29))),70*'Scénario référence'!$B$18)</f>
        <v>70</v>
      </c>
      <c r="CP29" s="12">
        <f>IF(A29&gt;30,10,('Scénario référence'!$B$16+'Scénario référence'!$B$17+'Scénario référence'!$B$18+'Scénario référence'!$B$9+'Scénario référence'!$B$10)*A29*10/30+('Scénario référence'!$F$8+'Scénario référence'!$F$9)*10)</f>
        <v>10</v>
      </c>
      <c r="CQ29" s="12" t="e">
        <f>VLOOKUP(A29,'Données projet'!$A$139:$I$159,2,0)</f>
        <v>#N/A</v>
      </c>
      <c r="CR29" s="12" t="e">
        <f>VLOOKUP(A29,'Données projet'!$A$139:$I$159,9,0)</f>
        <v>#N/A</v>
      </c>
      <c r="CS29" s="12">
        <f t="array" ref="CS29">INDEX(CR:CR,MIN(IF(ISNUMBER(CR29:CR225),ROW(CR29:CR225),"")))</f>
        <v>0</v>
      </c>
      <c r="CT29" s="12">
        <f>IF('Données projet'!$A$140&gt;35,CT28+CS29-DB28,IF(A29&lt;'Données projet'!$A$140,$CQ$205^A29,IF(A29='Données projet'!$A$140,'Données projet'!$B$140,CT28+CS29-DB28)))</f>
        <v>0</v>
      </c>
      <c r="CU29" s="17" t="e">
        <f>CT29*VLOOKUP('Données projet'!$B$13,Paramètres!$A$1:$I$89,3,0)*VLOOKUP('Données projet'!$B$13,Paramètres!$A$1:$I$89,5,0)</f>
        <v>#N/A</v>
      </c>
      <c r="CV29" s="13" t="e">
        <f t="shared" si="41"/>
        <v>#N/A</v>
      </c>
      <c r="CW29" s="20" t="e">
        <f t="shared" si="13"/>
        <v>#N/A</v>
      </c>
      <c r="CX29" s="59" t="e">
        <f t="shared" si="14"/>
        <v>#N/A</v>
      </c>
      <c r="CY29" s="59" t="e">
        <f ca="1">AVERAGE(OFFSET($CX$3,0,0,'Données projet'!$E$13+1,1))-AVERAGE(OFFSET($H$3,0,0,'Données projet'!$E$13+1,1))</f>
        <v>#N/A</v>
      </c>
      <c r="CZ29" s="59" t="e">
        <f t="shared" si="42"/>
        <v>#N/A</v>
      </c>
      <c r="DA29" s="15">
        <f>IF(ISNA(VLOOKUP(A29,'Données projet'!$A$139:$I$159,3,0)),0,VLOOKUP(A29,'Données projet'!$A$139:$I$159,3,0))</f>
        <v>0</v>
      </c>
      <c r="DB29" s="15">
        <f>IF(ISNA(VLOOKUP(A29,'Données projet'!$A$139:$I$159,4,0)),0,VLOOKUP(A29,'Données projet'!$A$139:$I$159,4,0))</f>
        <v>0</v>
      </c>
      <c r="DC29" s="16">
        <f>IF(ISNA(VLOOKUP(A29,'Données projet'!$A$139:$I$159,5,0)),0%,VLOOKUP(A29,'Données projet'!$A$139:$I$159,5,0)*VLOOKUP('Données projet'!$B$13,Paramètres!$A$1:$I$89,7,0))</f>
        <v>0</v>
      </c>
      <c r="DD29" s="16">
        <f>IF(ISNA(VLOOKUP(A29,'Données projet'!$A$139:$I$159,6,0)),0%,VLOOKUP(A29,'Données projet'!$A$139:$I$159,6,0)*VLOOKUP('Données projet'!$B$13,Paramètres!$A$1:$I$89,7,0))</f>
        <v>0</v>
      </c>
      <c r="DE29" s="16">
        <f>IF(ISNA(VLOOKUP(A29,'Données projet'!$A$139:$I$159,7,0)),0%,VLOOKUP(A29,'Données projet'!$A$139:$I$159,7,0))</f>
        <v>0</v>
      </c>
      <c r="DF29" s="21" t="e">
        <f>EXP(-LN(2)/35)*DF28+(1-EXP(-LN(2)/35))/(LN(2)/35)*DB29*DC29*VLOOKUP('Données projet'!$B$13,Paramètres!$A$1:$I$89,3,0)*0.475*44/12</f>
        <v>#N/A</v>
      </c>
      <c r="DG29" s="21" t="e">
        <f>EXP(-LN(2)/25)*DG28+(1-EXP(-LN(2)/25))/(LN(2)/25)*Calculateur!DB29*Calculateur!DD29*VLOOKUP('Données projet'!$B$13,Paramètres!$A$1:$I$89,3,0)*0.475*44/12</f>
        <v>#N/A</v>
      </c>
      <c r="DH29" s="21" t="e">
        <f>EXP(-LN(2)/2)*DH28+(1-EXP(-LN(2)/2))/(LN(2)/2)*DB29*DE29*VLOOKUP('Données projet'!$B$13,Paramètres!$A$1:$I$89,3,0)*0.475*44/12</f>
        <v>#N/A</v>
      </c>
      <c r="DI29" s="22" t="e">
        <f t="shared" si="15"/>
        <v>#N/A</v>
      </c>
      <c r="DJ29" s="75">
        <f>('Scénario référence'!$F$8+'Scénario référence'!$F$9+'Scénario référence'!$B$17+'Scénario référence'!$B$9+'Scénario référence'!$B$10)*70+IF((45+25*(1-EXP(-0.0175*A29)))&lt;70,'Scénario référence'!$B$16*(45+25*(1-EXP(-0.0175*A29))),70*'Scénario référence'!$B$16)+IF((32+38*(1-EXP(-0.0175*A29)))&lt;70,'Scénario référence'!$B$18*(32+38*(1-EXP(-0.0175*A29))),70*'Scénario référence'!$B$18)</f>
        <v>70</v>
      </c>
      <c r="DK29" s="12">
        <f>IF(A29&gt;30,10,('Scénario référence'!$B$16+'Scénario référence'!$B$17+'Scénario référence'!$B$18+'Scénario référence'!$B$9+'Scénario référence'!$B$10)*A29*10/30+('Scénario référence'!$F$8+'Scénario référence'!$F$9)*10)</f>
        <v>10</v>
      </c>
      <c r="DL29" s="12" t="e">
        <f>VLOOKUP(A29,'Données projet'!$A$165:$I$185,2,0)</f>
        <v>#N/A</v>
      </c>
      <c r="DM29" s="12" t="e">
        <f>VLOOKUP(A29,'Données projet'!$A$165:$I$185,9,0)</f>
        <v>#N/A</v>
      </c>
      <c r="DN29" s="12">
        <f t="array" ref="DN29">INDEX(DM:DM,MIN(IF(ISNUMBER(DM29:DM225),ROW(DM29:DM225),"")))</f>
        <v>10.5</v>
      </c>
      <c r="DO29" s="12">
        <f>IF('Données projet'!$A$166&gt;35,DO28+DN29-DW28,IF(A29&lt;'Données projet'!$A$166,$DL$205^A29,IF(A29='Données projet'!$A$166,'Données projet'!$B$166,DO28+DN29-DW28)))</f>
        <v>168</v>
      </c>
      <c r="DP29" s="17">
        <f>DO29*VLOOKUP('Données projet'!$B$14,Paramètres!$A$1:$I$89,3,0)*VLOOKUP('Données projet'!$B$14,Paramètres!$A$1:$I$89,5,0)</f>
        <v>110.07360000000001</v>
      </c>
      <c r="DQ29" s="13">
        <f t="shared" si="43"/>
        <v>29.348324631518828</v>
      </c>
      <c r="DR29" s="20">
        <f t="shared" si="16"/>
        <v>242.8265187332286</v>
      </c>
      <c r="DS29" s="59">
        <f t="shared" si="17"/>
        <v>536.15985206656194</v>
      </c>
      <c r="DT29" s="59">
        <f ca="1">AVERAGE(OFFSET($DS$3,0,0,'Données projet'!$E$14+1,1))-AVERAGE(OFFSET($H$3,0,0,'Données projet'!$E$14+1,1))</f>
        <v>188.68915783955595</v>
      </c>
      <c r="DU29" s="59">
        <f t="shared" si="44"/>
        <v>240.82467772396944</v>
      </c>
      <c r="DV29" s="15">
        <f>IF(ISNA(VLOOKUP(A29,'Données projet'!$A$165:$I$185,3,0)),0,VLOOKUP(A29,'Données projet'!$A$165:$I$185,3,0))</f>
        <v>0</v>
      </c>
      <c r="DW29" s="15">
        <f>IF(ISNA(VLOOKUP(A29,'Données projet'!$A$165:$I$185,4,0)),0,VLOOKUP(A29,'Données projet'!$A$165:$I$185,4,0))</f>
        <v>0</v>
      </c>
      <c r="DX29" s="16">
        <f>IF(ISNA(VLOOKUP(A29,'Données projet'!$A$165:$I$185,5,0)),0%,VLOOKUP(A29,'Données projet'!$A$165:$I$185,5,0)*VLOOKUP('Données projet'!$B$14,Paramètres!$A$1:$I$89,7,0))</f>
        <v>0</v>
      </c>
      <c r="DY29" s="16">
        <f>IF(ISNA(VLOOKUP(A29,'Données projet'!$A$165:$I$185,6,0)),0%,VLOOKUP(A29,'Données projet'!$A$165:$I$185,6,0)*VLOOKUP('Données projet'!$B$14,Paramètres!$A$1:$I$89,7,0))</f>
        <v>0</v>
      </c>
      <c r="DZ29" s="16">
        <f>IF(ISNA(VLOOKUP(A29,'Données projet'!$A$165:$I$185,7,0)),0%,VLOOKUP(A29,'Données projet'!$A$165:$I$185,7,0))</f>
        <v>0</v>
      </c>
      <c r="EA29" s="21">
        <f>EXP(-LN(2)/35)*EA28+(1-EXP(-LN(2)/35))/(LN(2)/35)*DW29*DX29*VLOOKUP('Données projet'!$B$14,Paramètres!$A$1:$I$89,3,0)*0.475*44/12</f>
        <v>0</v>
      </c>
      <c r="EB29" s="21">
        <f>EXP(-LN(2)/25)*EB28+(1-EXP(-LN(2)/25))/(LN(2)/25)*Calculateur!DW29*Calculateur!DY29*VLOOKUP('Données projet'!$B$14,Paramètres!$A$1:$I$89,3,0)*0.475*44/12</f>
        <v>1.1820651442098753</v>
      </c>
      <c r="EC29" s="21">
        <f>EXP(-LN(2)/2)*EC28+(1-EXP(-LN(2)/2))/(LN(2)/2)*DW29*DZ29*VLOOKUP('Données projet'!$B$14,Paramètres!$A$1:$I$89,3,0)*0.475*44/12</f>
        <v>0.34773684437781593</v>
      </c>
      <c r="ED29" s="22">
        <f t="shared" si="18"/>
        <v>1.5298019885876912</v>
      </c>
      <c r="EE29" s="75">
        <f>('Scénario référence'!$F$8+'Scénario référence'!$F$9+'Scénario référence'!$B$17+'Scénario référence'!$B$9+'Scénario référence'!$B$10)*70+IF((45+25*(1-EXP(-0.0175*A29)))&lt;70,'Scénario référence'!$B$16*(45+25*(1-EXP(-0.0175*A29))),70*'Scénario référence'!$B$16)+IF((32+38*(1-EXP(-0.0175*A29)))&lt;70,'Scénario référence'!$B$18*(32+38*(1-EXP(-0.0175*A29))),70*'Scénario référence'!$B$18)</f>
        <v>70</v>
      </c>
      <c r="EF29" s="12">
        <f>IF(A29&gt;30,10,('Scénario référence'!$B$16+'Scénario référence'!$B$17+'Scénario référence'!$B$18+'Scénario référence'!$B$9+'Scénario référence'!$B$10)*A29*10/30+('Scénario référence'!$F$8+'Scénario référence'!$F$9)*10)</f>
        <v>10</v>
      </c>
      <c r="EG29" s="12" t="e">
        <f>VLOOKUP(A29,'Données projet'!$A$191:$I$211,2,0)</f>
        <v>#N/A</v>
      </c>
      <c r="EH29" s="12" t="e">
        <f>VLOOKUP(A29,'Données projet'!$A$191:$I$211,9,0)</f>
        <v>#N/A</v>
      </c>
      <c r="EI29" s="12">
        <f t="array" ref="EI29">INDEX(EH:EH,MIN(IF(ISNUMBER(EH29:EH225),ROW(EH29:EH225),"")))</f>
        <v>7</v>
      </c>
      <c r="EJ29" s="12">
        <f>IF('Données projet'!$A$192&gt;35,EJ28+EI29-ER28,IF(A29&lt;'Données projet'!$A$192,$EG$205^A29,IF(A29='Données projet'!$A$192,'Données projet'!$B$192,EJ28+EI29-ER28)))</f>
        <v>106.99999999999999</v>
      </c>
      <c r="EK29" s="17">
        <f>EJ29*VLOOKUP('Données projet'!$B$15,Paramètres!$A$1:$I$89,3,0)*VLOOKUP('Données projet'!$B$15,Paramètres!$A$1:$I$89,5,0)</f>
        <v>86.798399999999987</v>
      </c>
      <c r="EL29" s="13">
        <f t="shared" si="45"/>
        <v>23.79145596594833</v>
      </c>
      <c r="EM29" s="20">
        <f t="shared" si="19"/>
        <v>192.61066580735996</v>
      </c>
      <c r="EN29" s="59">
        <f t="shared" si="20"/>
        <v>485.94399914069328</v>
      </c>
      <c r="EO29" s="59">
        <f ca="1">AVERAGE(OFFSET($EN$3,0,0,'Données projet'!$E$15+1,1))-AVERAGE(OFFSET($H$3,0,0,'Données projet'!$E$15+1,1))</f>
        <v>205.5272583787887</v>
      </c>
      <c r="EP29" s="59">
        <f t="shared" si="46"/>
        <v>180.54762778843178</v>
      </c>
      <c r="EQ29" s="15">
        <f>IF(ISNA(VLOOKUP(A29,'Données projet'!$A$191:$I$211,3,0)),0,VLOOKUP(A29,'Données projet'!$A$191:$I$211,3,0))</f>
        <v>0</v>
      </c>
      <c r="ER29" s="15">
        <f>IF(ISNA(VLOOKUP(A29,'Données projet'!$A$191:$I$211,4,0)),0,VLOOKUP(A29,'Données projet'!$A$191:$I$211,4,0))</f>
        <v>0</v>
      </c>
      <c r="ES29" s="16">
        <f>IF(ISNA(VLOOKUP(A29,'Données projet'!$A$191:$I$211,5,0)),0%,VLOOKUP(A29,'Données projet'!$A$191:$I$211,5,0)*VLOOKUP('Données projet'!$B$15,Paramètres!$A$1:$I$89,7,0))</f>
        <v>0</v>
      </c>
      <c r="ET29" s="16">
        <f>IF(ISNA(VLOOKUP(A29,'Données projet'!$A$191:$I$211,6,0)),0%,VLOOKUP(A29,'Données projet'!$A$191:$I$211,6,0)*VLOOKUP('Données projet'!$B$15,Paramètres!$A$1:$I$89,7,0))</f>
        <v>0</v>
      </c>
      <c r="EU29" s="16">
        <f>IF(ISNA(VLOOKUP(A29,'Données projet'!$A$191:$I$211,7,0)),0%,VLOOKUP(A29,'Données projet'!$A$191:$I$211,7,0))</f>
        <v>0</v>
      </c>
      <c r="EV29" s="21">
        <f>EXP(-LN(2)/35)*EV28+(1-EXP(-LN(2)/35))/(LN(2)/35)*ER29*ES29*VLOOKUP('Données projet'!$B$15,Paramètres!$A$1:$I$89,3,0)*0.475*44/12</f>
        <v>0</v>
      </c>
      <c r="EW29" s="21">
        <f>EXP(-LN(2)/25)*EW28+(1-EXP(-LN(2)/25))/(LN(2)/25)*Calculateur!ER29*Calculateur!ET29*VLOOKUP('Données projet'!$B$15,Paramètres!$A$1:$I$89,3,0)*0.475*44/12</f>
        <v>1.4635092261646074</v>
      </c>
      <c r="EX29" s="21">
        <f>EXP(-LN(2)/2)*EX28+(1-EXP(-LN(2)/2))/(LN(2)/2)*ER29*EU29*VLOOKUP('Données projet'!$B$15,Paramètres!$A$1:$I$89,3,0)*0.475*44/12</f>
        <v>0.4305313311344387</v>
      </c>
      <c r="EY29" s="22">
        <f t="shared" si="21"/>
        <v>1.8940405572990462</v>
      </c>
      <c r="EZ29" s="75">
        <f>('Scénario référence'!$F$8+'Scénario référence'!$F$9+'Scénario référence'!$B$17+'Scénario référence'!$B$9+'Scénario référence'!$B$10)*70+IF((45+25*(1-EXP(-0.0175*A29)))&lt;70,'Scénario référence'!$B$16*(45+25*(1-EXP(-0.0175*A29))),70*'Scénario référence'!$B$16)+IF((32+38*(1-EXP(-0.0175*A29)))&lt;70,'Scénario référence'!$B$18*(32+38*(1-EXP(-0.0175*A29))),70*'Scénario référence'!$B$18)</f>
        <v>70</v>
      </c>
      <c r="FA29" s="12">
        <f>IF(A29&gt;30,10,('Scénario référence'!$B$16+'Scénario référence'!$B$17+'Scénario référence'!$B$18+'Scénario référence'!$B$9+'Scénario référence'!$B$10)*A29*10/30+('Scénario référence'!$F$8+'Scénario référence'!$F$9)*10)</f>
        <v>10</v>
      </c>
      <c r="FB29" s="12" t="e">
        <f>VLOOKUP(A29,'Données projet'!$A$217:$I$237,2,0)</f>
        <v>#N/A</v>
      </c>
      <c r="FC29" s="12" t="e">
        <f>VLOOKUP(A29,'Données projet'!$A$217:$I$237,9,0)</f>
        <v>#N/A</v>
      </c>
      <c r="FD29" s="12">
        <f t="array" ref="FD29">INDEX(FC:FC,MIN(IF(ISNUMBER(FC29:FC225),ROW(FC29:FC225),"")))</f>
        <v>9.1</v>
      </c>
      <c r="FE29" s="12">
        <f>IF('Données projet'!$A$218&gt;35,FE28+FD29-FM28,IF(A29&lt;'Données projet'!$A$218,$FB$205^A29,IF(A29='Données projet'!$A$218,'Données projet'!$B$218,FE28+FD29-FM28)))</f>
        <v>103.59999999999998</v>
      </c>
      <c r="FF29" s="17">
        <f>FE29*VLOOKUP('Données projet'!$B$16,Paramètres!$A$1:$I$89,3,0)*VLOOKUP('Données projet'!$B$16,Paramètres!$A$1:$I$89,5,0)</f>
        <v>88.888800000000003</v>
      </c>
      <c r="FG29" s="13">
        <f t="shared" si="47"/>
        <v>24.297036846372382</v>
      </c>
      <c r="FH29" s="20">
        <f t="shared" si="22"/>
        <v>197.13199917409858</v>
      </c>
      <c r="FI29" s="59">
        <f t="shared" si="23"/>
        <v>490.46533250743187</v>
      </c>
      <c r="FJ29" s="59">
        <f ca="1">AVERAGE(OFFSET($FI$3,0,0,'Données projet'!$E$16+1,1))-AVERAGE(OFFSET($H$3,0,0,'Données projet'!$E$16+1,1))</f>
        <v>383.97627237444709</v>
      </c>
      <c r="FK29" s="59">
        <f t="shared" si="48"/>
        <v>203.35476578922339</v>
      </c>
      <c r="FL29" s="15">
        <f>IF(ISNA(VLOOKUP(A29,'Données projet'!$A$217:$I$237,3,0)),0,VLOOKUP(A29,'Données projet'!$A$217:$I$237,3,0))</f>
        <v>0</v>
      </c>
      <c r="FM29" s="15">
        <f>IF(ISNA(VLOOKUP(A29,'Données projet'!$A$217:$I$237,4,0)),0,VLOOKUP(A29,'Données projet'!$A$217:$I$237,4,0))</f>
        <v>0</v>
      </c>
      <c r="FN29" s="16">
        <f>IF(ISNA(VLOOKUP(A29,'Données projet'!$A$217:$I$237,5,0)),0%,VLOOKUP(A29,'Données projet'!$A$217:$I$237,5,0)*VLOOKUP('Données projet'!$B$16,Paramètres!$A$1:$I$89,7,0))</f>
        <v>0</v>
      </c>
      <c r="FO29" s="16">
        <f>IF(ISNA(VLOOKUP(A29,'Données projet'!$A$217:$I$237,6,0)),0%,VLOOKUP(A29,'Données projet'!$A$217:$I$237,6,0)*VLOOKUP('Données projet'!$B$16,Paramètres!$A$1:$I$89,7,0))</f>
        <v>0</v>
      </c>
      <c r="FP29" s="16">
        <f>IF(ISNA(VLOOKUP(A29,'Données projet'!$A$217:$I$237,7,0)),0%,VLOOKUP(A29,'Données projet'!$A$217:$I$237,7,0))</f>
        <v>0</v>
      </c>
      <c r="FQ29" s="21">
        <f>EXP(-LN(2)/35)*FQ28+(1-EXP(-LN(2)/35))/(LN(2)/35)*FM29*FN29*VLOOKUP('Données projet'!$B$16,Paramètres!$A$1:$I$89,3,0)*0.475*44/12</f>
        <v>0</v>
      </c>
      <c r="FR29" s="21">
        <f>EXP(-LN(2)/25)*FR28+(1-EXP(-LN(2)/25))/(LN(2)/25)*Calculateur!FM29*Calculateur!FO29*VLOOKUP('Données projet'!$B$16,Paramètres!$A$1:$I$89,3,0)*0.475*44/12</f>
        <v>0.8479684743132242</v>
      </c>
      <c r="FS29" s="21">
        <f>EXP(-LN(2)/2)*FS28+(1-EXP(-LN(2)/2))/(LN(2)/2)*FM29*FP29*VLOOKUP('Données projet'!$B$16,Paramètres!$A$1:$I$89,3,0)*0.475*44/12</f>
        <v>0.2023865231828558</v>
      </c>
      <c r="FT29" s="22">
        <f t="shared" si="24"/>
        <v>1.05035499749608</v>
      </c>
      <c r="FU29" s="75">
        <f>('Scénario référence'!$F$8+'Scénario référence'!$F$9+'Scénario référence'!$B$17+'Scénario référence'!$B$9+'Scénario référence'!$B$10)*70+IF((45+25*(1-EXP(-0.0175*A29)))&lt;70,'Scénario référence'!$B$16*(45+25*(1-EXP(-0.0175*A29))),70*'Scénario référence'!$B$16)+IF((32+38*(1-EXP(-0.0175*A29)))&lt;70,'Scénario référence'!$B$18*(32+38*(1-EXP(-0.0175*A29))),70*'Scénario référence'!$B$18)</f>
        <v>70</v>
      </c>
      <c r="FV29" s="12">
        <f>IF(A29&gt;30,10,('Scénario référence'!$B$16+'Scénario référence'!$B$17+'Scénario référence'!$B$18+'Scénario référence'!$B$9+'Scénario référence'!$B$10)*A29*10/30+('Scénario référence'!$F$8+'Scénario référence'!$F$9)*10)</f>
        <v>10</v>
      </c>
      <c r="FW29" s="12" t="e">
        <f>VLOOKUP(A29,'Données projet'!$A$243:$I$263,2,0)</f>
        <v>#N/A</v>
      </c>
      <c r="FX29" s="12" t="e">
        <f>VLOOKUP(A29,'Données projet'!$A$243:$I$263,9,0)</f>
        <v>#N/A</v>
      </c>
      <c r="FY29" s="12">
        <f t="array" ref="FY29">INDEX(FX:FX,MIN(IF(ISNUMBER(FX29:FX225),ROW(FX29:FX225),"")))</f>
        <v>4.0628205128205126</v>
      </c>
      <c r="FZ29" s="12">
        <f>IF('Données projet'!$A$244&gt;35,FZ28+FY29-GH28,IF(A29&lt;'Données projet'!$A$244,$FW$205^A29,IF(A29='Données projet'!$A$244,'Données projet'!$B$244,FZ28+FY29-GH28)))</f>
        <v>64.242491006222849</v>
      </c>
      <c r="GA29" s="17">
        <f>FZ29*VLOOKUP('Données projet'!$B$17,Paramètres!$A$1:$I$89,3,0)*VLOOKUP('Données projet'!$B$17,Paramètres!$A$1:$I$89,5,0)</f>
        <v>69.150617319098274</v>
      </c>
      <c r="GB29" s="13">
        <f t="shared" si="49"/>
        <v>19.462376278572883</v>
      </c>
      <c r="GC29" s="20">
        <f t="shared" si="25"/>
        <v>154.33429718261061</v>
      </c>
      <c r="GD29" s="59">
        <f t="shared" si="26"/>
        <v>447.66763051594393</v>
      </c>
      <c r="GE29" s="59">
        <f ca="1">AVERAGE(OFFSET($GD$3,0,0,'Données projet'!$E$17+1,1))-AVERAGE(OFFSET($H$3,0,0,'Données projet'!$E$17+1,1))</f>
        <v>286.77702855541287</v>
      </c>
      <c r="GF29" s="59">
        <f t="shared" si="50"/>
        <v>227.12211541860779</v>
      </c>
      <c r="GG29" s="15">
        <f>IF(ISNA(VLOOKUP(A29,'Données projet'!$A$243:$I$263,3,0)),0,VLOOKUP(A29,'Données projet'!$A$243:$I$263,3,0))</f>
        <v>0</v>
      </c>
      <c r="GH29" s="15">
        <f>IF(ISNA(VLOOKUP(A29,'Données projet'!$A$243:$I$263,4,0)),0,VLOOKUP(A29,'Données projet'!$A$243:$I$263,4,0))</f>
        <v>0</v>
      </c>
      <c r="GI29" s="16">
        <f>IF(ISNA(VLOOKUP(A29,'Données projet'!$A$243:$I$263,5,0)),0%,VLOOKUP(A29,'Données projet'!$A$243:$I$263,5,0)*VLOOKUP('Données projet'!$B$17,Paramètres!$A$1:$I$89,7,0))</f>
        <v>0</v>
      </c>
      <c r="GJ29" s="16">
        <f>IF(ISNA(VLOOKUP(A29,'Données projet'!$A$243:$I$263,6,0)),0%,VLOOKUP(A29,'Données projet'!$A$243:$I$263,6,0)*VLOOKUP('Données projet'!$B$17,Paramètres!$A$1:$I$89,7,0))</f>
        <v>0</v>
      </c>
      <c r="GK29" s="16">
        <f>IF(ISNA(VLOOKUP(A29,'Données projet'!$A$243:$I$263,7,0)),0%,VLOOKUP(A29,'Données projet'!$A$243:$I$263,7,0))</f>
        <v>0</v>
      </c>
      <c r="GL29" s="21">
        <f>EXP(-LN(2)/35)*GL28+(1-EXP(-LN(2)/35))/(LN(2)/35)*GH29*GI29*VLOOKUP('Données projet'!$B$17,Paramètres!$A$1:$I$89,3,0)*0.475*44/12</f>
        <v>0</v>
      </c>
      <c r="GM29" s="21">
        <f>EXP(-LN(2)/25)*GM28+(1-EXP(-LN(2)/25))/(LN(2)/25)*Calculateur!GH29*Calculateur!GJ29*VLOOKUP('Données projet'!$B$17,Paramètres!$A$1:$I$89,3,0)*0.475*44/12</f>
        <v>0</v>
      </c>
      <c r="GN29" s="21">
        <f>EXP(-LN(2)/2)*GN28+(1-EXP(-LN(2)/2))/(LN(2)/2)*GH29*GK29*VLOOKUP('Données projet'!$B$17,Paramètres!$A$1:$I$89,3,0)*0.475*44/12</f>
        <v>0</v>
      </c>
      <c r="GO29" s="21">
        <f t="shared" si="27"/>
        <v>0</v>
      </c>
      <c r="GP29" s="75">
        <f>('Scénario référence'!$F$8+'Scénario référence'!$F$9+'Scénario référence'!$B$17+'Scénario référence'!$B$9+'Scénario référence'!$B$10)*70+IF((45+25*(1-EXP(-0.0175*A29)))&lt;70,'Scénario référence'!$B$16*(45+25*(1-EXP(-0.0175*A29))),70*'Scénario référence'!$B$16)+IF((32+38*(1-EXP(-0.0175*A29)))&lt;70,'Scénario référence'!$B$18*(32+38*(1-EXP(-0.0175*A29))),70*'Scénario référence'!$B$18)</f>
        <v>70</v>
      </c>
      <c r="GQ29" s="12">
        <f>IF(A29&gt;30,10,('Scénario référence'!$B$16+'Scénario référence'!$B$17+'Scénario référence'!$B$18+'Scénario référence'!$B$9+'Scénario référence'!$B$10)*A29*10/30+('Scénario référence'!$F$8+'Scénario référence'!$F$9)*10)</f>
        <v>10</v>
      </c>
      <c r="GR29" s="12" t="e">
        <f>VLOOKUP(A29,'Données projet'!$A$269:$I$289,2,0)</f>
        <v>#N/A</v>
      </c>
      <c r="GS29" s="12" t="e">
        <f>VLOOKUP(A29,'Données projet'!$A$269:$I$289,9,0)</f>
        <v>#N/A</v>
      </c>
      <c r="GT29" s="12">
        <f t="array" ref="GT29">INDEX(GS:GS,MIN(IF(ISNUMBER(GS29:GS225),ROW(GS29:GS225),"")))</f>
        <v>4.0628205128205126</v>
      </c>
      <c r="GU29" s="12">
        <f>IF('Données projet'!$A$270&gt;35,GU28+GT29-HC28,IF(A29&lt;'Données projet'!$A$270,$GR$205^A29,IF(A29='Données projet'!$A$270,'Données projet'!$B$270,GU28+GT29-HC28)))</f>
        <v>64.242491006222849</v>
      </c>
      <c r="GV29" s="17">
        <f>GU29*VLOOKUP('Données projet'!$B$18,Paramètres!$A$1:$I$89,3,0)*VLOOKUP('Données projet'!$B$18,Paramètres!$A$1:$I$89,5,0)</f>
        <v>69.150617319098274</v>
      </c>
      <c r="GW29" s="13">
        <f t="shared" si="51"/>
        <v>19.462376278572883</v>
      </c>
      <c r="GX29" s="20">
        <f t="shared" si="28"/>
        <v>154.33429718261061</v>
      </c>
      <c r="GY29" s="59">
        <f t="shared" si="29"/>
        <v>447.66763051594393</v>
      </c>
      <c r="GZ29" s="59">
        <f ca="1">AVERAGE(OFFSET($GY$3,0,0,'Données projet'!$E$18+1,1))-AVERAGE(OFFSET($H$3,0,0,'Données projet'!$E$18+1,1))</f>
        <v>286.77702855541287</v>
      </c>
      <c r="HA29" s="59">
        <f t="shared" si="52"/>
        <v>227.12211541860779</v>
      </c>
      <c r="HB29" s="15">
        <f>IF(ISNA(VLOOKUP(A29,'Données projet'!$A$269:$I$289,3,0)),0,VLOOKUP(A29,'Données projet'!$A$269:$I$289,3,0))</f>
        <v>0</v>
      </c>
      <c r="HC29" s="15">
        <f>IF(ISNA(VLOOKUP(A29,'Données projet'!$A$269:$I$289,4,0)),0,VLOOKUP(A29,'Données projet'!$A$269:$I$289,4,0))</f>
        <v>0</v>
      </c>
      <c r="HD29" s="16">
        <f>IF(ISNA(VLOOKUP(A29,'Données projet'!$A$269:$I$289,5,0)),0%,VLOOKUP(A29,'Données projet'!$A$269:$I$289,5,0)*VLOOKUP('Données projet'!$B$18,Paramètres!$A$1:$I$89,7,0))</f>
        <v>0</v>
      </c>
      <c r="HE29" s="16">
        <f>IF(ISNA(VLOOKUP(A29,'Données projet'!$A$269:$I$289,6,0)),0%,VLOOKUP(A29,'Données projet'!$A$269:$I$289,6,0)*VLOOKUP('Données projet'!$B$18,Paramètres!$A$1:$I$89,7,0))</f>
        <v>0</v>
      </c>
      <c r="HF29" s="16">
        <f>IF(ISNA(VLOOKUP(A29,'Données projet'!$A$269:$I$289,7,0)),0%,VLOOKUP(A29,'Données projet'!$A$269:$I$289,7,0))</f>
        <v>0</v>
      </c>
      <c r="HG29" s="21">
        <f>EXP(-LN(2)/35)*HG28+(1-EXP(-LN(2)/35))/(LN(2)/35)*HC29*HD29*VLOOKUP('Données projet'!$B$18,Paramètres!$A$1:$I$89,3,0)*0.475*44/12</f>
        <v>0</v>
      </c>
      <c r="HH29" s="21">
        <f>EXP(-LN(2)/25)*HH28+(1-EXP(-LN(2)/25))/(LN(2)/25)*Calculateur!HC29*Calculateur!HE29*VLOOKUP('Données projet'!$B$18,Paramètres!$A$1:$I$89,3,0)*0.475*44/12</f>
        <v>0</v>
      </c>
      <c r="HI29" s="21">
        <f>EXP(-LN(2)/2)*HI28+(1-EXP(-LN(2)/2))/(LN(2)/2)*HC29*HF29*VLOOKUP('Données projet'!$B$18,Paramètres!$A$1:$I$89,3,0)*0.475*44/12</f>
        <v>0</v>
      </c>
      <c r="HJ29" s="22">
        <f t="shared" si="30"/>
        <v>0</v>
      </c>
    </row>
    <row r="30" spans="1:218" x14ac:dyDescent="0.25">
      <c r="A30" s="10">
        <f t="shared" si="31"/>
        <v>27</v>
      </c>
      <c r="B30" s="73">
        <f>'Scénario référence'!$B$16*5+'Scénario référence'!$B$17*0+'Scénario référence'!$B$18*5</f>
        <v>0</v>
      </c>
      <c r="C30" s="19">
        <f>Calculateur!C29+'Scénario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24.008399999999995</v>
      </c>
      <c r="D30" s="11">
        <f t="shared" si="32"/>
        <v>7.6425977910346958</v>
      </c>
      <c r="E3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30" s="11">
        <f>IF(OR('Scénario référence'!$F$8&gt;0,'Scénario référence'!$F$9&gt;0),('Scénario référence'!$F$8+'Scénario référence'!$F$9)*10,0)</f>
        <v>10</v>
      </c>
      <c r="G30" s="11">
        <f>'Scénario référence'!$B$8*B30*44/12+'Scénario référence'!$B$9*(C30+D30)/0.475*44/12+'Scénario référence'!$B$10*(C30+D30)/0.475*44/12+'Scénario référence'!$F$8*(C30+D30)/0.475*44/12+'Scénario référence'!$F$9*(C30+D30)/0.475*44/12</f>
        <v>244.32349172026781</v>
      </c>
      <c r="H30" s="67">
        <f t="shared" si="1"/>
        <v>348.45882115271871</v>
      </c>
      <c r="I30" s="70">
        <f>('Scénario référence'!$F$8+'Scénario référence'!$F$9+'Scénario référence'!$B$17+'Scénario référence'!$B$9+'Scénario référence'!$B$10)*70+IF((45+25*(1-EXP(-0.0175*A30)))&lt;70,'Scénario référence'!$B$16*(45+25*(1-EXP(-0.0175*A30))),70*'Scénario référence'!$B$16)+IF((32+38*(1-EXP(-0.0175*A30)))&lt;70,'Scénario référence'!$B$18*(32+38*(1-EXP(-0.0175*A30))),70*'Scénario référence'!$B$18)</f>
        <v>70</v>
      </c>
      <c r="J30" s="13">
        <f>IF(A30&gt;30,10,('Scénario référence'!$B$16+'Scénario référence'!$B$17+'Scénario référence'!$B$18+'Scénario référence'!$B$9+'Scénario référence'!$B$10)*A30*10/30+('Scénario référence'!$F$8+'Scénario référence'!$F$9)*10)</f>
        <v>10</v>
      </c>
      <c r="K30" s="12" t="e">
        <f>VLOOKUP(A30,'Données projet'!$A$35:$I$55,2,0)</f>
        <v>#N/A</v>
      </c>
      <c r="L30" s="12" t="e">
        <f>VLOOKUP(A30,'Données projet'!$A$35:$I$55,9,0)</f>
        <v>#N/A</v>
      </c>
      <c r="M30" s="12">
        <f t="array" ref="M30">INDEX(L:L,MIN(IF(ISNUMBER(L30:L226),ROW(L30:L226),"")))</f>
        <v>22.828205128205127</v>
      </c>
      <c r="N30" s="13">
        <f>IF('Données projet'!$A$36&gt;35,N29+M30-V29,IF(A30&lt;'Données projet'!$A$36,$K$205^A30,IF(A30='Données projet'!$A$36,'Données projet'!$B$36,N29+M30-V29)))</f>
        <v>263.38461538461524</v>
      </c>
      <c r="O30" s="13">
        <f>N30*VLOOKUP('Données projet'!$B$9,Paramètres!$A$1:$I$89,3,0)*VLOOKUP('Données projet'!$B$9,Paramètres!$A$1:$I$89,5,0)</f>
        <v>147.23199999999994</v>
      </c>
      <c r="P30" s="13">
        <f t="shared" si="33"/>
        <v>37.948867426510738</v>
      </c>
      <c r="Q30" s="20">
        <f t="shared" si="2"/>
        <v>322.52334410117277</v>
      </c>
      <c r="R30" s="59">
        <f t="shared" si="0"/>
        <v>615.85667743450608</v>
      </c>
      <c r="S30" s="59">
        <f ca="1">AVERAGE(OFFSET($R$3,0,0,'Données projet'!$E$9+1,1))-AVERAGE(OFFSET($H$3,0,0,'Données projet'!$E$9+1,1))</f>
        <v>255.5374979188561</v>
      </c>
      <c r="T30" s="59">
        <f t="shared" si="34"/>
        <v>343.10418468620901</v>
      </c>
      <c r="U30" s="15">
        <f>IF(ISNA(VLOOKUP(A30,'Données projet'!$A$35:$I$55,3,0)),0,VLOOKUP(A30,'Données projet'!$A$35:$I$55,3,0))</f>
        <v>0</v>
      </c>
      <c r="V30" s="15">
        <f>IF(ISNA(VLOOKUP(A30,'Données projet'!$A$35:$I$55,4,0)),0,VLOOKUP(A30,'Données projet'!$A$35:$I$55,4,0))</f>
        <v>0</v>
      </c>
      <c r="W30" s="16">
        <f>IF(ISNA(VLOOKUP(A30,'Données projet'!$A$35:$I$55,5,0)),0%,VLOOKUP(A30,'Données projet'!$A$35:$I$55,5,0)*VLOOKUP('Données projet'!$B$9,Paramètres!$A$1:$I$89,7,0))</f>
        <v>0</v>
      </c>
      <c r="X30" s="16">
        <f>IF(ISNA(VLOOKUP(A30,'Données projet'!$A$35:$I$55,6,0)),0%,VLOOKUP(A30,'Données projet'!$A$35:$I$55,6,0)*VLOOKUP('Données projet'!$B$9,Paramètres!$A$1:$I$89,7,0))</f>
        <v>0</v>
      </c>
      <c r="Y30" s="16">
        <f>IF(ISNA(VLOOKUP(A30,'Données projet'!$A$35:$I$55,7,0)),0%,VLOOKUP(A30,'Données projet'!$A$35:$I$55,7,0))</f>
        <v>0</v>
      </c>
      <c r="Z30" s="21">
        <f>EXP(-LN(2)/35)*Z29+(1-EXP(-LN(2)/35))/(LN(2)/35)*V30*W30*VLOOKUP('Données projet'!$B$9,Paramètres!$A$1:$I$89,3,0)*0.475*44/12</f>
        <v>3.2791915889956287</v>
      </c>
      <c r="AA30" s="21">
        <f>EXP(-LN(2)/25)*AA29+(1-EXP(-LN(2)/25))/(LN(2)/25)*Calculateur!V30*Calculateur!X30*VLOOKUP('Données projet'!$B$9,Paramètres!$A$1:$I$89,3,0)*0.475*44/12</f>
        <v>17.344570011812067</v>
      </c>
      <c r="AB30" s="21">
        <f>EXP(-LN(2)/2)*AB29+(1-EXP(-LN(2)/2))/(LN(2)/2)*V30*Y30*VLOOKUP('Données projet'!$B$9,Paramètres!$A$1:$I$89,3,0)*0.475*44/12</f>
        <v>4.7875430542859228</v>
      </c>
      <c r="AC30" s="22">
        <f t="shared" si="3"/>
        <v>25.41130465509362</v>
      </c>
      <c r="AD30" s="13">
        <f>('Scénario référence'!$F$8+'Scénario référence'!$F$9+'Scénario référence'!$B$17+'Scénario référence'!$B$9+'Scénario référence'!$B$10)*70+IF((45+25*(1-EXP(-0.0175*A30)))&lt;70,'Scénario référence'!$B$16*(45+25*(1-EXP(-0.0175*A30))),70*'Scénario référence'!$B$16)+IF((32+38*(1-EXP(-0.0175*A30)))&lt;70,'Scénario référence'!$B$18*(32+38*(1-EXP(-0.0175*A30))),70*'Scénario référence'!$B$18)</f>
        <v>70</v>
      </c>
      <c r="AE30" s="13">
        <f>IF(A30&gt;30,10,('Scénario référence'!$B$16+'Scénario référence'!$B$17+'Scénario référence'!$B$18+'Scénario référence'!$B$9+'Scénario référence'!$B$10)*A30*10/30+('Scénario référence'!$F$8+'Scénario référence'!$F$9)*10)</f>
        <v>10</v>
      </c>
      <c r="AF30" s="12" t="e">
        <f>VLOOKUP(A30,'Données projet'!$A$61:$I$81,2,0)</f>
        <v>#N/A</v>
      </c>
      <c r="AG30" s="12" t="e">
        <f>VLOOKUP(A30,'Données projet'!$A$61:$I$81,9,0)</f>
        <v>#N/A</v>
      </c>
      <c r="AH30" s="12">
        <f t="array" ref="AH30">INDEX(AG:AG,MIN(IF(ISNUMBER(AG30:AG226),ROW(AG30:AG226),"")))</f>
        <v>16.5</v>
      </c>
      <c r="AI30" s="13">
        <f>IF('Données projet'!$A$62&gt;35,AI29+AH30-AQ29,IF(A30&lt;'Données projet'!$A$62,$AF$205^A30,IF(A30='Données projet'!$A$62,'Données projet'!$B$62,AI29+AH30-AQ29)))</f>
        <v>213.5</v>
      </c>
      <c r="AJ30" s="13">
        <f>AI30*VLOOKUP('Données projet'!$B$10,Paramètres!$A$1:$I$89,3,0)*VLOOKUP('Données projet'!$B$10,Paramètres!$A$1:$I$89,5,0)</f>
        <v>133.22399999999999</v>
      </c>
      <c r="AK30" s="13">
        <f t="shared" si="35"/>
        <v>34.740265606230608</v>
      </c>
      <c r="AL30" s="20">
        <f t="shared" si="4"/>
        <v>292.53776259751828</v>
      </c>
      <c r="AM30" s="59">
        <f t="shared" si="5"/>
        <v>585.87109593085165</v>
      </c>
      <c r="AN30" s="59">
        <f ca="1">AVERAGE(OFFSET($AM$3,0,0,'Données projet'!$E$10+1,1))-AVERAGE(OFFSET($H$3,0,0,'Données projet'!$E$10+1,1))</f>
        <v>261.78489480911571</v>
      </c>
      <c r="AO30" s="59">
        <f t="shared" si="36"/>
        <v>297.50513563712764</v>
      </c>
      <c r="AP30" s="15">
        <f>IF(ISNA(VLOOKUP(A30,'Données projet'!$A$61:$I$81,3,0)),0,VLOOKUP(A30,'Données projet'!$A$61:$I$81,3,0))</f>
        <v>0</v>
      </c>
      <c r="AQ30" s="15">
        <f>IF(ISNA(VLOOKUP(A30,'Données projet'!$A$61:$I$81,4,0)),0,VLOOKUP(A30,'Données projet'!$A$61:$I$81,4,0))</f>
        <v>0</v>
      </c>
      <c r="AR30" s="16">
        <f>IF(ISNA(VLOOKUP(A30,'Données projet'!$A$61:$I$81,5,0)),0%,VLOOKUP(A30,'Données projet'!$A$61:$I$81,5,0)*VLOOKUP('Données projet'!$B$10,Paramètres!$A$1:$I$89,7,0))</f>
        <v>0</v>
      </c>
      <c r="AS30" s="16">
        <f>IF(ISNA(VLOOKUP(A30,'Données projet'!$A$61:$I$81,6,0)),0%,VLOOKUP(A30,'Données projet'!$A$61:$I$81,6,0)*VLOOKUP('Données projet'!$B$10,Paramètres!$A$1:$I$89,7,0))</f>
        <v>0</v>
      </c>
      <c r="AT30" s="16">
        <f>IF(ISNA(VLOOKUP(A30,'Données projet'!$A$61:$I$81,7,0)),0%,VLOOKUP(A30,'Données projet'!$A$61:$I$81,7,0))</f>
        <v>0</v>
      </c>
      <c r="AU30" s="21">
        <f>EXP(-LN(2)/35)*AU29+(1-EXP(-LN(2)/35))/(LN(2)/35)*AQ30*AR30*VLOOKUP('Données projet'!$B$10,Paramètres!$A$1:$I$89,3,0)*0.475*44/12</f>
        <v>0</v>
      </c>
      <c r="AV30" s="21">
        <f>EXP(-LN(2)/25)*AV29+(1-EXP(-LN(2)/25))/(LN(2)/25)*Calculateur!AQ30*Calculateur!AS30*VLOOKUP('Données projet'!$B$10,Paramètres!$A$1:$I$89,3,0)*0.475*44/12</f>
        <v>12.223165562039622</v>
      </c>
      <c r="AW30" s="21">
        <f>EXP(-LN(2)/2)*AW29+(1-EXP(-LN(2)/2))/(LN(2)/2)*AQ30*AT30*VLOOKUP('Données projet'!$B$10,Paramètres!$A$1:$I$89,3,0)*0.475*44/12</f>
        <v>1.8734253769749702</v>
      </c>
      <c r="AX30" s="21">
        <f t="shared" si="6"/>
        <v>14.096590939014591</v>
      </c>
      <c r="AY30" s="74">
        <f>('Scénario référence'!$F$8+'Scénario référence'!$F$9+'Scénario référence'!$B$17+'Scénario référence'!$B$9+'Scénario référence'!$B$10)*70+IF((45+25*(1-EXP(-0.0175*A30)))&lt;70,'Scénario référence'!$B$16*(45+25*(1-EXP(-0.0175*A30))),70*'Scénario référence'!$B$16)+IF((32+38*(1-EXP(-0.0175*A30)))&lt;70,'Scénario référence'!$B$18*(32+38*(1-EXP(-0.0175*A30))),70*'Scénario référence'!$B$18)</f>
        <v>70</v>
      </c>
      <c r="AZ30" s="12">
        <f>IF(A30&gt;30,10,('Scénario référence'!$B$16+'Scénario référence'!$B$17+'Scénario référence'!$B$18+'Scénario référence'!$B$9+'Scénario référence'!$B$10)*A30*10/30+('Scénario référence'!$F$8+'Scénario référence'!$F$9)*10)</f>
        <v>10</v>
      </c>
      <c r="BA30" s="12" t="e">
        <f>VLOOKUP(A30,'Données projet'!$A$87:$I$107,2,0)</f>
        <v>#N/A</v>
      </c>
      <c r="BB30" s="12" t="e">
        <f>VLOOKUP(A30,'Données projet'!$A$87:$I$107,9,0)</f>
        <v>#N/A</v>
      </c>
      <c r="BC30" s="12">
        <f t="array" ref="BC30">INDEX(BB:BB,MIN(IF(ISNUMBER(BB30:BB226),ROW(BB30:BB226),"")))</f>
        <v>15.3</v>
      </c>
      <c r="BD30" s="12">
        <f>IF('Données projet'!$A$88&gt;35,BD29+BC30-BL29,IF(A30&lt;'Données projet'!$A$88,$BA$205^A30,IF(A30='Données projet'!$A$88,'Données projet'!$B$88,BD29+BC30-BL29)))</f>
        <v>184.10000000000002</v>
      </c>
      <c r="BE30" s="13">
        <f>BD30*VLOOKUP('Données projet'!$B$11,Paramètres!$A$1:$I$89,3,0)*VLOOKUP('Données projet'!$B$11,Paramètres!$A$1:$I$89,5,0)</f>
        <v>110.09180000000001</v>
      </c>
      <c r="BF30" s="13">
        <f t="shared" si="37"/>
        <v>29.352612318376288</v>
      </c>
      <c r="BG30" s="20">
        <f t="shared" si="7"/>
        <v>242.86568478783872</v>
      </c>
      <c r="BH30" s="59">
        <f t="shared" si="8"/>
        <v>536.199018121172</v>
      </c>
      <c r="BI30" s="59">
        <f ca="1">AVERAGE(OFFSET($BH$3,0,0,'Données projet'!$E$11+1,1))-AVERAGE(OFFSET($H$3,0,0,'Données projet'!$E$11+1,1))</f>
        <v>316.58509520829671</v>
      </c>
      <c r="BJ30" s="59">
        <f t="shared" si="38"/>
        <v>240.71332110643596</v>
      </c>
      <c r="BK30" s="15">
        <f>IF(ISNA(VLOOKUP(A30,'Données projet'!$A$87:$I$107,3,0)),0,VLOOKUP(A30,'Données projet'!$A$87:$I$107,3,0))</f>
        <v>0</v>
      </c>
      <c r="BL30" s="15">
        <f>IF(ISNA(VLOOKUP(A30,'Données projet'!$A$87:$I$107,4,0)),0,VLOOKUP(A30,'Données projet'!$A$87:$I$107,4,0))</f>
        <v>0</v>
      </c>
      <c r="BM30" s="16">
        <f>IF(ISNA(VLOOKUP(A30,'Données projet'!$A$87:$I$107,5,0)),0%,VLOOKUP(A30,'Données projet'!$A$87:$I$107,5,0)*VLOOKUP('Données projet'!$B$11,Paramètres!$A$1:$I$89,7,0))</f>
        <v>0</v>
      </c>
      <c r="BN30" s="16">
        <f>IF(ISNA(VLOOKUP(A30,'Données projet'!$A$87:$I$107,6,0)),0%,VLOOKUP(A30,'Données projet'!$A$87:$I$107,6,0)*VLOOKUP('Données projet'!$B$11,Paramètres!$A$1:$I$89,7,0))</f>
        <v>0</v>
      </c>
      <c r="BO30" s="16">
        <f>IF(ISNA(VLOOKUP(A30,'Données projet'!$A$87:$I$107,7,0)),0%,VLOOKUP(A30,'Données projet'!$A$87:$I$107,7,0))</f>
        <v>0</v>
      </c>
      <c r="BP30" s="21">
        <f>EXP(-LN(2)/35)*BP29+(1-EXP(-LN(2)/35))/(LN(2)/35)*BL30*BM30*VLOOKUP('Données projet'!$B$11,Paramètres!$A$1:$I$89,3,0)*0.475*44/12</f>
        <v>0</v>
      </c>
      <c r="BQ30" s="21">
        <f>EXP(-LN(2)/25)*BQ29+(1-EXP(-LN(2)/25))/(LN(2)/25)*Calculateur!BL30*Calculateur!BN30*VLOOKUP('Données projet'!$B$11,Paramètres!$A$1:$I$89,3,0)*0.475*44/12</f>
        <v>4.2462767863960575</v>
      </c>
      <c r="BR30" s="21">
        <f>EXP(-LN(2)/2)*BR29+(1-EXP(-LN(2)/2))/(LN(2)/2)*BL30*BO30*VLOOKUP('Données projet'!$B$11,Paramètres!$A$1:$I$89,3,0)*0.475*44/12</f>
        <v>0.86776022669604502</v>
      </c>
      <c r="BS30" s="22">
        <f t="shared" si="9"/>
        <v>5.1140370130921022</v>
      </c>
      <c r="BT30" s="75">
        <f>('Scénario référence'!$F$8+'Scénario référence'!$F$9+'Scénario référence'!$B$17+'Scénario référence'!$B$9+'Scénario référence'!$B$10)*70+IF((45+25*(1-EXP(-0.0175*A30)))&lt;70,'Scénario référence'!$B$16*(45+25*(1-EXP(-0.0175*A30))),70*'Scénario référence'!$B$16)+IF((32+38*(1-EXP(-0.0175*A30)))&lt;70,'Scénario référence'!$B$18*(32+38*(1-EXP(-0.0175*A30))),70*'Scénario référence'!$B$18)</f>
        <v>70</v>
      </c>
      <c r="BU30" s="12">
        <f>IF(A30&gt;30,10,('Scénario référence'!$B$16+'Scénario référence'!$B$17+'Scénario référence'!$B$18+'Scénario référence'!$B$9+'Scénario référence'!$B$10)*A30*10/30+('Scénario référence'!$F$8+'Scénario référence'!$F$9)*10)</f>
        <v>10</v>
      </c>
      <c r="BV30" s="12" t="e">
        <f>VLOOKUP(A30,'Données projet'!$A$113:$I$133,2,0)</f>
        <v>#N/A</v>
      </c>
      <c r="BW30" s="12" t="e">
        <f>VLOOKUP(A30,'Données projet'!$A$113:$I$133,9,0)</f>
        <v>#N/A</v>
      </c>
      <c r="BX30" s="12">
        <f t="array" ref="BX30">INDEX(BW:BW,MIN(IF(ISNUMBER(BW30:BW226),ROW(BW30:BW226),"")))</f>
        <v>13.7</v>
      </c>
      <c r="BY30" s="12">
        <f>IF('Données projet'!$A$114&gt;35,BY29+BX30-CG29,IF(A30&lt;'Données projet'!$A$114,$BV$205^A30,IF(A30='Données projet'!$A$114,'Données projet'!$B$114,BY29+BX30-CG29)))</f>
        <v>175.89999999999995</v>
      </c>
      <c r="BZ30" s="13">
        <f>BY30*VLOOKUP('Données projet'!$B$12,Paramètres!$A$1:$I$89,3,0)*VLOOKUP('Données projet'!$B$12,Paramètres!$A$1:$I$89,5,0)</f>
        <v>100.61479999999997</v>
      </c>
      <c r="CA30" s="13">
        <f t="shared" si="39"/>
        <v>27.108412881873857</v>
      </c>
      <c r="CB30" s="20">
        <f t="shared" si="10"/>
        <v>222.45126243593026</v>
      </c>
      <c r="CC30" s="59">
        <f t="shared" si="11"/>
        <v>515.78459576926355</v>
      </c>
      <c r="CD30" s="59">
        <f ca="1">AVERAGE(OFFSET($CC$3,0,0,'Données projet'!$E$12+1,1))-AVERAGE(OFFSET($H$3,0,0,'Données projet'!$E$12+1,1))</f>
        <v>188.64374818906128</v>
      </c>
      <c r="CE30" s="59">
        <f t="shared" si="40"/>
        <v>211.95157880548652</v>
      </c>
      <c r="CF30" s="15">
        <f>IF(ISNA(VLOOKUP(A30,'Données projet'!$A$113:$I$133,3,0)),0,VLOOKUP(A30,'Données projet'!$A$113:$I$133,3,0))</f>
        <v>0</v>
      </c>
      <c r="CG30" s="15">
        <f>IF(ISNA(VLOOKUP(A30,'Données projet'!$A$113:$I$133,4,0)),0,VLOOKUP(A30,'Données projet'!$A$113:$I$133,4,0))</f>
        <v>0</v>
      </c>
      <c r="CH30" s="16">
        <f>IF(ISNA(VLOOKUP(A30,'Données projet'!$A$113:$I$133,5,0)),0%,VLOOKUP(A30,'Données projet'!$A$113:$I$133,5,0)*VLOOKUP('Données projet'!$B$12,Paramètres!$A$1:$I$89,7,0))</f>
        <v>0</v>
      </c>
      <c r="CI30" s="16">
        <f>IF(ISNA(VLOOKUP(A30,'Données projet'!$A$113:$I$133,6,0)),0%,VLOOKUP(A30,'Données projet'!$A$113:$I$133,6,0)*VLOOKUP('Données projet'!$B$12,Paramètres!$A$1:$I$89,7,0))</f>
        <v>0</v>
      </c>
      <c r="CJ30" s="16">
        <f>IF(ISNA(VLOOKUP(A30,'Données projet'!$A$113:$I$133,7,0)),0%,VLOOKUP(A30,'Données projet'!$A$113:$I$133,7,0))</f>
        <v>0</v>
      </c>
      <c r="CK30" s="21">
        <f>EXP(-LN(2)/35)*CK29+(1-EXP(-LN(2)/35))/(LN(2)/35)*CG30*CH30*VLOOKUP('Données projet'!$B$12,Paramètres!$A$1:$I$89,3,0)*0.475*44/12</f>
        <v>0</v>
      </c>
      <c r="CL30" s="21">
        <f>EXP(-LN(2)/25)*CL29+(1-EXP(-LN(2)/25))/(LN(2)/25)*Calculateur!CG30*Calculateur!CI30*VLOOKUP('Données projet'!$B$12,Paramètres!$A$1:$I$89,3,0)*0.475*44/12</f>
        <v>3.6414847403576358</v>
      </c>
      <c r="CM30" s="21">
        <f>EXP(-LN(2)/2)*CM29+(1-EXP(-LN(2)/2))/(LN(2)/2)*CG30*CJ30*VLOOKUP('Données projet'!$B$12,Paramètres!$A$1:$I$89,3,0)*0.475*44/12</f>
        <v>0.74416619140950202</v>
      </c>
      <c r="CN30" s="22">
        <f t="shared" si="12"/>
        <v>4.3856509317671382</v>
      </c>
      <c r="CO30" s="75">
        <f>('Scénario référence'!$F$8+'Scénario référence'!$F$9+'Scénario référence'!$B$17+'Scénario référence'!$B$9+'Scénario référence'!$B$10)*70+IF((45+25*(1-EXP(-0.0175*A30)))&lt;70,'Scénario référence'!$B$16*(45+25*(1-EXP(-0.0175*A30))),70*'Scénario référence'!$B$16)+IF((32+38*(1-EXP(-0.0175*A30)))&lt;70,'Scénario référence'!$B$18*(32+38*(1-EXP(-0.0175*A30))),70*'Scénario référence'!$B$18)</f>
        <v>70</v>
      </c>
      <c r="CP30" s="12">
        <f>IF(A30&gt;30,10,('Scénario référence'!$B$16+'Scénario référence'!$B$17+'Scénario référence'!$B$18+'Scénario référence'!$B$9+'Scénario référence'!$B$10)*A30*10/30+('Scénario référence'!$F$8+'Scénario référence'!$F$9)*10)</f>
        <v>10</v>
      </c>
      <c r="CQ30" s="12" t="e">
        <f>VLOOKUP(A30,'Données projet'!$A$139:$I$159,2,0)</f>
        <v>#N/A</v>
      </c>
      <c r="CR30" s="12" t="e">
        <f>VLOOKUP(A30,'Données projet'!$A$139:$I$159,9,0)</f>
        <v>#N/A</v>
      </c>
      <c r="CS30" s="12">
        <f t="array" ref="CS30">INDEX(CR:CR,MIN(IF(ISNUMBER(CR30:CR226),ROW(CR30:CR226),"")))</f>
        <v>0</v>
      </c>
      <c r="CT30" s="12">
        <f>IF('Données projet'!$A$140&gt;35,CT29+CS30-DB29,IF(A30&lt;'Données projet'!$A$140,$CQ$205^A30,IF(A30='Données projet'!$A$140,'Données projet'!$B$140,CT29+CS30-DB29)))</f>
        <v>0</v>
      </c>
      <c r="CU30" s="17" t="e">
        <f>CT30*VLOOKUP('Données projet'!$B$13,Paramètres!$A$1:$I$89,3,0)*VLOOKUP('Données projet'!$B$13,Paramètres!$A$1:$I$89,5,0)</f>
        <v>#N/A</v>
      </c>
      <c r="CV30" s="13" t="e">
        <f t="shared" si="41"/>
        <v>#N/A</v>
      </c>
      <c r="CW30" s="20" t="e">
        <f t="shared" si="13"/>
        <v>#N/A</v>
      </c>
      <c r="CX30" s="59" t="e">
        <f t="shared" si="14"/>
        <v>#N/A</v>
      </c>
      <c r="CY30" s="59" t="e">
        <f ca="1">AVERAGE(OFFSET($CX$3,0,0,'Données projet'!$E$13+1,1))-AVERAGE(OFFSET($H$3,0,0,'Données projet'!$E$13+1,1))</f>
        <v>#N/A</v>
      </c>
      <c r="CZ30" s="59" t="e">
        <f t="shared" si="42"/>
        <v>#N/A</v>
      </c>
      <c r="DA30" s="15">
        <f>IF(ISNA(VLOOKUP(A30,'Données projet'!$A$139:$I$159,3,0)),0,VLOOKUP(A30,'Données projet'!$A$139:$I$159,3,0))</f>
        <v>0</v>
      </c>
      <c r="DB30" s="15">
        <f>IF(ISNA(VLOOKUP(A30,'Données projet'!$A$139:$I$159,4,0)),0,VLOOKUP(A30,'Données projet'!$A$139:$I$159,4,0))</f>
        <v>0</v>
      </c>
      <c r="DC30" s="16">
        <f>IF(ISNA(VLOOKUP(A30,'Données projet'!$A$139:$I$159,5,0)),0%,VLOOKUP(A30,'Données projet'!$A$139:$I$159,5,0)*VLOOKUP('Données projet'!$B$13,Paramètres!$A$1:$I$89,7,0))</f>
        <v>0</v>
      </c>
      <c r="DD30" s="16">
        <f>IF(ISNA(VLOOKUP(A30,'Données projet'!$A$139:$I$159,6,0)),0%,VLOOKUP(A30,'Données projet'!$A$139:$I$159,6,0)*VLOOKUP('Données projet'!$B$13,Paramètres!$A$1:$I$89,7,0))</f>
        <v>0</v>
      </c>
      <c r="DE30" s="16">
        <f>IF(ISNA(VLOOKUP(A30,'Données projet'!$A$139:$I$159,7,0)),0%,VLOOKUP(A30,'Données projet'!$A$139:$I$159,7,0))</f>
        <v>0</v>
      </c>
      <c r="DF30" s="21" t="e">
        <f>EXP(-LN(2)/35)*DF29+(1-EXP(-LN(2)/35))/(LN(2)/35)*DB30*DC30*VLOOKUP('Données projet'!$B$13,Paramètres!$A$1:$I$89,3,0)*0.475*44/12</f>
        <v>#N/A</v>
      </c>
      <c r="DG30" s="21" t="e">
        <f>EXP(-LN(2)/25)*DG29+(1-EXP(-LN(2)/25))/(LN(2)/25)*Calculateur!DB30*Calculateur!DD30*VLOOKUP('Données projet'!$B$13,Paramètres!$A$1:$I$89,3,0)*0.475*44/12</f>
        <v>#N/A</v>
      </c>
      <c r="DH30" s="21" t="e">
        <f>EXP(-LN(2)/2)*DH29+(1-EXP(-LN(2)/2))/(LN(2)/2)*DB30*DE30*VLOOKUP('Données projet'!$B$13,Paramètres!$A$1:$I$89,3,0)*0.475*44/12</f>
        <v>#N/A</v>
      </c>
      <c r="DI30" s="22" t="e">
        <f t="shared" si="15"/>
        <v>#N/A</v>
      </c>
      <c r="DJ30" s="75">
        <f>('Scénario référence'!$F$8+'Scénario référence'!$F$9+'Scénario référence'!$B$17+'Scénario référence'!$B$9+'Scénario référence'!$B$10)*70+IF((45+25*(1-EXP(-0.0175*A30)))&lt;70,'Scénario référence'!$B$16*(45+25*(1-EXP(-0.0175*A30))),70*'Scénario référence'!$B$16)+IF((32+38*(1-EXP(-0.0175*A30)))&lt;70,'Scénario référence'!$B$18*(32+38*(1-EXP(-0.0175*A30))),70*'Scénario référence'!$B$18)</f>
        <v>70</v>
      </c>
      <c r="DK30" s="12">
        <f>IF(A30&gt;30,10,('Scénario référence'!$B$16+'Scénario référence'!$B$17+'Scénario référence'!$B$18+'Scénario référence'!$B$9+'Scénario référence'!$B$10)*A30*10/30+('Scénario référence'!$F$8+'Scénario référence'!$F$9)*10)</f>
        <v>10</v>
      </c>
      <c r="DL30" s="12" t="e">
        <f>VLOOKUP(A30,'Données projet'!$A$165:$I$185,2,0)</f>
        <v>#N/A</v>
      </c>
      <c r="DM30" s="12" t="e">
        <f>VLOOKUP(A30,'Données projet'!$A$165:$I$185,9,0)</f>
        <v>#N/A</v>
      </c>
      <c r="DN30" s="12">
        <f t="array" ref="DN30">INDEX(DM:DM,MIN(IF(ISNUMBER(DM30:DM226),ROW(DM30:DM226),"")))</f>
        <v>10.5</v>
      </c>
      <c r="DO30" s="12">
        <f>IF('Données projet'!$A$166&gt;35,DO29+DN30-DW29,IF(A30&lt;'Données projet'!$A$166,$DL$205^A30,IF(A30='Données projet'!$A$166,'Données projet'!$B$166,DO29+DN30-DW29)))</f>
        <v>178.5</v>
      </c>
      <c r="DP30" s="17">
        <f>DO30*VLOOKUP('Données projet'!$B$14,Paramètres!$A$1:$I$89,3,0)*VLOOKUP('Données projet'!$B$14,Paramètres!$A$1:$I$89,5,0)</f>
        <v>116.9532</v>
      </c>
      <c r="DQ30" s="13">
        <f t="shared" si="43"/>
        <v>30.963323095281662</v>
      </c>
      <c r="DR30" s="20">
        <f t="shared" si="16"/>
        <v>257.62127772428227</v>
      </c>
      <c r="DS30" s="59">
        <f t="shared" si="17"/>
        <v>550.95461105761558</v>
      </c>
      <c r="DT30" s="59">
        <f ca="1">AVERAGE(OFFSET($DS$3,0,0,'Données projet'!$E$14+1,1))-AVERAGE(OFFSET($H$3,0,0,'Données projet'!$E$14+1,1))</f>
        <v>188.68915783955595</v>
      </c>
      <c r="DU30" s="59">
        <f t="shared" si="44"/>
        <v>240.82467772396944</v>
      </c>
      <c r="DV30" s="15">
        <f>IF(ISNA(VLOOKUP(A30,'Données projet'!$A$165:$I$185,3,0)),0,VLOOKUP(A30,'Données projet'!$A$165:$I$185,3,0))</f>
        <v>0</v>
      </c>
      <c r="DW30" s="15">
        <f>IF(ISNA(VLOOKUP(A30,'Données projet'!$A$165:$I$185,4,0)),0,VLOOKUP(A30,'Données projet'!$A$165:$I$185,4,0))</f>
        <v>0</v>
      </c>
      <c r="DX30" s="16">
        <f>IF(ISNA(VLOOKUP(A30,'Données projet'!$A$165:$I$185,5,0)),0%,VLOOKUP(A30,'Données projet'!$A$165:$I$185,5,0)*VLOOKUP('Données projet'!$B$14,Paramètres!$A$1:$I$89,7,0))</f>
        <v>0</v>
      </c>
      <c r="DY30" s="16">
        <f>IF(ISNA(VLOOKUP(A30,'Données projet'!$A$165:$I$185,6,0)),0%,VLOOKUP(A30,'Données projet'!$A$165:$I$185,6,0)*VLOOKUP('Données projet'!$B$14,Paramètres!$A$1:$I$89,7,0))</f>
        <v>0</v>
      </c>
      <c r="DZ30" s="16">
        <f>IF(ISNA(VLOOKUP(A30,'Données projet'!$A$165:$I$185,7,0)),0%,VLOOKUP(A30,'Données projet'!$A$165:$I$185,7,0))</f>
        <v>0</v>
      </c>
      <c r="EA30" s="21">
        <f>EXP(-LN(2)/35)*EA29+(1-EXP(-LN(2)/35))/(LN(2)/35)*DW30*DX30*VLOOKUP('Données projet'!$B$14,Paramètres!$A$1:$I$89,3,0)*0.475*44/12</f>
        <v>0</v>
      </c>
      <c r="EB30" s="21">
        <f>EXP(-LN(2)/25)*EB29+(1-EXP(-LN(2)/25))/(LN(2)/25)*Calculateur!DW30*Calculateur!DY30*VLOOKUP('Données projet'!$B$14,Paramètres!$A$1:$I$89,3,0)*0.475*44/12</f>
        <v>1.149741510679352</v>
      </c>
      <c r="EC30" s="21">
        <f>EXP(-LN(2)/2)*EC29+(1-EXP(-LN(2)/2))/(LN(2)/2)*DW30*DZ30*VLOOKUP('Données projet'!$B$14,Paramètres!$A$1:$I$89,3,0)*0.475*44/12</f>
        <v>0.24588708072796484</v>
      </c>
      <c r="ED30" s="22">
        <f t="shared" si="18"/>
        <v>1.3956285914073168</v>
      </c>
      <c r="EE30" s="75">
        <f>('Scénario référence'!$F$8+'Scénario référence'!$F$9+'Scénario référence'!$B$17+'Scénario référence'!$B$9+'Scénario référence'!$B$10)*70+IF((45+25*(1-EXP(-0.0175*A30)))&lt;70,'Scénario référence'!$B$16*(45+25*(1-EXP(-0.0175*A30))),70*'Scénario référence'!$B$16)+IF((32+38*(1-EXP(-0.0175*A30)))&lt;70,'Scénario référence'!$B$18*(32+38*(1-EXP(-0.0175*A30))),70*'Scénario référence'!$B$18)</f>
        <v>70</v>
      </c>
      <c r="EF30" s="12">
        <f>IF(A30&gt;30,10,('Scénario référence'!$B$16+'Scénario référence'!$B$17+'Scénario référence'!$B$18+'Scénario référence'!$B$9+'Scénario référence'!$B$10)*A30*10/30+('Scénario référence'!$F$8+'Scénario référence'!$F$9)*10)</f>
        <v>10</v>
      </c>
      <c r="EG30" s="12" t="e">
        <f>VLOOKUP(A30,'Données projet'!$A$191:$I$211,2,0)</f>
        <v>#N/A</v>
      </c>
      <c r="EH30" s="12" t="e">
        <f>VLOOKUP(A30,'Données projet'!$A$191:$I$211,9,0)</f>
        <v>#N/A</v>
      </c>
      <c r="EI30" s="12">
        <f t="array" ref="EI30">INDEX(EH:EH,MIN(IF(ISNUMBER(EH30:EH226),ROW(EH30:EH226),"")))</f>
        <v>7</v>
      </c>
      <c r="EJ30" s="12">
        <f>IF('Données projet'!$A$192&gt;35,EJ29+EI30-ER29,IF(A30&lt;'Données projet'!$A$192,$EG$205^A30,IF(A30='Données projet'!$A$192,'Données projet'!$B$192,EJ29+EI30-ER29)))</f>
        <v>113.99999999999999</v>
      </c>
      <c r="EK30" s="17">
        <f>EJ30*VLOOKUP('Données projet'!$B$15,Paramètres!$A$1:$I$89,3,0)*VLOOKUP('Données projet'!$B$15,Paramètres!$A$1:$I$89,5,0)</f>
        <v>92.476799999999997</v>
      </c>
      <c r="EL30" s="13">
        <f t="shared" si="45"/>
        <v>25.161622425346422</v>
      </c>
      <c r="EM30" s="20">
        <f t="shared" si="19"/>
        <v>204.88691905747837</v>
      </c>
      <c r="EN30" s="59">
        <f t="shared" si="20"/>
        <v>498.22025239081165</v>
      </c>
      <c r="EO30" s="59">
        <f ca="1">AVERAGE(OFFSET($EN$3,0,0,'Données projet'!$E$15+1,1))-AVERAGE(OFFSET($H$3,0,0,'Données projet'!$E$15+1,1))</f>
        <v>205.5272583787887</v>
      </c>
      <c r="EP30" s="59">
        <f t="shared" si="46"/>
        <v>180.54762778843178</v>
      </c>
      <c r="EQ30" s="15">
        <f>IF(ISNA(VLOOKUP(A30,'Données projet'!$A$191:$I$211,3,0)),0,VLOOKUP(A30,'Données projet'!$A$191:$I$211,3,0))</f>
        <v>0</v>
      </c>
      <c r="ER30" s="15">
        <f>IF(ISNA(VLOOKUP(A30,'Données projet'!$A$191:$I$211,4,0)),0,VLOOKUP(A30,'Données projet'!$A$191:$I$211,4,0))</f>
        <v>0</v>
      </c>
      <c r="ES30" s="16">
        <f>IF(ISNA(VLOOKUP(A30,'Données projet'!$A$191:$I$211,5,0)),0%,VLOOKUP(A30,'Données projet'!$A$191:$I$211,5,0)*VLOOKUP('Données projet'!$B$15,Paramètres!$A$1:$I$89,7,0))</f>
        <v>0</v>
      </c>
      <c r="ET30" s="16">
        <f>IF(ISNA(VLOOKUP(A30,'Données projet'!$A$191:$I$211,6,0)),0%,VLOOKUP(A30,'Données projet'!$A$191:$I$211,6,0)*VLOOKUP('Données projet'!$B$15,Paramètres!$A$1:$I$89,7,0))</f>
        <v>0</v>
      </c>
      <c r="EU30" s="16">
        <f>IF(ISNA(VLOOKUP(A30,'Données projet'!$A$191:$I$211,7,0)),0%,VLOOKUP(A30,'Données projet'!$A$191:$I$211,7,0))</f>
        <v>0</v>
      </c>
      <c r="EV30" s="21">
        <f>EXP(-LN(2)/35)*EV29+(1-EXP(-LN(2)/35))/(LN(2)/35)*ER30*ES30*VLOOKUP('Données projet'!$B$15,Paramètres!$A$1:$I$89,3,0)*0.475*44/12</f>
        <v>0</v>
      </c>
      <c r="EW30" s="21">
        <f>EXP(-LN(2)/25)*EW29+(1-EXP(-LN(2)/25))/(LN(2)/25)*Calculateur!ER30*Calculateur!ET30*VLOOKUP('Données projet'!$B$15,Paramètres!$A$1:$I$89,3,0)*0.475*44/12</f>
        <v>1.423489489412531</v>
      </c>
      <c r="EX30" s="21">
        <f>EXP(-LN(2)/2)*EX29+(1-EXP(-LN(2)/2))/(LN(2)/2)*ER30*EU30*VLOOKUP('Données projet'!$B$15,Paramètres!$A$1:$I$89,3,0)*0.475*44/12</f>
        <v>0.30443162375843258</v>
      </c>
      <c r="EY30" s="22">
        <f t="shared" si="21"/>
        <v>1.7279211131709635</v>
      </c>
      <c r="EZ30" s="75">
        <f>('Scénario référence'!$F$8+'Scénario référence'!$F$9+'Scénario référence'!$B$17+'Scénario référence'!$B$9+'Scénario référence'!$B$10)*70+IF((45+25*(1-EXP(-0.0175*A30)))&lt;70,'Scénario référence'!$B$16*(45+25*(1-EXP(-0.0175*A30))),70*'Scénario référence'!$B$16)+IF((32+38*(1-EXP(-0.0175*A30)))&lt;70,'Scénario référence'!$B$18*(32+38*(1-EXP(-0.0175*A30))),70*'Scénario référence'!$B$18)</f>
        <v>70</v>
      </c>
      <c r="FA30" s="12">
        <f>IF(A30&gt;30,10,('Scénario référence'!$B$16+'Scénario référence'!$B$17+'Scénario référence'!$B$18+'Scénario référence'!$B$9+'Scénario référence'!$B$10)*A30*10/30+('Scénario référence'!$F$8+'Scénario référence'!$F$9)*10)</f>
        <v>10</v>
      </c>
      <c r="FB30" s="12" t="e">
        <f>VLOOKUP(A30,'Données projet'!$A$217:$I$237,2,0)</f>
        <v>#N/A</v>
      </c>
      <c r="FC30" s="12" t="e">
        <f>VLOOKUP(A30,'Données projet'!$A$217:$I$237,9,0)</f>
        <v>#N/A</v>
      </c>
      <c r="FD30" s="12">
        <f t="array" ref="FD30">INDEX(FC:FC,MIN(IF(ISNUMBER(FC30:FC226),ROW(FC30:FC226),"")))</f>
        <v>9.1</v>
      </c>
      <c r="FE30" s="12">
        <f>IF('Données projet'!$A$218&gt;35,FE29+FD30-FM29,IF(A30&lt;'Données projet'!$A$218,$FB$205^A30,IF(A30='Données projet'!$A$218,'Données projet'!$B$218,FE29+FD30-FM29)))</f>
        <v>112.69999999999997</v>
      </c>
      <c r="FF30" s="17">
        <f>FE30*VLOOKUP('Données projet'!$B$16,Paramètres!$A$1:$I$89,3,0)*VLOOKUP('Données projet'!$B$16,Paramètres!$A$1:$I$89,5,0)</f>
        <v>96.696599999999989</v>
      </c>
      <c r="FG30" s="13">
        <f t="shared" si="47"/>
        <v>26.173476069859877</v>
      </c>
      <c r="FH30" s="20">
        <f t="shared" si="22"/>
        <v>213.99871582167259</v>
      </c>
      <c r="FI30" s="59">
        <f t="shared" si="23"/>
        <v>507.3320491550059</v>
      </c>
      <c r="FJ30" s="59">
        <f ca="1">AVERAGE(OFFSET($FI$3,0,0,'Données projet'!$E$16+1,1))-AVERAGE(OFFSET($H$3,0,0,'Données projet'!$E$16+1,1))</f>
        <v>383.97627237444709</v>
      </c>
      <c r="FK30" s="59">
        <f t="shared" si="48"/>
        <v>203.35476578922339</v>
      </c>
      <c r="FL30" s="15">
        <f>IF(ISNA(VLOOKUP(A30,'Données projet'!$A$217:$I$237,3,0)),0,VLOOKUP(A30,'Données projet'!$A$217:$I$237,3,0))</f>
        <v>0</v>
      </c>
      <c r="FM30" s="15">
        <f>IF(ISNA(VLOOKUP(A30,'Données projet'!$A$217:$I$237,4,0)),0,VLOOKUP(A30,'Données projet'!$A$217:$I$237,4,0))</f>
        <v>0</v>
      </c>
      <c r="FN30" s="16">
        <f>IF(ISNA(VLOOKUP(A30,'Données projet'!$A$217:$I$237,5,0)),0%,VLOOKUP(A30,'Données projet'!$A$217:$I$237,5,0)*VLOOKUP('Données projet'!$B$16,Paramètres!$A$1:$I$89,7,0))</f>
        <v>0</v>
      </c>
      <c r="FO30" s="16">
        <f>IF(ISNA(VLOOKUP(A30,'Données projet'!$A$217:$I$237,6,0)),0%,VLOOKUP(A30,'Données projet'!$A$217:$I$237,6,0)*VLOOKUP('Données projet'!$B$16,Paramètres!$A$1:$I$89,7,0))</f>
        <v>0</v>
      </c>
      <c r="FP30" s="16">
        <f>IF(ISNA(VLOOKUP(A30,'Données projet'!$A$217:$I$237,7,0)),0%,VLOOKUP(A30,'Données projet'!$A$217:$I$237,7,0))</f>
        <v>0</v>
      </c>
      <c r="FQ30" s="21">
        <f>EXP(-LN(2)/35)*FQ29+(1-EXP(-LN(2)/35))/(LN(2)/35)*FM30*FN30*VLOOKUP('Données projet'!$B$16,Paramètres!$A$1:$I$89,3,0)*0.475*44/12</f>
        <v>0</v>
      </c>
      <c r="FR30" s="21">
        <f>EXP(-LN(2)/25)*FR29+(1-EXP(-LN(2)/25))/(LN(2)/25)*Calculateur!FM30*Calculateur!FO30*VLOOKUP('Données projet'!$B$16,Paramètres!$A$1:$I$89,3,0)*0.475*44/12</f>
        <v>0.82478073179040512</v>
      </c>
      <c r="FS30" s="21">
        <f>EXP(-LN(2)/2)*FS29+(1-EXP(-LN(2)/2))/(LN(2)/2)*FM30*FP30*VLOOKUP('Données projet'!$B$16,Paramètres!$A$1:$I$89,3,0)*0.475*44/12</f>
        <v>0.14310888296336574</v>
      </c>
      <c r="FT30" s="22">
        <f t="shared" si="24"/>
        <v>0.96788961475377089</v>
      </c>
      <c r="FU30" s="75">
        <f>('Scénario référence'!$F$8+'Scénario référence'!$F$9+'Scénario référence'!$B$17+'Scénario référence'!$B$9+'Scénario référence'!$B$10)*70+IF((45+25*(1-EXP(-0.0175*A30)))&lt;70,'Scénario référence'!$B$16*(45+25*(1-EXP(-0.0175*A30))),70*'Scénario référence'!$B$16)+IF((32+38*(1-EXP(-0.0175*A30)))&lt;70,'Scénario référence'!$B$18*(32+38*(1-EXP(-0.0175*A30))),70*'Scénario référence'!$B$18)</f>
        <v>70</v>
      </c>
      <c r="FV30" s="12">
        <f>IF(A30&gt;30,10,('Scénario référence'!$B$16+'Scénario référence'!$B$17+'Scénario référence'!$B$18+'Scénario référence'!$B$9+'Scénario référence'!$B$10)*A30*10/30+('Scénario référence'!$F$8+'Scénario référence'!$F$9)*10)</f>
        <v>10</v>
      </c>
      <c r="FW30" s="12" t="e">
        <f>VLOOKUP(A30,'Données projet'!$A$243:$I$263,2,0)</f>
        <v>#N/A</v>
      </c>
      <c r="FX30" s="12" t="e">
        <f>VLOOKUP(A30,'Données projet'!$A$243:$I$263,9,0)</f>
        <v>#N/A</v>
      </c>
      <c r="FY30" s="12">
        <f t="array" ref="FY30">INDEX(FX:FX,MIN(IF(ISNUMBER(FX30:FX226),ROW(FX30:FX226),"")))</f>
        <v>4.0628205128205126</v>
      </c>
      <c r="FZ30" s="12">
        <f>IF('Données projet'!$A$244&gt;35,FZ29+FY30-GH29,IF(A30&lt;'Données projet'!$A$244,$FW$205^A30,IF(A30='Données projet'!$A$244,'Données projet'!$B$244,FZ29+FY30-GH29)))</f>
        <v>75.396988922564091</v>
      </c>
      <c r="GA30" s="17">
        <f>FZ30*VLOOKUP('Données projet'!$B$17,Paramètres!$A$1:$I$89,3,0)*VLOOKUP('Données projet'!$B$17,Paramètres!$A$1:$I$89,5,0)</f>
        <v>81.157318876247984</v>
      </c>
      <c r="GB30" s="13">
        <f t="shared" si="49"/>
        <v>22.41991763647134</v>
      </c>
      <c r="GC30" s="20">
        <f t="shared" si="25"/>
        <v>180.39702025965281</v>
      </c>
      <c r="GD30" s="59">
        <f t="shared" si="26"/>
        <v>473.73035359298615</v>
      </c>
      <c r="GE30" s="59">
        <f ca="1">AVERAGE(OFFSET($GD$3,0,0,'Données projet'!$E$17+1,1))-AVERAGE(OFFSET($H$3,0,0,'Données projet'!$E$17+1,1))</f>
        <v>286.77702855541287</v>
      </c>
      <c r="GF30" s="59">
        <f t="shared" si="50"/>
        <v>227.12211541860779</v>
      </c>
      <c r="GG30" s="15">
        <f>IF(ISNA(VLOOKUP(A30,'Données projet'!$A$243:$I$263,3,0)),0,VLOOKUP(A30,'Données projet'!$A$243:$I$263,3,0))</f>
        <v>0</v>
      </c>
      <c r="GH30" s="15">
        <f>IF(ISNA(VLOOKUP(A30,'Données projet'!$A$243:$I$263,4,0)),0,VLOOKUP(A30,'Données projet'!$A$243:$I$263,4,0))</f>
        <v>0</v>
      </c>
      <c r="GI30" s="16">
        <f>IF(ISNA(VLOOKUP(A30,'Données projet'!$A$243:$I$263,5,0)),0%,VLOOKUP(A30,'Données projet'!$A$243:$I$263,5,0)*VLOOKUP('Données projet'!$B$17,Paramètres!$A$1:$I$89,7,0))</f>
        <v>0</v>
      </c>
      <c r="GJ30" s="16">
        <f>IF(ISNA(VLOOKUP(A30,'Données projet'!$A$243:$I$263,6,0)),0%,VLOOKUP(A30,'Données projet'!$A$243:$I$263,6,0)*VLOOKUP('Données projet'!$B$17,Paramètres!$A$1:$I$89,7,0))</f>
        <v>0</v>
      </c>
      <c r="GK30" s="16">
        <f>IF(ISNA(VLOOKUP(A30,'Données projet'!$A$243:$I$263,7,0)),0%,VLOOKUP(A30,'Données projet'!$A$243:$I$263,7,0))</f>
        <v>0</v>
      </c>
      <c r="GL30" s="21">
        <f>EXP(-LN(2)/35)*GL29+(1-EXP(-LN(2)/35))/(LN(2)/35)*GH30*GI30*VLOOKUP('Données projet'!$B$17,Paramètres!$A$1:$I$89,3,0)*0.475*44/12</f>
        <v>0</v>
      </c>
      <c r="GM30" s="21">
        <f>EXP(-LN(2)/25)*GM29+(1-EXP(-LN(2)/25))/(LN(2)/25)*Calculateur!GH30*Calculateur!GJ30*VLOOKUP('Données projet'!$B$17,Paramètres!$A$1:$I$89,3,0)*0.475*44/12</f>
        <v>0</v>
      </c>
      <c r="GN30" s="21">
        <f>EXP(-LN(2)/2)*GN29+(1-EXP(-LN(2)/2))/(LN(2)/2)*GH30*GK30*VLOOKUP('Données projet'!$B$17,Paramètres!$A$1:$I$89,3,0)*0.475*44/12</f>
        <v>0</v>
      </c>
      <c r="GO30" s="21">
        <f t="shared" si="27"/>
        <v>0</v>
      </c>
      <c r="GP30" s="75">
        <f>('Scénario référence'!$F$8+'Scénario référence'!$F$9+'Scénario référence'!$B$17+'Scénario référence'!$B$9+'Scénario référence'!$B$10)*70+IF((45+25*(1-EXP(-0.0175*A30)))&lt;70,'Scénario référence'!$B$16*(45+25*(1-EXP(-0.0175*A30))),70*'Scénario référence'!$B$16)+IF((32+38*(1-EXP(-0.0175*A30)))&lt;70,'Scénario référence'!$B$18*(32+38*(1-EXP(-0.0175*A30))),70*'Scénario référence'!$B$18)</f>
        <v>70</v>
      </c>
      <c r="GQ30" s="12">
        <f>IF(A30&gt;30,10,('Scénario référence'!$B$16+'Scénario référence'!$B$17+'Scénario référence'!$B$18+'Scénario référence'!$B$9+'Scénario référence'!$B$10)*A30*10/30+('Scénario référence'!$F$8+'Scénario référence'!$F$9)*10)</f>
        <v>10</v>
      </c>
      <c r="GR30" s="12" t="e">
        <f>VLOOKUP(A30,'Données projet'!$A$269:$I$289,2,0)</f>
        <v>#N/A</v>
      </c>
      <c r="GS30" s="12" t="e">
        <f>VLOOKUP(A30,'Données projet'!$A$269:$I$289,9,0)</f>
        <v>#N/A</v>
      </c>
      <c r="GT30" s="12">
        <f t="array" ref="GT30">INDEX(GS:GS,MIN(IF(ISNUMBER(GS30:GS226),ROW(GS30:GS226),"")))</f>
        <v>4.0628205128205126</v>
      </c>
      <c r="GU30" s="12">
        <f>IF('Données projet'!$A$270&gt;35,GU29+GT30-HC29,IF(A30&lt;'Données projet'!$A$270,$GR$205^A30,IF(A30='Données projet'!$A$270,'Données projet'!$B$270,GU29+GT30-HC29)))</f>
        <v>75.396988922564091</v>
      </c>
      <c r="GV30" s="17">
        <f>GU30*VLOOKUP('Données projet'!$B$18,Paramètres!$A$1:$I$89,3,0)*VLOOKUP('Données projet'!$B$18,Paramètres!$A$1:$I$89,5,0)</f>
        <v>81.157318876247984</v>
      </c>
      <c r="GW30" s="13">
        <f t="shared" si="51"/>
        <v>22.41991763647134</v>
      </c>
      <c r="GX30" s="20">
        <f t="shared" si="28"/>
        <v>180.39702025965281</v>
      </c>
      <c r="GY30" s="59">
        <f t="shared" si="29"/>
        <v>473.73035359298615</v>
      </c>
      <c r="GZ30" s="59">
        <f ca="1">AVERAGE(OFFSET($GY$3,0,0,'Données projet'!$E$18+1,1))-AVERAGE(OFFSET($H$3,0,0,'Données projet'!$E$18+1,1))</f>
        <v>286.77702855541287</v>
      </c>
      <c r="HA30" s="59">
        <f t="shared" si="52"/>
        <v>227.12211541860779</v>
      </c>
      <c r="HB30" s="15">
        <f>IF(ISNA(VLOOKUP(A30,'Données projet'!$A$269:$I$289,3,0)),0,VLOOKUP(A30,'Données projet'!$A$269:$I$289,3,0))</f>
        <v>0</v>
      </c>
      <c r="HC30" s="15">
        <f>IF(ISNA(VLOOKUP(A30,'Données projet'!$A$269:$I$289,4,0)),0,VLOOKUP(A30,'Données projet'!$A$269:$I$289,4,0))</f>
        <v>0</v>
      </c>
      <c r="HD30" s="16">
        <f>IF(ISNA(VLOOKUP(A30,'Données projet'!$A$269:$I$289,5,0)),0%,VLOOKUP(A30,'Données projet'!$A$269:$I$289,5,0)*VLOOKUP('Données projet'!$B$18,Paramètres!$A$1:$I$89,7,0))</f>
        <v>0</v>
      </c>
      <c r="HE30" s="16">
        <f>IF(ISNA(VLOOKUP(A30,'Données projet'!$A$269:$I$289,6,0)),0%,VLOOKUP(A30,'Données projet'!$A$269:$I$289,6,0)*VLOOKUP('Données projet'!$B$18,Paramètres!$A$1:$I$89,7,0))</f>
        <v>0</v>
      </c>
      <c r="HF30" s="16">
        <f>IF(ISNA(VLOOKUP(A30,'Données projet'!$A$269:$I$289,7,0)),0%,VLOOKUP(A30,'Données projet'!$A$269:$I$289,7,0))</f>
        <v>0</v>
      </c>
      <c r="HG30" s="21">
        <f>EXP(-LN(2)/35)*HG29+(1-EXP(-LN(2)/35))/(LN(2)/35)*HC30*HD30*VLOOKUP('Données projet'!$B$18,Paramètres!$A$1:$I$89,3,0)*0.475*44/12</f>
        <v>0</v>
      </c>
      <c r="HH30" s="21">
        <f>EXP(-LN(2)/25)*HH29+(1-EXP(-LN(2)/25))/(LN(2)/25)*Calculateur!HC30*Calculateur!HE30*VLOOKUP('Données projet'!$B$18,Paramètres!$A$1:$I$89,3,0)*0.475*44/12</f>
        <v>0</v>
      </c>
      <c r="HI30" s="21">
        <f>EXP(-LN(2)/2)*HI29+(1-EXP(-LN(2)/2))/(LN(2)/2)*HC30*HF30*VLOOKUP('Données projet'!$B$18,Paramètres!$A$1:$I$89,3,0)*0.475*44/12</f>
        <v>0</v>
      </c>
      <c r="HJ30" s="22">
        <f t="shared" si="30"/>
        <v>0</v>
      </c>
    </row>
    <row r="31" spans="1:218" x14ac:dyDescent="0.25">
      <c r="A31" s="10">
        <f t="shared" si="31"/>
        <v>28</v>
      </c>
      <c r="B31" s="73">
        <f>'Scénario référence'!$B$16*5+'Scénario référence'!$B$17*0+'Scénario référence'!$B$18*5</f>
        <v>0</v>
      </c>
      <c r="C31" s="19">
        <f>Calculateur!C30+'Scénario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24.897599999999994</v>
      </c>
      <c r="D31" s="11">
        <f t="shared" si="32"/>
        <v>7.8921770401958202</v>
      </c>
      <c r="E3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31" s="11">
        <f>IF(OR('Scénario référence'!$F$8&gt;0,'Scénario référence'!$F$9&gt;0),('Scénario référence'!$F$8+'Scénario référence'!$F$9)*10,0)</f>
        <v>10</v>
      </c>
      <c r="G31" s="11">
        <f>'Scénario référence'!$B$8*B31*44/12+'Scénario référence'!$B$9*(C31+D31)/0.475*44/12+'Scénario référence'!$B$10*(C31+D31)/0.475*44/12+'Scénario référence'!$F$8*(C31+D31)/0.475*44/12+'Scénario référence'!$F$9*(C31+D31)/0.475*44/12</f>
        <v>253.11406838045892</v>
      </c>
      <c r="H31" s="67">
        <f t="shared" si="1"/>
        <v>350.44219501167436</v>
      </c>
      <c r="I31" s="70">
        <f>('Scénario référence'!$F$8+'Scénario référence'!$F$9+'Scénario référence'!$B$17+'Scénario référence'!$B$9+'Scénario référence'!$B$10)*70+IF((45+25*(1-EXP(-0.0175*A31)))&lt;70,'Scénario référence'!$B$16*(45+25*(1-EXP(-0.0175*A31))),70*'Scénario référence'!$B$16)+IF((32+38*(1-EXP(-0.0175*A31)))&lt;70,'Scénario référence'!$B$18*(32+38*(1-EXP(-0.0175*A31))),70*'Scénario référence'!$B$18)</f>
        <v>70</v>
      </c>
      <c r="J31" s="13">
        <f>IF(A31&gt;30,10,('Scénario référence'!$B$16+'Scénario référence'!$B$17+'Scénario référence'!$B$18+'Scénario référence'!$B$9+'Scénario référence'!$B$10)*A31*10/30+('Scénario référence'!$F$8+'Scénario référence'!$F$9)*10)</f>
        <v>10</v>
      </c>
      <c r="K31" s="12" t="e">
        <f>VLOOKUP(A31,'Données projet'!$A$35:$I$55,2,0)</f>
        <v>#N/A</v>
      </c>
      <c r="L31" s="12" t="e">
        <f>VLOOKUP(A31,'Données projet'!$A$35:$I$55,9,0)</f>
        <v>#N/A</v>
      </c>
      <c r="M31" s="12">
        <f t="array" ref="M31">INDEX(L:L,MIN(IF(ISNUMBER(L31:L227),ROW(L31:L227),"")))</f>
        <v>22.828205128205127</v>
      </c>
      <c r="N31" s="13">
        <f>IF('Données projet'!$A$36&gt;35,N30+M31-V30,IF(A31&lt;'Données projet'!$A$36,$K$205^A31,IF(A31='Données projet'!$A$36,'Données projet'!$B$36,N30+M31-V30)))</f>
        <v>286.21282051282037</v>
      </c>
      <c r="O31" s="13">
        <f>N31*VLOOKUP('Données projet'!$B$9,Paramètres!$A$1:$I$89,3,0)*VLOOKUP('Données projet'!$B$9,Paramètres!$A$1:$I$89,5,0)</f>
        <v>159.99296666666658</v>
      </c>
      <c r="P31" s="13">
        <f t="shared" si="33"/>
        <v>40.840929014671453</v>
      </c>
      <c r="Q31" s="20">
        <f t="shared" si="2"/>
        <v>349.785701644997</v>
      </c>
      <c r="R31" s="59">
        <f t="shared" si="0"/>
        <v>643.11903497833032</v>
      </c>
      <c r="S31" s="59">
        <f ca="1">AVERAGE(OFFSET($R$3,0,0,'Données projet'!$E$9+1,1))-AVERAGE(OFFSET($H$3,0,0,'Données projet'!$E$9+1,1))</f>
        <v>255.5374979188561</v>
      </c>
      <c r="T31" s="59">
        <f t="shared" si="34"/>
        <v>343.10418468620901</v>
      </c>
      <c r="U31" s="15">
        <f>IF(ISNA(VLOOKUP(A31,'Données projet'!$A$35:$I$55,3,0)),0,VLOOKUP(A31,'Données projet'!$A$35:$I$55,3,0))</f>
        <v>0</v>
      </c>
      <c r="V31" s="15">
        <f>IF(ISNA(VLOOKUP(A31,'Données projet'!$A$35:$I$55,4,0)),0,VLOOKUP(A31,'Données projet'!$A$35:$I$55,4,0))</f>
        <v>0</v>
      </c>
      <c r="W31" s="16">
        <f>IF(ISNA(VLOOKUP(A31,'Données projet'!$A$35:$I$55,5,0)),0%,VLOOKUP(A31,'Données projet'!$A$35:$I$55,5,0)*VLOOKUP('Données projet'!$B$9,Paramètres!$A$1:$I$89,7,0))</f>
        <v>0</v>
      </c>
      <c r="X31" s="16">
        <f>IF(ISNA(VLOOKUP(A31,'Données projet'!$A$35:$I$55,6,0)),0%,VLOOKUP(A31,'Données projet'!$A$35:$I$55,6,0)*VLOOKUP('Données projet'!$B$9,Paramètres!$A$1:$I$89,7,0))</f>
        <v>0</v>
      </c>
      <c r="Y31" s="16">
        <f>IF(ISNA(VLOOKUP(A31,'Données projet'!$A$35:$I$55,7,0)),0%,VLOOKUP(A31,'Données projet'!$A$35:$I$55,7,0))</f>
        <v>0</v>
      </c>
      <c r="Z31" s="21">
        <f>EXP(-LN(2)/35)*Z30+(1-EXP(-LN(2)/35))/(LN(2)/35)*V31*W31*VLOOKUP('Données projet'!$B$9,Paramètres!$A$1:$I$89,3,0)*0.475*44/12</f>
        <v>3.2148886420447993</v>
      </c>
      <c r="AA31" s="21">
        <f>EXP(-LN(2)/25)*AA30+(1-EXP(-LN(2)/25))/(LN(2)/25)*Calculateur!V31*Calculateur!X31*VLOOKUP('Données projet'!$B$9,Paramètres!$A$1:$I$89,3,0)*0.475*44/12</f>
        <v>16.87028183272777</v>
      </c>
      <c r="AB31" s="21">
        <f>EXP(-LN(2)/2)*AB30+(1-EXP(-LN(2)/2))/(LN(2)/2)*V31*Y31*VLOOKUP('Données projet'!$B$9,Paramètres!$A$1:$I$89,3,0)*0.475*44/12</f>
        <v>3.3853041589081316</v>
      </c>
      <c r="AC31" s="22">
        <f t="shared" si="3"/>
        <v>23.470474633680698</v>
      </c>
      <c r="AD31" s="13">
        <f>('Scénario référence'!$F$8+'Scénario référence'!$F$9+'Scénario référence'!$B$17+'Scénario référence'!$B$9+'Scénario référence'!$B$10)*70+IF((45+25*(1-EXP(-0.0175*A31)))&lt;70,'Scénario référence'!$B$16*(45+25*(1-EXP(-0.0175*A31))),70*'Scénario référence'!$B$16)+IF((32+38*(1-EXP(-0.0175*A31)))&lt;70,'Scénario référence'!$B$18*(32+38*(1-EXP(-0.0175*A31))),70*'Scénario référence'!$B$18)</f>
        <v>70</v>
      </c>
      <c r="AE31" s="13">
        <f>IF(A31&gt;30,10,('Scénario référence'!$B$16+'Scénario référence'!$B$17+'Scénario référence'!$B$18+'Scénario référence'!$B$9+'Scénario référence'!$B$10)*A31*10/30+('Scénario référence'!$F$8+'Scénario référence'!$F$9)*10)</f>
        <v>10</v>
      </c>
      <c r="AF31" s="12" t="e">
        <f>VLOOKUP(A31,'Données projet'!$A$61:$I$81,2,0)</f>
        <v>#N/A</v>
      </c>
      <c r="AG31" s="12" t="e">
        <f>VLOOKUP(A31,'Données projet'!$A$61:$I$81,9,0)</f>
        <v>#N/A</v>
      </c>
      <c r="AH31" s="12">
        <f t="array" ref="AH31">INDEX(AG:AG,MIN(IF(ISNUMBER(AG31:AG227),ROW(AG31:AG227),"")))</f>
        <v>16.5</v>
      </c>
      <c r="AI31" s="13">
        <f>IF('Données projet'!$A$62&gt;35,AI30+AH31-AQ30,IF(A31&lt;'Données projet'!$A$62,$AF$205^A31,IF(A31='Données projet'!$A$62,'Données projet'!$B$62,AI30+AH31-AQ30)))</f>
        <v>230</v>
      </c>
      <c r="AJ31" s="13">
        <f>AI31*VLOOKUP('Données projet'!$B$10,Paramètres!$A$1:$I$89,3,0)*VLOOKUP('Données projet'!$B$10,Paramètres!$A$1:$I$89,5,0)</f>
        <v>143.51999999999998</v>
      </c>
      <c r="AK31" s="13">
        <f t="shared" si="35"/>
        <v>37.102218970378601</v>
      </c>
      <c r="AL31" s="20">
        <f t="shared" si="4"/>
        <v>314.583698040076</v>
      </c>
      <c r="AM31" s="59">
        <f t="shared" si="5"/>
        <v>607.91703137340937</v>
      </c>
      <c r="AN31" s="59">
        <f ca="1">AVERAGE(OFFSET($AM$3,0,0,'Données projet'!$E$10+1,1))-AVERAGE(OFFSET($H$3,0,0,'Données projet'!$E$10+1,1))</f>
        <v>261.78489480911571</v>
      </c>
      <c r="AO31" s="59">
        <f t="shared" si="36"/>
        <v>297.50513563712764</v>
      </c>
      <c r="AP31" s="15">
        <f>IF(ISNA(VLOOKUP(A31,'Données projet'!$A$61:$I$81,3,0)),0,VLOOKUP(A31,'Données projet'!$A$61:$I$81,3,0))</f>
        <v>0</v>
      </c>
      <c r="AQ31" s="15">
        <f>IF(ISNA(VLOOKUP(A31,'Données projet'!$A$61:$I$81,4,0)),0,VLOOKUP(A31,'Données projet'!$A$61:$I$81,4,0))</f>
        <v>0</v>
      </c>
      <c r="AR31" s="16">
        <f>IF(ISNA(VLOOKUP(A31,'Données projet'!$A$61:$I$81,5,0)),0%,VLOOKUP(A31,'Données projet'!$A$61:$I$81,5,0)*VLOOKUP('Données projet'!$B$10,Paramètres!$A$1:$I$89,7,0))</f>
        <v>0</v>
      </c>
      <c r="AS31" s="16">
        <f>IF(ISNA(VLOOKUP(A31,'Données projet'!$A$61:$I$81,6,0)),0%,VLOOKUP(A31,'Données projet'!$A$61:$I$81,6,0)*VLOOKUP('Données projet'!$B$10,Paramètres!$A$1:$I$89,7,0))</f>
        <v>0</v>
      </c>
      <c r="AT31" s="16">
        <f>IF(ISNA(VLOOKUP(A31,'Données projet'!$A$61:$I$81,7,0)),0%,VLOOKUP(A31,'Données projet'!$A$61:$I$81,7,0))</f>
        <v>0</v>
      </c>
      <c r="AU31" s="21">
        <f>EXP(-LN(2)/35)*AU30+(1-EXP(-LN(2)/35))/(LN(2)/35)*AQ31*AR31*VLOOKUP('Données projet'!$B$10,Paramètres!$A$1:$I$89,3,0)*0.475*44/12</f>
        <v>0</v>
      </c>
      <c r="AV31" s="21">
        <f>EXP(-LN(2)/25)*AV30+(1-EXP(-LN(2)/25))/(LN(2)/25)*Calculateur!AQ31*Calculateur!AS31*VLOOKUP('Données projet'!$B$10,Paramètres!$A$1:$I$89,3,0)*0.475*44/12</f>
        <v>11.888922456957308</v>
      </c>
      <c r="AW31" s="21">
        <f>EXP(-LN(2)/2)*AW30+(1-EXP(-LN(2)/2))/(LN(2)/2)*AQ31*AT31*VLOOKUP('Données projet'!$B$10,Paramètres!$A$1:$I$89,3,0)*0.475*44/12</f>
        <v>1.3247117881059658</v>
      </c>
      <c r="AX31" s="21">
        <f t="shared" si="6"/>
        <v>13.213634245063274</v>
      </c>
      <c r="AY31" s="74">
        <f>('Scénario référence'!$F$8+'Scénario référence'!$F$9+'Scénario référence'!$B$17+'Scénario référence'!$B$9+'Scénario référence'!$B$10)*70+IF((45+25*(1-EXP(-0.0175*A31)))&lt;70,'Scénario référence'!$B$16*(45+25*(1-EXP(-0.0175*A31))),70*'Scénario référence'!$B$16)+IF((32+38*(1-EXP(-0.0175*A31)))&lt;70,'Scénario référence'!$B$18*(32+38*(1-EXP(-0.0175*A31))),70*'Scénario référence'!$B$18)</f>
        <v>70</v>
      </c>
      <c r="AZ31" s="12">
        <f>IF(A31&gt;30,10,('Scénario référence'!$B$16+'Scénario référence'!$B$17+'Scénario référence'!$B$18+'Scénario référence'!$B$9+'Scénario référence'!$B$10)*A31*10/30+('Scénario référence'!$F$8+'Scénario référence'!$F$9)*10)</f>
        <v>10</v>
      </c>
      <c r="BA31" s="12" t="e">
        <f>VLOOKUP(A31,'Données projet'!$A$87:$I$107,2,0)</f>
        <v>#N/A</v>
      </c>
      <c r="BB31" s="12" t="e">
        <f>VLOOKUP(A31,'Données projet'!$A$87:$I$107,9,0)</f>
        <v>#N/A</v>
      </c>
      <c r="BC31" s="12">
        <f t="array" ref="BC31">INDEX(BB:BB,MIN(IF(ISNUMBER(BB31:BB227),ROW(BB31:BB227),"")))</f>
        <v>15.3</v>
      </c>
      <c r="BD31" s="12">
        <f>IF('Données projet'!$A$88&gt;35,BD30+BC31-BL30,IF(A31&lt;'Données projet'!$A$88,$BA$205^A31,IF(A31='Données projet'!$A$88,'Données projet'!$B$88,BD30+BC31-BL30)))</f>
        <v>199.40000000000003</v>
      </c>
      <c r="BE31" s="13">
        <f>BD31*VLOOKUP('Données projet'!$B$11,Paramètres!$A$1:$I$89,3,0)*VLOOKUP('Données projet'!$B$11,Paramètres!$A$1:$I$89,5,0)</f>
        <v>119.24120000000002</v>
      </c>
      <c r="BF31" s="13">
        <f t="shared" si="37"/>
        <v>31.497956370300944</v>
      </c>
      <c r="BG31" s="20">
        <f t="shared" si="7"/>
        <v>262.53736401160751</v>
      </c>
      <c r="BH31" s="59">
        <f t="shared" si="8"/>
        <v>555.87069734494082</v>
      </c>
      <c r="BI31" s="59">
        <f ca="1">AVERAGE(OFFSET($BH$3,0,0,'Données projet'!$E$11+1,1))-AVERAGE(OFFSET($H$3,0,0,'Données projet'!$E$11+1,1))</f>
        <v>316.58509520829671</v>
      </c>
      <c r="BJ31" s="59">
        <f t="shared" si="38"/>
        <v>240.71332110643596</v>
      </c>
      <c r="BK31" s="15">
        <f>IF(ISNA(VLOOKUP(A31,'Données projet'!$A$87:$I$107,3,0)),0,VLOOKUP(A31,'Données projet'!$A$87:$I$107,3,0))</f>
        <v>0</v>
      </c>
      <c r="BL31" s="15">
        <f>IF(ISNA(VLOOKUP(A31,'Données projet'!$A$87:$I$107,4,0)),0,VLOOKUP(A31,'Données projet'!$A$87:$I$107,4,0))</f>
        <v>0</v>
      </c>
      <c r="BM31" s="16">
        <f>IF(ISNA(VLOOKUP(A31,'Données projet'!$A$87:$I$107,5,0)),0%,VLOOKUP(A31,'Données projet'!$A$87:$I$107,5,0)*VLOOKUP('Données projet'!$B$11,Paramètres!$A$1:$I$89,7,0))</f>
        <v>0</v>
      </c>
      <c r="BN31" s="16">
        <f>IF(ISNA(VLOOKUP(A31,'Données projet'!$A$87:$I$107,6,0)),0%,VLOOKUP(A31,'Données projet'!$A$87:$I$107,6,0)*VLOOKUP('Données projet'!$B$11,Paramètres!$A$1:$I$89,7,0))</f>
        <v>0</v>
      </c>
      <c r="BO31" s="16">
        <f>IF(ISNA(VLOOKUP(A31,'Données projet'!$A$87:$I$107,7,0)),0%,VLOOKUP(A31,'Données projet'!$A$87:$I$107,7,0))</f>
        <v>0</v>
      </c>
      <c r="BP31" s="21">
        <f>EXP(-LN(2)/35)*BP30+(1-EXP(-LN(2)/35))/(LN(2)/35)*BL31*BM31*VLOOKUP('Données projet'!$B$11,Paramètres!$A$1:$I$89,3,0)*0.475*44/12</f>
        <v>0</v>
      </c>
      <c r="BQ31" s="21">
        <f>EXP(-LN(2)/25)*BQ30+(1-EXP(-LN(2)/25))/(LN(2)/25)*Calculateur!BL31*Calculateur!BN31*VLOOKUP('Données projet'!$B$11,Paramètres!$A$1:$I$89,3,0)*0.475*44/12</f>
        <v>4.1301621243700666</v>
      </c>
      <c r="BR31" s="21">
        <f>EXP(-LN(2)/2)*BR30+(1-EXP(-LN(2)/2))/(LN(2)/2)*BL31*BO31*VLOOKUP('Données projet'!$B$11,Paramètres!$A$1:$I$89,3,0)*0.475*44/12</f>
        <v>0.61359914074074917</v>
      </c>
      <c r="BS31" s="22">
        <f t="shared" si="9"/>
        <v>4.7437612651108161</v>
      </c>
      <c r="BT31" s="75">
        <f>('Scénario référence'!$F$8+'Scénario référence'!$F$9+'Scénario référence'!$B$17+'Scénario référence'!$B$9+'Scénario référence'!$B$10)*70+IF((45+25*(1-EXP(-0.0175*A31)))&lt;70,'Scénario référence'!$B$16*(45+25*(1-EXP(-0.0175*A31))),70*'Scénario référence'!$B$16)+IF((32+38*(1-EXP(-0.0175*A31)))&lt;70,'Scénario référence'!$B$18*(32+38*(1-EXP(-0.0175*A31))),70*'Scénario référence'!$B$18)</f>
        <v>70</v>
      </c>
      <c r="BU31" s="12">
        <f>IF(A31&gt;30,10,('Scénario référence'!$B$16+'Scénario référence'!$B$17+'Scénario référence'!$B$18+'Scénario référence'!$B$9+'Scénario référence'!$B$10)*A31*10/30+('Scénario référence'!$F$8+'Scénario référence'!$F$9)*10)</f>
        <v>10</v>
      </c>
      <c r="BV31" s="12" t="e">
        <f>VLOOKUP(A31,'Données projet'!$A$113:$I$133,2,0)</f>
        <v>#N/A</v>
      </c>
      <c r="BW31" s="12" t="e">
        <f>VLOOKUP(A31,'Données projet'!$A$113:$I$133,9,0)</f>
        <v>#N/A</v>
      </c>
      <c r="BX31" s="12">
        <f t="array" ref="BX31">INDEX(BW:BW,MIN(IF(ISNUMBER(BW31:BW227),ROW(BW31:BW227),"")))</f>
        <v>13.7</v>
      </c>
      <c r="BY31" s="12">
        <f>IF('Données projet'!$A$114&gt;35,BY30+BX31-CG30,IF(A31&lt;'Données projet'!$A$114,$BV$205^A31,IF(A31='Données projet'!$A$114,'Données projet'!$B$114,BY30+BX31-CG30)))</f>
        <v>189.59999999999994</v>
      </c>
      <c r="BZ31" s="13">
        <f>BY31*VLOOKUP('Données projet'!$B$12,Paramètres!$A$1:$I$89,3,0)*VLOOKUP('Données projet'!$B$12,Paramètres!$A$1:$I$89,5,0)</f>
        <v>108.45119999999997</v>
      </c>
      <c r="CA31" s="13">
        <f t="shared" si="39"/>
        <v>28.965774606630994</v>
      </c>
      <c r="CB31" s="20">
        <f t="shared" si="10"/>
        <v>239.33456410654892</v>
      </c>
      <c r="CC31" s="59">
        <f t="shared" si="11"/>
        <v>532.66789743988227</v>
      </c>
      <c r="CD31" s="59">
        <f ca="1">AVERAGE(OFFSET($CC$3,0,0,'Données projet'!$E$12+1,1))-AVERAGE(OFFSET($H$3,0,0,'Données projet'!$E$12+1,1))</f>
        <v>188.64374818906128</v>
      </c>
      <c r="CE31" s="59">
        <f t="shared" si="40"/>
        <v>211.95157880548652</v>
      </c>
      <c r="CF31" s="15">
        <f>IF(ISNA(VLOOKUP(A31,'Données projet'!$A$113:$I$133,3,0)),0,VLOOKUP(A31,'Données projet'!$A$113:$I$133,3,0))</f>
        <v>0</v>
      </c>
      <c r="CG31" s="15">
        <f>IF(ISNA(VLOOKUP(A31,'Données projet'!$A$113:$I$133,4,0)),0,VLOOKUP(A31,'Données projet'!$A$113:$I$133,4,0))</f>
        <v>0</v>
      </c>
      <c r="CH31" s="16">
        <f>IF(ISNA(VLOOKUP(A31,'Données projet'!$A$113:$I$133,5,0)),0%,VLOOKUP(A31,'Données projet'!$A$113:$I$133,5,0)*VLOOKUP('Données projet'!$B$12,Paramètres!$A$1:$I$89,7,0))</f>
        <v>0</v>
      </c>
      <c r="CI31" s="16">
        <f>IF(ISNA(VLOOKUP(A31,'Données projet'!$A$113:$I$133,6,0)),0%,VLOOKUP(A31,'Données projet'!$A$113:$I$133,6,0)*VLOOKUP('Données projet'!$B$12,Paramètres!$A$1:$I$89,7,0))</f>
        <v>0</v>
      </c>
      <c r="CJ31" s="16">
        <f>IF(ISNA(VLOOKUP(A31,'Données projet'!$A$113:$I$133,7,0)),0%,VLOOKUP(A31,'Données projet'!$A$113:$I$133,7,0))</f>
        <v>0</v>
      </c>
      <c r="CK31" s="21">
        <f>EXP(-LN(2)/35)*CK30+(1-EXP(-LN(2)/35))/(LN(2)/35)*CG31*CH31*VLOOKUP('Données projet'!$B$12,Paramètres!$A$1:$I$89,3,0)*0.475*44/12</f>
        <v>0</v>
      </c>
      <c r="CL31" s="21">
        <f>EXP(-LN(2)/25)*CL30+(1-EXP(-LN(2)/25))/(LN(2)/25)*Calculateur!CG31*Calculateur!CI31*VLOOKUP('Données projet'!$B$12,Paramètres!$A$1:$I$89,3,0)*0.475*44/12</f>
        <v>3.5419081486351964</v>
      </c>
      <c r="CM31" s="21">
        <f>EXP(-LN(2)/2)*CM30+(1-EXP(-LN(2)/2))/(LN(2)/2)*CG31*CJ31*VLOOKUP('Données projet'!$B$12,Paramètres!$A$1:$I$89,3,0)*0.475*44/12</f>
        <v>0.52620496027542518</v>
      </c>
      <c r="CN31" s="22">
        <f t="shared" si="12"/>
        <v>4.0681131089106213</v>
      </c>
      <c r="CO31" s="75">
        <f>('Scénario référence'!$F$8+'Scénario référence'!$F$9+'Scénario référence'!$B$17+'Scénario référence'!$B$9+'Scénario référence'!$B$10)*70+IF((45+25*(1-EXP(-0.0175*A31)))&lt;70,'Scénario référence'!$B$16*(45+25*(1-EXP(-0.0175*A31))),70*'Scénario référence'!$B$16)+IF((32+38*(1-EXP(-0.0175*A31)))&lt;70,'Scénario référence'!$B$18*(32+38*(1-EXP(-0.0175*A31))),70*'Scénario référence'!$B$18)</f>
        <v>70</v>
      </c>
      <c r="CP31" s="12">
        <f>IF(A31&gt;30,10,('Scénario référence'!$B$16+'Scénario référence'!$B$17+'Scénario référence'!$B$18+'Scénario référence'!$B$9+'Scénario référence'!$B$10)*A31*10/30+('Scénario référence'!$F$8+'Scénario référence'!$F$9)*10)</f>
        <v>10</v>
      </c>
      <c r="CQ31" s="12" t="e">
        <f>VLOOKUP(A31,'Données projet'!$A$139:$I$159,2,0)</f>
        <v>#N/A</v>
      </c>
      <c r="CR31" s="12" t="e">
        <f>VLOOKUP(A31,'Données projet'!$A$139:$I$159,9,0)</f>
        <v>#N/A</v>
      </c>
      <c r="CS31" s="12">
        <f t="array" ref="CS31">INDEX(CR:CR,MIN(IF(ISNUMBER(CR31:CR227),ROW(CR31:CR227),"")))</f>
        <v>0</v>
      </c>
      <c r="CT31" s="12">
        <f>IF('Données projet'!$A$140&gt;35,CT30+CS31-DB30,IF(A31&lt;'Données projet'!$A$140,$CQ$205^A31,IF(A31='Données projet'!$A$140,'Données projet'!$B$140,CT30+CS31-DB30)))</f>
        <v>0</v>
      </c>
      <c r="CU31" s="17" t="e">
        <f>CT31*VLOOKUP('Données projet'!$B$13,Paramètres!$A$1:$I$89,3,0)*VLOOKUP('Données projet'!$B$13,Paramètres!$A$1:$I$89,5,0)</f>
        <v>#N/A</v>
      </c>
      <c r="CV31" s="13" t="e">
        <f t="shared" si="41"/>
        <v>#N/A</v>
      </c>
      <c r="CW31" s="20" t="e">
        <f t="shared" si="13"/>
        <v>#N/A</v>
      </c>
      <c r="CX31" s="59" t="e">
        <f t="shared" si="14"/>
        <v>#N/A</v>
      </c>
      <c r="CY31" s="59" t="e">
        <f ca="1">AVERAGE(OFFSET($CX$3,0,0,'Données projet'!$E$13+1,1))-AVERAGE(OFFSET($H$3,0,0,'Données projet'!$E$13+1,1))</f>
        <v>#N/A</v>
      </c>
      <c r="CZ31" s="59" t="e">
        <f t="shared" si="42"/>
        <v>#N/A</v>
      </c>
      <c r="DA31" s="15">
        <f>IF(ISNA(VLOOKUP(A31,'Données projet'!$A$139:$I$159,3,0)),0,VLOOKUP(A31,'Données projet'!$A$139:$I$159,3,0))</f>
        <v>0</v>
      </c>
      <c r="DB31" s="15">
        <f>IF(ISNA(VLOOKUP(A31,'Données projet'!$A$139:$I$159,4,0)),0,VLOOKUP(A31,'Données projet'!$A$139:$I$159,4,0))</f>
        <v>0</v>
      </c>
      <c r="DC31" s="16">
        <f>IF(ISNA(VLOOKUP(A31,'Données projet'!$A$139:$I$159,5,0)),0%,VLOOKUP(A31,'Données projet'!$A$139:$I$159,5,0)*VLOOKUP('Données projet'!$B$13,Paramètres!$A$1:$I$89,7,0))</f>
        <v>0</v>
      </c>
      <c r="DD31" s="16">
        <f>IF(ISNA(VLOOKUP(A31,'Données projet'!$A$139:$I$159,6,0)),0%,VLOOKUP(A31,'Données projet'!$A$139:$I$159,6,0)*VLOOKUP('Données projet'!$B$13,Paramètres!$A$1:$I$89,7,0))</f>
        <v>0</v>
      </c>
      <c r="DE31" s="16">
        <f>IF(ISNA(VLOOKUP(A31,'Données projet'!$A$139:$I$159,7,0)),0%,VLOOKUP(A31,'Données projet'!$A$139:$I$159,7,0))</f>
        <v>0</v>
      </c>
      <c r="DF31" s="21" t="e">
        <f>EXP(-LN(2)/35)*DF30+(1-EXP(-LN(2)/35))/(LN(2)/35)*DB31*DC31*VLOOKUP('Données projet'!$B$13,Paramètres!$A$1:$I$89,3,0)*0.475*44/12</f>
        <v>#N/A</v>
      </c>
      <c r="DG31" s="21" t="e">
        <f>EXP(-LN(2)/25)*DG30+(1-EXP(-LN(2)/25))/(LN(2)/25)*Calculateur!DB31*Calculateur!DD31*VLOOKUP('Données projet'!$B$13,Paramètres!$A$1:$I$89,3,0)*0.475*44/12</f>
        <v>#N/A</v>
      </c>
      <c r="DH31" s="21" t="e">
        <f>EXP(-LN(2)/2)*DH30+(1-EXP(-LN(2)/2))/(LN(2)/2)*DB31*DE31*VLOOKUP('Données projet'!$B$13,Paramètres!$A$1:$I$89,3,0)*0.475*44/12</f>
        <v>#N/A</v>
      </c>
      <c r="DI31" s="22" t="e">
        <f t="shared" si="15"/>
        <v>#N/A</v>
      </c>
      <c r="DJ31" s="75">
        <f>('Scénario référence'!$F$8+'Scénario référence'!$F$9+'Scénario référence'!$B$17+'Scénario référence'!$B$9+'Scénario référence'!$B$10)*70+IF((45+25*(1-EXP(-0.0175*A31)))&lt;70,'Scénario référence'!$B$16*(45+25*(1-EXP(-0.0175*A31))),70*'Scénario référence'!$B$16)+IF((32+38*(1-EXP(-0.0175*A31)))&lt;70,'Scénario référence'!$B$18*(32+38*(1-EXP(-0.0175*A31))),70*'Scénario référence'!$B$18)</f>
        <v>70</v>
      </c>
      <c r="DK31" s="12">
        <f>IF(A31&gt;30,10,('Scénario référence'!$B$16+'Scénario référence'!$B$17+'Scénario référence'!$B$18+'Scénario référence'!$B$9+'Scénario référence'!$B$10)*A31*10/30+('Scénario référence'!$F$8+'Scénario référence'!$F$9)*10)</f>
        <v>10</v>
      </c>
      <c r="DL31" s="12" t="e">
        <f>VLOOKUP(A31,'Données projet'!$A$165:$I$185,2,0)</f>
        <v>#N/A</v>
      </c>
      <c r="DM31" s="12" t="e">
        <f>VLOOKUP(A31,'Données projet'!$A$165:$I$185,9,0)</f>
        <v>#N/A</v>
      </c>
      <c r="DN31" s="12">
        <f t="array" ref="DN31">INDEX(DM:DM,MIN(IF(ISNUMBER(DM31:DM227),ROW(DM31:DM227),"")))</f>
        <v>10.5</v>
      </c>
      <c r="DO31" s="12">
        <f>IF('Données projet'!$A$166&gt;35,DO30+DN31-DW30,IF(A31&lt;'Données projet'!$A$166,$DL$205^A31,IF(A31='Données projet'!$A$166,'Données projet'!$B$166,DO30+DN31-DW30)))</f>
        <v>189</v>
      </c>
      <c r="DP31" s="17">
        <f>DO31*VLOOKUP('Données projet'!$B$14,Paramètres!$A$1:$I$89,3,0)*VLOOKUP('Données projet'!$B$14,Paramètres!$A$1:$I$89,5,0)</f>
        <v>123.83279999999999</v>
      </c>
      <c r="DQ31" s="13">
        <f t="shared" si="43"/>
        <v>32.567294628684579</v>
      </c>
      <c r="DR31" s="20">
        <f t="shared" si="16"/>
        <v>272.39683147829231</v>
      </c>
      <c r="DS31" s="59">
        <f t="shared" si="17"/>
        <v>565.73016481162563</v>
      </c>
      <c r="DT31" s="59">
        <f ca="1">AVERAGE(OFFSET($DS$3,0,0,'Données projet'!$E$14+1,1))-AVERAGE(OFFSET($H$3,0,0,'Données projet'!$E$14+1,1))</f>
        <v>188.68915783955595</v>
      </c>
      <c r="DU31" s="59">
        <f t="shared" si="44"/>
        <v>240.82467772396944</v>
      </c>
      <c r="DV31" s="15">
        <f>IF(ISNA(VLOOKUP(A31,'Données projet'!$A$165:$I$185,3,0)),0,VLOOKUP(A31,'Données projet'!$A$165:$I$185,3,0))</f>
        <v>0</v>
      </c>
      <c r="DW31" s="15">
        <f>IF(ISNA(VLOOKUP(A31,'Données projet'!$A$165:$I$185,4,0)),0,VLOOKUP(A31,'Données projet'!$A$165:$I$185,4,0))</f>
        <v>0</v>
      </c>
      <c r="DX31" s="16">
        <f>IF(ISNA(VLOOKUP(A31,'Données projet'!$A$165:$I$185,5,0)),0%,VLOOKUP(A31,'Données projet'!$A$165:$I$185,5,0)*VLOOKUP('Données projet'!$B$14,Paramètres!$A$1:$I$89,7,0))</f>
        <v>0</v>
      </c>
      <c r="DY31" s="16">
        <f>IF(ISNA(VLOOKUP(A31,'Données projet'!$A$165:$I$185,6,0)),0%,VLOOKUP(A31,'Données projet'!$A$165:$I$185,6,0)*VLOOKUP('Données projet'!$B$14,Paramètres!$A$1:$I$89,7,0))</f>
        <v>0</v>
      </c>
      <c r="DZ31" s="16">
        <f>IF(ISNA(VLOOKUP(A31,'Données projet'!$A$165:$I$185,7,0)),0%,VLOOKUP(A31,'Données projet'!$A$165:$I$185,7,0))</f>
        <v>0</v>
      </c>
      <c r="EA31" s="21">
        <f>EXP(-LN(2)/35)*EA30+(1-EXP(-LN(2)/35))/(LN(2)/35)*DW31*DX31*VLOOKUP('Données projet'!$B$14,Paramètres!$A$1:$I$89,3,0)*0.475*44/12</f>
        <v>0</v>
      </c>
      <c r="EB31" s="21">
        <f>EXP(-LN(2)/25)*EB30+(1-EXP(-LN(2)/25))/(LN(2)/25)*Calculateur!DW31*Calculateur!DY31*VLOOKUP('Données projet'!$B$14,Paramètres!$A$1:$I$89,3,0)*0.475*44/12</f>
        <v>1.1183017686075469</v>
      </c>
      <c r="EC31" s="21">
        <f>EXP(-LN(2)/2)*EC30+(1-EXP(-LN(2)/2))/(LN(2)/2)*DW31*DZ31*VLOOKUP('Données projet'!$B$14,Paramètres!$A$1:$I$89,3,0)*0.475*44/12</f>
        <v>0.173868422188908</v>
      </c>
      <c r="ED31" s="22">
        <f t="shared" si="18"/>
        <v>1.2921701907964549</v>
      </c>
      <c r="EE31" s="75">
        <f>('Scénario référence'!$F$8+'Scénario référence'!$F$9+'Scénario référence'!$B$17+'Scénario référence'!$B$9+'Scénario référence'!$B$10)*70+IF((45+25*(1-EXP(-0.0175*A31)))&lt;70,'Scénario référence'!$B$16*(45+25*(1-EXP(-0.0175*A31))),70*'Scénario référence'!$B$16)+IF((32+38*(1-EXP(-0.0175*A31)))&lt;70,'Scénario référence'!$B$18*(32+38*(1-EXP(-0.0175*A31))),70*'Scénario référence'!$B$18)</f>
        <v>70</v>
      </c>
      <c r="EF31" s="12">
        <f>IF(A31&gt;30,10,('Scénario référence'!$B$16+'Scénario référence'!$B$17+'Scénario référence'!$B$18+'Scénario référence'!$B$9+'Scénario référence'!$B$10)*A31*10/30+('Scénario référence'!$F$8+'Scénario référence'!$F$9)*10)</f>
        <v>10</v>
      </c>
      <c r="EG31" s="12" t="e">
        <f>VLOOKUP(A31,'Données projet'!$A$191:$I$211,2,0)</f>
        <v>#N/A</v>
      </c>
      <c r="EH31" s="12" t="e">
        <f>VLOOKUP(A31,'Données projet'!$A$191:$I$211,9,0)</f>
        <v>#N/A</v>
      </c>
      <c r="EI31" s="12">
        <f t="array" ref="EI31">INDEX(EH:EH,MIN(IF(ISNUMBER(EH31:EH227),ROW(EH31:EH227),"")))</f>
        <v>7</v>
      </c>
      <c r="EJ31" s="12">
        <f>IF('Données projet'!$A$192&gt;35,EJ30+EI31-ER30,IF(A31&lt;'Données projet'!$A$192,$EG$205^A31,IF(A31='Données projet'!$A$192,'Données projet'!$B$192,EJ30+EI31-ER30)))</f>
        <v>120.99999999999999</v>
      </c>
      <c r="EK31" s="17">
        <f>EJ31*VLOOKUP('Données projet'!$B$15,Paramètres!$A$1:$I$89,3,0)*VLOOKUP('Données projet'!$B$15,Paramètres!$A$1:$I$89,5,0)</f>
        <v>98.155199999999994</v>
      </c>
      <c r="EL31" s="13">
        <f t="shared" si="45"/>
        <v>26.522024238465775</v>
      </c>
      <c r="EM31" s="20">
        <f t="shared" si="19"/>
        <v>217.1461655486612</v>
      </c>
      <c r="EN31" s="59">
        <f t="shared" si="20"/>
        <v>510.47949888199452</v>
      </c>
      <c r="EO31" s="59">
        <f ca="1">AVERAGE(OFFSET($EN$3,0,0,'Données projet'!$E$15+1,1))-AVERAGE(OFFSET($H$3,0,0,'Données projet'!$E$15+1,1))</f>
        <v>205.5272583787887</v>
      </c>
      <c r="EP31" s="59">
        <f t="shared" si="46"/>
        <v>180.54762778843178</v>
      </c>
      <c r="EQ31" s="15">
        <f>IF(ISNA(VLOOKUP(A31,'Données projet'!$A$191:$I$211,3,0)),0,VLOOKUP(A31,'Données projet'!$A$191:$I$211,3,0))</f>
        <v>0</v>
      </c>
      <c r="ER31" s="15">
        <f>IF(ISNA(VLOOKUP(A31,'Données projet'!$A$191:$I$211,4,0)),0,VLOOKUP(A31,'Données projet'!$A$191:$I$211,4,0))</f>
        <v>0</v>
      </c>
      <c r="ES31" s="16">
        <f>IF(ISNA(VLOOKUP(A31,'Données projet'!$A$191:$I$211,5,0)),0%,VLOOKUP(A31,'Données projet'!$A$191:$I$211,5,0)*VLOOKUP('Données projet'!$B$15,Paramètres!$A$1:$I$89,7,0))</f>
        <v>0</v>
      </c>
      <c r="ET31" s="16">
        <f>IF(ISNA(VLOOKUP(A31,'Données projet'!$A$191:$I$211,6,0)),0%,VLOOKUP(A31,'Données projet'!$A$191:$I$211,6,0)*VLOOKUP('Données projet'!$B$15,Paramètres!$A$1:$I$89,7,0))</f>
        <v>0</v>
      </c>
      <c r="EU31" s="16">
        <f>IF(ISNA(VLOOKUP(A31,'Données projet'!$A$191:$I$211,7,0)),0%,VLOOKUP(A31,'Données projet'!$A$191:$I$211,7,0))</f>
        <v>0</v>
      </c>
      <c r="EV31" s="21">
        <f>EXP(-LN(2)/35)*EV30+(1-EXP(-LN(2)/35))/(LN(2)/35)*ER31*ES31*VLOOKUP('Données projet'!$B$15,Paramètres!$A$1:$I$89,3,0)*0.475*44/12</f>
        <v>0</v>
      </c>
      <c r="EW31" s="21">
        <f>EXP(-LN(2)/25)*EW30+(1-EXP(-LN(2)/25))/(LN(2)/25)*Calculateur!ER31*Calculateur!ET31*VLOOKUP('Données projet'!$B$15,Paramètres!$A$1:$I$89,3,0)*0.475*44/12</f>
        <v>1.3845640944664865</v>
      </c>
      <c r="EX31" s="21">
        <f>EXP(-LN(2)/2)*EX30+(1-EXP(-LN(2)/2))/(LN(2)/2)*ER31*EU31*VLOOKUP('Données projet'!$B$15,Paramètres!$A$1:$I$89,3,0)*0.475*44/12</f>
        <v>0.21526566556721935</v>
      </c>
      <c r="EY31" s="22">
        <f t="shared" si="21"/>
        <v>1.5998297600337059</v>
      </c>
      <c r="EZ31" s="75">
        <f>('Scénario référence'!$F$8+'Scénario référence'!$F$9+'Scénario référence'!$B$17+'Scénario référence'!$B$9+'Scénario référence'!$B$10)*70+IF((45+25*(1-EXP(-0.0175*A31)))&lt;70,'Scénario référence'!$B$16*(45+25*(1-EXP(-0.0175*A31))),70*'Scénario référence'!$B$16)+IF((32+38*(1-EXP(-0.0175*A31)))&lt;70,'Scénario référence'!$B$18*(32+38*(1-EXP(-0.0175*A31))),70*'Scénario référence'!$B$18)</f>
        <v>70</v>
      </c>
      <c r="FA31" s="12">
        <f>IF(A31&gt;30,10,('Scénario référence'!$B$16+'Scénario référence'!$B$17+'Scénario référence'!$B$18+'Scénario référence'!$B$9+'Scénario référence'!$B$10)*A31*10/30+('Scénario référence'!$F$8+'Scénario référence'!$F$9)*10)</f>
        <v>10</v>
      </c>
      <c r="FB31" s="12" t="e">
        <f>VLOOKUP(A31,'Données projet'!$A$217:$I$237,2,0)</f>
        <v>#N/A</v>
      </c>
      <c r="FC31" s="12" t="e">
        <f>VLOOKUP(A31,'Données projet'!$A$217:$I$237,9,0)</f>
        <v>#N/A</v>
      </c>
      <c r="FD31" s="12">
        <f t="array" ref="FD31">INDEX(FC:FC,MIN(IF(ISNUMBER(FC31:FC227),ROW(FC31:FC227),"")))</f>
        <v>9.1</v>
      </c>
      <c r="FE31" s="12">
        <f>IF('Données projet'!$A$218&gt;35,FE30+FD31-FM30,IF(A31&lt;'Données projet'!$A$218,$FB$205^A31,IF(A31='Données projet'!$A$218,'Données projet'!$B$218,FE30+FD31-FM30)))</f>
        <v>121.79999999999997</v>
      </c>
      <c r="FF31" s="17">
        <f>FE31*VLOOKUP('Données projet'!$B$16,Paramètres!$A$1:$I$89,3,0)*VLOOKUP('Données projet'!$B$16,Paramètres!$A$1:$I$89,5,0)</f>
        <v>104.50439999999999</v>
      </c>
      <c r="FG31" s="13">
        <f t="shared" si="47"/>
        <v>28.032341571066443</v>
      </c>
      <c r="FH31" s="20">
        <f t="shared" si="22"/>
        <v>230.83482490294071</v>
      </c>
      <c r="FI31" s="59">
        <f t="shared" si="23"/>
        <v>524.16815823627405</v>
      </c>
      <c r="FJ31" s="59">
        <f ca="1">AVERAGE(OFFSET($FI$3,0,0,'Données projet'!$E$16+1,1))-AVERAGE(OFFSET($H$3,0,0,'Données projet'!$E$16+1,1))</f>
        <v>383.97627237444709</v>
      </c>
      <c r="FK31" s="59">
        <f t="shared" si="48"/>
        <v>203.35476578922339</v>
      </c>
      <c r="FL31" s="15">
        <f>IF(ISNA(VLOOKUP(A31,'Données projet'!$A$217:$I$237,3,0)),0,VLOOKUP(A31,'Données projet'!$A$217:$I$237,3,0))</f>
        <v>0</v>
      </c>
      <c r="FM31" s="15">
        <f>IF(ISNA(VLOOKUP(A31,'Données projet'!$A$217:$I$237,4,0)),0,VLOOKUP(A31,'Données projet'!$A$217:$I$237,4,0))</f>
        <v>0</v>
      </c>
      <c r="FN31" s="16">
        <f>IF(ISNA(VLOOKUP(A31,'Données projet'!$A$217:$I$237,5,0)),0%,VLOOKUP(A31,'Données projet'!$A$217:$I$237,5,0)*VLOOKUP('Données projet'!$B$16,Paramètres!$A$1:$I$89,7,0))</f>
        <v>0</v>
      </c>
      <c r="FO31" s="16">
        <f>IF(ISNA(VLOOKUP(A31,'Données projet'!$A$217:$I$237,6,0)),0%,VLOOKUP(A31,'Données projet'!$A$217:$I$237,6,0)*VLOOKUP('Données projet'!$B$16,Paramètres!$A$1:$I$89,7,0))</f>
        <v>0</v>
      </c>
      <c r="FP31" s="16">
        <f>IF(ISNA(VLOOKUP(A31,'Données projet'!$A$217:$I$237,7,0)),0%,VLOOKUP(A31,'Données projet'!$A$217:$I$237,7,0))</f>
        <v>0</v>
      </c>
      <c r="FQ31" s="21">
        <f>EXP(-LN(2)/35)*FQ30+(1-EXP(-LN(2)/35))/(LN(2)/35)*FM31*FN31*VLOOKUP('Données projet'!$B$16,Paramètres!$A$1:$I$89,3,0)*0.475*44/12</f>
        <v>0</v>
      </c>
      <c r="FR31" s="21">
        <f>EXP(-LN(2)/25)*FR30+(1-EXP(-LN(2)/25))/(LN(2)/25)*Calculateur!FM31*Calculateur!FO31*VLOOKUP('Données projet'!$B$16,Paramètres!$A$1:$I$89,3,0)*0.475*44/12</f>
        <v>0.80222705930626281</v>
      </c>
      <c r="FS31" s="21">
        <f>EXP(-LN(2)/2)*FS30+(1-EXP(-LN(2)/2))/(LN(2)/2)*FM31*FP31*VLOOKUP('Données projet'!$B$16,Paramètres!$A$1:$I$89,3,0)*0.475*44/12</f>
        <v>0.1011932615914279</v>
      </c>
      <c r="FT31" s="22">
        <f t="shared" si="24"/>
        <v>0.90342032089769075</v>
      </c>
      <c r="FU31" s="75">
        <f>('Scénario référence'!$F$8+'Scénario référence'!$F$9+'Scénario référence'!$B$17+'Scénario référence'!$B$9+'Scénario référence'!$B$10)*70+IF((45+25*(1-EXP(-0.0175*A31)))&lt;70,'Scénario référence'!$B$16*(45+25*(1-EXP(-0.0175*A31))),70*'Scénario référence'!$B$16)+IF((32+38*(1-EXP(-0.0175*A31)))&lt;70,'Scénario référence'!$B$18*(32+38*(1-EXP(-0.0175*A31))),70*'Scénario référence'!$B$18)</f>
        <v>70</v>
      </c>
      <c r="FV31" s="12">
        <f>IF(A31&gt;30,10,('Scénario référence'!$B$16+'Scénario référence'!$B$17+'Scénario référence'!$B$18+'Scénario référence'!$B$9+'Scénario référence'!$B$10)*A31*10/30+('Scénario référence'!$F$8+'Scénario référence'!$F$9)*10)</f>
        <v>10</v>
      </c>
      <c r="FW31" s="12" t="e">
        <f>VLOOKUP(A31,'Données projet'!$A$243:$I$263,2,0)</f>
        <v>#N/A</v>
      </c>
      <c r="FX31" s="12" t="e">
        <f>VLOOKUP(A31,'Données projet'!$A$243:$I$263,9,0)</f>
        <v>#N/A</v>
      </c>
      <c r="FY31" s="12">
        <f t="array" ref="FY31">INDEX(FX:FX,MIN(IF(ISNUMBER(FX31:FX227),ROW(FX31:FX227),"")))</f>
        <v>4.0628205128205126</v>
      </c>
      <c r="FZ31" s="12">
        <f>IF('Données projet'!$A$244&gt;35,FZ30+FY31-GH30,IF(A31&lt;'Données projet'!$A$244,$FW$205^A31,IF(A31='Données projet'!$A$244,'Données projet'!$B$244,FZ30+FY31-GH30)))</f>
        <v>88.488255196060223</v>
      </c>
      <c r="GA31" s="17">
        <f>FZ31*VLOOKUP('Données projet'!$B$17,Paramètres!$A$1:$I$89,3,0)*VLOOKUP('Données projet'!$B$17,Paramètres!$A$1:$I$89,5,0)</f>
        <v>95.248757893039226</v>
      </c>
      <c r="GB31" s="13">
        <f t="shared" si="49"/>
        <v>25.826892853754671</v>
      </c>
      <c r="GC31" s="20">
        <f t="shared" si="25"/>
        <v>210.87342505066601</v>
      </c>
      <c r="GD31" s="59">
        <f t="shared" si="26"/>
        <v>504.20675838399933</v>
      </c>
      <c r="GE31" s="59">
        <f ca="1">AVERAGE(OFFSET($GD$3,0,0,'Données projet'!$E$17+1,1))-AVERAGE(OFFSET($H$3,0,0,'Données projet'!$E$17+1,1))</f>
        <v>286.77702855541287</v>
      </c>
      <c r="GF31" s="59">
        <f t="shared" si="50"/>
        <v>227.12211541860779</v>
      </c>
      <c r="GG31" s="15">
        <f>IF(ISNA(VLOOKUP(A31,'Données projet'!$A$243:$I$263,3,0)),0,VLOOKUP(A31,'Données projet'!$A$243:$I$263,3,0))</f>
        <v>0</v>
      </c>
      <c r="GH31" s="15">
        <f>IF(ISNA(VLOOKUP(A31,'Données projet'!$A$243:$I$263,4,0)),0,VLOOKUP(A31,'Données projet'!$A$243:$I$263,4,0))</f>
        <v>0</v>
      </c>
      <c r="GI31" s="16">
        <f>IF(ISNA(VLOOKUP(A31,'Données projet'!$A$243:$I$263,5,0)),0%,VLOOKUP(A31,'Données projet'!$A$243:$I$263,5,0)*VLOOKUP('Données projet'!$B$17,Paramètres!$A$1:$I$89,7,0))</f>
        <v>0</v>
      </c>
      <c r="GJ31" s="16">
        <f>IF(ISNA(VLOOKUP(A31,'Données projet'!$A$243:$I$263,6,0)),0%,VLOOKUP(A31,'Données projet'!$A$243:$I$263,6,0)*VLOOKUP('Données projet'!$B$17,Paramètres!$A$1:$I$89,7,0))</f>
        <v>0</v>
      </c>
      <c r="GK31" s="16">
        <f>IF(ISNA(VLOOKUP(A31,'Données projet'!$A$243:$I$263,7,0)),0%,VLOOKUP(A31,'Données projet'!$A$243:$I$263,7,0))</f>
        <v>0</v>
      </c>
      <c r="GL31" s="21">
        <f>EXP(-LN(2)/35)*GL30+(1-EXP(-LN(2)/35))/(LN(2)/35)*GH31*GI31*VLOOKUP('Données projet'!$B$17,Paramètres!$A$1:$I$89,3,0)*0.475*44/12</f>
        <v>0</v>
      </c>
      <c r="GM31" s="21">
        <f>EXP(-LN(2)/25)*GM30+(1-EXP(-LN(2)/25))/(LN(2)/25)*Calculateur!GH31*Calculateur!GJ31*VLOOKUP('Données projet'!$B$17,Paramètres!$A$1:$I$89,3,0)*0.475*44/12</f>
        <v>0</v>
      </c>
      <c r="GN31" s="21">
        <f>EXP(-LN(2)/2)*GN30+(1-EXP(-LN(2)/2))/(LN(2)/2)*GH31*GK31*VLOOKUP('Données projet'!$B$17,Paramètres!$A$1:$I$89,3,0)*0.475*44/12</f>
        <v>0</v>
      </c>
      <c r="GO31" s="21">
        <f t="shared" si="27"/>
        <v>0</v>
      </c>
      <c r="GP31" s="75">
        <f>('Scénario référence'!$F$8+'Scénario référence'!$F$9+'Scénario référence'!$B$17+'Scénario référence'!$B$9+'Scénario référence'!$B$10)*70+IF((45+25*(1-EXP(-0.0175*A31)))&lt;70,'Scénario référence'!$B$16*(45+25*(1-EXP(-0.0175*A31))),70*'Scénario référence'!$B$16)+IF((32+38*(1-EXP(-0.0175*A31)))&lt;70,'Scénario référence'!$B$18*(32+38*(1-EXP(-0.0175*A31))),70*'Scénario référence'!$B$18)</f>
        <v>70</v>
      </c>
      <c r="GQ31" s="12">
        <f>IF(A31&gt;30,10,('Scénario référence'!$B$16+'Scénario référence'!$B$17+'Scénario référence'!$B$18+'Scénario référence'!$B$9+'Scénario référence'!$B$10)*A31*10/30+('Scénario référence'!$F$8+'Scénario référence'!$F$9)*10)</f>
        <v>10</v>
      </c>
      <c r="GR31" s="12" t="e">
        <f>VLOOKUP(A31,'Données projet'!$A$269:$I$289,2,0)</f>
        <v>#N/A</v>
      </c>
      <c r="GS31" s="12" t="e">
        <f>VLOOKUP(A31,'Données projet'!$A$269:$I$289,9,0)</f>
        <v>#N/A</v>
      </c>
      <c r="GT31" s="12">
        <f t="array" ref="GT31">INDEX(GS:GS,MIN(IF(ISNUMBER(GS31:GS227),ROW(GS31:GS227),"")))</f>
        <v>4.0628205128205126</v>
      </c>
      <c r="GU31" s="12">
        <f>IF('Données projet'!$A$270&gt;35,GU30+GT31-HC30,IF(A31&lt;'Données projet'!$A$270,$GR$205^A31,IF(A31='Données projet'!$A$270,'Données projet'!$B$270,GU30+GT31-HC30)))</f>
        <v>88.488255196060223</v>
      </c>
      <c r="GV31" s="17">
        <f>GU31*VLOOKUP('Données projet'!$B$18,Paramètres!$A$1:$I$89,3,0)*VLOOKUP('Données projet'!$B$18,Paramètres!$A$1:$I$89,5,0)</f>
        <v>95.248757893039226</v>
      </c>
      <c r="GW31" s="13">
        <f t="shared" si="51"/>
        <v>25.826892853754671</v>
      </c>
      <c r="GX31" s="20">
        <f t="shared" si="28"/>
        <v>210.87342505066601</v>
      </c>
      <c r="GY31" s="59">
        <f t="shared" si="29"/>
        <v>504.20675838399933</v>
      </c>
      <c r="GZ31" s="59">
        <f ca="1">AVERAGE(OFFSET($GY$3,0,0,'Données projet'!$E$18+1,1))-AVERAGE(OFFSET($H$3,0,0,'Données projet'!$E$18+1,1))</f>
        <v>286.77702855541287</v>
      </c>
      <c r="HA31" s="59">
        <f t="shared" si="52"/>
        <v>227.12211541860779</v>
      </c>
      <c r="HB31" s="15">
        <f>IF(ISNA(VLOOKUP(A31,'Données projet'!$A$269:$I$289,3,0)),0,VLOOKUP(A31,'Données projet'!$A$269:$I$289,3,0))</f>
        <v>0</v>
      </c>
      <c r="HC31" s="15">
        <f>IF(ISNA(VLOOKUP(A31,'Données projet'!$A$269:$I$289,4,0)),0,VLOOKUP(A31,'Données projet'!$A$269:$I$289,4,0))</f>
        <v>0</v>
      </c>
      <c r="HD31" s="16">
        <f>IF(ISNA(VLOOKUP(A31,'Données projet'!$A$269:$I$289,5,0)),0%,VLOOKUP(A31,'Données projet'!$A$269:$I$289,5,0)*VLOOKUP('Données projet'!$B$18,Paramètres!$A$1:$I$89,7,0))</f>
        <v>0</v>
      </c>
      <c r="HE31" s="16">
        <f>IF(ISNA(VLOOKUP(A31,'Données projet'!$A$269:$I$289,6,0)),0%,VLOOKUP(A31,'Données projet'!$A$269:$I$289,6,0)*VLOOKUP('Données projet'!$B$18,Paramètres!$A$1:$I$89,7,0))</f>
        <v>0</v>
      </c>
      <c r="HF31" s="16">
        <f>IF(ISNA(VLOOKUP(A31,'Données projet'!$A$269:$I$289,7,0)),0%,VLOOKUP(A31,'Données projet'!$A$269:$I$289,7,0))</f>
        <v>0</v>
      </c>
      <c r="HG31" s="21">
        <f>EXP(-LN(2)/35)*HG30+(1-EXP(-LN(2)/35))/(LN(2)/35)*HC31*HD31*VLOOKUP('Données projet'!$B$18,Paramètres!$A$1:$I$89,3,0)*0.475*44/12</f>
        <v>0</v>
      </c>
      <c r="HH31" s="21">
        <f>EXP(-LN(2)/25)*HH30+(1-EXP(-LN(2)/25))/(LN(2)/25)*Calculateur!HC31*Calculateur!HE31*VLOOKUP('Données projet'!$B$18,Paramètres!$A$1:$I$89,3,0)*0.475*44/12</f>
        <v>0</v>
      </c>
      <c r="HI31" s="21">
        <f>EXP(-LN(2)/2)*HI30+(1-EXP(-LN(2)/2))/(LN(2)/2)*HC31*HF31*VLOOKUP('Données projet'!$B$18,Paramètres!$A$1:$I$89,3,0)*0.475*44/12</f>
        <v>0</v>
      </c>
      <c r="HJ31" s="22">
        <f t="shared" si="30"/>
        <v>0</v>
      </c>
    </row>
    <row r="32" spans="1:218" x14ac:dyDescent="0.25">
      <c r="A32" s="10">
        <f t="shared" si="31"/>
        <v>29</v>
      </c>
      <c r="B32" s="73">
        <f>'Scénario référence'!$B$16*5+'Scénario référence'!$B$17*0+'Scénario référence'!$B$18*5</f>
        <v>0</v>
      </c>
      <c r="C32" s="19">
        <f>Calculateur!C31+'Scénario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25.786799999999992</v>
      </c>
      <c r="D32" s="11">
        <f t="shared" si="32"/>
        <v>8.1407206738151334</v>
      </c>
      <c r="E3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32" s="11">
        <f>IF(OR('Scénario référence'!$F$8&gt;0,'Scénario référence'!$F$9&gt;0),('Scénario référence'!$F$8+'Scénario référence'!$F$9)*10,0)</f>
        <v>10</v>
      </c>
      <c r="G32" s="11">
        <f>'Scénario référence'!$B$8*B32*44/12+'Scénario référence'!$B$9*(C32+D32)/0.475*44/12+'Scénario référence'!$B$10*(C32+D32)/0.475*44/12+'Scénario référence'!$F$8*(C32+D32)/0.475*44/12+'Scénario référence'!$F$9*(C32+D32)/0.475*44/12</f>
        <v>261.89665081541494</v>
      </c>
      <c r="H32" s="67">
        <f t="shared" si="1"/>
        <v>352.42376517356132</v>
      </c>
      <c r="I32" s="70">
        <f>('Scénario référence'!$F$8+'Scénario référence'!$F$9+'Scénario référence'!$B$17+'Scénario référence'!$B$9+'Scénario référence'!$B$10)*70+IF((45+25*(1-EXP(-0.0175*A32)))&lt;70,'Scénario référence'!$B$16*(45+25*(1-EXP(-0.0175*A32))),70*'Scénario référence'!$B$16)+IF((32+38*(1-EXP(-0.0175*A32)))&lt;70,'Scénario référence'!$B$18*(32+38*(1-EXP(-0.0175*A32))),70*'Scénario référence'!$B$18)</f>
        <v>70</v>
      </c>
      <c r="J32" s="13">
        <f>IF(A32&gt;30,10,('Scénario référence'!$B$16+'Scénario référence'!$B$17+'Scénario référence'!$B$18+'Scénario référence'!$B$9+'Scénario référence'!$B$10)*A32*10/30+('Scénario référence'!$F$8+'Scénario référence'!$F$9)*10)</f>
        <v>10</v>
      </c>
      <c r="K32" s="12" t="e">
        <f>VLOOKUP(A32,'Données projet'!$A$35:$I$55,2,0)</f>
        <v>#N/A</v>
      </c>
      <c r="L32" s="12" t="e">
        <f>VLOOKUP(A32,'Données projet'!$A$35:$I$55,9,0)</f>
        <v>#N/A</v>
      </c>
      <c r="M32" s="12">
        <f t="array" ref="M32">INDEX(L:L,MIN(IF(ISNUMBER(L32:L228),ROW(L32:L228),"")))</f>
        <v>22.828205128205127</v>
      </c>
      <c r="N32" s="13">
        <f>IF('Données projet'!$A$36&gt;35,N31+M32-V31,IF(A32&lt;'Données projet'!$A$36,$K$205^A32,IF(A32='Données projet'!$A$36,'Données projet'!$B$36,N31+M32-V31)))</f>
        <v>309.0410256410255</v>
      </c>
      <c r="O32" s="13">
        <f>N32*VLOOKUP('Données projet'!$B$9,Paramètres!$A$1:$I$89,3,0)*VLOOKUP('Données projet'!$B$9,Paramètres!$A$1:$I$89,5,0)</f>
        <v>172.75393333333326</v>
      </c>
      <c r="P32" s="13">
        <f t="shared" si="33"/>
        <v>43.706234996805463</v>
      </c>
      <c r="Q32" s="20">
        <f t="shared" si="2"/>
        <v>377.00145984165829</v>
      </c>
      <c r="R32" s="59">
        <f t="shared" si="0"/>
        <v>670.33479317499155</v>
      </c>
      <c r="S32" s="59">
        <f ca="1">AVERAGE(OFFSET($R$3,0,0,'Données projet'!$E$9+1,1))-AVERAGE(OFFSET($H$3,0,0,'Données projet'!$E$9+1,1))</f>
        <v>255.5374979188561</v>
      </c>
      <c r="T32" s="59">
        <f t="shared" si="34"/>
        <v>343.10418468620901</v>
      </c>
      <c r="U32" s="15">
        <f>IF(ISNA(VLOOKUP(A32,'Données projet'!$A$35:$I$55,3,0)),0,VLOOKUP(A32,'Données projet'!$A$35:$I$55,3,0))</f>
        <v>0</v>
      </c>
      <c r="V32" s="15">
        <f>IF(ISNA(VLOOKUP(A32,'Données projet'!$A$35:$I$55,4,0)),0,VLOOKUP(A32,'Données projet'!$A$35:$I$55,4,0))</f>
        <v>0</v>
      </c>
      <c r="W32" s="16">
        <f>IF(ISNA(VLOOKUP(A32,'Données projet'!$A$35:$I$55,5,0)),0%,VLOOKUP(A32,'Données projet'!$A$35:$I$55,5,0)*VLOOKUP('Données projet'!$B$9,Paramètres!$A$1:$I$89,7,0))</f>
        <v>0</v>
      </c>
      <c r="X32" s="16">
        <f>IF(ISNA(VLOOKUP(A32,'Données projet'!$A$35:$I$55,6,0)),0%,VLOOKUP(A32,'Données projet'!$A$35:$I$55,6,0)*VLOOKUP('Données projet'!$B$9,Paramètres!$A$1:$I$89,7,0))</f>
        <v>0</v>
      </c>
      <c r="Y32" s="16">
        <f>IF(ISNA(VLOOKUP(A32,'Données projet'!$A$35:$I$55,7,0)),0%,VLOOKUP(A32,'Données projet'!$A$35:$I$55,7,0))</f>
        <v>0</v>
      </c>
      <c r="Z32" s="21">
        <f>EXP(-LN(2)/35)*Z31+(1-EXP(-LN(2)/35))/(LN(2)/35)*V32*W32*VLOOKUP('Données projet'!$B$9,Paramètres!$A$1:$I$89,3,0)*0.475*44/12</f>
        <v>3.1518466366627509</v>
      </c>
      <c r="AA32" s="21">
        <f>EXP(-LN(2)/25)*AA31+(1-EXP(-LN(2)/25))/(LN(2)/25)*Calculateur!V32*Calculateur!X32*VLOOKUP('Données projet'!$B$9,Paramètres!$A$1:$I$89,3,0)*0.475*44/12</f>
        <v>16.408963088842263</v>
      </c>
      <c r="AB32" s="21">
        <f>EXP(-LN(2)/2)*AB31+(1-EXP(-LN(2)/2))/(LN(2)/2)*V32*Y32*VLOOKUP('Données projet'!$B$9,Paramètres!$A$1:$I$89,3,0)*0.475*44/12</f>
        <v>2.3937715271429618</v>
      </c>
      <c r="AC32" s="22">
        <f t="shared" si="3"/>
        <v>21.954581252647976</v>
      </c>
      <c r="AD32" s="13">
        <f>('Scénario référence'!$F$8+'Scénario référence'!$F$9+'Scénario référence'!$B$17+'Scénario référence'!$B$9+'Scénario référence'!$B$10)*70+IF((45+25*(1-EXP(-0.0175*A32)))&lt;70,'Scénario référence'!$B$16*(45+25*(1-EXP(-0.0175*A32))),70*'Scénario référence'!$B$16)+IF((32+38*(1-EXP(-0.0175*A32)))&lt;70,'Scénario référence'!$B$18*(32+38*(1-EXP(-0.0175*A32))),70*'Scénario référence'!$B$18)</f>
        <v>70</v>
      </c>
      <c r="AE32" s="13">
        <f>IF(A32&gt;30,10,('Scénario référence'!$B$16+'Scénario référence'!$B$17+'Scénario référence'!$B$18+'Scénario référence'!$B$9+'Scénario référence'!$B$10)*A32*10/30+('Scénario référence'!$F$8+'Scénario référence'!$F$9)*10)</f>
        <v>10</v>
      </c>
      <c r="AF32" s="12" t="e">
        <f>VLOOKUP(A32,'Données projet'!$A$61:$I$81,2,0)</f>
        <v>#N/A</v>
      </c>
      <c r="AG32" s="12" t="e">
        <f>VLOOKUP(A32,'Données projet'!$A$61:$I$81,9,0)</f>
        <v>#N/A</v>
      </c>
      <c r="AH32" s="12">
        <f t="array" ref="AH32">INDEX(AG:AG,MIN(IF(ISNUMBER(AG32:AG228),ROW(AG32:AG228),"")))</f>
        <v>16.5</v>
      </c>
      <c r="AI32" s="13">
        <f>IF('Données projet'!$A$62&gt;35,AI31+AH32-AQ31,IF(A32&lt;'Données projet'!$A$62,$AF$205^A32,IF(A32='Données projet'!$A$62,'Données projet'!$B$62,AI31+AH32-AQ31)))</f>
        <v>246.5</v>
      </c>
      <c r="AJ32" s="13">
        <f>AI32*VLOOKUP('Données projet'!$B$10,Paramètres!$A$1:$I$89,3,0)*VLOOKUP('Données projet'!$B$10,Paramètres!$A$1:$I$89,5,0)</f>
        <v>153.816</v>
      </c>
      <c r="AK32" s="13">
        <f t="shared" si="35"/>
        <v>39.444513325737063</v>
      </c>
      <c r="AL32" s="20">
        <f t="shared" si="4"/>
        <v>336.59539404232538</v>
      </c>
      <c r="AM32" s="59">
        <f t="shared" si="5"/>
        <v>629.9287273756587</v>
      </c>
      <c r="AN32" s="59">
        <f ca="1">AVERAGE(OFFSET($AM$3,0,0,'Données projet'!$E$10+1,1))-AVERAGE(OFFSET($H$3,0,0,'Données projet'!$E$10+1,1))</f>
        <v>261.78489480911571</v>
      </c>
      <c r="AO32" s="59">
        <f t="shared" si="36"/>
        <v>297.50513563712764</v>
      </c>
      <c r="AP32" s="15">
        <f>IF(ISNA(VLOOKUP(A32,'Données projet'!$A$61:$I$81,3,0)),0,VLOOKUP(A32,'Données projet'!$A$61:$I$81,3,0))</f>
        <v>0</v>
      </c>
      <c r="AQ32" s="15">
        <f>IF(ISNA(VLOOKUP(A32,'Données projet'!$A$61:$I$81,4,0)),0,VLOOKUP(A32,'Données projet'!$A$61:$I$81,4,0))</f>
        <v>0</v>
      </c>
      <c r="AR32" s="16">
        <f>IF(ISNA(VLOOKUP(A32,'Données projet'!$A$61:$I$81,5,0)),0%,VLOOKUP(A32,'Données projet'!$A$61:$I$81,5,0)*VLOOKUP('Données projet'!$B$10,Paramètres!$A$1:$I$89,7,0))</f>
        <v>0</v>
      </c>
      <c r="AS32" s="16">
        <f>IF(ISNA(VLOOKUP(A32,'Données projet'!$A$61:$I$81,6,0)),0%,VLOOKUP(A32,'Données projet'!$A$61:$I$81,6,0)*VLOOKUP('Données projet'!$B$10,Paramètres!$A$1:$I$89,7,0))</f>
        <v>0</v>
      </c>
      <c r="AT32" s="16">
        <f>IF(ISNA(VLOOKUP(A32,'Données projet'!$A$61:$I$81,7,0)),0%,VLOOKUP(A32,'Données projet'!$A$61:$I$81,7,0))</f>
        <v>0</v>
      </c>
      <c r="AU32" s="21">
        <f>EXP(-LN(2)/35)*AU31+(1-EXP(-LN(2)/35))/(LN(2)/35)*AQ32*AR32*VLOOKUP('Données projet'!$B$10,Paramètres!$A$1:$I$89,3,0)*0.475*44/12</f>
        <v>0</v>
      </c>
      <c r="AV32" s="21">
        <f>EXP(-LN(2)/25)*AV31+(1-EXP(-LN(2)/25))/(LN(2)/25)*Calculateur!AQ32*Calculateur!AS32*VLOOKUP('Données projet'!$B$10,Paramètres!$A$1:$I$89,3,0)*0.475*44/12</f>
        <v>11.563819247160552</v>
      </c>
      <c r="AW32" s="21">
        <f>EXP(-LN(2)/2)*AW31+(1-EXP(-LN(2)/2))/(LN(2)/2)*AQ32*AT32*VLOOKUP('Données projet'!$B$10,Paramètres!$A$1:$I$89,3,0)*0.475*44/12</f>
        <v>0.93671268848748535</v>
      </c>
      <c r="AX32" s="21">
        <f t="shared" si="6"/>
        <v>12.500531935648038</v>
      </c>
      <c r="AY32" s="74">
        <f>('Scénario référence'!$F$8+'Scénario référence'!$F$9+'Scénario référence'!$B$17+'Scénario référence'!$B$9+'Scénario référence'!$B$10)*70+IF((45+25*(1-EXP(-0.0175*A32)))&lt;70,'Scénario référence'!$B$16*(45+25*(1-EXP(-0.0175*A32))),70*'Scénario référence'!$B$16)+IF((32+38*(1-EXP(-0.0175*A32)))&lt;70,'Scénario référence'!$B$18*(32+38*(1-EXP(-0.0175*A32))),70*'Scénario référence'!$B$18)</f>
        <v>70</v>
      </c>
      <c r="AZ32" s="12">
        <f>IF(A32&gt;30,10,('Scénario référence'!$B$16+'Scénario référence'!$B$17+'Scénario référence'!$B$18+'Scénario référence'!$B$9+'Scénario référence'!$B$10)*A32*10/30+('Scénario référence'!$F$8+'Scénario référence'!$F$9)*10)</f>
        <v>10</v>
      </c>
      <c r="BA32" s="12" t="e">
        <f>VLOOKUP(A32,'Données projet'!$A$87:$I$107,2,0)</f>
        <v>#N/A</v>
      </c>
      <c r="BB32" s="12" t="e">
        <f>VLOOKUP(A32,'Données projet'!$A$87:$I$107,9,0)</f>
        <v>#N/A</v>
      </c>
      <c r="BC32" s="12">
        <f t="array" ref="BC32">INDEX(BB:BB,MIN(IF(ISNUMBER(BB32:BB228),ROW(BB32:BB228),"")))</f>
        <v>15.3</v>
      </c>
      <c r="BD32" s="12">
        <f>IF('Données projet'!$A$88&gt;35,BD31+BC32-BL31,IF(A32&lt;'Données projet'!$A$88,$BA$205^A32,IF(A32='Données projet'!$A$88,'Données projet'!$B$88,BD31+BC32-BL31)))</f>
        <v>214.70000000000005</v>
      </c>
      <c r="BE32" s="13">
        <f>BD32*VLOOKUP('Données projet'!$B$11,Paramètres!$A$1:$I$89,3,0)*VLOOKUP('Données projet'!$B$11,Paramètres!$A$1:$I$89,5,0)</f>
        <v>128.39060000000003</v>
      </c>
      <c r="BF32" s="13">
        <f t="shared" si="37"/>
        <v>33.624205053748</v>
      </c>
      <c r="BG32" s="20">
        <f t="shared" si="7"/>
        <v>282.17578546861114</v>
      </c>
      <c r="BH32" s="59">
        <f t="shared" si="8"/>
        <v>575.5091188019444</v>
      </c>
      <c r="BI32" s="59">
        <f ca="1">AVERAGE(OFFSET($BH$3,0,0,'Données projet'!$E$11+1,1))-AVERAGE(OFFSET($H$3,0,0,'Données projet'!$E$11+1,1))</f>
        <v>316.58509520829671</v>
      </c>
      <c r="BJ32" s="59">
        <f t="shared" si="38"/>
        <v>240.71332110643596</v>
      </c>
      <c r="BK32" s="15">
        <f>IF(ISNA(VLOOKUP(A32,'Données projet'!$A$87:$I$107,3,0)),0,VLOOKUP(A32,'Données projet'!$A$87:$I$107,3,0))</f>
        <v>0</v>
      </c>
      <c r="BL32" s="15">
        <f>IF(ISNA(VLOOKUP(A32,'Données projet'!$A$87:$I$107,4,0)),0,VLOOKUP(A32,'Données projet'!$A$87:$I$107,4,0))</f>
        <v>0</v>
      </c>
      <c r="BM32" s="16">
        <f>IF(ISNA(VLOOKUP(A32,'Données projet'!$A$87:$I$107,5,0)),0%,VLOOKUP(A32,'Données projet'!$A$87:$I$107,5,0)*VLOOKUP('Données projet'!$B$11,Paramètres!$A$1:$I$89,7,0))</f>
        <v>0</v>
      </c>
      <c r="BN32" s="16">
        <f>IF(ISNA(VLOOKUP(A32,'Données projet'!$A$87:$I$107,6,0)),0%,VLOOKUP(A32,'Données projet'!$A$87:$I$107,6,0)*VLOOKUP('Données projet'!$B$11,Paramètres!$A$1:$I$89,7,0))</f>
        <v>0</v>
      </c>
      <c r="BO32" s="16">
        <f>IF(ISNA(VLOOKUP(A32,'Données projet'!$A$87:$I$107,7,0)),0%,VLOOKUP(A32,'Données projet'!$A$87:$I$107,7,0))</f>
        <v>0</v>
      </c>
      <c r="BP32" s="21">
        <f>EXP(-LN(2)/35)*BP31+(1-EXP(-LN(2)/35))/(LN(2)/35)*BL32*BM32*VLOOKUP('Données projet'!$B$11,Paramètres!$A$1:$I$89,3,0)*0.475*44/12</f>
        <v>0</v>
      </c>
      <c r="BQ32" s="21">
        <f>EXP(-LN(2)/25)*BQ31+(1-EXP(-LN(2)/25))/(LN(2)/25)*Calculateur!BL32*Calculateur!BN32*VLOOKUP('Données projet'!$B$11,Paramètres!$A$1:$I$89,3,0)*0.475*44/12</f>
        <v>4.0172226238833808</v>
      </c>
      <c r="BR32" s="21">
        <f>EXP(-LN(2)/2)*BR31+(1-EXP(-LN(2)/2))/(LN(2)/2)*BL32*BO32*VLOOKUP('Données projet'!$B$11,Paramètres!$A$1:$I$89,3,0)*0.475*44/12</f>
        <v>0.43388011334802251</v>
      </c>
      <c r="BS32" s="22">
        <f t="shared" si="9"/>
        <v>4.4511027372314036</v>
      </c>
      <c r="BT32" s="75">
        <f>('Scénario référence'!$F$8+'Scénario référence'!$F$9+'Scénario référence'!$B$17+'Scénario référence'!$B$9+'Scénario référence'!$B$10)*70+IF((45+25*(1-EXP(-0.0175*A32)))&lt;70,'Scénario référence'!$B$16*(45+25*(1-EXP(-0.0175*A32))),70*'Scénario référence'!$B$16)+IF((32+38*(1-EXP(-0.0175*A32)))&lt;70,'Scénario référence'!$B$18*(32+38*(1-EXP(-0.0175*A32))),70*'Scénario référence'!$B$18)</f>
        <v>70</v>
      </c>
      <c r="BU32" s="12">
        <f>IF(A32&gt;30,10,('Scénario référence'!$B$16+'Scénario référence'!$B$17+'Scénario référence'!$B$18+'Scénario référence'!$B$9+'Scénario référence'!$B$10)*A32*10/30+('Scénario référence'!$F$8+'Scénario référence'!$F$9)*10)</f>
        <v>10</v>
      </c>
      <c r="BV32" s="12" t="e">
        <f>VLOOKUP(A32,'Données projet'!$A$113:$I$133,2,0)</f>
        <v>#N/A</v>
      </c>
      <c r="BW32" s="12" t="e">
        <f>VLOOKUP(A32,'Données projet'!$A$113:$I$133,9,0)</f>
        <v>#N/A</v>
      </c>
      <c r="BX32" s="12">
        <f t="array" ref="BX32">INDEX(BW:BW,MIN(IF(ISNUMBER(BW32:BW228),ROW(BW32:BW228),"")))</f>
        <v>13.7</v>
      </c>
      <c r="BY32" s="12">
        <f>IF('Données projet'!$A$114&gt;35,BY31+BX32-CG31,IF(A32&lt;'Données projet'!$A$114,$BV$205^A32,IF(A32='Données projet'!$A$114,'Données projet'!$B$114,BY31+BX32-CG31)))</f>
        <v>203.29999999999993</v>
      </c>
      <c r="BZ32" s="13">
        <f>BY32*VLOOKUP('Données projet'!$B$12,Paramètres!$A$1:$I$89,3,0)*VLOOKUP('Données projet'!$B$12,Paramètres!$A$1:$I$89,5,0)</f>
        <v>116.28759999999997</v>
      </c>
      <c r="CA32" s="13">
        <f t="shared" si="39"/>
        <v>30.80756572469512</v>
      </c>
      <c r="CB32" s="20">
        <f t="shared" si="10"/>
        <v>256.19074697051059</v>
      </c>
      <c r="CC32" s="59">
        <f t="shared" si="11"/>
        <v>549.5240803038439</v>
      </c>
      <c r="CD32" s="59">
        <f ca="1">AVERAGE(OFFSET($CC$3,0,0,'Données projet'!$E$12+1,1))-AVERAGE(OFFSET($H$3,0,0,'Données projet'!$E$12+1,1))</f>
        <v>188.64374818906128</v>
      </c>
      <c r="CE32" s="59">
        <f t="shared" si="40"/>
        <v>211.95157880548652</v>
      </c>
      <c r="CF32" s="15">
        <f>IF(ISNA(VLOOKUP(A32,'Données projet'!$A$113:$I$133,3,0)),0,VLOOKUP(A32,'Données projet'!$A$113:$I$133,3,0))</f>
        <v>0</v>
      </c>
      <c r="CG32" s="15">
        <f>IF(ISNA(VLOOKUP(A32,'Données projet'!$A$113:$I$133,4,0)),0,VLOOKUP(A32,'Données projet'!$A$113:$I$133,4,0))</f>
        <v>0</v>
      </c>
      <c r="CH32" s="16">
        <f>IF(ISNA(VLOOKUP(A32,'Données projet'!$A$113:$I$133,5,0)),0%,VLOOKUP(A32,'Données projet'!$A$113:$I$133,5,0)*VLOOKUP('Données projet'!$B$12,Paramètres!$A$1:$I$89,7,0))</f>
        <v>0</v>
      </c>
      <c r="CI32" s="16">
        <f>IF(ISNA(VLOOKUP(A32,'Données projet'!$A$113:$I$133,6,0)),0%,VLOOKUP(A32,'Données projet'!$A$113:$I$133,6,0)*VLOOKUP('Données projet'!$B$12,Paramètres!$A$1:$I$89,7,0))</f>
        <v>0</v>
      </c>
      <c r="CJ32" s="16">
        <f>IF(ISNA(VLOOKUP(A32,'Données projet'!$A$113:$I$133,7,0)),0%,VLOOKUP(A32,'Données projet'!$A$113:$I$133,7,0))</f>
        <v>0</v>
      </c>
      <c r="CK32" s="21">
        <f>EXP(-LN(2)/35)*CK31+(1-EXP(-LN(2)/35))/(LN(2)/35)*CG32*CH32*VLOOKUP('Données projet'!$B$12,Paramètres!$A$1:$I$89,3,0)*0.475*44/12</f>
        <v>0</v>
      </c>
      <c r="CL32" s="21">
        <f>EXP(-LN(2)/25)*CL31+(1-EXP(-LN(2)/25))/(LN(2)/25)*Calculateur!CG32*Calculateur!CI32*VLOOKUP('Données projet'!$B$12,Paramètres!$A$1:$I$89,3,0)*0.475*44/12</f>
        <v>3.4450544840499124</v>
      </c>
      <c r="CM32" s="21">
        <f>EXP(-LN(2)/2)*CM31+(1-EXP(-LN(2)/2))/(LN(2)/2)*CG32*CJ32*VLOOKUP('Données projet'!$B$12,Paramètres!$A$1:$I$89,3,0)*0.475*44/12</f>
        <v>0.37208309570475101</v>
      </c>
      <c r="CN32" s="22">
        <f t="shared" si="12"/>
        <v>3.8171375797546636</v>
      </c>
      <c r="CO32" s="75">
        <f>('Scénario référence'!$F$8+'Scénario référence'!$F$9+'Scénario référence'!$B$17+'Scénario référence'!$B$9+'Scénario référence'!$B$10)*70+IF((45+25*(1-EXP(-0.0175*A32)))&lt;70,'Scénario référence'!$B$16*(45+25*(1-EXP(-0.0175*A32))),70*'Scénario référence'!$B$16)+IF((32+38*(1-EXP(-0.0175*A32)))&lt;70,'Scénario référence'!$B$18*(32+38*(1-EXP(-0.0175*A32))),70*'Scénario référence'!$B$18)</f>
        <v>70</v>
      </c>
      <c r="CP32" s="12">
        <f>IF(A32&gt;30,10,('Scénario référence'!$B$16+'Scénario référence'!$B$17+'Scénario référence'!$B$18+'Scénario référence'!$B$9+'Scénario référence'!$B$10)*A32*10/30+('Scénario référence'!$F$8+'Scénario référence'!$F$9)*10)</f>
        <v>10</v>
      </c>
      <c r="CQ32" s="12" t="e">
        <f>VLOOKUP(A32,'Données projet'!$A$139:$I$159,2,0)</f>
        <v>#N/A</v>
      </c>
      <c r="CR32" s="12" t="e">
        <f>VLOOKUP(A32,'Données projet'!$A$139:$I$159,9,0)</f>
        <v>#N/A</v>
      </c>
      <c r="CS32" s="12">
        <f t="array" ref="CS32">INDEX(CR:CR,MIN(IF(ISNUMBER(CR32:CR228),ROW(CR32:CR228),"")))</f>
        <v>0</v>
      </c>
      <c r="CT32" s="12">
        <f>IF('Données projet'!$A$140&gt;35,CT31+CS32-DB31,IF(A32&lt;'Données projet'!$A$140,$CQ$205^A32,IF(A32='Données projet'!$A$140,'Données projet'!$B$140,CT31+CS32-DB31)))</f>
        <v>0</v>
      </c>
      <c r="CU32" s="17" t="e">
        <f>CT32*VLOOKUP('Données projet'!$B$13,Paramètres!$A$1:$I$89,3,0)*VLOOKUP('Données projet'!$B$13,Paramètres!$A$1:$I$89,5,0)</f>
        <v>#N/A</v>
      </c>
      <c r="CV32" s="13" t="e">
        <f t="shared" si="41"/>
        <v>#N/A</v>
      </c>
      <c r="CW32" s="20" t="e">
        <f t="shared" si="13"/>
        <v>#N/A</v>
      </c>
      <c r="CX32" s="59" t="e">
        <f t="shared" si="14"/>
        <v>#N/A</v>
      </c>
      <c r="CY32" s="59" t="e">
        <f ca="1">AVERAGE(OFFSET($CX$3,0,0,'Données projet'!$E$13+1,1))-AVERAGE(OFFSET($H$3,0,0,'Données projet'!$E$13+1,1))</f>
        <v>#N/A</v>
      </c>
      <c r="CZ32" s="59" t="e">
        <f t="shared" si="42"/>
        <v>#N/A</v>
      </c>
      <c r="DA32" s="15">
        <f>IF(ISNA(VLOOKUP(A32,'Données projet'!$A$139:$I$159,3,0)),0,VLOOKUP(A32,'Données projet'!$A$139:$I$159,3,0))</f>
        <v>0</v>
      </c>
      <c r="DB32" s="15">
        <f>IF(ISNA(VLOOKUP(A32,'Données projet'!$A$139:$I$159,4,0)),0,VLOOKUP(A32,'Données projet'!$A$139:$I$159,4,0))</f>
        <v>0</v>
      </c>
      <c r="DC32" s="16">
        <f>IF(ISNA(VLOOKUP(A32,'Données projet'!$A$139:$I$159,5,0)),0%,VLOOKUP(A32,'Données projet'!$A$139:$I$159,5,0)*VLOOKUP('Données projet'!$B$13,Paramètres!$A$1:$I$89,7,0))</f>
        <v>0</v>
      </c>
      <c r="DD32" s="16">
        <f>IF(ISNA(VLOOKUP(A32,'Données projet'!$A$139:$I$159,6,0)),0%,VLOOKUP(A32,'Données projet'!$A$139:$I$159,6,0)*VLOOKUP('Données projet'!$B$13,Paramètres!$A$1:$I$89,7,0))</f>
        <v>0</v>
      </c>
      <c r="DE32" s="16">
        <f>IF(ISNA(VLOOKUP(A32,'Données projet'!$A$139:$I$159,7,0)),0%,VLOOKUP(A32,'Données projet'!$A$139:$I$159,7,0))</f>
        <v>0</v>
      </c>
      <c r="DF32" s="21" t="e">
        <f>EXP(-LN(2)/35)*DF31+(1-EXP(-LN(2)/35))/(LN(2)/35)*DB32*DC32*VLOOKUP('Données projet'!$B$13,Paramètres!$A$1:$I$89,3,0)*0.475*44/12</f>
        <v>#N/A</v>
      </c>
      <c r="DG32" s="21" t="e">
        <f>EXP(-LN(2)/25)*DG31+(1-EXP(-LN(2)/25))/(LN(2)/25)*Calculateur!DB32*Calculateur!DD32*VLOOKUP('Données projet'!$B$13,Paramètres!$A$1:$I$89,3,0)*0.475*44/12</f>
        <v>#N/A</v>
      </c>
      <c r="DH32" s="21" t="e">
        <f>EXP(-LN(2)/2)*DH31+(1-EXP(-LN(2)/2))/(LN(2)/2)*DB32*DE32*VLOOKUP('Données projet'!$B$13,Paramètres!$A$1:$I$89,3,0)*0.475*44/12</f>
        <v>#N/A</v>
      </c>
      <c r="DI32" s="22" t="e">
        <f t="shared" si="15"/>
        <v>#N/A</v>
      </c>
      <c r="DJ32" s="75">
        <f>('Scénario référence'!$F$8+'Scénario référence'!$F$9+'Scénario référence'!$B$17+'Scénario référence'!$B$9+'Scénario référence'!$B$10)*70+IF((45+25*(1-EXP(-0.0175*A32)))&lt;70,'Scénario référence'!$B$16*(45+25*(1-EXP(-0.0175*A32))),70*'Scénario référence'!$B$16)+IF((32+38*(1-EXP(-0.0175*A32)))&lt;70,'Scénario référence'!$B$18*(32+38*(1-EXP(-0.0175*A32))),70*'Scénario référence'!$B$18)</f>
        <v>70</v>
      </c>
      <c r="DK32" s="12">
        <f>IF(A32&gt;30,10,('Scénario référence'!$B$16+'Scénario référence'!$B$17+'Scénario référence'!$B$18+'Scénario référence'!$B$9+'Scénario référence'!$B$10)*A32*10/30+('Scénario référence'!$F$8+'Scénario référence'!$F$9)*10)</f>
        <v>10</v>
      </c>
      <c r="DL32" s="12" t="e">
        <f>VLOOKUP(A32,'Données projet'!$A$165:$I$185,2,0)</f>
        <v>#N/A</v>
      </c>
      <c r="DM32" s="12" t="e">
        <f>VLOOKUP(A32,'Données projet'!$A$165:$I$185,9,0)</f>
        <v>#N/A</v>
      </c>
      <c r="DN32" s="12">
        <f t="array" ref="DN32">INDEX(DM:DM,MIN(IF(ISNUMBER(DM32:DM228),ROW(DM32:DM228),"")))</f>
        <v>10.5</v>
      </c>
      <c r="DO32" s="12">
        <f>IF('Données projet'!$A$166&gt;35,DO31+DN32-DW31,IF(A32&lt;'Données projet'!$A$166,$DL$205^A32,IF(A32='Données projet'!$A$166,'Données projet'!$B$166,DO31+DN32-DW31)))</f>
        <v>199.5</v>
      </c>
      <c r="DP32" s="17">
        <f>DO32*VLOOKUP('Données projet'!$B$14,Paramètres!$A$1:$I$89,3,0)*VLOOKUP('Données projet'!$B$14,Paramètres!$A$1:$I$89,5,0)</f>
        <v>130.7124</v>
      </c>
      <c r="DQ32" s="13">
        <f t="shared" si="43"/>
        <v>34.160921660966139</v>
      </c>
      <c r="DR32" s="20">
        <f t="shared" si="16"/>
        <v>287.15436855951606</v>
      </c>
      <c r="DS32" s="59">
        <f t="shared" si="17"/>
        <v>580.48770189284937</v>
      </c>
      <c r="DT32" s="59">
        <f ca="1">AVERAGE(OFFSET($DS$3,0,0,'Données projet'!$E$14+1,1))-AVERAGE(OFFSET($H$3,0,0,'Données projet'!$E$14+1,1))</f>
        <v>188.68915783955595</v>
      </c>
      <c r="DU32" s="59">
        <f t="shared" si="44"/>
        <v>240.82467772396944</v>
      </c>
      <c r="DV32" s="15">
        <f>IF(ISNA(VLOOKUP(A32,'Données projet'!$A$165:$I$185,3,0)),0,VLOOKUP(A32,'Données projet'!$A$165:$I$185,3,0))</f>
        <v>0</v>
      </c>
      <c r="DW32" s="15">
        <f>IF(ISNA(VLOOKUP(A32,'Données projet'!$A$165:$I$185,4,0)),0,VLOOKUP(A32,'Données projet'!$A$165:$I$185,4,0))</f>
        <v>0</v>
      </c>
      <c r="DX32" s="16">
        <f>IF(ISNA(VLOOKUP(A32,'Données projet'!$A$165:$I$185,5,0)),0%,VLOOKUP(A32,'Données projet'!$A$165:$I$185,5,0)*VLOOKUP('Données projet'!$B$14,Paramètres!$A$1:$I$89,7,0))</f>
        <v>0</v>
      </c>
      <c r="DY32" s="16">
        <f>IF(ISNA(VLOOKUP(A32,'Données projet'!$A$165:$I$185,6,0)),0%,VLOOKUP(A32,'Données projet'!$A$165:$I$185,6,0)*VLOOKUP('Données projet'!$B$14,Paramètres!$A$1:$I$89,7,0))</f>
        <v>0</v>
      </c>
      <c r="DZ32" s="16">
        <f>IF(ISNA(VLOOKUP(A32,'Données projet'!$A$165:$I$185,7,0)),0%,VLOOKUP(A32,'Données projet'!$A$165:$I$185,7,0))</f>
        <v>0</v>
      </c>
      <c r="EA32" s="21">
        <f>EXP(-LN(2)/35)*EA31+(1-EXP(-LN(2)/35))/(LN(2)/35)*DW32*DX32*VLOOKUP('Données projet'!$B$14,Paramètres!$A$1:$I$89,3,0)*0.475*44/12</f>
        <v>0</v>
      </c>
      <c r="EB32" s="21">
        <f>EXP(-LN(2)/25)*EB31+(1-EXP(-LN(2)/25))/(LN(2)/25)*Calculateur!DW32*Calculateur!DY32*VLOOKUP('Données projet'!$B$14,Paramètres!$A$1:$I$89,3,0)*0.475*44/12</f>
        <v>1.0877217479360395</v>
      </c>
      <c r="EC32" s="21">
        <f>EXP(-LN(2)/2)*EC31+(1-EXP(-LN(2)/2))/(LN(2)/2)*DW32*DZ32*VLOOKUP('Données projet'!$B$14,Paramètres!$A$1:$I$89,3,0)*0.475*44/12</f>
        <v>0.12294354036398245</v>
      </c>
      <c r="ED32" s="22">
        <f t="shared" si="18"/>
        <v>1.210665288300022</v>
      </c>
      <c r="EE32" s="75">
        <f>('Scénario référence'!$F$8+'Scénario référence'!$F$9+'Scénario référence'!$B$17+'Scénario référence'!$B$9+'Scénario référence'!$B$10)*70+IF((45+25*(1-EXP(-0.0175*A32)))&lt;70,'Scénario référence'!$B$16*(45+25*(1-EXP(-0.0175*A32))),70*'Scénario référence'!$B$16)+IF((32+38*(1-EXP(-0.0175*A32)))&lt;70,'Scénario référence'!$B$18*(32+38*(1-EXP(-0.0175*A32))),70*'Scénario référence'!$B$18)</f>
        <v>70</v>
      </c>
      <c r="EF32" s="12">
        <f>IF(A32&gt;30,10,('Scénario référence'!$B$16+'Scénario référence'!$B$17+'Scénario référence'!$B$18+'Scénario référence'!$B$9+'Scénario référence'!$B$10)*A32*10/30+('Scénario référence'!$F$8+'Scénario référence'!$F$9)*10)</f>
        <v>10</v>
      </c>
      <c r="EG32" s="12" t="e">
        <f>VLOOKUP(A32,'Données projet'!$A$191:$I$211,2,0)</f>
        <v>#N/A</v>
      </c>
      <c r="EH32" s="12" t="e">
        <f>VLOOKUP(A32,'Données projet'!$A$191:$I$211,9,0)</f>
        <v>#N/A</v>
      </c>
      <c r="EI32" s="12">
        <f t="array" ref="EI32">INDEX(EH:EH,MIN(IF(ISNUMBER(EH32:EH228),ROW(EH32:EH228),"")))</f>
        <v>7</v>
      </c>
      <c r="EJ32" s="12">
        <f>IF('Données projet'!$A$192&gt;35,EJ31+EI32-ER31,IF(A32&lt;'Données projet'!$A$192,$EG$205^A32,IF(A32='Données projet'!$A$192,'Données projet'!$B$192,EJ31+EI32-ER31)))</f>
        <v>127.99999999999999</v>
      </c>
      <c r="EK32" s="17">
        <f>EJ32*VLOOKUP('Données projet'!$B$15,Paramètres!$A$1:$I$89,3,0)*VLOOKUP('Données projet'!$B$15,Paramètres!$A$1:$I$89,5,0)</f>
        <v>103.83359999999999</v>
      </c>
      <c r="EL32" s="13">
        <f t="shared" si="45"/>
        <v>27.873290659436186</v>
      </c>
      <c r="EM32" s="20">
        <f t="shared" si="19"/>
        <v>229.38950123185131</v>
      </c>
      <c r="EN32" s="59">
        <f t="shared" si="20"/>
        <v>522.7228345651846</v>
      </c>
      <c r="EO32" s="59">
        <f ca="1">AVERAGE(OFFSET($EN$3,0,0,'Données projet'!$E$15+1,1))-AVERAGE(OFFSET($H$3,0,0,'Données projet'!$E$15+1,1))</f>
        <v>205.5272583787887</v>
      </c>
      <c r="EP32" s="59">
        <f t="shared" si="46"/>
        <v>180.54762778843178</v>
      </c>
      <c r="EQ32" s="15">
        <f>IF(ISNA(VLOOKUP(A32,'Données projet'!$A$191:$I$211,3,0)),0,VLOOKUP(A32,'Données projet'!$A$191:$I$211,3,0))</f>
        <v>0</v>
      </c>
      <c r="ER32" s="15">
        <f>IF(ISNA(VLOOKUP(A32,'Données projet'!$A$191:$I$211,4,0)),0,VLOOKUP(A32,'Données projet'!$A$191:$I$211,4,0))</f>
        <v>0</v>
      </c>
      <c r="ES32" s="16">
        <f>IF(ISNA(VLOOKUP(A32,'Données projet'!$A$191:$I$211,5,0)),0%,VLOOKUP(A32,'Données projet'!$A$191:$I$211,5,0)*VLOOKUP('Données projet'!$B$15,Paramètres!$A$1:$I$89,7,0))</f>
        <v>0</v>
      </c>
      <c r="ET32" s="16">
        <f>IF(ISNA(VLOOKUP(A32,'Données projet'!$A$191:$I$211,6,0)),0%,VLOOKUP(A32,'Données projet'!$A$191:$I$211,6,0)*VLOOKUP('Données projet'!$B$15,Paramètres!$A$1:$I$89,7,0))</f>
        <v>0</v>
      </c>
      <c r="EU32" s="16">
        <f>IF(ISNA(VLOOKUP(A32,'Données projet'!$A$191:$I$211,7,0)),0%,VLOOKUP(A32,'Données projet'!$A$191:$I$211,7,0))</f>
        <v>0</v>
      </c>
      <c r="EV32" s="21">
        <f>EXP(-LN(2)/35)*EV31+(1-EXP(-LN(2)/35))/(LN(2)/35)*ER32*ES32*VLOOKUP('Données projet'!$B$15,Paramètres!$A$1:$I$89,3,0)*0.475*44/12</f>
        <v>0</v>
      </c>
      <c r="EW32" s="21">
        <f>EXP(-LN(2)/25)*EW31+(1-EXP(-LN(2)/25))/(LN(2)/25)*Calculateur!ER32*Calculateur!ET32*VLOOKUP('Données projet'!$B$15,Paramètres!$A$1:$I$89,3,0)*0.475*44/12</f>
        <v>1.3467031164922392</v>
      </c>
      <c r="EX32" s="21">
        <f>EXP(-LN(2)/2)*EX31+(1-EXP(-LN(2)/2))/(LN(2)/2)*ER32*EU32*VLOOKUP('Données projet'!$B$15,Paramètres!$A$1:$I$89,3,0)*0.475*44/12</f>
        <v>0.15221581187921629</v>
      </c>
      <c r="EY32" s="22">
        <f t="shared" si="21"/>
        <v>1.4989189283714555</v>
      </c>
      <c r="EZ32" s="75">
        <f>('Scénario référence'!$F$8+'Scénario référence'!$F$9+'Scénario référence'!$B$17+'Scénario référence'!$B$9+'Scénario référence'!$B$10)*70+IF((45+25*(1-EXP(-0.0175*A32)))&lt;70,'Scénario référence'!$B$16*(45+25*(1-EXP(-0.0175*A32))),70*'Scénario référence'!$B$16)+IF((32+38*(1-EXP(-0.0175*A32)))&lt;70,'Scénario référence'!$B$18*(32+38*(1-EXP(-0.0175*A32))),70*'Scénario référence'!$B$18)</f>
        <v>70</v>
      </c>
      <c r="FA32" s="12">
        <f>IF(A32&gt;30,10,('Scénario référence'!$B$16+'Scénario référence'!$B$17+'Scénario référence'!$B$18+'Scénario référence'!$B$9+'Scénario référence'!$B$10)*A32*10/30+('Scénario référence'!$F$8+'Scénario référence'!$F$9)*10)</f>
        <v>10</v>
      </c>
      <c r="FB32" s="12" t="e">
        <f>VLOOKUP(A32,'Données projet'!$A$217:$I$237,2,0)</f>
        <v>#N/A</v>
      </c>
      <c r="FC32" s="12" t="e">
        <f>VLOOKUP(A32,'Données projet'!$A$217:$I$237,9,0)</f>
        <v>#N/A</v>
      </c>
      <c r="FD32" s="12">
        <f t="array" ref="FD32">INDEX(FC:FC,MIN(IF(ISNUMBER(FC32:FC228),ROW(FC32:FC228),"")))</f>
        <v>9.1</v>
      </c>
      <c r="FE32" s="12">
        <f>IF('Données projet'!$A$218&gt;35,FE31+FD32-FM31,IF(A32&lt;'Données projet'!$A$218,$FB$205^A32,IF(A32='Données projet'!$A$218,'Données projet'!$B$218,FE31+FD32-FM31)))</f>
        <v>130.89999999999998</v>
      </c>
      <c r="FF32" s="17">
        <f>FE32*VLOOKUP('Données projet'!$B$16,Paramètres!$A$1:$I$89,3,0)*VLOOKUP('Données projet'!$B$16,Paramètres!$A$1:$I$89,5,0)</f>
        <v>112.31219999999999</v>
      </c>
      <c r="FG32" s="13">
        <f t="shared" si="47"/>
        <v>29.875095628107715</v>
      </c>
      <c r="FH32" s="20">
        <f t="shared" si="22"/>
        <v>247.64287321895426</v>
      </c>
      <c r="FI32" s="59">
        <f t="shared" si="23"/>
        <v>540.97620655228752</v>
      </c>
      <c r="FJ32" s="59">
        <f ca="1">AVERAGE(OFFSET($FI$3,0,0,'Données projet'!$E$16+1,1))-AVERAGE(OFFSET($H$3,0,0,'Données projet'!$E$16+1,1))</f>
        <v>383.97627237444709</v>
      </c>
      <c r="FK32" s="59">
        <f t="shared" si="48"/>
        <v>203.35476578922339</v>
      </c>
      <c r="FL32" s="15">
        <f>IF(ISNA(VLOOKUP(A32,'Données projet'!$A$217:$I$237,3,0)),0,VLOOKUP(A32,'Données projet'!$A$217:$I$237,3,0))</f>
        <v>0</v>
      </c>
      <c r="FM32" s="15">
        <f>IF(ISNA(VLOOKUP(A32,'Données projet'!$A$217:$I$237,4,0)),0,VLOOKUP(A32,'Données projet'!$A$217:$I$237,4,0))</f>
        <v>0</v>
      </c>
      <c r="FN32" s="16">
        <f>IF(ISNA(VLOOKUP(A32,'Données projet'!$A$217:$I$237,5,0)),0%,VLOOKUP(A32,'Données projet'!$A$217:$I$237,5,0)*VLOOKUP('Données projet'!$B$16,Paramètres!$A$1:$I$89,7,0))</f>
        <v>0</v>
      </c>
      <c r="FO32" s="16">
        <f>IF(ISNA(VLOOKUP(A32,'Données projet'!$A$217:$I$237,6,0)),0%,VLOOKUP(A32,'Données projet'!$A$217:$I$237,6,0)*VLOOKUP('Données projet'!$B$16,Paramètres!$A$1:$I$89,7,0))</f>
        <v>0</v>
      </c>
      <c r="FP32" s="16">
        <f>IF(ISNA(VLOOKUP(A32,'Données projet'!$A$217:$I$237,7,0)),0%,VLOOKUP(A32,'Données projet'!$A$217:$I$237,7,0))</f>
        <v>0</v>
      </c>
      <c r="FQ32" s="21">
        <f>EXP(-LN(2)/35)*FQ31+(1-EXP(-LN(2)/35))/(LN(2)/35)*FM32*FN32*VLOOKUP('Données projet'!$B$16,Paramètres!$A$1:$I$89,3,0)*0.475*44/12</f>
        <v>0</v>
      </c>
      <c r="FR32" s="21">
        <f>EXP(-LN(2)/25)*FR31+(1-EXP(-LN(2)/25))/(LN(2)/25)*Calculateur!FM32*Calculateur!FO32*VLOOKUP('Données projet'!$B$16,Paramètres!$A$1:$I$89,3,0)*0.475*44/12</f>
        <v>0.78029011818224547</v>
      </c>
      <c r="FS32" s="21">
        <f>EXP(-LN(2)/2)*FS31+(1-EXP(-LN(2)/2))/(LN(2)/2)*FM32*FP32*VLOOKUP('Données projet'!$B$16,Paramètres!$A$1:$I$89,3,0)*0.475*44/12</f>
        <v>7.1554441481682871E-2</v>
      </c>
      <c r="FT32" s="22">
        <f t="shared" si="24"/>
        <v>0.85184455966392836</v>
      </c>
      <c r="FU32" s="75">
        <f>('Scénario référence'!$F$8+'Scénario référence'!$F$9+'Scénario référence'!$B$17+'Scénario référence'!$B$9+'Scénario référence'!$B$10)*70+IF((45+25*(1-EXP(-0.0175*A32)))&lt;70,'Scénario référence'!$B$16*(45+25*(1-EXP(-0.0175*A32))),70*'Scénario référence'!$B$16)+IF((32+38*(1-EXP(-0.0175*A32)))&lt;70,'Scénario référence'!$B$18*(32+38*(1-EXP(-0.0175*A32))),70*'Scénario référence'!$B$18)</f>
        <v>70</v>
      </c>
      <c r="FV32" s="12">
        <f>IF(A32&gt;30,10,('Scénario référence'!$B$16+'Scénario référence'!$B$17+'Scénario référence'!$B$18+'Scénario référence'!$B$9+'Scénario référence'!$B$10)*A32*10/30+('Scénario référence'!$F$8+'Scénario référence'!$F$9)*10)</f>
        <v>10</v>
      </c>
      <c r="FW32" s="12" t="e">
        <f>VLOOKUP(A32,'Données projet'!$A$243:$I$263,2,0)</f>
        <v>#N/A</v>
      </c>
      <c r="FX32" s="12" t="e">
        <f>VLOOKUP(A32,'Données projet'!$A$243:$I$263,9,0)</f>
        <v>#N/A</v>
      </c>
      <c r="FY32" s="12">
        <f t="array" ref="FY32">INDEX(FX:FX,MIN(IF(ISNUMBER(FX32:FX228),ROW(FX32:FX228),"")))</f>
        <v>4.0628205128205126</v>
      </c>
      <c r="FZ32" s="12">
        <f>IF('Données projet'!$A$244&gt;35,FZ31+FY32-GH31,IF(A32&lt;'Données projet'!$A$244,$FW$205^A32,IF(A32='Données projet'!$A$244,'Données projet'!$B$244,FZ31+FY32-GH31)))</f>
        <v>103.85257315361756</v>
      </c>
      <c r="GA32" s="17">
        <f>FZ32*VLOOKUP('Données projet'!$B$17,Paramètres!$A$1:$I$89,3,0)*VLOOKUP('Données projet'!$B$17,Paramètres!$A$1:$I$89,5,0)</f>
        <v>111.78690974255393</v>
      </c>
      <c r="GB32" s="13">
        <f t="shared" si="49"/>
        <v>29.751598792416779</v>
      </c>
      <c r="GC32" s="20">
        <f t="shared" si="25"/>
        <v>246.51290236507396</v>
      </c>
      <c r="GD32" s="59">
        <f t="shared" si="26"/>
        <v>539.84623569840733</v>
      </c>
      <c r="GE32" s="59">
        <f ca="1">AVERAGE(OFFSET($GD$3,0,0,'Données projet'!$E$17+1,1))-AVERAGE(OFFSET($H$3,0,0,'Données projet'!$E$17+1,1))</f>
        <v>286.77702855541287</v>
      </c>
      <c r="GF32" s="59">
        <f t="shared" si="50"/>
        <v>227.12211541860779</v>
      </c>
      <c r="GG32" s="15">
        <f>IF(ISNA(VLOOKUP(A32,'Données projet'!$A$243:$I$263,3,0)),0,VLOOKUP(A32,'Données projet'!$A$243:$I$263,3,0))</f>
        <v>0</v>
      </c>
      <c r="GH32" s="15">
        <f>IF(ISNA(VLOOKUP(A32,'Données projet'!$A$243:$I$263,4,0)),0,VLOOKUP(A32,'Données projet'!$A$243:$I$263,4,0))</f>
        <v>0</v>
      </c>
      <c r="GI32" s="16">
        <f>IF(ISNA(VLOOKUP(A32,'Données projet'!$A$243:$I$263,5,0)),0%,VLOOKUP(A32,'Données projet'!$A$243:$I$263,5,0)*VLOOKUP('Données projet'!$B$17,Paramètres!$A$1:$I$89,7,0))</f>
        <v>0</v>
      </c>
      <c r="GJ32" s="16">
        <f>IF(ISNA(VLOOKUP(A32,'Données projet'!$A$243:$I$263,6,0)),0%,VLOOKUP(A32,'Données projet'!$A$243:$I$263,6,0)*VLOOKUP('Données projet'!$B$17,Paramètres!$A$1:$I$89,7,0))</f>
        <v>0</v>
      </c>
      <c r="GK32" s="16">
        <f>IF(ISNA(VLOOKUP(A32,'Données projet'!$A$243:$I$263,7,0)),0%,VLOOKUP(A32,'Données projet'!$A$243:$I$263,7,0))</f>
        <v>0</v>
      </c>
      <c r="GL32" s="21">
        <f>EXP(-LN(2)/35)*GL31+(1-EXP(-LN(2)/35))/(LN(2)/35)*GH32*GI32*VLOOKUP('Données projet'!$B$17,Paramètres!$A$1:$I$89,3,0)*0.475*44/12</f>
        <v>0</v>
      </c>
      <c r="GM32" s="21">
        <f>EXP(-LN(2)/25)*GM31+(1-EXP(-LN(2)/25))/(LN(2)/25)*Calculateur!GH32*Calculateur!GJ32*VLOOKUP('Données projet'!$B$17,Paramètres!$A$1:$I$89,3,0)*0.475*44/12</f>
        <v>0</v>
      </c>
      <c r="GN32" s="21">
        <f>EXP(-LN(2)/2)*GN31+(1-EXP(-LN(2)/2))/(LN(2)/2)*GH32*GK32*VLOOKUP('Données projet'!$B$17,Paramètres!$A$1:$I$89,3,0)*0.475*44/12</f>
        <v>0</v>
      </c>
      <c r="GO32" s="21">
        <f t="shared" si="27"/>
        <v>0</v>
      </c>
      <c r="GP32" s="75">
        <f>('Scénario référence'!$F$8+'Scénario référence'!$F$9+'Scénario référence'!$B$17+'Scénario référence'!$B$9+'Scénario référence'!$B$10)*70+IF((45+25*(1-EXP(-0.0175*A32)))&lt;70,'Scénario référence'!$B$16*(45+25*(1-EXP(-0.0175*A32))),70*'Scénario référence'!$B$16)+IF((32+38*(1-EXP(-0.0175*A32)))&lt;70,'Scénario référence'!$B$18*(32+38*(1-EXP(-0.0175*A32))),70*'Scénario référence'!$B$18)</f>
        <v>70</v>
      </c>
      <c r="GQ32" s="12">
        <f>IF(A32&gt;30,10,('Scénario référence'!$B$16+'Scénario référence'!$B$17+'Scénario référence'!$B$18+'Scénario référence'!$B$9+'Scénario référence'!$B$10)*A32*10/30+('Scénario référence'!$F$8+'Scénario référence'!$F$9)*10)</f>
        <v>10</v>
      </c>
      <c r="GR32" s="12" t="e">
        <f>VLOOKUP(A32,'Données projet'!$A$269:$I$289,2,0)</f>
        <v>#N/A</v>
      </c>
      <c r="GS32" s="12" t="e">
        <f>VLOOKUP(A32,'Données projet'!$A$269:$I$289,9,0)</f>
        <v>#N/A</v>
      </c>
      <c r="GT32" s="12">
        <f t="array" ref="GT32">INDEX(GS:GS,MIN(IF(ISNUMBER(GS32:GS228),ROW(GS32:GS228),"")))</f>
        <v>4.0628205128205126</v>
      </c>
      <c r="GU32" s="12">
        <f>IF('Données projet'!$A$270&gt;35,GU31+GT32-HC31,IF(A32&lt;'Données projet'!$A$270,$GR$205^A32,IF(A32='Données projet'!$A$270,'Données projet'!$B$270,GU31+GT32-HC31)))</f>
        <v>103.85257315361756</v>
      </c>
      <c r="GV32" s="17">
        <f>GU32*VLOOKUP('Données projet'!$B$18,Paramètres!$A$1:$I$89,3,0)*VLOOKUP('Données projet'!$B$18,Paramètres!$A$1:$I$89,5,0)</f>
        <v>111.78690974255393</v>
      </c>
      <c r="GW32" s="13">
        <f t="shared" si="51"/>
        <v>29.751598792416779</v>
      </c>
      <c r="GX32" s="20">
        <f t="shared" si="28"/>
        <v>246.51290236507396</v>
      </c>
      <c r="GY32" s="59">
        <f t="shared" si="29"/>
        <v>539.84623569840733</v>
      </c>
      <c r="GZ32" s="59">
        <f ca="1">AVERAGE(OFFSET($GY$3,0,0,'Données projet'!$E$18+1,1))-AVERAGE(OFFSET($H$3,0,0,'Données projet'!$E$18+1,1))</f>
        <v>286.77702855541287</v>
      </c>
      <c r="HA32" s="59">
        <f t="shared" si="52"/>
        <v>227.12211541860779</v>
      </c>
      <c r="HB32" s="15">
        <f>IF(ISNA(VLOOKUP(A32,'Données projet'!$A$269:$I$289,3,0)),0,VLOOKUP(A32,'Données projet'!$A$269:$I$289,3,0))</f>
        <v>0</v>
      </c>
      <c r="HC32" s="15">
        <f>IF(ISNA(VLOOKUP(A32,'Données projet'!$A$269:$I$289,4,0)),0,VLOOKUP(A32,'Données projet'!$A$269:$I$289,4,0))</f>
        <v>0</v>
      </c>
      <c r="HD32" s="16">
        <f>IF(ISNA(VLOOKUP(A32,'Données projet'!$A$269:$I$289,5,0)),0%,VLOOKUP(A32,'Données projet'!$A$269:$I$289,5,0)*VLOOKUP('Données projet'!$B$18,Paramètres!$A$1:$I$89,7,0))</f>
        <v>0</v>
      </c>
      <c r="HE32" s="16">
        <f>IF(ISNA(VLOOKUP(A32,'Données projet'!$A$269:$I$289,6,0)),0%,VLOOKUP(A32,'Données projet'!$A$269:$I$289,6,0)*VLOOKUP('Données projet'!$B$18,Paramètres!$A$1:$I$89,7,0))</f>
        <v>0</v>
      </c>
      <c r="HF32" s="16">
        <f>IF(ISNA(VLOOKUP(A32,'Données projet'!$A$269:$I$289,7,0)),0%,VLOOKUP(A32,'Données projet'!$A$269:$I$289,7,0))</f>
        <v>0</v>
      </c>
      <c r="HG32" s="21">
        <f>EXP(-LN(2)/35)*HG31+(1-EXP(-LN(2)/35))/(LN(2)/35)*HC32*HD32*VLOOKUP('Données projet'!$B$18,Paramètres!$A$1:$I$89,3,0)*0.475*44/12</f>
        <v>0</v>
      </c>
      <c r="HH32" s="21">
        <f>EXP(-LN(2)/25)*HH31+(1-EXP(-LN(2)/25))/(LN(2)/25)*Calculateur!HC32*Calculateur!HE32*VLOOKUP('Données projet'!$B$18,Paramètres!$A$1:$I$89,3,0)*0.475*44/12</f>
        <v>0</v>
      </c>
      <c r="HI32" s="21">
        <f>EXP(-LN(2)/2)*HI31+(1-EXP(-LN(2)/2))/(LN(2)/2)*HC32*HF32*VLOOKUP('Données projet'!$B$18,Paramètres!$A$1:$I$89,3,0)*0.475*44/12</f>
        <v>0</v>
      </c>
      <c r="HJ32" s="22">
        <f t="shared" si="30"/>
        <v>0</v>
      </c>
    </row>
    <row r="33" spans="1:218" x14ac:dyDescent="0.25">
      <c r="A33" s="10">
        <f t="shared" si="31"/>
        <v>30</v>
      </c>
      <c r="B33" s="73">
        <f>'Scénario référence'!$B$16*5+'Scénario référence'!$B$17*0+'Scénario référence'!$B$18*5</f>
        <v>0</v>
      </c>
      <c r="C33" s="19">
        <f>Calculateur!C32+'Scénario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26.675999999999991</v>
      </c>
      <c r="D33" s="11">
        <f t="shared" si="32"/>
        <v>8.388268495647786</v>
      </c>
      <c r="E3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33" s="11">
        <f>IF(OR('Scénario référence'!$F$8&gt;0,'Scénario référence'!$F$9&gt;0),('Scénario référence'!$F$8+'Scénario référence'!$F$9)*10,0)</f>
        <v>10</v>
      </c>
      <c r="G33" s="11">
        <f>'Scénario référence'!$B$8*B33*44/12+'Scénario référence'!$B$9*(C33+D33)/0.475*44/12+'Scénario référence'!$B$10*(C33+D33)/0.475*44/12+'Scénario référence'!$F$8*(C33+D33)/0.475*44/12+'Scénario référence'!$F$9*(C33+D33)/0.475*44/12</f>
        <v>270.67154628219339</v>
      </c>
      <c r="H33" s="67">
        <f t="shared" si="1"/>
        <v>354.40360096325321</v>
      </c>
      <c r="I33" s="70">
        <f>('Scénario référence'!$F$8+'Scénario référence'!$F$9+'Scénario référence'!$B$17+'Scénario référence'!$B$9+'Scénario référence'!$B$10)*70+IF((45+25*(1-EXP(-0.0175*A33)))&lt;70,'Scénario référence'!$B$16*(45+25*(1-EXP(-0.0175*A33))),70*'Scénario référence'!$B$16)+IF((32+38*(1-EXP(-0.0175*A33)))&lt;70,'Scénario référence'!$B$18*(32+38*(1-EXP(-0.0175*A33))),70*'Scénario référence'!$B$18)</f>
        <v>70</v>
      </c>
      <c r="J33" s="13">
        <f>IF(A33&gt;30,10,('Scénario référence'!$B$16+'Scénario référence'!$B$17+'Scénario référence'!$B$18+'Scénario référence'!$B$9+'Scénario référence'!$B$10)*A33*10/30+('Scénario référence'!$F$8+'Scénario référence'!$F$9)*10)</f>
        <v>10</v>
      </c>
      <c r="K33" s="12">
        <f>VLOOKUP(A33,'Données projet'!$A$35:$I$55,2,0)</f>
        <v>331.86923076923074</v>
      </c>
      <c r="L33" s="12">
        <f>VLOOKUP(A33,'Données projet'!$A$35:$I$55,9,0)</f>
        <v>22.828205128205127</v>
      </c>
      <c r="M33" s="12">
        <f t="array" ref="M33">INDEX(L:L,MIN(IF(ISNUMBER(L33:L229),ROW(L33:L229),"")))</f>
        <v>22.828205128205127</v>
      </c>
      <c r="N33" s="13">
        <f>IF('Données projet'!$A$36&gt;35,N32+M33-V32,IF(A33&lt;'Données projet'!$A$36,$K$205^A33,IF(A33='Données projet'!$A$36,'Données projet'!$B$36,N32+M33-V32)))</f>
        <v>331.86923076923063</v>
      </c>
      <c r="O33" s="13">
        <f>N33*VLOOKUP('Données projet'!$B$9,Paramètres!$A$1:$I$89,3,0)*VLOOKUP('Données projet'!$B$9,Paramètres!$A$1:$I$89,5,0)</f>
        <v>185.5148999999999</v>
      </c>
      <c r="P33" s="13">
        <f t="shared" si="33"/>
        <v>46.546986497298995</v>
      </c>
      <c r="Q33" s="20">
        <f t="shared" si="2"/>
        <v>404.17445231612891</v>
      </c>
      <c r="R33" s="59">
        <f t="shared" si="0"/>
        <v>697.50778564946222</v>
      </c>
      <c r="S33" s="59">
        <f ca="1">AVERAGE(OFFSET($R$3,0,0,'Données projet'!$E$9+1,1))-AVERAGE(OFFSET($H$3,0,0,'Données projet'!$E$9+1,1))</f>
        <v>255.5374979188561</v>
      </c>
      <c r="T33" s="59">
        <f t="shared" si="34"/>
        <v>343.10418468620901</v>
      </c>
      <c r="U33" s="15">
        <f>IF(ISNA(VLOOKUP(A33,'Données projet'!$A$35:$I$55,3,0)),0,VLOOKUP(A33,'Données projet'!$A$35:$I$55,3,0))</f>
        <v>3</v>
      </c>
      <c r="V33" s="15">
        <f>IF(ISNA(VLOOKUP(A33,'Données projet'!$A$35:$I$55,4,0)),0,VLOOKUP(A33,'Données projet'!$A$35:$I$55,4,0))</f>
        <v>65.669230769230765</v>
      </c>
      <c r="W33" s="16">
        <f>IF(ISNA(VLOOKUP(A33,'Données projet'!$A$35:$I$55,5,0)),0%,VLOOKUP(A33,'Données projet'!$A$35:$I$55,5,0)*VLOOKUP('Données projet'!$B$9,Paramètres!$A$1:$I$89,7,0))</f>
        <v>0</v>
      </c>
      <c r="X33" s="16">
        <f>IF(ISNA(VLOOKUP(A33,'Données projet'!$A$35:$I$55,6,0)),0%,VLOOKUP(A33,'Données projet'!$A$35:$I$55,6,0)*VLOOKUP('Données projet'!$B$9,Paramètres!$A$1:$I$89,7,0))</f>
        <v>0</v>
      </c>
      <c r="Y33" s="16">
        <f>IF(ISNA(VLOOKUP(A33,'Données projet'!$A$35:$I$55,7,0)),0%,VLOOKUP(A33,'Données projet'!$A$35:$I$55,7,0))</f>
        <v>0</v>
      </c>
      <c r="Z33" s="21">
        <f>EXP(-LN(2)/35)*Z32+(1-EXP(-LN(2)/35))/(LN(2)/35)*V33*W33*VLOOKUP('Données projet'!$B$9,Paramètres!$A$1:$I$89,3,0)*0.475*44/12</f>
        <v>3.0900408465544178</v>
      </c>
      <c r="AA33" s="21">
        <f>EXP(-LN(2)/25)*AA32+(1-EXP(-LN(2)/25))/(LN(2)/25)*Calculateur!V33*Calculateur!X33*VLOOKUP('Données projet'!$B$9,Paramètres!$A$1:$I$89,3,0)*0.475*44/12</f>
        <v>15.960259130268007</v>
      </c>
      <c r="AB33" s="21">
        <f>EXP(-LN(2)/2)*AB32+(1-EXP(-LN(2)/2))/(LN(2)/2)*V33*Y33*VLOOKUP('Données projet'!$B$9,Paramètres!$A$1:$I$89,3,0)*0.475*44/12</f>
        <v>1.692652079454066</v>
      </c>
      <c r="AC33" s="22">
        <f t="shared" si="3"/>
        <v>20.74295205627649</v>
      </c>
      <c r="AD33" s="13">
        <f>('Scénario référence'!$F$8+'Scénario référence'!$F$9+'Scénario référence'!$B$17+'Scénario référence'!$B$9+'Scénario référence'!$B$10)*70+IF((45+25*(1-EXP(-0.0175*A33)))&lt;70,'Scénario référence'!$B$16*(45+25*(1-EXP(-0.0175*A33))),70*'Scénario référence'!$B$16)+IF((32+38*(1-EXP(-0.0175*A33)))&lt;70,'Scénario référence'!$B$18*(32+38*(1-EXP(-0.0175*A33))),70*'Scénario référence'!$B$18)</f>
        <v>70</v>
      </c>
      <c r="AE33" s="13">
        <f>IF(A33&gt;30,10,('Scénario référence'!$B$16+'Scénario référence'!$B$17+'Scénario référence'!$B$18+'Scénario référence'!$B$9+'Scénario référence'!$B$10)*A33*10/30+('Scénario référence'!$F$8+'Scénario référence'!$F$9)*10)</f>
        <v>10</v>
      </c>
      <c r="AF33" s="12">
        <f>VLOOKUP(A33,'Données projet'!$A$61:$I$81,2,0)</f>
        <v>263</v>
      </c>
      <c r="AG33" s="12">
        <f>VLOOKUP(A33,'Données projet'!$A$61:$I$81,9,0)</f>
        <v>16.5</v>
      </c>
      <c r="AH33" s="12">
        <f t="array" ref="AH33">INDEX(AG:AG,MIN(IF(ISNUMBER(AG33:AG229),ROW(AG33:AG229),"")))</f>
        <v>16.5</v>
      </c>
      <c r="AI33" s="13">
        <f>IF('Données projet'!$A$62&gt;35,AI32+AH33-AQ32,IF(A33&lt;'Données projet'!$A$62,$AF$205^A33,IF(A33='Données projet'!$A$62,'Données projet'!$B$62,AI32+AH33-AQ32)))</f>
        <v>263</v>
      </c>
      <c r="AJ33" s="13">
        <f>AI33*VLOOKUP('Données projet'!$B$10,Paramètres!$A$1:$I$89,3,0)*VLOOKUP('Données projet'!$B$10,Paramètres!$A$1:$I$89,5,0)</f>
        <v>164.11199999999999</v>
      </c>
      <c r="AK33" s="13">
        <f t="shared" si="35"/>
        <v>41.768614316008147</v>
      </c>
      <c r="AL33" s="20">
        <f t="shared" si="4"/>
        <v>358.57540326704753</v>
      </c>
      <c r="AM33" s="59">
        <f t="shared" si="5"/>
        <v>651.90873660038085</v>
      </c>
      <c r="AN33" s="59">
        <f ca="1">AVERAGE(OFFSET($AM$3,0,0,'Données projet'!$E$10+1,1))-AVERAGE(OFFSET($H$3,0,0,'Données projet'!$E$10+1,1))</f>
        <v>261.78489480911571</v>
      </c>
      <c r="AO33" s="59">
        <f t="shared" si="36"/>
        <v>297.50513563712764</v>
      </c>
      <c r="AP33" s="15">
        <f>IF(ISNA(VLOOKUP(A33,'Données projet'!$A$61:$I$81,3,0)),0,VLOOKUP(A33,'Données projet'!$A$61:$I$81,3,0))</f>
        <v>2</v>
      </c>
      <c r="AQ33" s="15">
        <f>IF(ISNA(VLOOKUP(A33,'Données projet'!$A$61:$I$81,4,0)),0,VLOOKUP(A33,'Données projet'!$A$61:$I$81,4,0))</f>
        <v>84</v>
      </c>
      <c r="AR33" s="16">
        <f>IF(ISNA(VLOOKUP(A33,'Données projet'!$A$61:$I$81,5,0)),0%,VLOOKUP(A33,'Données projet'!$A$61:$I$81,5,0)*VLOOKUP('Données projet'!$B$10,Paramètres!$A$1:$I$89,7,0))</f>
        <v>0.12</v>
      </c>
      <c r="AS33" s="16">
        <f>IF(ISNA(VLOOKUP(A33,'Données projet'!$A$61:$I$81,6,0)),0%,VLOOKUP(A33,'Données projet'!$A$61:$I$81,6,0)*VLOOKUP('Données projet'!$B$10,Paramètres!$A$1:$I$89,7,0))</f>
        <v>0.24</v>
      </c>
      <c r="AT33" s="16">
        <f>IF(ISNA(VLOOKUP(A33,'Données projet'!$A$61:$I$81,7,0)),0%,VLOOKUP(A33,'Données projet'!$A$61:$I$81,7,0))</f>
        <v>0.4</v>
      </c>
      <c r="AU33" s="21">
        <f>EXP(-LN(2)/35)*AU32+(1-EXP(-LN(2)/35))/(LN(2)/35)*AQ33*AR33*VLOOKUP('Données projet'!$B$10,Paramètres!$A$1:$I$89,3,0)*0.475*44/12</f>
        <v>8.3439842995582705</v>
      </c>
      <c r="AV33" s="21">
        <f>EXP(-LN(2)/25)*AV32+(1-EXP(-LN(2)/25))/(LN(2)/25)*Calculateur!AQ33*Calculateur!AS33*VLOOKUP('Données projet'!$B$10,Paramètres!$A$1:$I$89,3,0)*0.475*44/12</f>
        <v>27.869867709859399</v>
      </c>
      <c r="AW33" s="21">
        <f>EXP(-LN(2)/2)*AW32+(1-EXP(-LN(2)/2))/(LN(2)/2)*AQ33*AT33*VLOOKUP('Données projet'!$B$10,Paramètres!$A$1:$I$89,3,0)*0.475*44/12</f>
        <v>24.401191136911876</v>
      </c>
      <c r="AX33" s="21">
        <f t="shared" si="6"/>
        <v>60.615043146329548</v>
      </c>
      <c r="AY33" s="74">
        <f>('Scénario référence'!$F$8+'Scénario référence'!$F$9+'Scénario référence'!$B$17+'Scénario référence'!$B$9+'Scénario référence'!$B$10)*70+IF((45+25*(1-EXP(-0.0175*A33)))&lt;70,'Scénario référence'!$B$16*(45+25*(1-EXP(-0.0175*A33))),70*'Scénario référence'!$B$16)+IF((32+38*(1-EXP(-0.0175*A33)))&lt;70,'Scénario référence'!$B$18*(32+38*(1-EXP(-0.0175*A33))),70*'Scénario référence'!$B$18)</f>
        <v>70</v>
      </c>
      <c r="AZ33" s="12">
        <f>IF(A33&gt;30,10,('Scénario référence'!$B$16+'Scénario référence'!$B$17+'Scénario référence'!$B$18+'Scénario référence'!$B$9+'Scénario référence'!$B$10)*A33*10/30+('Scénario référence'!$F$8+'Scénario référence'!$F$9)*10)</f>
        <v>10</v>
      </c>
      <c r="BA33" s="12">
        <f>VLOOKUP(A33,'Données projet'!$A$87:$I$107,2,0)</f>
        <v>230</v>
      </c>
      <c r="BB33" s="12">
        <f>VLOOKUP(A33,'Données projet'!$A$87:$I$107,9,0)</f>
        <v>15.3</v>
      </c>
      <c r="BC33" s="12">
        <f t="array" ref="BC33">INDEX(BB:BB,MIN(IF(ISNUMBER(BB33:BB229),ROW(BB33:BB229),"")))</f>
        <v>15.3</v>
      </c>
      <c r="BD33" s="12">
        <f>IF('Données projet'!$A$88&gt;35,BD32+BC33-BL32,IF(A33&lt;'Données projet'!$A$88,$BA$205^A33,IF(A33='Données projet'!$A$88,'Données projet'!$B$88,BD32+BC33-BL32)))</f>
        <v>230.00000000000006</v>
      </c>
      <c r="BE33" s="13">
        <f>BD33*VLOOKUP('Données projet'!$B$11,Paramètres!$A$1:$I$89,3,0)*VLOOKUP('Données projet'!$B$11,Paramètres!$A$1:$I$89,5,0)</f>
        <v>137.54000000000005</v>
      </c>
      <c r="BF33" s="13">
        <f t="shared" si="37"/>
        <v>35.73287391561098</v>
      </c>
      <c r="BG33" s="20">
        <f t="shared" si="7"/>
        <v>301.78358873635585</v>
      </c>
      <c r="BH33" s="59">
        <f t="shared" si="8"/>
        <v>595.11692206968917</v>
      </c>
      <c r="BI33" s="59">
        <f ca="1">AVERAGE(OFFSET($BH$3,0,0,'Données projet'!$E$11+1,1))-AVERAGE(OFFSET($H$3,0,0,'Données projet'!$E$11+1,1))</f>
        <v>316.58509520829671</v>
      </c>
      <c r="BJ33" s="59">
        <f t="shared" si="38"/>
        <v>240.71332110643596</v>
      </c>
      <c r="BK33" s="15">
        <f>IF(ISNA(VLOOKUP(A33,'Données projet'!$A$87:$I$107,3,0)),0,VLOOKUP(A33,'Données projet'!$A$87:$I$107,3,0))</f>
        <v>2</v>
      </c>
      <c r="BL33" s="15">
        <f>IF(ISNA(VLOOKUP(A33,'Données projet'!$A$87:$I$107,4,0)),0,VLOOKUP(A33,'Données projet'!$A$87:$I$107,4,0))</f>
        <v>71</v>
      </c>
      <c r="BM33" s="16">
        <f>IF(ISNA(VLOOKUP(A33,'Données projet'!$A$87:$I$107,5,0)),0%,VLOOKUP(A33,'Données projet'!$A$87:$I$107,5,0)*VLOOKUP('Données projet'!$B$11,Paramètres!$A$1:$I$89,7,0))</f>
        <v>4.5000000000000005E-2</v>
      </c>
      <c r="BN33" s="16">
        <f>IF(ISNA(VLOOKUP(A33,'Données projet'!$A$87:$I$107,6,0)),0%,VLOOKUP(A33,'Données projet'!$A$87:$I$107,6,0)*VLOOKUP('Données projet'!$B$11,Paramètres!$A$1:$I$89,7,0))</f>
        <v>0.20250000000000001</v>
      </c>
      <c r="BO33" s="16">
        <f>IF(ISNA(VLOOKUP(A33,'Données projet'!$A$87:$I$107,7,0)),0%,VLOOKUP(A33,'Données projet'!$A$87:$I$107,7,0))</f>
        <v>0.45</v>
      </c>
      <c r="BP33" s="21">
        <f>EXP(-LN(2)/35)*BP32+(1-EXP(-LN(2)/35))/(LN(2)/35)*BL33*BM33*VLOOKUP('Données projet'!$B$11,Paramètres!$A$1:$I$89,3,0)*0.475*44/12</f>
        <v>2.5345473142073405</v>
      </c>
      <c r="BQ33" s="21">
        <f>EXP(-LN(2)/25)*BQ32+(1-EXP(-LN(2)/25))/(LN(2)/25)*Calculateur!BL33*Calculateur!BN33*VLOOKUP('Données projet'!$B$11,Paramètres!$A$1:$I$89,3,0)*0.475*44/12</f>
        <v>15.267926720595529</v>
      </c>
      <c r="BR33" s="21">
        <f>EXP(-LN(2)/2)*BR32+(1-EXP(-LN(2)/2))/(LN(2)/2)*BL33*BO33*VLOOKUP('Données projet'!$B$11,Paramètres!$A$1:$I$89,3,0)*0.475*44/12</f>
        <v>21.939343070140783</v>
      </c>
      <c r="BS33" s="22">
        <f t="shared" si="9"/>
        <v>39.741817104943649</v>
      </c>
      <c r="BT33" s="75">
        <f>('Scénario référence'!$F$8+'Scénario référence'!$F$9+'Scénario référence'!$B$17+'Scénario référence'!$B$9+'Scénario référence'!$B$10)*70+IF((45+25*(1-EXP(-0.0175*A33)))&lt;70,'Scénario référence'!$B$16*(45+25*(1-EXP(-0.0175*A33))),70*'Scénario référence'!$B$16)+IF((32+38*(1-EXP(-0.0175*A33)))&lt;70,'Scénario référence'!$B$18*(32+38*(1-EXP(-0.0175*A33))),70*'Scénario référence'!$B$18)</f>
        <v>70</v>
      </c>
      <c r="BU33" s="12">
        <f>IF(A33&gt;30,10,('Scénario référence'!$B$16+'Scénario référence'!$B$17+'Scénario référence'!$B$18+'Scénario référence'!$B$9+'Scénario référence'!$B$10)*A33*10/30+('Scénario référence'!$F$8+'Scénario référence'!$F$9)*10)</f>
        <v>10</v>
      </c>
      <c r="BV33" s="12">
        <f>VLOOKUP(A33,'Données projet'!$A$113:$I$133,2,0)</f>
        <v>217</v>
      </c>
      <c r="BW33" s="12">
        <f>VLOOKUP(A33,'Données projet'!$A$113:$I$133,9,0)</f>
        <v>13.7</v>
      </c>
      <c r="BX33" s="12">
        <f t="array" ref="BX33">INDEX(BW:BW,MIN(IF(ISNUMBER(BW33:BW229),ROW(BW33:BW229),"")))</f>
        <v>13.7</v>
      </c>
      <c r="BY33" s="12">
        <f>IF('Données projet'!$A$114&gt;35,BY32+BX33-CG32,IF(A33&lt;'Données projet'!$A$114,$BV$205^A33,IF(A33='Données projet'!$A$114,'Données projet'!$B$114,BY32+BX33-CG32)))</f>
        <v>216.99999999999991</v>
      </c>
      <c r="BZ33" s="13">
        <f>BY33*VLOOKUP('Données projet'!$B$12,Paramètres!$A$1:$I$89,3,0)*VLOOKUP('Données projet'!$B$12,Paramètres!$A$1:$I$89,5,0)</f>
        <v>124.12399999999995</v>
      </c>
      <c r="CA33" s="13">
        <f t="shared" si="39"/>
        <v>32.634954891142527</v>
      </c>
      <c r="CB33" s="20">
        <f t="shared" si="10"/>
        <v>273.02184643540642</v>
      </c>
      <c r="CC33" s="59">
        <f t="shared" si="11"/>
        <v>566.35517976873973</v>
      </c>
      <c r="CD33" s="59">
        <f ca="1">AVERAGE(OFFSET($CC$3,0,0,'Données projet'!$E$12+1,1))-AVERAGE(OFFSET($H$3,0,0,'Données projet'!$E$12+1,1))</f>
        <v>188.64374818906128</v>
      </c>
      <c r="CE33" s="59">
        <f t="shared" si="40"/>
        <v>211.95157880548652</v>
      </c>
      <c r="CF33" s="15">
        <f>IF(ISNA(VLOOKUP(A33,'Données projet'!$A$113:$I$133,3,0)),0,VLOOKUP(A33,'Données projet'!$A$113:$I$133,3,0))</f>
        <v>2</v>
      </c>
      <c r="CG33" s="15">
        <f>IF(ISNA(VLOOKUP(A33,'Données projet'!$A$113:$I$133,4,0)),0,VLOOKUP(A33,'Données projet'!$A$113:$I$133,4,0))</f>
        <v>72</v>
      </c>
      <c r="CH33" s="16">
        <f>IF(ISNA(VLOOKUP(A33,'Données projet'!$A$113:$I$133,5,0)),0%,VLOOKUP(A33,'Données projet'!$A$113:$I$133,5,0)*VLOOKUP('Données projet'!$B$12,Paramètres!$A$1:$I$89,7,0))</f>
        <v>4.5000000000000005E-2</v>
      </c>
      <c r="CI33" s="16">
        <f>IF(ISNA(VLOOKUP(A33,'Données projet'!$A$113:$I$133,6,0)),0%,VLOOKUP(A33,'Données projet'!$A$113:$I$133,6,0)*VLOOKUP('Données projet'!$B$12,Paramètres!$A$1:$I$89,7,0))</f>
        <v>0.20250000000000001</v>
      </c>
      <c r="CJ33" s="16">
        <f>IF(ISNA(VLOOKUP(A33,'Données projet'!$A$113:$I$133,7,0)),0%,VLOOKUP(A33,'Données projet'!$A$113:$I$133,7,0))</f>
        <v>0.45</v>
      </c>
      <c r="CK33" s="21">
        <f>EXP(-LN(2)/35)*CK32+(1-EXP(-LN(2)/35))/(LN(2)/35)*CG33*CH33*VLOOKUP('Données projet'!$B$12,Paramètres!$A$1:$I$89,3,0)*0.475*44/12</f>
        <v>2.4584953739769912</v>
      </c>
      <c r="CL33" s="21">
        <f>EXP(-LN(2)/25)*CL32+(1-EXP(-LN(2)/25))/(LN(2)/25)*Calculateur!CG33*Calculateur!CI33*VLOOKUP('Données projet'!$B$12,Paramètres!$A$1:$I$89,3,0)*0.475*44/12</f>
        <v>14.370518322198622</v>
      </c>
      <c r="CM33" s="21">
        <f>EXP(-LN(2)/2)*CM32+(1-EXP(-LN(2)/2))/(LN(2)/2)*CG33*CJ33*VLOOKUP('Données projet'!$B$12,Paramètres!$A$1:$I$89,3,0)*0.475*44/12</f>
        <v>21.246537203736192</v>
      </c>
      <c r="CN33" s="22">
        <f t="shared" si="12"/>
        <v>38.075550899911804</v>
      </c>
      <c r="CO33" s="75">
        <f>('Scénario référence'!$F$8+'Scénario référence'!$F$9+'Scénario référence'!$B$17+'Scénario référence'!$B$9+'Scénario référence'!$B$10)*70+IF((45+25*(1-EXP(-0.0175*A33)))&lt;70,'Scénario référence'!$B$16*(45+25*(1-EXP(-0.0175*A33))),70*'Scénario référence'!$B$16)+IF((32+38*(1-EXP(-0.0175*A33)))&lt;70,'Scénario référence'!$B$18*(32+38*(1-EXP(-0.0175*A33))),70*'Scénario référence'!$B$18)</f>
        <v>70</v>
      </c>
      <c r="CP33" s="12">
        <f>IF(A33&gt;30,10,('Scénario référence'!$B$16+'Scénario référence'!$B$17+'Scénario référence'!$B$18+'Scénario référence'!$B$9+'Scénario référence'!$B$10)*A33*10/30+('Scénario référence'!$F$8+'Scénario référence'!$F$9)*10)</f>
        <v>10</v>
      </c>
      <c r="CQ33" s="12" t="e">
        <f>VLOOKUP(A33,'Données projet'!$A$139:$I$159,2,0)</f>
        <v>#N/A</v>
      </c>
      <c r="CR33" s="12" t="e">
        <f>VLOOKUP(A33,'Données projet'!$A$139:$I$159,9,0)</f>
        <v>#N/A</v>
      </c>
      <c r="CS33" s="12">
        <f t="array" ref="CS33">INDEX(CR:CR,MIN(IF(ISNUMBER(CR33:CR229),ROW(CR33:CR229),"")))</f>
        <v>0</v>
      </c>
      <c r="CT33" s="12">
        <f>IF('Données projet'!$A$140&gt;35,CT32+CS33-DB32,IF(A33&lt;'Données projet'!$A$140,$CQ$205^A33,IF(A33='Données projet'!$A$140,'Données projet'!$B$140,CT32+CS33-DB32)))</f>
        <v>0</v>
      </c>
      <c r="CU33" s="17" t="e">
        <f>CT33*VLOOKUP('Données projet'!$B$13,Paramètres!$A$1:$I$89,3,0)*VLOOKUP('Données projet'!$B$13,Paramètres!$A$1:$I$89,5,0)</f>
        <v>#N/A</v>
      </c>
      <c r="CV33" s="13" t="e">
        <f t="shared" si="41"/>
        <v>#N/A</v>
      </c>
      <c r="CW33" s="20" t="e">
        <f t="shared" si="13"/>
        <v>#N/A</v>
      </c>
      <c r="CX33" s="59" t="e">
        <f t="shared" si="14"/>
        <v>#N/A</v>
      </c>
      <c r="CY33" s="59" t="e">
        <f ca="1">AVERAGE(OFFSET($CX$3,0,0,'Données projet'!$E$13+1,1))-AVERAGE(OFFSET($H$3,0,0,'Données projet'!$E$13+1,1))</f>
        <v>#N/A</v>
      </c>
      <c r="CZ33" s="59" t="e">
        <f t="shared" si="42"/>
        <v>#N/A</v>
      </c>
      <c r="DA33" s="15">
        <f>IF(ISNA(VLOOKUP(A33,'Données projet'!$A$139:$I$159,3,0)),0,VLOOKUP(A33,'Données projet'!$A$139:$I$159,3,0))</f>
        <v>0</v>
      </c>
      <c r="DB33" s="15">
        <f>IF(ISNA(VLOOKUP(A33,'Données projet'!$A$139:$I$159,4,0)),0,VLOOKUP(A33,'Données projet'!$A$139:$I$159,4,0))</f>
        <v>0</v>
      </c>
      <c r="DC33" s="16">
        <f>IF(ISNA(VLOOKUP(A33,'Données projet'!$A$139:$I$159,5,0)),0%,VLOOKUP(A33,'Données projet'!$A$139:$I$159,5,0)*VLOOKUP('Données projet'!$B$13,Paramètres!$A$1:$I$89,7,0))</f>
        <v>0</v>
      </c>
      <c r="DD33" s="16">
        <f>IF(ISNA(VLOOKUP(A33,'Données projet'!$A$139:$I$159,6,0)),0%,VLOOKUP(A33,'Données projet'!$A$139:$I$159,6,0)*VLOOKUP('Données projet'!$B$13,Paramètres!$A$1:$I$89,7,0))</f>
        <v>0</v>
      </c>
      <c r="DE33" s="16">
        <f>IF(ISNA(VLOOKUP(A33,'Données projet'!$A$139:$I$159,7,0)),0%,VLOOKUP(A33,'Données projet'!$A$139:$I$159,7,0))</f>
        <v>0</v>
      </c>
      <c r="DF33" s="21" t="e">
        <f>EXP(-LN(2)/35)*DF32+(1-EXP(-LN(2)/35))/(LN(2)/35)*DB33*DC33*VLOOKUP('Données projet'!$B$13,Paramètres!$A$1:$I$89,3,0)*0.475*44/12</f>
        <v>#N/A</v>
      </c>
      <c r="DG33" s="21" t="e">
        <f>EXP(-LN(2)/25)*DG32+(1-EXP(-LN(2)/25))/(LN(2)/25)*Calculateur!DB33*Calculateur!DD33*VLOOKUP('Données projet'!$B$13,Paramètres!$A$1:$I$89,3,0)*0.475*44/12</f>
        <v>#N/A</v>
      </c>
      <c r="DH33" s="21" t="e">
        <f>EXP(-LN(2)/2)*DH32+(1-EXP(-LN(2)/2))/(LN(2)/2)*DB33*DE33*VLOOKUP('Données projet'!$B$13,Paramètres!$A$1:$I$89,3,0)*0.475*44/12</f>
        <v>#N/A</v>
      </c>
      <c r="DI33" s="22" t="e">
        <f t="shared" si="15"/>
        <v>#N/A</v>
      </c>
      <c r="DJ33" s="75">
        <f>('Scénario référence'!$F$8+'Scénario référence'!$F$9+'Scénario référence'!$B$17+'Scénario référence'!$B$9+'Scénario référence'!$B$10)*70+IF((45+25*(1-EXP(-0.0175*A33)))&lt;70,'Scénario référence'!$B$16*(45+25*(1-EXP(-0.0175*A33))),70*'Scénario référence'!$B$16)+IF((32+38*(1-EXP(-0.0175*A33)))&lt;70,'Scénario référence'!$B$18*(32+38*(1-EXP(-0.0175*A33))),70*'Scénario référence'!$B$18)</f>
        <v>70</v>
      </c>
      <c r="DK33" s="12">
        <f>IF(A33&gt;30,10,('Scénario référence'!$B$16+'Scénario référence'!$B$17+'Scénario référence'!$B$18+'Scénario référence'!$B$9+'Scénario référence'!$B$10)*A33*10/30+('Scénario référence'!$F$8+'Scénario référence'!$F$9)*10)</f>
        <v>10</v>
      </c>
      <c r="DL33" s="12">
        <f>VLOOKUP(A33,'Données projet'!$A$165:$I$185,2,0)</f>
        <v>210</v>
      </c>
      <c r="DM33" s="12">
        <f>VLOOKUP(A33,'Données projet'!$A$165:$I$185,9,0)</f>
        <v>10.5</v>
      </c>
      <c r="DN33" s="12">
        <f t="array" ref="DN33">INDEX(DM:DM,MIN(IF(ISNUMBER(DM33:DM229),ROW(DM33:DM229),"")))</f>
        <v>10.5</v>
      </c>
      <c r="DO33" s="12">
        <f>IF('Données projet'!$A$166&gt;35,DO32+DN33-DW32,IF(A33&lt;'Données projet'!$A$166,$DL$205^A33,IF(A33='Données projet'!$A$166,'Données projet'!$B$166,DO32+DN33-DW32)))</f>
        <v>210</v>
      </c>
      <c r="DP33" s="17">
        <f>DO33*VLOOKUP('Données projet'!$B$14,Paramètres!$A$1:$I$89,3,0)*VLOOKUP('Données projet'!$B$14,Paramètres!$A$1:$I$89,5,0)</f>
        <v>137.59200000000001</v>
      </c>
      <c r="DQ33" s="13">
        <f t="shared" si="43"/>
        <v>35.744810729505801</v>
      </c>
      <c r="DR33" s="20">
        <f t="shared" si="16"/>
        <v>301.89494535388934</v>
      </c>
      <c r="DS33" s="59">
        <f t="shared" si="17"/>
        <v>595.22827868722266</v>
      </c>
      <c r="DT33" s="59">
        <f ca="1">AVERAGE(OFFSET($DS$3,0,0,'Données projet'!$E$14+1,1))-AVERAGE(OFFSET($H$3,0,0,'Données projet'!$E$14+1,1))</f>
        <v>188.68915783955595</v>
      </c>
      <c r="DU33" s="59">
        <f t="shared" si="44"/>
        <v>240.82467772396944</v>
      </c>
      <c r="DV33" s="15">
        <f>IF(ISNA(VLOOKUP(A33,'Données projet'!$A$165:$I$185,3,0)),0,VLOOKUP(A33,'Données projet'!$A$165:$I$185,3,0))</f>
        <v>2</v>
      </c>
      <c r="DW33" s="15">
        <f>IF(ISNA(VLOOKUP(A33,'Données projet'!$A$165:$I$185,4,0)),0,VLOOKUP(A33,'Données projet'!$A$165:$I$185,4,0))</f>
        <v>50</v>
      </c>
      <c r="DX33" s="16">
        <f>IF(ISNA(VLOOKUP(A33,'Données projet'!$A$165:$I$185,5,0)),0%,VLOOKUP(A33,'Données projet'!$A$165:$I$185,5,0)*VLOOKUP('Données projet'!$B$14,Paramètres!$A$1:$I$89,7,0))</f>
        <v>4.3000000000000003E-2</v>
      </c>
      <c r="DY33" s="16">
        <f>IF(ISNA(VLOOKUP(A33,'Données projet'!$A$165:$I$185,6,0)),0%,VLOOKUP(A33,'Données projet'!$A$165:$I$185,6,0)*VLOOKUP('Données projet'!$B$14,Paramètres!$A$1:$I$89,7,0))</f>
        <v>0.19350000000000001</v>
      </c>
      <c r="DZ33" s="16">
        <f>IF(ISNA(VLOOKUP(A33,'Données projet'!$A$165:$I$185,7,0)),0%,VLOOKUP(A33,'Données projet'!$A$165:$I$185,7,0))</f>
        <v>0.45</v>
      </c>
      <c r="EA33" s="21">
        <f>EXP(-LN(2)/35)*EA32+(1-EXP(-LN(2)/35))/(LN(2)/35)*DW33*DX33*VLOOKUP('Données projet'!$B$14,Paramètres!$A$1:$I$89,3,0)*0.475*44/12</f>
        <v>1.5572540142404765</v>
      </c>
      <c r="EB33" s="21">
        <f>EXP(-LN(2)/25)*EB32+(1-EXP(-LN(2)/25))/(LN(2)/25)*Calculateur!DW33*Calculateur!DY33*VLOOKUP('Données projet'!$B$14,Paramètres!$A$1:$I$89,3,0)*0.475*44/12</f>
        <v>8.0380292427554387</v>
      </c>
      <c r="EC33" s="21">
        <f>EXP(-LN(2)/2)*EC32+(1-EXP(-LN(2)/2))/(LN(2)/2)*DW33*DZ33*VLOOKUP('Données projet'!$B$14,Paramètres!$A$1:$I$89,3,0)*0.475*44/12</f>
        <v>13.996407986207085</v>
      </c>
      <c r="ED33" s="22">
        <f t="shared" si="18"/>
        <v>23.591691243203002</v>
      </c>
      <c r="EE33" s="75">
        <f>('Scénario référence'!$F$8+'Scénario référence'!$F$9+'Scénario référence'!$B$17+'Scénario référence'!$B$9+'Scénario référence'!$B$10)*70+IF((45+25*(1-EXP(-0.0175*A33)))&lt;70,'Scénario référence'!$B$16*(45+25*(1-EXP(-0.0175*A33))),70*'Scénario référence'!$B$16)+IF((32+38*(1-EXP(-0.0175*A33)))&lt;70,'Scénario référence'!$B$18*(32+38*(1-EXP(-0.0175*A33))),70*'Scénario référence'!$B$18)</f>
        <v>70</v>
      </c>
      <c r="EF33" s="12">
        <f>IF(A33&gt;30,10,('Scénario référence'!$B$16+'Scénario référence'!$B$17+'Scénario référence'!$B$18+'Scénario référence'!$B$9+'Scénario référence'!$B$10)*A33*10/30+('Scénario référence'!$F$8+'Scénario référence'!$F$9)*10)</f>
        <v>10</v>
      </c>
      <c r="EG33" s="12">
        <f>VLOOKUP(A33,'Données projet'!$A$191:$I$211,2,0)</f>
        <v>135</v>
      </c>
      <c r="EH33" s="12">
        <f>VLOOKUP(A33,'Données projet'!$A$191:$I$211,9,0)</f>
        <v>7</v>
      </c>
      <c r="EI33" s="12">
        <f t="array" ref="EI33">INDEX(EH:EH,MIN(IF(ISNUMBER(EH33:EH229),ROW(EH33:EH229),"")))</f>
        <v>7</v>
      </c>
      <c r="EJ33" s="12">
        <f>IF('Données projet'!$A$192&gt;35,EJ32+EI33-ER32,IF(A33&lt;'Données projet'!$A$192,$EG$205^A33,IF(A33='Données projet'!$A$192,'Données projet'!$B$192,EJ32+EI33-ER32)))</f>
        <v>135</v>
      </c>
      <c r="EK33" s="17">
        <f>EJ33*VLOOKUP('Données projet'!$B$15,Paramètres!$A$1:$I$89,3,0)*VLOOKUP('Données projet'!$B$15,Paramètres!$A$1:$I$89,5,0)</f>
        <v>109.51200000000001</v>
      </c>
      <c r="EL33" s="13">
        <f t="shared" si="45"/>
        <v>29.215978230632555</v>
      </c>
      <c r="EM33" s="20">
        <f t="shared" si="19"/>
        <v>241.61789541835174</v>
      </c>
      <c r="EN33" s="59">
        <f t="shared" si="20"/>
        <v>534.95122875168499</v>
      </c>
      <c r="EO33" s="59">
        <f ca="1">AVERAGE(OFFSET($EN$3,0,0,'Données projet'!$E$15+1,1))-AVERAGE(OFFSET($H$3,0,0,'Données projet'!$E$15+1,1))</f>
        <v>205.5272583787887</v>
      </c>
      <c r="EP33" s="59">
        <f t="shared" si="46"/>
        <v>180.54762778843178</v>
      </c>
      <c r="EQ33" s="15">
        <f>IF(ISNA(VLOOKUP(A33,'Données projet'!$A$191:$I$211,3,0)),0,VLOOKUP(A33,'Données projet'!$A$191:$I$211,3,0))</f>
        <v>2</v>
      </c>
      <c r="ER33" s="15">
        <f>IF(ISNA(VLOOKUP(A33,'Données projet'!$A$191:$I$211,4,0)),0,VLOOKUP(A33,'Données projet'!$A$191:$I$211,4,0))</f>
        <v>26</v>
      </c>
      <c r="ES33" s="16">
        <f>IF(ISNA(VLOOKUP(A33,'Données projet'!$A$191:$I$211,5,0)),0%,VLOOKUP(A33,'Données projet'!$A$191:$I$211,5,0)*VLOOKUP('Données projet'!$B$15,Paramètres!$A$1:$I$89,7,0))</f>
        <v>4.3000000000000003E-2</v>
      </c>
      <c r="ET33" s="16">
        <f>IF(ISNA(VLOOKUP(A33,'Données projet'!$A$191:$I$211,6,0)),0%,VLOOKUP(A33,'Données projet'!$A$191:$I$211,6,0)*VLOOKUP('Données projet'!$B$15,Paramètres!$A$1:$I$89,7,0))</f>
        <v>0.19350000000000001</v>
      </c>
      <c r="EU33" s="16">
        <f>IF(ISNA(VLOOKUP(A33,'Données projet'!$A$191:$I$211,7,0)),0%,VLOOKUP(A33,'Données projet'!$A$191:$I$211,7,0))</f>
        <v>0.45</v>
      </c>
      <c r="EV33" s="21">
        <f>EXP(-LN(2)/35)*EV32+(1-EXP(-LN(2)/35))/(LN(2)/35)*ER33*ES33*VLOOKUP('Données projet'!$B$15,Paramètres!$A$1:$I$89,3,0)*0.475*44/12</f>
        <v>1.0025749653586304</v>
      </c>
      <c r="EW33" s="21">
        <f>EXP(-LN(2)/25)*EW32+(1-EXP(-LN(2)/25))/(LN(2)/25)*Calculateur!ER33*Calculateur!ET33*VLOOKUP('Données projet'!$B$15,Paramètres!$A$1:$I$89,3,0)*0.475*44/12</f>
        <v>5.8037009546422311</v>
      </c>
      <c r="EX33" s="21">
        <f>EXP(-LN(2)/2)*EX32+(1-EXP(-LN(2)/2))/(LN(2)/2)*ER33*EU33*VLOOKUP('Données projet'!$B$15,Paramètres!$A$1:$I$89,3,0)*0.475*44/12</f>
        <v>9.0626845203799338</v>
      </c>
      <c r="EY33" s="22">
        <f t="shared" si="21"/>
        <v>15.868960440380796</v>
      </c>
      <c r="EZ33" s="75">
        <f>('Scénario référence'!$F$8+'Scénario référence'!$F$9+'Scénario référence'!$B$17+'Scénario référence'!$B$9+'Scénario référence'!$B$10)*70+IF((45+25*(1-EXP(-0.0175*A33)))&lt;70,'Scénario référence'!$B$16*(45+25*(1-EXP(-0.0175*A33))),70*'Scénario référence'!$B$16)+IF((32+38*(1-EXP(-0.0175*A33)))&lt;70,'Scénario référence'!$B$18*(32+38*(1-EXP(-0.0175*A33))),70*'Scénario référence'!$B$18)</f>
        <v>70</v>
      </c>
      <c r="FA33" s="12">
        <f>IF(A33&gt;30,10,('Scénario référence'!$B$16+'Scénario référence'!$B$17+'Scénario référence'!$B$18+'Scénario référence'!$B$9+'Scénario référence'!$B$10)*A33*10/30+('Scénario référence'!$F$8+'Scénario référence'!$F$9)*10)</f>
        <v>10</v>
      </c>
      <c r="FB33" s="12">
        <f>VLOOKUP(A33,'Données projet'!$A$217:$I$237,2,0)</f>
        <v>140</v>
      </c>
      <c r="FC33" s="12">
        <f>VLOOKUP(A33,'Données projet'!$A$217:$I$237,9,0)</f>
        <v>9.1</v>
      </c>
      <c r="FD33" s="12">
        <f t="array" ref="FD33">INDEX(FC:FC,MIN(IF(ISNUMBER(FC33:FC229),ROW(FC33:FC229),"")))</f>
        <v>9.1</v>
      </c>
      <c r="FE33" s="12">
        <f>IF('Données projet'!$A$218&gt;35,FE32+FD33-FM32,IF(A33&lt;'Données projet'!$A$218,$FB$205^A33,IF(A33='Données projet'!$A$218,'Données projet'!$B$218,FE32+FD33-FM32)))</f>
        <v>139.99999999999997</v>
      </c>
      <c r="FF33" s="17">
        <f>FE33*VLOOKUP('Données projet'!$B$16,Paramètres!$A$1:$I$89,3,0)*VLOOKUP('Données projet'!$B$16,Paramètres!$A$1:$I$89,5,0)</f>
        <v>120.11999999999998</v>
      </c>
      <c r="FG33" s="13">
        <f t="shared" si="47"/>
        <v>31.702985695201871</v>
      </c>
      <c r="FH33" s="20">
        <f t="shared" si="22"/>
        <v>264.42503341914323</v>
      </c>
      <c r="FI33" s="59">
        <f t="shared" si="23"/>
        <v>557.7583667524766</v>
      </c>
      <c r="FJ33" s="59">
        <f ca="1">AVERAGE(OFFSET($FI$3,0,0,'Données projet'!$E$16+1,1))-AVERAGE(OFFSET($H$3,0,0,'Données projet'!$E$16+1,1))</f>
        <v>383.97627237444709</v>
      </c>
      <c r="FK33" s="59">
        <f t="shared" si="48"/>
        <v>203.35476578922339</v>
      </c>
      <c r="FL33" s="15">
        <f>IF(ISNA(VLOOKUP(A33,'Données projet'!$A$217:$I$237,3,0)),0,VLOOKUP(A33,'Données projet'!$A$217:$I$237,3,0))</f>
        <v>2</v>
      </c>
      <c r="FM33" s="15">
        <f>IF(ISNA(VLOOKUP(A33,'Données projet'!$A$217:$I$237,4,0)),0,VLOOKUP(A33,'Données projet'!$A$217:$I$237,4,0))</f>
        <v>41</v>
      </c>
      <c r="FN33" s="16">
        <f>IF(ISNA(VLOOKUP(A33,'Données projet'!$A$217:$I$237,5,0)),0%,VLOOKUP(A33,'Données projet'!$A$217:$I$237,5,0)*VLOOKUP('Données projet'!$B$16,Paramètres!$A$1:$I$89,7,0))</f>
        <v>0.13250000000000001</v>
      </c>
      <c r="FO33" s="16">
        <f>IF(ISNA(VLOOKUP(A33,'Données projet'!$A$217:$I$237,6,0)),0%,VLOOKUP(A33,'Données projet'!$A$217:$I$237,6,0)*VLOOKUP('Données projet'!$B$16,Paramètres!$A$1:$I$89,7,0))</f>
        <v>0.13250000000000001</v>
      </c>
      <c r="FP33" s="16">
        <f>IF(ISNA(VLOOKUP(A33,'Données projet'!$A$217:$I$237,7,0)),0%,VLOOKUP(A33,'Données projet'!$A$217:$I$237,7,0))</f>
        <v>0.5</v>
      </c>
      <c r="FQ33" s="21">
        <f>EXP(-LN(2)/35)*FQ32+(1-EXP(-LN(2)/35))/(LN(2)/35)*FM33*FN33*VLOOKUP('Données projet'!$B$16,Paramètres!$A$1:$I$89,3,0)*0.475*44/12</f>
        <v>5.1526914039853429</v>
      </c>
      <c r="FR33" s="21">
        <f>EXP(-LN(2)/25)*FR32+(1-EXP(-LN(2)/25))/(LN(2)/25)*Calculateur!FM33*Calculateur!FO33*VLOOKUP('Données projet'!$B$16,Paramètres!$A$1:$I$89,3,0)*0.475*44/12</f>
        <v>5.891356338465382</v>
      </c>
      <c r="FS33" s="21">
        <f>EXP(-LN(2)/2)*FS32+(1-EXP(-LN(2)/2))/(LN(2)/2)*FM33*FP33*VLOOKUP('Données projet'!$B$16,Paramètres!$A$1:$I$89,3,0)*0.475*44/12</f>
        <v>16.646291531789885</v>
      </c>
      <c r="FT33" s="22">
        <f t="shared" si="24"/>
        <v>27.69033927424061</v>
      </c>
      <c r="FU33" s="75">
        <f>('Scénario référence'!$F$8+'Scénario référence'!$F$9+'Scénario référence'!$B$17+'Scénario référence'!$B$9+'Scénario référence'!$B$10)*70+IF((45+25*(1-EXP(-0.0175*A33)))&lt;70,'Scénario référence'!$B$16*(45+25*(1-EXP(-0.0175*A33))),70*'Scénario référence'!$B$16)+IF((32+38*(1-EXP(-0.0175*A33)))&lt;70,'Scénario référence'!$B$18*(32+38*(1-EXP(-0.0175*A33))),70*'Scénario référence'!$B$18)</f>
        <v>70</v>
      </c>
      <c r="FV33" s="12">
        <f>IF(A33&gt;30,10,('Scénario référence'!$B$16+'Scénario référence'!$B$17+'Scénario référence'!$B$18+'Scénario référence'!$B$9+'Scénario référence'!$B$10)*A33*10/30+('Scénario référence'!$F$8+'Scénario référence'!$F$9)*10)</f>
        <v>10</v>
      </c>
      <c r="FW33" s="12">
        <f>VLOOKUP(A33,'Données projet'!$A$243:$I$263,2,0)</f>
        <v>121.88461538461537</v>
      </c>
      <c r="FX33" s="12">
        <f>VLOOKUP(A33,'Données projet'!$A$243:$I$263,9,0)</f>
        <v>4.0628205128205126</v>
      </c>
      <c r="FY33" s="12">
        <f t="array" ref="FY33">INDEX(FX:FX,MIN(IF(ISNUMBER(FX33:FX229),ROW(FX33:FX229),"")))</f>
        <v>4.0628205128205126</v>
      </c>
      <c r="FZ33" s="12">
        <f>IF('Données projet'!$A$244&gt;35,FZ32+FY33-GH32,IF(A33&lt;'Données projet'!$A$244,$FW$205^A33,IF(A33='Données projet'!$A$244,'Données projet'!$B$244,FZ32+FY33-GH32)))</f>
        <v>121.88461538461537</v>
      </c>
      <c r="GA33" s="17">
        <f>FZ33*VLOOKUP('Données projet'!$B$17,Paramètres!$A$1:$I$89,3,0)*VLOOKUP('Données projet'!$B$17,Paramètres!$A$1:$I$89,5,0)</f>
        <v>131.19659999999999</v>
      </c>
      <c r="GB33" s="13">
        <f t="shared" si="49"/>
        <v>34.272710841259901</v>
      </c>
      <c r="GC33" s="20">
        <f t="shared" si="25"/>
        <v>288.19238304852763</v>
      </c>
      <c r="GD33" s="59">
        <f t="shared" si="26"/>
        <v>581.525716381861</v>
      </c>
      <c r="GE33" s="59">
        <f ca="1">AVERAGE(OFFSET($GD$3,0,0,'Données projet'!$E$17+1,1))-AVERAGE(OFFSET($H$3,0,0,'Données projet'!$E$17+1,1))</f>
        <v>286.77702855541287</v>
      </c>
      <c r="GF33" s="59">
        <f t="shared" si="50"/>
        <v>227.12211541860779</v>
      </c>
      <c r="GG33" s="15">
        <f>IF(ISNA(VLOOKUP(A33,'Données projet'!$A$243:$I$263,3,0)),0,VLOOKUP(A33,'Données projet'!$A$243:$I$263,3,0))</f>
        <v>0</v>
      </c>
      <c r="GH33" s="15">
        <f>IF(ISNA(VLOOKUP(A33,'Données projet'!$A$243:$I$263,4,0)),0,VLOOKUP(A33,'Données projet'!$A$243:$I$263,4,0))</f>
        <v>0</v>
      </c>
      <c r="GI33" s="16">
        <f>IF(ISNA(VLOOKUP(A33,'Données projet'!$A$243:$I$263,5,0)),0%,VLOOKUP(A33,'Données projet'!$A$243:$I$263,5,0)*VLOOKUP('Données projet'!$B$17,Paramètres!$A$1:$I$89,7,0))</f>
        <v>0</v>
      </c>
      <c r="GJ33" s="16">
        <f>IF(ISNA(VLOOKUP(A33,'Données projet'!$A$243:$I$263,6,0)),0%,VLOOKUP(A33,'Données projet'!$A$243:$I$263,6,0)*VLOOKUP('Données projet'!$B$17,Paramètres!$A$1:$I$89,7,0))</f>
        <v>0</v>
      </c>
      <c r="GK33" s="16">
        <f>IF(ISNA(VLOOKUP(A33,'Données projet'!$A$243:$I$263,7,0)),0%,VLOOKUP(A33,'Données projet'!$A$243:$I$263,7,0))</f>
        <v>0</v>
      </c>
      <c r="GL33" s="21">
        <f>EXP(-LN(2)/35)*GL32+(1-EXP(-LN(2)/35))/(LN(2)/35)*GH33*GI33*VLOOKUP('Données projet'!$B$17,Paramètres!$A$1:$I$89,3,0)*0.475*44/12</f>
        <v>0</v>
      </c>
      <c r="GM33" s="21">
        <f>EXP(-LN(2)/25)*GM32+(1-EXP(-LN(2)/25))/(LN(2)/25)*Calculateur!GH33*Calculateur!GJ33*VLOOKUP('Données projet'!$B$17,Paramètres!$A$1:$I$89,3,0)*0.475*44/12</f>
        <v>0</v>
      </c>
      <c r="GN33" s="21">
        <f>EXP(-LN(2)/2)*GN32+(1-EXP(-LN(2)/2))/(LN(2)/2)*GH33*GK33*VLOOKUP('Données projet'!$B$17,Paramètres!$A$1:$I$89,3,0)*0.475*44/12</f>
        <v>0</v>
      </c>
      <c r="GO33" s="21">
        <f t="shared" si="27"/>
        <v>0</v>
      </c>
      <c r="GP33" s="75">
        <f>('Scénario référence'!$F$8+'Scénario référence'!$F$9+'Scénario référence'!$B$17+'Scénario référence'!$B$9+'Scénario référence'!$B$10)*70+IF((45+25*(1-EXP(-0.0175*A33)))&lt;70,'Scénario référence'!$B$16*(45+25*(1-EXP(-0.0175*A33))),70*'Scénario référence'!$B$16)+IF((32+38*(1-EXP(-0.0175*A33)))&lt;70,'Scénario référence'!$B$18*(32+38*(1-EXP(-0.0175*A33))),70*'Scénario référence'!$B$18)</f>
        <v>70</v>
      </c>
      <c r="GQ33" s="12">
        <f>IF(A33&gt;30,10,('Scénario référence'!$B$16+'Scénario référence'!$B$17+'Scénario référence'!$B$18+'Scénario référence'!$B$9+'Scénario référence'!$B$10)*A33*10/30+('Scénario référence'!$F$8+'Scénario référence'!$F$9)*10)</f>
        <v>10</v>
      </c>
      <c r="GR33" s="12">
        <f>VLOOKUP(A33,'Données projet'!$A$269:$I$289,2,0)</f>
        <v>121.88461538461537</v>
      </c>
      <c r="GS33" s="12">
        <f>VLOOKUP(A33,'Données projet'!$A$269:$I$289,9,0)</f>
        <v>4.0628205128205126</v>
      </c>
      <c r="GT33" s="12">
        <f t="array" ref="GT33">INDEX(GS:GS,MIN(IF(ISNUMBER(GS33:GS229),ROW(GS33:GS229),"")))</f>
        <v>4.0628205128205126</v>
      </c>
      <c r="GU33" s="12">
        <f>IF('Données projet'!$A$270&gt;35,GU32+GT33-HC32,IF(A33&lt;'Données projet'!$A$270,$GR$205^A33,IF(A33='Données projet'!$A$270,'Données projet'!$B$270,GU32+GT33-HC32)))</f>
        <v>121.88461538461537</v>
      </c>
      <c r="GV33" s="17">
        <f>GU33*VLOOKUP('Données projet'!$B$18,Paramètres!$A$1:$I$89,3,0)*VLOOKUP('Données projet'!$B$18,Paramètres!$A$1:$I$89,5,0)</f>
        <v>131.19659999999999</v>
      </c>
      <c r="GW33" s="13">
        <f t="shared" si="51"/>
        <v>34.272710841259901</v>
      </c>
      <c r="GX33" s="20">
        <f t="shared" si="28"/>
        <v>288.19238304852763</v>
      </c>
      <c r="GY33" s="59">
        <f t="shared" si="29"/>
        <v>581.525716381861</v>
      </c>
      <c r="GZ33" s="59">
        <f ca="1">AVERAGE(OFFSET($GY$3,0,0,'Données projet'!$E$18+1,1))-AVERAGE(OFFSET($H$3,0,0,'Données projet'!$E$18+1,1))</f>
        <v>286.77702855541287</v>
      </c>
      <c r="HA33" s="59">
        <f t="shared" si="52"/>
        <v>227.12211541860779</v>
      </c>
      <c r="HB33" s="15">
        <f>IF(ISNA(VLOOKUP(A33,'Données projet'!$A$269:$I$289,3,0)),0,VLOOKUP(A33,'Données projet'!$A$269:$I$289,3,0))</f>
        <v>0</v>
      </c>
      <c r="HC33" s="15">
        <f>IF(ISNA(VLOOKUP(A33,'Données projet'!$A$269:$I$289,4,0)),0,VLOOKUP(A33,'Données projet'!$A$269:$I$289,4,0))</f>
        <v>0</v>
      </c>
      <c r="HD33" s="16">
        <f>IF(ISNA(VLOOKUP(A33,'Données projet'!$A$269:$I$289,5,0)),0%,VLOOKUP(A33,'Données projet'!$A$269:$I$289,5,0)*VLOOKUP('Données projet'!$B$18,Paramètres!$A$1:$I$89,7,0))</f>
        <v>0</v>
      </c>
      <c r="HE33" s="16">
        <f>IF(ISNA(VLOOKUP(A33,'Données projet'!$A$269:$I$289,6,0)),0%,VLOOKUP(A33,'Données projet'!$A$269:$I$289,6,0)*VLOOKUP('Données projet'!$B$18,Paramètres!$A$1:$I$89,7,0))</f>
        <v>0</v>
      </c>
      <c r="HF33" s="16">
        <f>IF(ISNA(VLOOKUP(A33,'Données projet'!$A$269:$I$289,7,0)),0%,VLOOKUP(A33,'Données projet'!$A$269:$I$289,7,0))</f>
        <v>0</v>
      </c>
      <c r="HG33" s="21">
        <f>EXP(-LN(2)/35)*HG32+(1-EXP(-LN(2)/35))/(LN(2)/35)*HC33*HD33*VLOOKUP('Données projet'!$B$18,Paramètres!$A$1:$I$89,3,0)*0.475*44/12</f>
        <v>0</v>
      </c>
      <c r="HH33" s="21">
        <f>EXP(-LN(2)/25)*HH32+(1-EXP(-LN(2)/25))/(LN(2)/25)*Calculateur!HC33*Calculateur!HE33*VLOOKUP('Données projet'!$B$18,Paramètres!$A$1:$I$89,3,0)*0.475*44/12</f>
        <v>0</v>
      </c>
      <c r="HI33" s="21">
        <f>EXP(-LN(2)/2)*HI32+(1-EXP(-LN(2)/2))/(LN(2)/2)*HC33*HF33*VLOOKUP('Données projet'!$B$18,Paramètres!$A$1:$I$89,3,0)*0.475*44/12</f>
        <v>0</v>
      </c>
      <c r="HJ33" s="22">
        <f t="shared" si="30"/>
        <v>0</v>
      </c>
    </row>
    <row r="34" spans="1:218" x14ac:dyDescent="0.25">
      <c r="A34" s="10">
        <f t="shared" si="31"/>
        <v>31</v>
      </c>
      <c r="B34" s="73">
        <f>'Scénario référence'!$B$16*5+'Scénario référence'!$B$17*0+'Scénario référence'!$B$18*5</f>
        <v>0</v>
      </c>
      <c r="C34" s="19">
        <f>Calculateur!C33+'Scénario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27.56519999999999</v>
      </c>
      <c r="D34" s="11">
        <f t="shared" si="32"/>
        <v>8.6348575052881742</v>
      </c>
      <c r="E3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34" s="11">
        <f>IF(OR('Scénario référence'!$F$8&gt;0,'Scénario référence'!$F$9&gt;0),('Scénario référence'!$F$8+'Scénario référence'!$F$9)*10,0)</f>
        <v>10</v>
      </c>
      <c r="G34" s="11">
        <f>'Scénario référence'!$B$8*B34*44/12+'Scénario référence'!$B$9*(C34+D34)/0.475*44/12+'Scénario référence'!$B$10*(C34+D34)/0.475*44/12+'Scénario référence'!$F$8*(C34+D34)/0.475*44/12+'Scénario référence'!$F$9*(C34+D34)/0.475*44/12</f>
        <v>279.43904039169814</v>
      </c>
      <c r="H34" s="67">
        <f t="shared" si="1"/>
        <v>356.38176682171019</v>
      </c>
      <c r="I34" s="70">
        <f>('Scénario référence'!$F$8+'Scénario référence'!$F$9+'Scénario référence'!$B$17+'Scénario référence'!$B$9+'Scénario référence'!$B$10)*70+IF((45+25*(1-EXP(-0.0175*A34)))&lt;70,'Scénario référence'!$B$16*(45+25*(1-EXP(-0.0175*A34))),70*'Scénario référence'!$B$16)+IF((32+38*(1-EXP(-0.0175*A34)))&lt;70,'Scénario référence'!$B$18*(32+38*(1-EXP(-0.0175*A34))),70*'Scénario référence'!$B$18)</f>
        <v>70</v>
      </c>
      <c r="J34" s="13">
        <f>IF(A34&gt;30,10,('Scénario référence'!$B$16+'Scénario référence'!$B$17+'Scénario référence'!$B$18+'Scénario référence'!$B$9+'Scénario référence'!$B$10)*A34*10/30+('Scénario référence'!$F$8+'Scénario référence'!$F$9)*10)</f>
        <v>10</v>
      </c>
      <c r="K34" s="12" t="e">
        <f>VLOOKUP(A34,'Données projet'!$A$35:$I$55,2,0)</f>
        <v>#N/A</v>
      </c>
      <c r="L34" s="12" t="e">
        <f>VLOOKUP(A34,'Données projet'!$A$35:$I$55,9,0)</f>
        <v>#N/A</v>
      </c>
      <c r="M34" s="12">
        <f t="array" ref="M34">INDEX(L:L,MIN(IF(ISNUMBER(L34:L230),ROW(L34:L230),"")))</f>
        <v>22.884615384615376</v>
      </c>
      <c r="N34" s="13">
        <f>IF('Données projet'!$A$36&gt;35,N33+M34-V33,IF(A34&lt;'Données projet'!$A$36,$K$205^A34,IF(A34='Données projet'!$A$36,'Données projet'!$B$36,N33+M34-V33)))</f>
        <v>289.08461538461523</v>
      </c>
      <c r="O34" s="13">
        <f>N34*VLOOKUP('Données projet'!$B$9,Paramètres!$A$1:$I$89,3,0)*VLOOKUP('Données projet'!$B$9,Paramètres!$A$1:$I$89,5,0)</f>
        <v>161.59829999999991</v>
      </c>
      <c r="P34" s="13">
        <f t="shared" si="33"/>
        <v>41.202807619439696</v>
      </c>
      <c r="Q34" s="20">
        <f t="shared" si="2"/>
        <v>353.2119291038573</v>
      </c>
      <c r="R34" s="59">
        <f t="shared" si="0"/>
        <v>646.54526243719056</v>
      </c>
      <c r="S34" s="59">
        <f ca="1">AVERAGE(OFFSET($R$3,0,0,'Données projet'!$E$9+1,1))-AVERAGE(OFFSET($H$3,0,0,'Données projet'!$E$9+1,1))</f>
        <v>255.5374979188561</v>
      </c>
      <c r="T34" s="59">
        <f t="shared" si="34"/>
        <v>343.10418468620901</v>
      </c>
      <c r="U34" s="15">
        <f>IF(ISNA(VLOOKUP(A34,'Données projet'!$A$35:$I$55,3,0)),0,VLOOKUP(A34,'Données projet'!$A$35:$I$55,3,0))</f>
        <v>0</v>
      </c>
      <c r="V34" s="15">
        <f>IF(ISNA(VLOOKUP(A34,'Données projet'!$A$35:$I$55,4,0)),0,VLOOKUP(A34,'Données projet'!$A$35:$I$55,4,0))</f>
        <v>0</v>
      </c>
      <c r="W34" s="16">
        <f>IF(ISNA(VLOOKUP(A34,'Données projet'!$A$35:$I$55,5,0)),0%,VLOOKUP(A34,'Données projet'!$A$35:$I$55,5,0)*VLOOKUP('Données projet'!$B$9,Paramètres!$A$1:$I$89,7,0))</f>
        <v>0</v>
      </c>
      <c r="X34" s="16">
        <f>IF(ISNA(VLOOKUP(A34,'Données projet'!$A$35:$I$55,6,0)),0%,VLOOKUP(A34,'Données projet'!$A$35:$I$55,6,0)*VLOOKUP('Données projet'!$B$9,Paramètres!$A$1:$I$89,7,0))</f>
        <v>0</v>
      </c>
      <c r="Y34" s="16">
        <f>IF(ISNA(VLOOKUP(A34,'Données projet'!$A$35:$I$55,7,0)),0%,VLOOKUP(A34,'Données projet'!$A$35:$I$55,7,0))</f>
        <v>0</v>
      </c>
      <c r="Z34" s="21">
        <f>EXP(-LN(2)/35)*Z33+(1-EXP(-LN(2)/35))/(LN(2)/35)*V34*W34*VLOOKUP('Données projet'!$B$9,Paramètres!$A$1:$I$89,3,0)*0.475*44/12</f>
        <v>3.0294470302922996</v>
      </c>
      <c r="AA34" s="21">
        <f>EXP(-LN(2)/25)*AA33+(1-EXP(-LN(2)/25))/(LN(2)/25)*Calculateur!V34*Calculateur!X34*VLOOKUP('Données projet'!$B$9,Paramètres!$A$1:$I$89,3,0)*0.475*44/12</f>
        <v>15.523825005037278</v>
      </c>
      <c r="AB34" s="21">
        <f>EXP(-LN(2)/2)*AB33+(1-EXP(-LN(2)/2))/(LN(2)/2)*V34*Y34*VLOOKUP('Données projet'!$B$9,Paramètres!$A$1:$I$89,3,0)*0.475*44/12</f>
        <v>1.1968857635714809</v>
      </c>
      <c r="AC34" s="22">
        <f t="shared" si="3"/>
        <v>19.750157798901057</v>
      </c>
      <c r="AD34" s="13">
        <f>('Scénario référence'!$F$8+'Scénario référence'!$F$9+'Scénario référence'!$B$17+'Scénario référence'!$B$9+'Scénario référence'!$B$10)*70+IF((45+25*(1-EXP(-0.0175*A34)))&lt;70,'Scénario référence'!$B$16*(45+25*(1-EXP(-0.0175*A34))),70*'Scénario référence'!$B$16)+IF((32+38*(1-EXP(-0.0175*A34)))&lt;70,'Scénario référence'!$B$18*(32+38*(1-EXP(-0.0175*A34))),70*'Scénario référence'!$B$18)</f>
        <v>70</v>
      </c>
      <c r="AE34" s="13">
        <f>IF(A34&gt;30,10,('Scénario référence'!$B$16+'Scénario référence'!$B$17+'Scénario référence'!$B$18+'Scénario référence'!$B$9+'Scénario référence'!$B$10)*A34*10/30+('Scénario référence'!$F$8+'Scénario référence'!$F$9)*10)</f>
        <v>10</v>
      </c>
      <c r="AF34" s="12" t="e">
        <f>VLOOKUP(A34,'Données projet'!$A$61:$I$81,2,0)</f>
        <v>#N/A</v>
      </c>
      <c r="AG34" s="12" t="e">
        <f>VLOOKUP(A34,'Données projet'!$A$61:$I$81,9,0)</f>
        <v>#N/A</v>
      </c>
      <c r="AH34" s="12">
        <f t="array" ref="AH34">INDEX(AG:AG,MIN(IF(ISNUMBER(AG34:AG230),ROW(AG34:AG230),"")))</f>
        <v>15.1</v>
      </c>
      <c r="AI34" s="13">
        <f>IF('Données projet'!$A$62&gt;35,AI33+AH34-AQ33,IF(A34&lt;'Données projet'!$A$62,$AF$205^A34,IF(A34='Données projet'!$A$62,'Données projet'!$B$62,AI33+AH34-AQ33)))</f>
        <v>194.10000000000002</v>
      </c>
      <c r="AJ34" s="13">
        <f>AI34*VLOOKUP('Données projet'!$B$10,Paramètres!$A$1:$I$89,3,0)*VLOOKUP('Données projet'!$B$10,Paramètres!$A$1:$I$89,5,0)</f>
        <v>121.11840000000001</v>
      </c>
      <c r="AK34" s="13">
        <f t="shared" si="35"/>
        <v>31.935706725782151</v>
      </c>
      <c r="AL34" s="20">
        <f t="shared" si="4"/>
        <v>266.56923588073727</v>
      </c>
      <c r="AM34" s="59">
        <f t="shared" si="5"/>
        <v>559.90256921407058</v>
      </c>
      <c r="AN34" s="59">
        <f ca="1">AVERAGE(OFFSET($AM$3,0,0,'Données projet'!$E$10+1,1))-AVERAGE(OFFSET($H$3,0,0,'Données projet'!$E$10+1,1))</f>
        <v>261.78489480911571</v>
      </c>
      <c r="AO34" s="59">
        <f t="shared" si="36"/>
        <v>297.50513563712764</v>
      </c>
      <c r="AP34" s="15">
        <f>IF(ISNA(VLOOKUP(A34,'Données projet'!$A$61:$I$81,3,0)),0,VLOOKUP(A34,'Données projet'!$A$61:$I$81,3,0))</f>
        <v>0</v>
      </c>
      <c r="AQ34" s="15">
        <f>IF(ISNA(VLOOKUP(A34,'Données projet'!$A$61:$I$81,4,0)),0,VLOOKUP(A34,'Données projet'!$A$61:$I$81,4,0))</f>
        <v>0</v>
      </c>
      <c r="AR34" s="16">
        <f>IF(ISNA(VLOOKUP(A34,'Données projet'!$A$61:$I$81,5,0)),0%,VLOOKUP(A34,'Données projet'!$A$61:$I$81,5,0)*VLOOKUP('Données projet'!$B$10,Paramètres!$A$1:$I$89,7,0))</f>
        <v>0</v>
      </c>
      <c r="AS34" s="16">
        <f>IF(ISNA(VLOOKUP(A34,'Données projet'!$A$61:$I$81,6,0)),0%,VLOOKUP(A34,'Données projet'!$A$61:$I$81,6,0)*VLOOKUP('Données projet'!$B$10,Paramètres!$A$1:$I$89,7,0))</f>
        <v>0</v>
      </c>
      <c r="AT34" s="16">
        <f>IF(ISNA(VLOOKUP(A34,'Données projet'!$A$61:$I$81,7,0)),0%,VLOOKUP(A34,'Données projet'!$A$61:$I$81,7,0))</f>
        <v>0</v>
      </c>
      <c r="AU34" s="21">
        <f>EXP(-LN(2)/35)*AU33+(1-EXP(-LN(2)/35))/(LN(2)/35)*AQ34*AR34*VLOOKUP('Données projet'!$B$10,Paramètres!$A$1:$I$89,3,0)*0.475*44/12</f>
        <v>8.1803638567718266</v>
      </c>
      <c r="AV34" s="21">
        <f>EXP(-LN(2)/25)*AV33+(1-EXP(-LN(2)/25))/(LN(2)/25)*Calculateur!AQ34*Calculateur!AS34*VLOOKUP('Données projet'!$B$10,Paramètres!$A$1:$I$89,3,0)*0.475*44/12</f>
        <v>27.107764711720648</v>
      </c>
      <c r="AW34" s="21">
        <f>EXP(-LN(2)/2)*AW33+(1-EXP(-LN(2)/2))/(LN(2)/2)*AQ34*AT34*VLOOKUP('Données projet'!$B$10,Paramètres!$A$1:$I$89,3,0)*0.475*44/12</f>
        <v>17.254247721939471</v>
      </c>
      <c r="AX34" s="21">
        <f t="shared" si="6"/>
        <v>52.542376290431946</v>
      </c>
      <c r="AY34" s="74">
        <f>('Scénario référence'!$F$8+'Scénario référence'!$F$9+'Scénario référence'!$B$17+'Scénario référence'!$B$9+'Scénario référence'!$B$10)*70+IF((45+25*(1-EXP(-0.0175*A34)))&lt;70,'Scénario référence'!$B$16*(45+25*(1-EXP(-0.0175*A34))),70*'Scénario référence'!$B$16)+IF((32+38*(1-EXP(-0.0175*A34)))&lt;70,'Scénario référence'!$B$18*(32+38*(1-EXP(-0.0175*A34))),70*'Scénario référence'!$B$18)</f>
        <v>70</v>
      </c>
      <c r="AZ34" s="12">
        <f>IF(A34&gt;30,10,('Scénario référence'!$B$16+'Scénario référence'!$B$17+'Scénario référence'!$B$18+'Scénario référence'!$B$9+'Scénario référence'!$B$10)*A34*10/30+('Scénario référence'!$F$8+'Scénario référence'!$F$9)*10)</f>
        <v>10</v>
      </c>
      <c r="BA34" s="12" t="e">
        <f>VLOOKUP(A34,'Données projet'!$A$87:$I$107,2,0)</f>
        <v>#N/A</v>
      </c>
      <c r="BB34" s="12" t="e">
        <f>VLOOKUP(A34,'Données projet'!$A$87:$I$107,9,0)</f>
        <v>#N/A</v>
      </c>
      <c r="BC34" s="12">
        <f t="array" ref="BC34">INDEX(BB:BB,MIN(IF(ISNUMBER(BB34:BB230),ROW(BB34:BB230),"")))</f>
        <v>18.2</v>
      </c>
      <c r="BD34" s="12">
        <f>IF('Données projet'!$A$88&gt;35,BD33+BC34-BL33,IF(A34&lt;'Données projet'!$A$88,$BA$205^A34,IF(A34='Données projet'!$A$88,'Données projet'!$B$88,BD33+BC34-BL33)))</f>
        <v>177.20000000000005</v>
      </c>
      <c r="BE34" s="13">
        <f>BD34*VLOOKUP('Données projet'!$B$11,Paramètres!$A$1:$I$89,3,0)*VLOOKUP('Données projet'!$B$11,Paramètres!$A$1:$I$89,5,0)</f>
        <v>105.96560000000004</v>
      </c>
      <c r="BF34" s="13">
        <f t="shared" si="37"/>
        <v>28.378391242376729</v>
      </c>
      <c r="BG34" s="20">
        <f t="shared" si="7"/>
        <v>233.98245141380619</v>
      </c>
      <c r="BH34" s="59">
        <f t="shared" si="8"/>
        <v>527.31578474713956</v>
      </c>
      <c r="BI34" s="59">
        <f ca="1">AVERAGE(OFFSET($BH$3,0,0,'Données projet'!$E$11+1,1))-AVERAGE(OFFSET($H$3,0,0,'Données projet'!$E$11+1,1))</f>
        <v>316.58509520829671</v>
      </c>
      <c r="BJ34" s="59">
        <f t="shared" si="38"/>
        <v>240.71332110643596</v>
      </c>
      <c r="BK34" s="15">
        <f>IF(ISNA(VLOOKUP(A34,'Données projet'!$A$87:$I$107,3,0)),0,VLOOKUP(A34,'Données projet'!$A$87:$I$107,3,0))</f>
        <v>0</v>
      </c>
      <c r="BL34" s="15">
        <f>IF(ISNA(VLOOKUP(A34,'Données projet'!$A$87:$I$107,4,0)),0,VLOOKUP(A34,'Données projet'!$A$87:$I$107,4,0))</f>
        <v>0</v>
      </c>
      <c r="BM34" s="16">
        <f>IF(ISNA(VLOOKUP(A34,'Données projet'!$A$87:$I$107,5,0)),0%,VLOOKUP(A34,'Données projet'!$A$87:$I$107,5,0)*VLOOKUP('Données projet'!$B$11,Paramètres!$A$1:$I$89,7,0))</f>
        <v>0</v>
      </c>
      <c r="BN34" s="16">
        <f>IF(ISNA(VLOOKUP(A34,'Données projet'!$A$87:$I$107,6,0)),0%,VLOOKUP(A34,'Données projet'!$A$87:$I$107,6,0)*VLOOKUP('Données projet'!$B$11,Paramètres!$A$1:$I$89,7,0))</f>
        <v>0</v>
      </c>
      <c r="BO34" s="16">
        <f>IF(ISNA(VLOOKUP(A34,'Données projet'!$A$87:$I$107,7,0)),0%,VLOOKUP(A34,'Données projet'!$A$87:$I$107,7,0))</f>
        <v>0</v>
      </c>
      <c r="BP34" s="21">
        <f>EXP(-LN(2)/35)*BP33+(1-EXP(-LN(2)/35))/(LN(2)/35)*BL34*BM34*VLOOKUP('Données projet'!$B$11,Paramètres!$A$1:$I$89,3,0)*0.475*44/12</f>
        <v>2.4848463872969493</v>
      </c>
      <c r="BQ34" s="21">
        <f>EXP(-LN(2)/25)*BQ33+(1-EXP(-LN(2)/25))/(LN(2)/25)*Calculateur!BL34*Calculateur!BN34*VLOOKUP('Données projet'!$B$11,Paramètres!$A$1:$I$89,3,0)*0.475*44/12</f>
        <v>14.850424461515473</v>
      </c>
      <c r="BR34" s="21">
        <f>EXP(-LN(2)/2)*BR33+(1-EXP(-LN(2)/2))/(LN(2)/2)*BL34*BO34*VLOOKUP('Données projet'!$B$11,Paramètres!$A$1:$I$89,3,0)*0.475*44/12</f>
        <v>15.513458259674637</v>
      </c>
      <c r="BS34" s="22">
        <f t="shared" si="9"/>
        <v>32.848729108487056</v>
      </c>
      <c r="BT34" s="75">
        <f>('Scénario référence'!$F$8+'Scénario référence'!$F$9+'Scénario référence'!$B$17+'Scénario référence'!$B$9+'Scénario référence'!$B$10)*70+IF((45+25*(1-EXP(-0.0175*A34)))&lt;70,'Scénario référence'!$B$16*(45+25*(1-EXP(-0.0175*A34))),70*'Scénario référence'!$B$16)+IF((32+38*(1-EXP(-0.0175*A34)))&lt;70,'Scénario référence'!$B$18*(32+38*(1-EXP(-0.0175*A34))),70*'Scénario référence'!$B$18)</f>
        <v>70</v>
      </c>
      <c r="BU34" s="12">
        <f>IF(A34&gt;30,10,('Scénario référence'!$B$16+'Scénario référence'!$B$17+'Scénario référence'!$B$18+'Scénario référence'!$B$9+'Scénario référence'!$B$10)*A34*10/30+('Scénario référence'!$F$8+'Scénario référence'!$F$9)*10)</f>
        <v>10</v>
      </c>
      <c r="BV34" s="12" t="e">
        <f>VLOOKUP(A34,'Données projet'!$A$113:$I$133,2,0)</f>
        <v>#N/A</v>
      </c>
      <c r="BW34" s="12" t="e">
        <f>VLOOKUP(A34,'Données projet'!$A$113:$I$133,9,0)</f>
        <v>#N/A</v>
      </c>
      <c r="BX34" s="12">
        <f t="array" ref="BX34">INDEX(BW:BW,MIN(IF(ISNUMBER(BW34:BW230),ROW(BW34:BW230),"")))</f>
        <v>13.6</v>
      </c>
      <c r="BY34" s="12">
        <f>IF('Données projet'!$A$114&gt;35,BY33+BX34-CG33,IF(A34&lt;'Données projet'!$A$114,$BV$205^A34,IF(A34='Données projet'!$A$114,'Données projet'!$B$114,BY33+BX34-CG33)))</f>
        <v>158.59999999999991</v>
      </c>
      <c r="BZ34" s="13">
        <f>BY34*VLOOKUP('Données projet'!$B$12,Paramètres!$A$1:$I$89,3,0)*VLOOKUP('Données projet'!$B$12,Paramètres!$A$1:$I$89,5,0)</f>
        <v>90.719199999999958</v>
      </c>
      <c r="CA34" s="13">
        <f t="shared" si="39"/>
        <v>24.738598284175705</v>
      </c>
      <c r="CB34" s="20">
        <f t="shared" si="10"/>
        <v>201.08899867827259</v>
      </c>
      <c r="CC34" s="59">
        <f t="shared" si="11"/>
        <v>494.42233201160593</v>
      </c>
      <c r="CD34" s="59">
        <f ca="1">AVERAGE(OFFSET($CC$3,0,0,'Données projet'!$E$12+1,1))-AVERAGE(OFFSET($H$3,0,0,'Données projet'!$E$12+1,1))</f>
        <v>188.64374818906128</v>
      </c>
      <c r="CE34" s="59">
        <f t="shared" si="40"/>
        <v>211.95157880548652</v>
      </c>
      <c r="CF34" s="15">
        <f>IF(ISNA(VLOOKUP(A34,'Données projet'!$A$113:$I$133,3,0)),0,VLOOKUP(A34,'Données projet'!$A$113:$I$133,3,0))</f>
        <v>0</v>
      </c>
      <c r="CG34" s="15">
        <f>IF(ISNA(VLOOKUP(A34,'Données projet'!$A$113:$I$133,4,0)),0,VLOOKUP(A34,'Données projet'!$A$113:$I$133,4,0))</f>
        <v>0</v>
      </c>
      <c r="CH34" s="16">
        <f>IF(ISNA(VLOOKUP(A34,'Données projet'!$A$113:$I$133,5,0)),0%,VLOOKUP(A34,'Données projet'!$A$113:$I$133,5,0)*VLOOKUP('Données projet'!$B$12,Paramètres!$A$1:$I$89,7,0))</f>
        <v>0</v>
      </c>
      <c r="CI34" s="16">
        <f>IF(ISNA(VLOOKUP(A34,'Données projet'!$A$113:$I$133,6,0)),0%,VLOOKUP(A34,'Données projet'!$A$113:$I$133,6,0)*VLOOKUP('Données projet'!$B$12,Paramètres!$A$1:$I$89,7,0))</f>
        <v>0</v>
      </c>
      <c r="CJ34" s="16">
        <f>IF(ISNA(VLOOKUP(A34,'Données projet'!$A$113:$I$133,7,0)),0%,VLOOKUP(A34,'Données projet'!$A$113:$I$133,7,0))</f>
        <v>0</v>
      </c>
      <c r="CK34" s="21">
        <f>EXP(-LN(2)/35)*CK33+(1-EXP(-LN(2)/35))/(LN(2)/35)*CG34*CH34*VLOOKUP('Données projet'!$B$12,Paramètres!$A$1:$I$89,3,0)*0.475*44/12</f>
        <v>2.4102857792274137</v>
      </c>
      <c r="CL34" s="21">
        <f>EXP(-LN(2)/25)*CL33+(1-EXP(-LN(2)/25))/(LN(2)/25)*Calculateur!CG34*Calculateur!CI34*VLOOKUP('Données projet'!$B$12,Paramètres!$A$1:$I$89,3,0)*0.475*44/12</f>
        <v>13.977555742965386</v>
      </c>
      <c r="CM34" s="21">
        <f>EXP(-LN(2)/2)*CM33+(1-EXP(-LN(2)/2))/(LN(2)/2)*CG34*CJ34*VLOOKUP('Données projet'!$B$12,Paramètres!$A$1:$I$89,3,0)*0.475*44/12</f>
        <v>15.02357053349413</v>
      </c>
      <c r="CN34" s="22">
        <f t="shared" si="12"/>
        <v>31.411412055686931</v>
      </c>
      <c r="CO34" s="75">
        <f>('Scénario référence'!$F$8+'Scénario référence'!$F$9+'Scénario référence'!$B$17+'Scénario référence'!$B$9+'Scénario référence'!$B$10)*70+IF((45+25*(1-EXP(-0.0175*A34)))&lt;70,'Scénario référence'!$B$16*(45+25*(1-EXP(-0.0175*A34))),70*'Scénario référence'!$B$16)+IF((32+38*(1-EXP(-0.0175*A34)))&lt;70,'Scénario référence'!$B$18*(32+38*(1-EXP(-0.0175*A34))),70*'Scénario référence'!$B$18)</f>
        <v>70</v>
      </c>
      <c r="CP34" s="12">
        <f>IF(A34&gt;30,10,('Scénario référence'!$B$16+'Scénario référence'!$B$17+'Scénario référence'!$B$18+'Scénario référence'!$B$9+'Scénario référence'!$B$10)*A34*10/30+('Scénario référence'!$F$8+'Scénario référence'!$F$9)*10)</f>
        <v>10</v>
      </c>
      <c r="CQ34" s="12" t="e">
        <f>VLOOKUP(A34,'Données projet'!$A$139:$I$159,2,0)</f>
        <v>#N/A</v>
      </c>
      <c r="CR34" s="12" t="e">
        <f>VLOOKUP(A34,'Données projet'!$A$139:$I$159,9,0)</f>
        <v>#N/A</v>
      </c>
      <c r="CS34" s="12">
        <f t="array" ref="CS34">INDEX(CR:CR,MIN(IF(ISNUMBER(CR34:CR230),ROW(CR34:CR230),"")))</f>
        <v>0</v>
      </c>
      <c r="CT34" s="12">
        <f>IF('Données projet'!$A$140&gt;35,CT33+CS34-DB33,IF(A34&lt;'Données projet'!$A$140,$CQ$205^A34,IF(A34='Données projet'!$A$140,'Données projet'!$B$140,CT33+CS34-DB33)))</f>
        <v>0</v>
      </c>
      <c r="CU34" s="17" t="e">
        <f>CT34*VLOOKUP('Données projet'!$B$13,Paramètres!$A$1:$I$89,3,0)*VLOOKUP('Données projet'!$B$13,Paramètres!$A$1:$I$89,5,0)</f>
        <v>#N/A</v>
      </c>
      <c r="CV34" s="13" t="e">
        <f t="shared" si="41"/>
        <v>#N/A</v>
      </c>
      <c r="CW34" s="20" t="e">
        <f t="shared" si="13"/>
        <v>#N/A</v>
      </c>
      <c r="CX34" s="59" t="e">
        <f t="shared" si="14"/>
        <v>#N/A</v>
      </c>
      <c r="CY34" s="59" t="e">
        <f ca="1">AVERAGE(OFFSET($CX$3,0,0,'Données projet'!$E$13+1,1))-AVERAGE(OFFSET($H$3,0,0,'Données projet'!$E$13+1,1))</f>
        <v>#N/A</v>
      </c>
      <c r="CZ34" s="59" t="e">
        <f t="shared" si="42"/>
        <v>#N/A</v>
      </c>
      <c r="DA34" s="15">
        <f>IF(ISNA(VLOOKUP(A34,'Données projet'!$A$139:$I$159,3,0)),0,VLOOKUP(A34,'Données projet'!$A$139:$I$159,3,0))</f>
        <v>0</v>
      </c>
      <c r="DB34" s="15">
        <f>IF(ISNA(VLOOKUP(A34,'Données projet'!$A$139:$I$159,4,0)),0,VLOOKUP(A34,'Données projet'!$A$139:$I$159,4,0))</f>
        <v>0</v>
      </c>
      <c r="DC34" s="16">
        <f>IF(ISNA(VLOOKUP(A34,'Données projet'!$A$139:$I$159,5,0)),0%,VLOOKUP(A34,'Données projet'!$A$139:$I$159,5,0)*VLOOKUP('Données projet'!$B$13,Paramètres!$A$1:$I$89,7,0))</f>
        <v>0</v>
      </c>
      <c r="DD34" s="16">
        <f>IF(ISNA(VLOOKUP(A34,'Données projet'!$A$139:$I$159,6,0)),0%,VLOOKUP(A34,'Données projet'!$A$139:$I$159,6,0)*VLOOKUP('Données projet'!$B$13,Paramètres!$A$1:$I$89,7,0))</f>
        <v>0</v>
      </c>
      <c r="DE34" s="16">
        <f>IF(ISNA(VLOOKUP(A34,'Données projet'!$A$139:$I$159,7,0)),0%,VLOOKUP(A34,'Données projet'!$A$139:$I$159,7,0))</f>
        <v>0</v>
      </c>
      <c r="DF34" s="21" t="e">
        <f>EXP(-LN(2)/35)*DF33+(1-EXP(-LN(2)/35))/(LN(2)/35)*DB34*DC34*VLOOKUP('Données projet'!$B$13,Paramètres!$A$1:$I$89,3,0)*0.475*44/12</f>
        <v>#N/A</v>
      </c>
      <c r="DG34" s="21" t="e">
        <f>EXP(-LN(2)/25)*DG33+(1-EXP(-LN(2)/25))/(LN(2)/25)*Calculateur!DB34*Calculateur!DD34*VLOOKUP('Données projet'!$B$13,Paramètres!$A$1:$I$89,3,0)*0.475*44/12</f>
        <v>#N/A</v>
      </c>
      <c r="DH34" s="21" t="e">
        <f>EXP(-LN(2)/2)*DH33+(1-EXP(-LN(2)/2))/(LN(2)/2)*DB34*DE34*VLOOKUP('Données projet'!$B$13,Paramètres!$A$1:$I$89,3,0)*0.475*44/12</f>
        <v>#N/A</v>
      </c>
      <c r="DI34" s="22" t="e">
        <f t="shared" si="15"/>
        <v>#N/A</v>
      </c>
      <c r="DJ34" s="75">
        <f>('Scénario référence'!$F$8+'Scénario référence'!$F$9+'Scénario référence'!$B$17+'Scénario référence'!$B$9+'Scénario référence'!$B$10)*70+IF((45+25*(1-EXP(-0.0175*A34)))&lt;70,'Scénario référence'!$B$16*(45+25*(1-EXP(-0.0175*A34))),70*'Scénario référence'!$B$16)+IF((32+38*(1-EXP(-0.0175*A34)))&lt;70,'Scénario référence'!$B$18*(32+38*(1-EXP(-0.0175*A34))),70*'Scénario référence'!$B$18)</f>
        <v>70</v>
      </c>
      <c r="DK34" s="12">
        <f>IF(A34&gt;30,10,('Scénario référence'!$B$16+'Scénario référence'!$B$17+'Scénario référence'!$B$18+'Scénario référence'!$B$9+'Scénario référence'!$B$10)*A34*10/30+('Scénario référence'!$F$8+'Scénario référence'!$F$9)*10)</f>
        <v>10</v>
      </c>
      <c r="DL34" s="12" t="e">
        <f>VLOOKUP(A34,'Données projet'!$A$165:$I$185,2,0)</f>
        <v>#N/A</v>
      </c>
      <c r="DM34" s="12" t="e">
        <f>VLOOKUP(A34,'Données projet'!$A$165:$I$185,9,0)</f>
        <v>#N/A</v>
      </c>
      <c r="DN34" s="12">
        <f t="array" ref="DN34">INDEX(DM:DM,MIN(IF(ISNUMBER(DM34:DM230),ROW(DM34:DM230),"")))</f>
        <v>9.1999999999999993</v>
      </c>
      <c r="DO34" s="12">
        <f>IF('Données projet'!$A$166&gt;35,DO33+DN34-DW33,IF(A34&lt;'Données projet'!$A$166,$DL$205^A34,IF(A34='Données projet'!$A$166,'Données projet'!$B$166,DO33+DN34-DW33)))</f>
        <v>169.2</v>
      </c>
      <c r="DP34" s="17">
        <f>DO34*VLOOKUP('Données projet'!$B$14,Paramètres!$A$1:$I$89,3,0)*VLOOKUP('Données projet'!$B$14,Paramètres!$A$1:$I$89,5,0)</f>
        <v>110.85983999999999</v>
      </c>
      <c r="DQ34" s="13">
        <f t="shared" si="43"/>
        <v>29.533477687335427</v>
      </c>
      <c r="DR34" s="20">
        <f t="shared" si="16"/>
        <v>244.51836163877581</v>
      </c>
      <c r="DS34" s="59">
        <f t="shared" si="17"/>
        <v>537.85169497210916</v>
      </c>
      <c r="DT34" s="59">
        <f ca="1">AVERAGE(OFFSET($DS$3,0,0,'Données projet'!$E$14+1,1))-AVERAGE(OFFSET($H$3,0,0,'Données projet'!$E$14+1,1))</f>
        <v>188.68915783955595</v>
      </c>
      <c r="DU34" s="59">
        <f t="shared" si="44"/>
        <v>240.82467772396944</v>
      </c>
      <c r="DV34" s="15">
        <f>IF(ISNA(VLOOKUP(A34,'Données projet'!$A$165:$I$185,3,0)),0,VLOOKUP(A34,'Données projet'!$A$165:$I$185,3,0))</f>
        <v>0</v>
      </c>
      <c r="DW34" s="15">
        <f>IF(ISNA(VLOOKUP(A34,'Données projet'!$A$165:$I$185,4,0)),0,VLOOKUP(A34,'Données projet'!$A$165:$I$185,4,0))</f>
        <v>0</v>
      </c>
      <c r="DX34" s="16">
        <f>IF(ISNA(VLOOKUP(A34,'Données projet'!$A$165:$I$185,5,0)),0%,VLOOKUP(A34,'Données projet'!$A$165:$I$185,5,0)*VLOOKUP('Données projet'!$B$14,Paramètres!$A$1:$I$89,7,0))</f>
        <v>0</v>
      </c>
      <c r="DY34" s="16">
        <f>IF(ISNA(VLOOKUP(A34,'Données projet'!$A$165:$I$185,6,0)),0%,VLOOKUP(A34,'Données projet'!$A$165:$I$185,6,0)*VLOOKUP('Données projet'!$B$14,Paramètres!$A$1:$I$89,7,0))</f>
        <v>0</v>
      </c>
      <c r="DZ34" s="16">
        <f>IF(ISNA(VLOOKUP(A34,'Données projet'!$A$165:$I$185,7,0)),0%,VLOOKUP(A34,'Données projet'!$A$165:$I$185,7,0))</f>
        <v>0</v>
      </c>
      <c r="EA34" s="21">
        <f>EXP(-LN(2)/35)*EA33+(1-EXP(-LN(2)/35))/(LN(2)/35)*DW34*DX34*VLOOKUP('Données projet'!$B$14,Paramètres!$A$1:$I$89,3,0)*0.475*44/12</f>
        <v>1.5267172128523814</v>
      </c>
      <c r="EB34" s="21">
        <f>EXP(-LN(2)/25)*EB33+(1-EXP(-LN(2)/25))/(LN(2)/25)*Calculateur!DW34*Calculateur!DY34*VLOOKUP('Données projet'!$B$14,Paramètres!$A$1:$I$89,3,0)*0.475*44/12</f>
        <v>7.8182289104107046</v>
      </c>
      <c r="EC34" s="21">
        <f>EXP(-LN(2)/2)*EC33+(1-EXP(-LN(2)/2))/(LN(2)/2)*DW34*DZ34*VLOOKUP('Données projet'!$B$14,Paramètres!$A$1:$I$89,3,0)*0.475*44/12</f>
        <v>9.896954999300581</v>
      </c>
      <c r="ED34" s="22">
        <f t="shared" si="18"/>
        <v>19.241901122563668</v>
      </c>
      <c r="EE34" s="75">
        <f>('Scénario référence'!$F$8+'Scénario référence'!$F$9+'Scénario référence'!$B$17+'Scénario référence'!$B$9+'Scénario référence'!$B$10)*70+IF((45+25*(1-EXP(-0.0175*A34)))&lt;70,'Scénario référence'!$B$16*(45+25*(1-EXP(-0.0175*A34))),70*'Scénario référence'!$B$16)+IF((32+38*(1-EXP(-0.0175*A34)))&lt;70,'Scénario référence'!$B$18*(32+38*(1-EXP(-0.0175*A34))),70*'Scénario référence'!$B$18)</f>
        <v>70</v>
      </c>
      <c r="EF34" s="12">
        <f>IF(A34&gt;30,10,('Scénario référence'!$B$16+'Scénario référence'!$B$17+'Scénario référence'!$B$18+'Scénario référence'!$B$9+'Scénario référence'!$B$10)*A34*10/30+('Scénario référence'!$F$8+'Scénario référence'!$F$9)*10)</f>
        <v>10</v>
      </c>
      <c r="EG34" s="12" t="e">
        <f>VLOOKUP(A34,'Données projet'!$A$191:$I$211,2,0)</f>
        <v>#N/A</v>
      </c>
      <c r="EH34" s="12" t="e">
        <f>VLOOKUP(A34,'Données projet'!$A$191:$I$211,9,0)</f>
        <v>#N/A</v>
      </c>
      <c r="EI34" s="12">
        <f t="array" ref="EI34">INDEX(EH:EH,MIN(IF(ISNUMBER(EH34:EH230),ROW(EH34:EH230),"")))</f>
        <v>7.2</v>
      </c>
      <c r="EJ34" s="12">
        <f>IF('Données projet'!$A$192&gt;35,EJ33+EI34-ER33,IF(A34&lt;'Données projet'!$A$192,$EG$205^A34,IF(A34='Données projet'!$A$192,'Données projet'!$B$192,EJ33+EI34-ER33)))</f>
        <v>116.19999999999999</v>
      </c>
      <c r="EK34" s="17">
        <f>EJ34*VLOOKUP('Données projet'!$B$15,Paramètres!$A$1:$I$89,3,0)*VLOOKUP('Données projet'!$B$15,Paramètres!$A$1:$I$89,5,0)</f>
        <v>94.261440000000007</v>
      </c>
      <c r="EL34" s="13">
        <f t="shared" si="45"/>
        <v>25.590198175407465</v>
      </c>
      <c r="EM34" s="20">
        <f t="shared" si="19"/>
        <v>208.74160315550134</v>
      </c>
      <c r="EN34" s="59">
        <f t="shared" si="20"/>
        <v>502.07493648883462</v>
      </c>
      <c r="EO34" s="59">
        <f ca="1">AVERAGE(OFFSET($EN$3,0,0,'Données projet'!$E$15+1,1))-AVERAGE(OFFSET($H$3,0,0,'Données projet'!$E$15+1,1))</f>
        <v>205.5272583787887</v>
      </c>
      <c r="EP34" s="59">
        <f t="shared" si="46"/>
        <v>180.54762778843178</v>
      </c>
      <c r="EQ34" s="15">
        <f>IF(ISNA(VLOOKUP(A34,'Données projet'!$A$191:$I$211,3,0)),0,VLOOKUP(A34,'Données projet'!$A$191:$I$211,3,0))</f>
        <v>0</v>
      </c>
      <c r="ER34" s="15">
        <f>IF(ISNA(VLOOKUP(A34,'Données projet'!$A$191:$I$211,4,0)),0,VLOOKUP(A34,'Données projet'!$A$191:$I$211,4,0))</f>
        <v>0</v>
      </c>
      <c r="ES34" s="16">
        <f>IF(ISNA(VLOOKUP(A34,'Données projet'!$A$191:$I$211,5,0)),0%,VLOOKUP(A34,'Données projet'!$A$191:$I$211,5,0)*VLOOKUP('Données projet'!$B$15,Paramètres!$A$1:$I$89,7,0))</f>
        <v>0</v>
      </c>
      <c r="ET34" s="16">
        <f>IF(ISNA(VLOOKUP(A34,'Données projet'!$A$191:$I$211,6,0)),0%,VLOOKUP(A34,'Données projet'!$A$191:$I$211,6,0)*VLOOKUP('Données projet'!$B$15,Paramètres!$A$1:$I$89,7,0))</f>
        <v>0</v>
      </c>
      <c r="EU34" s="16">
        <f>IF(ISNA(VLOOKUP(A34,'Données projet'!$A$191:$I$211,7,0)),0%,VLOOKUP(A34,'Données projet'!$A$191:$I$211,7,0))</f>
        <v>0</v>
      </c>
      <c r="EV34" s="21">
        <f>EXP(-LN(2)/35)*EV33+(1-EXP(-LN(2)/35))/(LN(2)/35)*ER34*ES34*VLOOKUP('Données projet'!$B$15,Paramètres!$A$1:$I$89,3,0)*0.475*44/12</f>
        <v>0.9829150817982949</v>
      </c>
      <c r="EW34" s="21">
        <f>EXP(-LN(2)/25)*EW33+(1-EXP(-LN(2)/25))/(LN(2)/25)*Calculateur!ER34*Calculateur!ET34*VLOOKUP('Données projet'!$B$15,Paramètres!$A$1:$I$89,3,0)*0.475*44/12</f>
        <v>5.6449984468341707</v>
      </c>
      <c r="EX34" s="21">
        <f>EXP(-LN(2)/2)*EX33+(1-EXP(-LN(2)/2))/(LN(2)/2)*ER34*EU34*VLOOKUP('Données projet'!$B$15,Paramètres!$A$1:$I$89,3,0)*0.475*44/12</f>
        <v>6.4082856801150054</v>
      </c>
      <c r="EY34" s="22">
        <f t="shared" si="21"/>
        <v>13.036199208747471</v>
      </c>
      <c r="EZ34" s="75">
        <f>('Scénario référence'!$F$8+'Scénario référence'!$F$9+'Scénario référence'!$B$17+'Scénario référence'!$B$9+'Scénario référence'!$B$10)*70+IF((45+25*(1-EXP(-0.0175*A34)))&lt;70,'Scénario référence'!$B$16*(45+25*(1-EXP(-0.0175*A34))),70*'Scénario référence'!$B$16)+IF((32+38*(1-EXP(-0.0175*A34)))&lt;70,'Scénario référence'!$B$18*(32+38*(1-EXP(-0.0175*A34))),70*'Scénario référence'!$B$18)</f>
        <v>70</v>
      </c>
      <c r="FA34" s="12">
        <f>IF(A34&gt;30,10,('Scénario référence'!$B$16+'Scénario référence'!$B$17+'Scénario référence'!$B$18+'Scénario référence'!$B$9+'Scénario référence'!$B$10)*A34*10/30+('Scénario référence'!$F$8+'Scénario référence'!$F$9)*10)</f>
        <v>10</v>
      </c>
      <c r="FB34" s="12" t="e">
        <f>VLOOKUP(A34,'Données projet'!$A$217:$I$237,2,0)</f>
        <v>#N/A</v>
      </c>
      <c r="FC34" s="12" t="e">
        <f>VLOOKUP(A34,'Données projet'!$A$217:$I$237,9,0)</f>
        <v>#N/A</v>
      </c>
      <c r="FD34" s="12">
        <f t="array" ref="FD34">INDEX(FC:FC,MIN(IF(ISNUMBER(FC34:FC230),ROW(FC34:FC230),"")))</f>
        <v>12.3</v>
      </c>
      <c r="FE34" s="12">
        <f>IF('Données projet'!$A$218&gt;35,FE33+FD34-FM33,IF(A34&lt;'Données projet'!$A$218,$FB$205^A34,IF(A34='Données projet'!$A$218,'Données projet'!$B$218,FE33+FD34-FM33)))</f>
        <v>111.29999999999998</v>
      </c>
      <c r="FF34" s="17">
        <f>FE34*VLOOKUP('Données projet'!$B$16,Paramètres!$A$1:$I$89,3,0)*VLOOKUP('Données projet'!$B$16,Paramètres!$A$1:$I$89,5,0)</f>
        <v>95.495400000000004</v>
      </c>
      <c r="FG34" s="13">
        <f t="shared" si="47"/>
        <v>25.885976919955191</v>
      </c>
      <c r="FH34" s="20">
        <f t="shared" si="22"/>
        <v>211.40589813558861</v>
      </c>
      <c r="FI34" s="59">
        <f t="shared" si="23"/>
        <v>504.73923146892196</v>
      </c>
      <c r="FJ34" s="59">
        <f ca="1">AVERAGE(OFFSET($FI$3,0,0,'Données projet'!$E$16+1,1))-AVERAGE(OFFSET($H$3,0,0,'Données projet'!$E$16+1,1))</f>
        <v>383.97627237444709</v>
      </c>
      <c r="FK34" s="59">
        <f t="shared" si="48"/>
        <v>203.35476578922339</v>
      </c>
      <c r="FL34" s="15">
        <f>IF(ISNA(VLOOKUP(A34,'Données projet'!$A$217:$I$237,3,0)),0,VLOOKUP(A34,'Données projet'!$A$217:$I$237,3,0))</f>
        <v>0</v>
      </c>
      <c r="FM34" s="15">
        <f>IF(ISNA(VLOOKUP(A34,'Données projet'!$A$217:$I$237,4,0)),0,VLOOKUP(A34,'Données projet'!$A$217:$I$237,4,0))</f>
        <v>0</v>
      </c>
      <c r="FN34" s="16">
        <f>IF(ISNA(VLOOKUP(A34,'Données projet'!$A$217:$I$237,5,0)),0%,VLOOKUP(A34,'Données projet'!$A$217:$I$237,5,0)*VLOOKUP('Données projet'!$B$16,Paramètres!$A$1:$I$89,7,0))</f>
        <v>0</v>
      </c>
      <c r="FO34" s="16">
        <f>IF(ISNA(VLOOKUP(A34,'Données projet'!$A$217:$I$237,6,0)),0%,VLOOKUP(A34,'Données projet'!$A$217:$I$237,6,0)*VLOOKUP('Données projet'!$B$16,Paramètres!$A$1:$I$89,7,0))</f>
        <v>0</v>
      </c>
      <c r="FP34" s="16">
        <f>IF(ISNA(VLOOKUP(A34,'Données projet'!$A$217:$I$237,7,0)),0%,VLOOKUP(A34,'Données projet'!$A$217:$I$237,7,0))</f>
        <v>0</v>
      </c>
      <c r="FQ34" s="21">
        <f>EXP(-LN(2)/35)*FQ33+(1-EXP(-LN(2)/35))/(LN(2)/35)*FM34*FN34*VLOOKUP('Données projet'!$B$16,Paramètres!$A$1:$I$89,3,0)*0.475*44/12</f>
        <v>5.0516502683846181</v>
      </c>
      <c r="FR34" s="21">
        <f>EXP(-LN(2)/25)*FR33+(1-EXP(-LN(2)/25))/(LN(2)/25)*Calculateur!FM34*Calculateur!FO34*VLOOKUP('Données projet'!$B$16,Paramètres!$A$1:$I$89,3,0)*0.475*44/12</f>
        <v>5.7302568895770811</v>
      </c>
      <c r="FS34" s="21">
        <f>EXP(-LN(2)/2)*FS33+(1-EXP(-LN(2)/2))/(LN(2)/2)*FM34*FP34*VLOOKUP('Données projet'!$B$16,Paramètres!$A$1:$I$89,3,0)*0.475*44/12</f>
        <v>11.770705623736831</v>
      </c>
      <c r="FT34" s="22">
        <f t="shared" si="24"/>
        <v>22.552612781698528</v>
      </c>
      <c r="FU34" s="75">
        <f>('Scénario référence'!$F$8+'Scénario référence'!$F$9+'Scénario référence'!$B$17+'Scénario référence'!$B$9+'Scénario référence'!$B$10)*70+IF((45+25*(1-EXP(-0.0175*A34)))&lt;70,'Scénario référence'!$B$16*(45+25*(1-EXP(-0.0175*A34))),70*'Scénario référence'!$B$16)+IF((32+38*(1-EXP(-0.0175*A34)))&lt;70,'Scénario référence'!$B$18*(32+38*(1-EXP(-0.0175*A34))),70*'Scénario référence'!$B$18)</f>
        <v>70</v>
      </c>
      <c r="FV34" s="12">
        <f>IF(A34&gt;30,10,('Scénario référence'!$B$16+'Scénario référence'!$B$17+'Scénario référence'!$B$18+'Scénario référence'!$B$9+'Scénario référence'!$B$10)*A34*10/30+('Scénario référence'!$F$8+'Scénario référence'!$F$9)*10)</f>
        <v>10</v>
      </c>
      <c r="FW34" s="12" t="e">
        <f>VLOOKUP(A34,'Données projet'!$A$243:$I$263,2,0)</f>
        <v>#N/A</v>
      </c>
      <c r="FX34" s="12" t="e">
        <f>VLOOKUP(A34,'Données projet'!$A$243:$I$263,9,0)</f>
        <v>#N/A</v>
      </c>
      <c r="FY34" s="12">
        <f t="array" ref="FY34">INDEX(FX:FX,MIN(IF(ISNUMBER(FX34:FX230),ROW(FX34:FX230),"")))</f>
        <v>8.0564102564102562</v>
      </c>
      <c r="FZ34" s="12">
        <f>IF('Données projet'!$A$244&gt;35,FZ33+FY34-GH33,IF(A34&lt;'Données projet'!$A$244,$FW$205^A34,IF(A34='Données projet'!$A$244,'Données projet'!$B$244,FZ33+FY34-GH33)))</f>
        <v>129.94102564102562</v>
      </c>
      <c r="GA34" s="17">
        <f>FZ34*VLOOKUP('Données projet'!$B$17,Paramètres!$A$1:$I$89,3,0)*VLOOKUP('Données projet'!$B$17,Paramètres!$A$1:$I$89,5,0)</f>
        <v>139.86851999999996</v>
      </c>
      <c r="GB34" s="13">
        <f t="shared" si="49"/>
        <v>36.266883626420665</v>
      </c>
      <c r="GC34" s="20">
        <f t="shared" si="25"/>
        <v>306.76916131601587</v>
      </c>
      <c r="GD34" s="59">
        <f t="shared" si="26"/>
        <v>600.10249464934918</v>
      </c>
      <c r="GE34" s="59">
        <f ca="1">AVERAGE(OFFSET($GD$3,0,0,'Données projet'!$E$17+1,1))-AVERAGE(OFFSET($H$3,0,0,'Données projet'!$E$17+1,1))</f>
        <v>286.77702855541287</v>
      </c>
      <c r="GF34" s="59">
        <f t="shared" si="50"/>
        <v>227.12211541860779</v>
      </c>
      <c r="GG34" s="15">
        <f>IF(ISNA(VLOOKUP(A34,'Données projet'!$A$243:$I$263,3,0)),0,VLOOKUP(A34,'Données projet'!$A$243:$I$263,3,0))</f>
        <v>0</v>
      </c>
      <c r="GH34" s="15">
        <f>IF(ISNA(VLOOKUP(A34,'Données projet'!$A$243:$I$263,4,0)),0,VLOOKUP(A34,'Données projet'!$A$243:$I$263,4,0))</f>
        <v>0</v>
      </c>
      <c r="GI34" s="16">
        <f>IF(ISNA(VLOOKUP(A34,'Données projet'!$A$243:$I$263,5,0)),0%,VLOOKUP(A34,'Données projet'!$A$243:$I$263,5,0)*VLOOKUP('Données projet'!$B$17,Paramètres!$A$1:$I$89,7,0))</f>
        <v>0</v>
      </c>
      <c r="GJ34" s="16">
        <f>IF(ISNA(VLOOKUP(A34,'Données projet'!$A$243:$I$263,6,0)),0%,VLOOKUP(A34,'Données projet'!$A$243:$I$263,6,0)*VLOOKUP('Données projet'!$B$17,Paramètres!$A$1:$I$89,7,0))</f>
        <v>0</v>
      </c>
      <c r="GK34" s="16">
        <f>IF(ISNA(VLOOKUP(A34,'Données projet'!$A$243:$I$263,7,0)),0%,VLOOKUP(A34,'Données projet'!$A$243:$I$263,7,0))</f>
        <v>0</v>
      </c>
      <c r="GL34" s="21">
        <f>EXP(-LN(2)/35)*GL33+(1-EXP(-LN(2)/35))/(LN(2)/35)*GH34*GI34*VLOOKUP('Données projet'!$B$17,Paramètres!$A$1:$I$89,3,0)*0.475*44/12</f>
        <v>0</v>
      </c>
      <c r="GM34" s="21">
        <f>EXP(-LN(2)/25)*GM33+(1-EXP(-LN(2)/25))/(LN(2)/25)*Calculateur!GH34*Calculateur!GJ34*VLOOKUP('Données projet'!$B$17,Paramètres!$A$1:$I$89,3,0)*0.475*44/12</f>
        <v>0</v>
      </c>
      <c r="GN34" s="21">
        <f>EXP(-LN(2)/2)*GN33+(1-EXP(-LN(2)/2))/(LN(2)/2)*GH34*GK34*VLOOKUP('Données projet'!$B$17,Paramètres!$A$1:$I$89,3,0)*0.475*44/12</f>
        <v>0</v>
      </c>
      <c r="GO34" s="21">
        <f t="shared" si="27"/>
        <v>0</v>
      </c>
      <c r="GP34" s="75">
        <f>('Scénario référence'!$F$8+'Scénario référence'!$F$9+'Scénario référence'!$B$17+'Scénario référence'!$B$9+'Scénario référence'!$B$10)*70+IF((45+25*(1-EXP(-0.0175*A34)))&lt;70,'Scénario référence'!$B$16*(45+25*(1-EXP(-0.0175*A34))),70*'Scénario référence'!$B$16)+IF((32+38*(1-EXP(-0.0175*A34)))&lt;70,'Scénario référence'!$B$18*(32+38*(1-EXP(-0.0175*A34))),70*'Scénario référence'!$B$18)</f>
        <v>70</v>
      </c>
      <c r="GQ34" s="12">
        <f>IF(A34&gt;30,10,('Scénario référence'!$B$16+'Scénario référence'!$B$17+'Scénario référence'!$B$18+'Scénario référence'!$B$9+'Scénario référence'!$B$10)*A34*10/30+('Scénario référence'!$F$8+'Scénario référence'!$F$9)*10)</f>
        <v>10</v>
      </c>
      <c r="GR34" s="12" t="e">
        <f>VLOOKUP(A34,'Données projet'!$A$269:$I$289,2,0)</f>
        <v>#N/A</v>
      </c>
      <c r="GS34" s="12" t="e">
        <f>VLOOKUP(A34,'Données projet'!$A$269:$I$289,9,0)</f>
        <v>#N/A</v>
      </c>
      <c r="GT34" s="12">
        <f t="array" ref="GT34">INDEX(GS:GS,MIN(IF(ISNUMBER(GS34:GS230),ROW(GS34:GS230),"")))</f>
        <v>8.0564102564102562</v>
      </c>
      <c r="GU34" s="12">
        <f>IF('Données projet'!$A$270&gt;35,GU33+GT34-HC33,IF(A34&lt;'Données projet'!$A$270,$GR$205^A34,IF(A34='Données projet'!$A$270,'Données projet'!$B$270,GU33+GT34-HC33)))</f>
        <v>129.94102564102562</v>
      </c>
      <c r="GV34" s="17">
        <f>GU34*VLOOKUP('Données projet'!$B$18,Paramètres!$A$1:$I$89,3,0)*VLOOKUP('Données projet'!$B$18,Paramètres!$A$1:$I$89,5,0)</f>
        <v>139.86851999999996</v>
      </c>
      <c r="GW34" s="13">
        <f t="shared" si="51"/>
        <v>36.266883626420665</v>
      </c>
      <c r="GX34" s="20">
        <f t="shared" si="28"/>
        <v>306.76916131601587</v>
      </c>
      <c r="GY34" s="59">
        <f t="shared" si="29"/>
        <v>600.10249464934918</v>
      </c>
      <c r="GZ34" s="59">
        <f ca="1">AVERAGE(OFFSET($GY$3,0,0,'Données projet'!$E$18+1,1))-AVERAGE(OFFSET($H$3,0,0,'Données projet'!$E$18+1,1))</f>
        <v>286.77702855541287</v>
      </c>
      <c r="HA34" s="59">
        <f t="shared" si="52"/>
        <v>227.12211541860779</v>
      </c>
      <c r="HB34" s="15">
        <f>IF(ISNA(VLOOKUP(A34,'Données projet'!$A$269:$I$289,3,0)),0,VLOOKUP(A34,'Données projet'!$A$269:$I$289,3,0))</f>
        <v>0</v>
      </c>
      <c r="HC34" s="15">
        <f>IF(ISNA(VLOOKUP(A34,'Données projet'!$A$269:$I$289,4,0)),0,VLOOKUP(A34,'Données projet'!$A$269:$I$289,4,0))</f>
        <v>0</v>
      </c>
      <c r="HD34" s="16">
        <f>IF(ISNA(VLOOKUP(A34,'Données projet'!$A$269:$I$289,5,0)),0%,VLOOKUP(A34,'Données projet'!$A$269:$I$289,5,0)*VLOOKUP('Données projet'!$B$18,Paramètres!$A$1:$I$89,7,0))</f>
        <v>0</v>
      </c>
      <c r="HE34" s="16">
        <f>IF(ISNA(VLOOKUP(A34,'Données projet'!$A$269:$I$289,6,0)),0%,VLOOKUP(A34,'Données projet'!$A$269:$I$289,6,0)*VLOOKUP('Données projet'!$B$18,Paramètres!$A$1:$I$89,7,0))</f>
        <v>0</v>
      </c>
      <c r="HF34" s="16">
        <f>IF(ISNA(VLOOKUP(A34,'Données projet'!$A$269:$I$289,7,0)),0%,VLOOKUP(A34,'Données projet'!$A$269:$I$289,7,0))</f>
        <v>0</v>
      </c>
      <c r="HG34" s="21">
        <f>EXP(-LN(2)/35)*HG33+(1-EXP(-LN(2)/35))/(LN(2)/35)*HC34*HD34*VLOOKUP('Données projet'!$B$18,Paramètres!$A$1:$I$89,3,0)*0.475*44/12</f>
        <v>0</v>
      </c>
      <c r="HH34" s="21">
        <f>EXP(-LN(2)/25)*HH33+(1-EXP(-LN(2)/25))/(LN(2)/25)*Calculateur!HC34*Calculateur!HE34*VLOOKUP('Données projet'!$B$18,Paramètres!$A$1:$I$89,3,0)*0.475*44/12</f>
        <v>0</v>
      </c>
      <c r="HI34" s="21">
        <f>EXP(-LN(2)/2)*HI33+(1-EXP(-LN(2)/2))/(LN(2)/2)*HC34*HF34*VLOOKUP('Données projet'!$B$18,Paramètres!$A$1:$I$89,3,0)*0.475*44/12</f>
        <v>0</v>
      </c>
      <c r="HJ34" s="22">
        <f t="shared" si="30"/>
        <v>0</v>
      </c>
    </row>
    <row r="35" spans="1:218" x14ac:dyDescent="0.25">
      <c r="A35" s="10">
        <f t="shared" si="31"/>
        <v>32</v>
      </c>
      <c r="B35" s="73">
        <f>'Scénario référence'!$B$16*5+'Scénario référence'!$B$17*0+'Scénario référence'!$B$18*5</f>
        <v>0</v>
      </c>
      <c r="C35" s="19">
        <f>Calculateur!C34+'Scénario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28.454399999999989</v>
      </c>
      <c r="D35" s="11">
        <f t="shared" si="32"/>
        <v>8.8805221797401579</v>
      </c>
      <c r="E3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35" s="11">
        <f>IF(OR('Scénario référence'!$F$8&gt;0,'Scénario référence'!$F$9&gt;0),('Scénario référence'!$F$8+'Scénario référence'!$F$9)*10,0)</f>
        <v>10</v>
      </c>
      <c r="G35" s="11">
        <f>'Scénario référence'!$B$8*B35*44/12+'Scénario référence'!$B$9*(C35+D35)/0.475*44/12+'Scénario référence'!$B$10*(C35+D35)/0.475*44/12+'Scénario référence'!$F$8*(C35+D35)/0.475*44/12+'Scénario référence'!$F$9*(C35+D35)/0.475*44/12</f>
        <v>288.19939928220469</v>
      </c>
      <c r="H35" s="67">
        <f t="shared" si="1"/>
        <v>358.35832279638072</v>
      </c>
      <c r="I35" s="70">
        <f>('Scénario référence'!$F$8+'Scénario référence'!$F$9+'Scénario référence'!$B$17+'Scénario référence'!$B$9+'Scénario référence'!$B$10)*70+IF((45+25*(1-EXP(-0.0175*A35)))&lt;70,'Scénario référence'!$B$16*(45+25*(1-EXP(-0.0175*A35))),70*'Scénario référence'!$B$16)+IF((32+38*(1-EXP(-0.0175*A35)))&lt;70,'Scénario référence'!$B$18*(32+38*(1-EXP(-0.0175*A35))),70*'Scénario référence'!$B$18)</f>
        <v>70</v>
      </c>
      <c r="J35" s="13">
        <f>IF(A35&gt;30,10,('Scénario référence'!$B$16+'Scénario référence'!$B$17+'Scénario référence'!$B$18+'Scénario référence'!$B$9+'Scénario référence'!$B$10)*A35*10/30+('Scénario référence'!$F$8+'Scénario référence'!$F$9)*10)</f>
        <v>10</v>
      </c>
      <c r="K35" s="12" t="e">
        <f>VLOOKUP(A35,'Données projet'!$A$35:$I$55,2,0)</f>
        <v>#N/A</v>
      </c>
      <c r="L35" s="12" t="e">
        <f>VLOOKUP(A35,'Données projet'!$A$35:$I$55,9,0)</f>
        <v>#N/A</v>
      </c>
      <c r="M35" s="12">
        <f t="array" ref="M35">INDEX(L:L,MIN(IF(ISNUMBER(L35:L231),ROW(L35:L231),"")))</f>
        <v>22.884615384615376</v>
      </c>
      <c r="N35" s="13">
        <f>IF('Données projet'!$A$36&gt;35,N34+M35-V34,IF(A35&lt;'Données projet'!$A$36,$K$205^A35,IF(A35='Données projet'!$A$36,'Données projet'!$B$36,N34+M35-V34)))</f>
        <v>311.96923076923059</v>
      </c>
      <c r="O35" s="13">
        <f>N35*VLOOKUP('Données projet'!$B$9,Paramètres!$A$1:$I$89,3,0)*VLOOKUP('Données projet'!$B$9,Paramètres!$A$1:$I$89,5,0)</f>
        <v>174.39079999999993</v>
      </c>
      <c r="P35" s="13">
        <f t="shared" si="33"/>
        <v>44.071952499783528</v>
      </c>
      <c r="Q35" s="20">
        <f t="shared" ref="Q35:Q66" si="53">(O35+P35)*0.475*44/12</f>
        <v>380.4892939371228</v>
      </c>
      <c r="R35" s="59">
        <f t="shared" si="0"/>
        <v>673.82262727045611</v>
      </c>
      <c r="S35" s="59">
        <f ca="1">AVERAGE(OFFSET($R$3,0,0,'Données projet'!$E$9+1,1))-AVERAGE(OFFSET($H$3,0,0,'Données projet'!$E$9+1,1))</f>
        <v>255.5374979188561</v>
      </c>
      <c r="T35" s="59">
        <f t="shared" si="34"/>
        <v>343.10418468620901</v>
      </c>
      <c r="U35" s="15">
        <f>IF(ISNA(VLOOKUP(A35,'Données projet'!$A$35:$I$55,3,0)),0,VLOOKUP(A35,'Données projet'!$A$35:$I$55,3,0))</f>
        <v>0</v>
      </c>
      <c r="V35" s="15">
        <f>IF(ISNA(VLOOKUP(A35,'Données projet'!$A$35:$I$55,4,0)),0,VLOOKUP(A35,'Données projet'!$A$35:$I$55,4,0))</f>
        <v>0</v>
      </c>
      <c r="W35" s="16">
        <f>IF(ISNA(VLOOKUP(A35,'Données projet'!$A$35:$I$55,5,0)),0%,VLOOKUP(A35,'Données projet'!$A$35:$I$55,5,0)*VLOOKUP('Données projet'!$B$9,Paramètres!$A$1:$I$89,7,0))</f>
        <v>0</v>
      </c>
      <c r="X35" s="16">
        <f>IF(ISNA(VLOOKUP(A35,'Données projet'!$A$35:$I$55,6,0)),0%,VLOOKUP(A35,'Données projet'!$A$35:$I$55,6,0)*VLOOKUP('Données projet'!$B$9,Paramètres!$A$1:$I$89,7,0))</f>
        <v>0</v>
      </c>
      <c r="Y35" s="16">
        <f>IF(ISNA(VLOOKUP(A35,'Données projet'!$A$35:$I$55,7,0)),0%,VLOOKUP(A35,'Données projet'!$A$35:$I$55,7,0))</f>
        <v>0</v>
      </c>
      <c r="Z35" s="21">
        <f>EXP(-LN(2)/35)*Z34+(1-EXP(-LN(2)/35))/(LN(2)/35)*V35*W35*VLOOKUP('Données projet'!$B$9,Paramètres!$A$1:$I$89,3,0)*0.475*44/12</f>
        <v>2.9700414218085029</v>
      </c>
      <c r="AA35" s="21">
        <f>EXP(-LN(2)/25)*AA34+(1-EXP(-LN(2)/25))/(LN(2)/25)*Calculateur!V35*Calculateur!X35*VLOOKUP('Données projet'!$B$9,Paramètres!$A$1:$I$89,3,0)*0.475*44/12</f>
        <v>15.099325193912057</v>
      </c>
      <c r="AB35" s="21">
        <f>EXP(-LN(2)/2)*AB34+(1-EXP(-LN(2)/2))/(LN(2)/2)*V35*Y35*VLOOKUP('Données projet'!$B$9,Paramètres!$A$1:$I$89,3,0)*0.475*44/12</f>
        <v>0.84632603972703302</v>
      </c>
      <c r="AC35" s="22">
        <f t="shared" si="3"/>
        <v>18.915692655447593</v>
      </c>
      <c r="AD35" s="13">
        <f>('Scénario référence'!$F$8+'Scénario référence'!$F$9+'Scénario référence'!$B$17+'Scénario référence'!$B$9+'Scénario référence'!$B$10)*70+IF((45+25*(1-EXP(-0.0175*A35)))&lt;70,'Scénario référence'!$B$16*(45+25*(1-EXP(-0.0175*A35))),70*'Scénario référence'!$B$16)+IF((32+38*(1-EXP(-0.0175*A35)))&lt;70,'Scénario référence'!$B$18*(32+38*(1-EXP(-0.0175*A35))),70*'Scénario référence'!$B$18)</f>
        <v>70</v>
      </c>
      <c r="AE35" s="13">
        <f>IF(A35&gt;30,10,('Scénario référence'!$B$16+'Scénario référence'!$B$17+'Scénario référence'!$B$18+'Scénario référence'!$B$9+'Scénario référence'!$B$10)*A35*10/30+('Scénario référence'!$F$8+'Scénario référence'!$F$9)*10)</f>
        <v>10</v>
      </c>
      <c r="AF35" s="12" t="e">
        <f>VLOOKUP(A35,'Données projet'!$A$61:$I$81,2,0)</f>
        <v>#N/A</v>
      </c>
      <c r="AG35" s="12" t="e">
        <f>VLOOKUP(A35,'Données projet'!$A$61:$I$81,9,0)</f>
        <v>#N/A</v>
      </c>
      <c r="AH35" s="12">
        <f t="array" ref="AH35">INDEX(AG:AG,MIN(IF(ISNUMBER(AG35:AG231),ROW(AG35:AG231),"")))</f>
        <v>15.1</v>
      </c>
      <c r="AI35" s="13">
        <f>IF('Données projet'!$A$62&gt;35,AI34+AH35-AQ34,IF(A35&lt;'Données projet'!$A$62,$AF$205^A35,IF(A35='Données projet'!$A$62,'Données projet'!$B$62,AI34+AH35-AQ34)))</f>
        <v>209.20000000000002</v>
      </c>
      <c r="AJ35" s="13">
        <f>AI35*VLOOKUP('Données projet'!$B$10,Paramètres!$A$1:$I$89,3,0)*VLOOKUP('Données projet'!$B$10,Paramètres!$A$1:$I$89,5,0)</f>
        <v>130.54080000000002</v>
      </c>
      <c r="AK35" s="13">
        <f t="shared" si="35"/>
        <v>34.121292125762963</v>
      </c>
      <c r="AL35" s="20">
        <f t="shared" si="4"/>
        <v>286.78647711903716</v>
      </c>
      <c r="AM35" s="59">
        <f t="shared" si="5"/>
        <v>580.11981045237053</v>
      </c>
      <c r="AN35" s="59">
        <f ca="1">AVERAGE(OFFSET($AM$3,0,0,'Données projet'!$E$10+1,1))-AVERAGE(OFFSET($H$3,0,0,'Données projet'!$E$10+1,1))</f>
        <v>261.78489480911571</v>
      </c>
      <c r="AO35" s="59">
        <f t="shared" si="36"/>
        <v>297.50513563712764</v>
      </c>
      <c r="AP35" s="15">
        <f>IF(ISNA(VLOOKUP(A35,'Données projet'!$A$61:$I$81,3,0)),0,VLOOKUP(A35,'Données projet'!$A$61:$I$81,3,0))</f>
        <v>0</v>
      </c>
      <c r="AQ35" s="15">
        <f>IF(ISNA(VLOOKUP(A35,'Données projet'!$A$61:$I$81,4,0)),0,VLOOKUP(A35,'Données projet'!$A$61:$I$81,4,0))</f>
        <v>0</v>
      </c>
      <c r="AR35" s="16">
        <f>IF(ISNA(VLOOKUP(A35,'Données projet'!$A$61:$I$81,5,0)),0%,VLOOKUP(A35,'Données projet'!$A$61:$I$81,5,0)*VLOOKUP('Données projet'!$B$10,Paramètres!$A$1:$I$89,7,0))</f>
        <v>0</v>
      </c>
      <c r="AS35" s="16">
        <f>IF(ISNA(VLOOKUP(A35,'Données projet'!$A$61:$I$81,6,0)),0%,VLOOKUP(A35,'Données projet'!$A$61:$I$81,6,0)*VLOOKUP('Données projet'!$B$10,Paramètres!$A$1:$I$89,7,0))</f>
        <v>0</v>
      </c>
      <c r="AT35" s="16">
        <f>IF(ISNA(VLOOKUP(A35,'Données projet'!$A$61:$I$81,7,0)),0%,VLOOKUP(A35,'Données projet'!$A$61:$I$81,7,0))</f>
        <v>0</v>
      </c>
      <c r="AU35" s="21">
        <f>EXP(-LN(2)/35)*AU34+(1-EXP(-LN(2)/35))/(LN(2)/35)*AQ35*AR35*VLOOKUP('Données projet'!$B$10,Paramètres!$A$1:$I$89,3,0)*0.475*44/12</f>
        <v>8.0199519110698088</v>
      </c>
      <c r="AV35" s="21">
        <f>EXP(-LN(2)/25)*AV34+(1-EXP(-LN(2)/25))/(LN(2)/25)*Calculateur!AQ35*Calculateur!AS35*VLOOKUP('Données projet'!$B$10,Paramètres!$A$1:$I$89,3,0)*0.475*44/12</f>
        <v>26.366501460143258</v>
      </c>
      <c r="AW35" s="21">
        <f>EXP(-LN(2)/2)*AW34+(1-EXP(-LN(2)/2))/(LN(2)/2)*AQ35*AT35*VLOOKUP('Données projet'!$B$10,Paramètres!$A$1:$I$89,3,0)*0.475*44/12</f>
        <v>12.20059556845594</v>
      </c>
      <c r="AX35" s="21">
        <f t="shared" si="6"/>
        <v>46.587048939669003</v>
      </c>
      <c r="AY35" s="74">
        <f>('Scénario référence'!$F$8+'Scénario référence'!$F$9+'Scénario référence'!$B$17+'Scénario référence'!$B$9+'Scénario référence'!$B$10)*70+IF((45+25*(1-EXP(-0.0175*A35)))&lt;70,'Scénario référence'!$B$16*(45+25*(1-EXP(-0.0175*A35))),70*'Scénario référence'!$B$16)+IF((32+38*(1-EXP(-0.0175*A35)))&lt;70,'Scénario référence'!$B$18*(32+38*(1-EXP(-0.0175*A35))),70*'Scénario référence'!$B$18)</f>
        <v>70</v>
      </c>
      <c r="AZ35" s="12">
        <f>IF(A35&gt;30,10,('Scénario référence'!$B$16+'Scénario référence'!$B$17+'Scénario référence'!$B$18+'Scénario référence'!$B$9+'Scénario référence'!$B$10)*A35*10/30+('Scénario référence'!$F$8+'Scénario référence'!$F$9)*10)</f>
        <v>10</v>
      </c>
      <c r="BA35" s="12" t="e">
        <f>VLOOKUP(A35,'Données projet'!$A$87:$I$107,2,0)</f>
        <v>#N/A</v>
      </c>
      <c r="BB35" s="12" t="e">
        <f>VLOOKUP(A35,'Données projet'!$A$87:$I$107,9,0)</f>
        <v>#N/A</v>
      </c>
      <c r="BC35" s="12">
        <f t="array" ref="BC35">INDEX(BB:BB,MIN(IF(ISNUMBER(BB35:BB231),ROW(BB35:BB231),"")))</f>
        <v>18.2</v>
      </c>
      <c r="BD35" s="12">
        <f>IF('Données projet'!$A$88&gt;35,BD34+BC35-BL34,IF(A35&lt;'Données projet'!$A$88,$BA$205^A35,IF(A35='Données projet'!$A$88,'Données projet'!$B$88,BD34+BC35-BL34)))</f>
        <v>195.40000000000003</v>
      </c>
      <c r="BE35" s="13">
        <f>BD35*VLOOKUP('Données projet'!$B$11,Paramètres!$A$1:$I$89,3,0)*VLOOKUP('Données projet'!$B$11,Paramètres!$A$1:$I$89,5,0)</f>
        <v>116.84920000000002</v>
      </c>
      <c r="BF35" s="13">
        <f t="shared" si="37"/>
        <v>30.938992822101849</v>
      </c>
      <c r="BG35" s="20">
        <f t="shared" si="7"/>
        <v>257.39776916516081</v>
      </c>
      <c r="BH35" s="59">
        <f t="shared" si="8"/>
        <v>550.73110249849412</v>
      </c>
      <c r="BI35" s="59">
        <f ca="1">AVERAGE(OFFSET($BH$3,0,0,'Données projet'!$E$11+1,1))-AVERAGE(OFFSET($H$3,0,0,'Données projet'!$E$11+1,1))</f>
        <v>316.58509520829671</v>
      </c>
      <c r="BJ35" s="59">
        <f t="shared" si="38"/>
        <v>240.71332110643596</v>
      </c>
      <c r="BK35" s="15">
        <f>IF(ISNA(VLOOKUP(A35,'Données projet'!$A$87:$I$107,3,0)),0,VLOOKUP(A35,'Données projet'!$A$87:$I$107,3,0))</f>
        <v>0</v>
      </c>
      <c r="BL35" s="15">
        <f>IF(ISNA(VLOOKUP(A35,'Données projet'!$A$87:$I$107,4,0)),0,VLOOKUP(A35,'Données projet'!$A$87:$I$107,4,0))</f>
        <v>0</v>
      </c>
      <c r="BM35" s="16">
        <f>IF(ISNA(VLOOKUP(A35,'Données projet'!$A$87:$I$107,5,0)),0%,VLOOKUP(A35,'Données projet'!$A$87:$I$107,5,0)*VLOOKUP('Données projet'!$B$11,Paramètres!$A$1:$I$89,7,0))</f>
        <v>0</v>
      </c>
      <c r="BN35" s="16">
        <f>IF(ISNA(VLOOKUP(A35,'Données projet'!$A$87:$I$107,6,0)),0%,VLOOKUP(A35,'Données projet'!$A$87:$I$107,6,0)*VLOOKUP('Données projet'!$B$11,Paramètres!$A$1:$I$89,7,0))</f>
        <v>0</v>
      </c>
      <c r="BO35" s="16">
        <f>IF(ISNA(VLOOKUP(A35,'Données projet'!$A$87:$I$107,7,0)),0%,VLOOKUP(A35,'Données projet'!$A$87:$I$107,7,0))</f>
        <v>0</v>
      </c>
      <c r="BP35" s="21">
        <f>EXP(-LN(2)/35)*BP34+(1-EXP(-LN(2)/35))/(LN(2)/35)*BL35*BM35*VLOOKUP('Données projet'!$B$11,Paramètres!$A$1:$I$89,3,0)*0.475*44/12</f>
        <v>2.4361200652486987</v>
      </c>
      <c r="BQ35" s="21">
        <f>EXP(-LN(2)/25)*BQ34+(1-EXP(-LN(2)/25))/(LN(2)/25)*Calculateur!BL35*Calculateur!BN35*VLOOKUP('Données projet'!$B$11,Paramètres!$A$1:$I$89,3,0)*0.475*44/12</f>
        <v>14.444338823665451</v>
      </c>
      <c r="BR35" s="21">
        <f>EXP(-LN(2)/2)*BR34+(1-EXP(-LN(2)/2))/(LN(2)/2)*BL35*BO35*VLOOKUP('Données projet'!$B$11,Paramètres!$A$1:$I$89,3,0)*0.475*44/12</f>
        <v>10.969671535070393</v>
      </c>
      <c r="BS35" s="22">
        <f t="shared" si="9"/>
        <v>27.850130423984542</v>
      </c>
      <c r="BT35" s="75">
        <f>('Scénario référence'!$F$8+'Scénario référence'!$F$9+'Scénario référence'!$B$17+'Scénario référence'!$B$9+'Scénario référence'!$B$10)*70+IF((45+25*(1-EXP(-0.0175*A35)))&lt;70,'Scénario référence'!$B$16*(45+25*(1-EXP(-0.0175*A35))),70*'Scénario référence'!$B$16)+IF((32+38*(1-EXP(-0.0175*A35)))&lt;70,'Scénario référence'!$B$18*(32+38*(1-EXP(-0.0175*A35))),70*'Scénario référence'!$B$18)</f>
        <v>70</v>
      </c>
      <c r="BU35" s="12">
        <f>IF(A35&gt;30,10,('Scénario référence'!$B$16+'Scénario référence'!$B$17+'Scénario référence'!$B$18+'Scénario référence'!$B$9+'Scénario référence'!$B$10)*A35*10/30+('Scénario référence'!$F$8+'Scénario référence'!$F$9)*10)</f>
        <v>10</v>
      </c>
      <c r="BV35" s="12" t="e">
        <f>VLOOKUP(A35,'Données projet'!$A$113:$I$133,2,0)</f>
        <v>#N/A</v>
      </c>
      <c r="BW35" s="12" t="e">
        <f>VLOOKUP(A35,'Données projet'!$A$113:$I$133,9,0)</f>
        <v>#N/A</v>
      </c>
      <c r="BX35" s="12">
        <f t="array" ref="BX35">INDEX(BW:BW,MIN(IF(ISNUMBER(BW35:BW231),ROW(BW35:BW231),"")))</f>
        <v>13.6</v>
      </c>
      <c r="BY35" s="12">
        <f>IF('Données projet'!$A$114&gt;35,BY34+BX35-CG34,IF(A35&lt;'Données projet'!$A$114,$BV$205^A35,IF(A35='Données projet'!$A$114,'Données projet'!$B$114,BY34+BX35-CG34)))</f>
        <v>172.1999999999999</v>
      </c>
      <c r="BZ35" s="13">
        <f>BY35*VLOOKUP('Données projet'!$B$12,Paramètres!$A$1:$I$89,3,0)*VLOOKUP('Données projet'!$B$12,Paramètres!$A$1:$I$89,5,0)</f>
        <v>98.498399999999947</v>
      </c>
      <c r="CA35" s="13">
        <f t="shared" si="39"/>
        <v>26.603947657691648</v>
      </c>
      <c r="CB35" s="20">
        <f t="shared" si="10"/>
        <v>217.88658883714618</v>
      </c>
      <c r="CC35" s="59">
        <f t="shared" si="11"/>
        <v>511.21992217047949</v>
      </c>
      <c r="CD35" s="59">
        <f ca="1">AVERAGE(OFFSET($CC$3,0,0,'Données projet'!$E$12+1,1))-AVERAGE(OFFSET($H$3,0,0,'Données projet'!$E$12+1,1))</f>
        <v>188.64374818906128</v>
      </c>
      <c r="CE35" s="59">
        <f t="shared" si="40"/>
        <v>211.95157880548652</v>
      </c>
      <c r="CF35" s="15">
        <f>IF(ISNA(VLOOKUP(A35,'Données projet'!$A$113:$I$133,3,0)),0,VLOOKUP(A35,'Données projet'!$A$113:$I$133,3,0))</f>
        <v>0</v>
      </c>
      <c r="CG35" s="15">
        <f>IF(ISNA(VLOOKUP(A35,'Données projet'!$A$113:$I$133,4,0)),0,VLOOKUP(A35,'Données projet'!$A$113:$I$133,4,0))</f>
        <v>0</v>
      </c>
      <c r="CH35" s="16">
        <f>IF(ISNA(VLOOKUP(A35,'Données projet'!$A$113:$I$133,5,0)),0%,VLOOKUP(A35,'Données projet'!$A$113:$I$133,5,0)*VLOOKUP('Données projet'!$B$12,Paramètres!$A$1:$I$89,7,0))</f>
        <v>0</v>
      </c>
      <c r="CI35" s="16">
        <f>IF(ISNA(VLOOKUP(A35,'Données projet'!$A$113:$I$133,6,0)),0%,VLOOKUP(A35,'Données projet'!$A$113:$I$133,6,0)*VLOOKUP('Données projet'!$B$12,Paramètres!$A$1:$I$89,7,0))</f>
        <v>0</v>
      </c>
      <c r="CJ35" s="16">
        <f>IF(ISNA(VLOOKUP(A35,'Données projet'!$A$113:$I$133,7,0)),0%,VLOOKUP(A35,'Données projet'!$A$113:$I$133,7,0))</f>
        <v>0</v>
      </c>
      <c r="CK35" s="21">
        <f>EXP(-LN(2)/35)*CK34+(1-EXP(-LN(2)/35))/(LN(2)/35)*CG35*CH35*VLOOKUP('Données projet'!$B$12,Paramètres!$A$1:$I$89,3,0)*0.475*44/12</f>
        <v>2.3630215452259264</v>
      </c>
      <c r="CL35" s="21">
        <f>EXP(-LN(2)/25)*CL34+(1-EXP(-LN(2)/25))/(LN(2)/25)*Calculateur!CG35*Calculateur!CI35*VLOOKUP('Données projet'!$B$12,Paramètres!$A$1:$I$89,3,0)*0.475*44/12</f>
        <v>13.595338746126288</v>
      </c>
      <c r="CM35" s="21">
        <f>EXP(-LN(2)/2)*CM34+(1-EXP(-LN(2)/2))/(LN(2)/2)*CG35*CJ35*VLOOKUP('Données projet'!$B$12,Paramètres!$A$1:$I$89,3,0)*0.475*44/12</f>
        <v>10.623268601868098</v>
      </c>
      <c r="CN35" s="22">
        <f t="shared" si="12"/>
        <v>26.581628893220312</v>
      </c>
      <c r="CO35" s="75">
        <f>('Scénario référence'!$F$8+'Scénario référence'!$F$9+'Scénario référence'!$B$17+'Scénario référence'!$B$9+'Scénario référence'!$B$10)*70+IF((45+25*(1-EXP(-0.0175*A35)))&lt;70,'Scénario référence'!$B$16*(45+25*(1-EXP(-0.0175*A35))),70*'Scénario référence'!$B$16)+IF((32+38*(1-EXP(-0.0175*A35)))&lt;70,'Scénario référence'!$B$18*(32+38*(1-EXP(-0.0175*A35))),70*'Scénario référence'!$B$18)</f>
        <v>70</v>
      </c>
      <c r="CP35" s="12">
        <f>IF(A35&gt;30,10,('Scénario référence'!$B$16+'Scénario référence'!$B$17+'Scénario référence'!$B$18+'Scénario référence'!$B$9+'Scénario référence'!$B$10)*A35*10/30+('Scénario référence'!$F$8+'Scénario référence'!$F$9)*10)</f>
        <v>10</v>
      </c>
      <c r="CQ35" s="12" t="e">
        <f>VLOOKUP(A35,'Données projet'!$A$139:$I$159,2,0)</f>
        <v>#N/A</v>
      </c>
      <c r="CR35" s="12" t="e">
        <f>VLOOKUP(A35,'Données projet'!$A$139:$I$159,9,0)</f>
        <v>#N/A</v>
      </c>
      <c r="CS35" s="12">
        <f t="array" ref="CS35">INDEX(CR:CR,MIN(IF(ISNUMBER(CR35:CR231),ROW(CR35:CR231),"")))</f>
        <v>0</v>
      </c>
      <c r="CT35" s="12">
        <f>IF('Données projet'!$A$140&gt;35,CT34+CS35-DB34,IF(A35&lt;'Données projet'!$A$140,$CQ$205^A35,IF(A35='Données projet'!$A$140,'Données projet'!$B$140,CT34+CS35-DB34)))</f>
        <v>0</v>
      </c>
      <c r="CU35" s="17" t="e">
        <f>CT35*VLOOKUP('Données projet'!$B$13,Paramètres!$A$1:$I$89,3,0)*VLOOKUP('Données projet'!$B$13,Paramètres!$A$1:$I$89,5,0)</f>
        <v>#N/A</v>
      </c>
      <c r="CV35" s="13" t="e">
        <f t="shared" si="41"/>
        <v>#N/A</v>
      </c>
      <c r="CW35" s="20" t="e">
        <f t="shared" si="13"/>
        <v>#N/A</v>
      </c>
      <c r="CX35" s="59" t="e">
        <f t="shared" si="14"/>
        <v>#N/A</v>
      </c>
      <c r="CY35" s="59" t="e">
        <f ca="1">AVERAGE(OFFSET($CX$3,0,0,'Données projet'!$E$13+1,1))-AVERAGE(OFFSET($H$3,0,0,'Données projet'!$E$13+1,1))</f>
        <v>#N/A</v>
      </c>
      <c r="CZ35" s="59" t="e">
        <f t="shared" si="42"/>
        <v>#N/A</v>
      </c>
      <c r="DA35" s="15">
        <f>IF(ISNA(VLOOKUP(A35,'Données projet'!$A$139:$I$159,3,0)),0,VLOOKUP(A35,'Données projet'!$A$139:$I$159,3,0))</f>
        <v>0</v>
      </c>
      <c r="DB35" s="15">
        <f>IF(ISNA(VLOOKUP(A35,'Données projet'!$A$139:$I$159,4,0)),0,VLOOKUP(A35,'Données projet'!$A$139:$I$159,4,0))</f>
        <v>0</v>
      </c>
      <c r="DC35" s="16">
        <f>IF(ISNA(VLOOKUP(A35,'Données projet'!$A$139:$I$159,5,0)),0%,VLOOKUP(A35,'Données projet'!$A$139:$I$159,5,0)*VLOOKUP('Données projet'!$B$13,Paramètres!$A$1:$I$89,7,0))</f>
        <v>0</v>
      </c>
      <c r="DD35" s="16">
        <f>IF(ISNA(VLOOKUP(A35,'Données projet'!$A$139:$I$159,6,0)),0%,VLOOKUP(A35,'Données projet'!$A$139:$I$159,6,0)*VLOOKUP('Données projet'!$B$13,Paramètres!$A$1:$I$89,7,0))</f>
        <v>0</v>
      </c>
      <c r="DE35" s="16">
        <f>IF(ISNA(VLOOKUP(A35,'Données projet'!$A$139:$I$159,7,0)),0%,VLOOKUP(A35,'Données projet'!$A$139:$I$159,7,0))</f>
        <v>0</v>
      </c>
      <c r="DF35" s="21" t="e">
        <f>EXP(-LN(2)/35)*DF34+(1-EXP(-LN(2)/35))/(LN(2)/35)*DB35*DC35*VLOOKUP('Données projet'!$B$13,Paramètres!$A$1:$I$89,3,0)*0.475*44/12</f>
        <v>#N/A</v>
      </c>
      <c r="DG35" s="21" t="e">
        <f>EXP(-LN(2)/25)*DG34+(1-EXP(-LN(2)/25))/(LN(2)/25)*Calculateur!DB35*Calculateur!DD35*VLOOKUP('Données projet'!$B$13,Paramètres!$A$1:$I$89,3,0)*0.475*44/12</f>
        <v>#N/A</v>
      </c>
      <c r="DH35" s="21" t="e">
        <f>EXP(-LN(2)/2)*DH34+(1-EXP(-LN(2)/2))/(LN(2)/2)*DB35*DE35*VLOOKUP('Données projet'!$B$13,Paramètres!$A$1:$I$89,3,0)*0.475*44/12</f>
        <v>#N/A</v>
      </c>
      <c r="DI35" s="22" t="e">
        <f t="shared" si="15"/>
        <v>#N/A</v>
      </c>
      <c r="DJ35" s="75">
        <f>('Scénario référence'!$F$8+'Scénario référence'!$F$9+'Scénario référence'!$B$17+'Scénario référence'!$B$9+'Scénario référence'!$B$10)*70+IF((45+25*(1-EXP(-0.0175*A35)))&lt;70,'Scénario référence'!$B$16*(45+25*(1-EXP(-0.0175*A35))),70*'Scénario référence'!$B$16)+IF((32+38*(1-EXP(-0.0175*A35)))&lt;70,'Scénario référence'!$B$18*(32+38*(1-EXP(-0.0175*A35))),70*'Scénario référence'!$B$18)</f>
        <v>70</v>
      </c>
      <c r="DK35" s="12">
        <f>IF(A35&gt;30,10,('Scénario référence'!$B$16+'Scénario référence'!$B$17+'Scénario référence'!$B$18+'Scénario référence'!$B$9+'Scénario référence'!$B$10)*A35*10/30+('Scénario référence'!$F$8+'Scénario référence'!$F$9)*10)</f>
        <v>10</v>
      </c>
      <c r="DL35" s="12" t="e">
        <f>VLOOKUP(A35,'Données projet'!$A$165:$I$185,2,0)</f>
        <v>#N/A</v>
      </c>
      <c r="DM35" s="12" t="e">
        <f>VLOOKUP(A35,'Données projet'!$A$165:$I$185,9,0)</f>
        <v>#N/A</v>
      </c>
      <c r="DN35" s="12">
        <f t="array" ref="DN35">INDEX(DM:DM,MIN(IF(ISNUMBER(DM35:DM231),ROW(DM35:DM231),"")))</f>
        <v>9.1999999999999993</v>
      </c>
      <c r="DO35" s="12">
        <f>IF('Données projet'!$A$166&gt;35,DO34+DN35-DW34,IF(A35&lt;'Données projet'!$A$166,$DL$205^A35,IF(A35='Données projet'!$A$166,'Données projet'!$B$166,DO34+DN35-DW34)))</f>
        <v>178.39999999999998</v>
      </c>
      <c r="DP35" s="17">
        <f>DO35*VLOOKUP('Données projet'!$B$14,Paramètres!$A$1:$I$89,3,0)*VLOOKUP('Données projet'!$B$14,Paramètres!$A$1:$I$89,5,0)</f>
        <v>116.88767999999997</v>
      </c>
      <c r="DQ35" s="13">
        <f t="shared" si="43"/>
        <v>30.947995316838725</v>
      </c>
      <c r="DR35" s="20">
        <f t="shared" si="16"/>
        <v>257.48046784349401</v>
      </c>
      <c r="DS35" s="59">
        <f t="shared" si="17"/>
        <v>550.81380117682738</v>
      </c>
      <c r="DT35" s="59">
        <f ca="1">AVERAGE(OFFSET($DS$3,0,0,'Données projet'!$E$14+1,1))-AVERAGE(OFFSET($H$3,0,0,'Données projet'!$E$14+1,1))</f>
        <v>188.68915783955595</v>
      </c>
      <c r="DU35" s="59">
        <f t="shared" si="44"/>
        <v>240.82467772396944</v>
      </c>
      <c r="DV35" s="15">
        <f>IF(ISNA(VLOOKUP(A35,'Données projet'!$A$165:$I$185,3,0)),0,VLOOKUP(A35,'Données projet'!$A$165:$I$185,3,0))</f>
        <v>0</v>
      </c>
      <c r="DW35" s="15">
        <f>IF(ISNA(VLOOKUP(A35,'Données projet'!$A$165:$I$185,4,0)),0,VLOOKUP(A35,'Données projet'!$A$165:$I$185,4,0))</f>
        <v>0</v>
      </c>
      <c r="DX35" s="16">
        <f>IF(ISNA(VLOOKUP(A35,'Données projet'!$A$165:$I$185,5,0)),0%,VLOOKUP(A35,'Données projet'!$A$165:$I$185,5,0)*VLOOKUP('Données projet'!$B$14,Paramètres!$A$1:$I$89,7,0))</f>
        <v>0</v>
      </c>
      <c r="DY35" s="16">
        <f>IF(ISNA(VLOOKUP(A35,'Données projet'!$A$165:$I$185,6,0)),0%,VLOOKUP(A35,'Données projet'!$A$165:$I$185,6,0)*VLOOKUP('Données projet'!$B$14,Paramètres!$A$1:$I$89,7,0))</f>
        <v>0</v>
      </c>
      <c r="DZ35" s="16">
        <f>IF(ISNA(VLOOKUP(A35,'Données projet'!$A$165:$I$185,7,0)),0%,VLOOKUP(A35,'Données projet'!$A$165:$I$185,7,0))</f>
        <v>0</v>
      </c>
      <c r="EA35" s="21">
        <f>EXP(-LN(2)/35)*EA34+(1-EXP(-LN(2)/35))/(LN(2)/35)*DW35*DX35*VLOOKUP('Données projet'!$B$14,Paramètres!$A$1:$I$89,3,0)*0.475*44/12</f>
        <v>1.4967792195138971</v>
      </c>
      <c r="EB35" s="21">
        <f>EXP(-LN(2)/25)*EB34+(1-EXP(-LN(2)/25))/(LN(2)/25)*Calculateur!DW35*Calculateur!DY35*VLOOKUP('Données projet'!$B$14,Paramètres!$A$1:$I$89,3,0)*0.475*44/12</f>
        <v>7.6044390297127347</v>
      </c>
      <c r="EC35" s="21">
        <f>EXP(-LN(2)/2)*EC34+(1-EXP(-LN(2)/2))/(LN(2)/2)*DW35*DZ35*VLOOKUP('Données projet'!$B$14,Paramètres!$A$1:$I$89,3,0)*0.475*44/12</f>
        <v>6.9982039931035436</v>
      </c>
      <c r="ED35" s="22">
        <f t="shared" si="18"/>
        <v>16.099422242330174</v>
      </c>
      <c r="EE35" s="75">
        <f>('Scénario référence'!$F$8+'Scénario référence'!$F$9+'Scénario référence'!$B$17+'Scénario référence'!$B$9+'Scénario référence'!$B$10)*70+IF((45+25*(1-EXP(-0.0175*A35)))&lt;70,'Scénario référence'!$B$16*(45+25*(1-EXP(-0.0175*A35))),70*'Scénario référence'!$B$16)+IF((32+38*(1-EXP(-0.0175*A35)))&lt;70,'Scénario référence'!$B$18*(32+38*(1-EXP(-0.0175*A35))),70*'Scénario référence'!$B$18)</f>
        <v>70</v>
      </c>
      <c r="EF35" s="12">
        <f>IF(A35&gt;30,10,('Scénario référence'!$B$16+'Scénario référence'!$B$17+'Scénario référence'!$B$18+'Scénario référence'!$B$9+'Scénario référence'!$B$10)*A35*10/30+('Scénario référence'!$F$8+'Scénario référence'!$F$9)*10)</f>
        <v>10</v>
      </c>
      <c r="EG35" s="12" t="e">
        <f>VLOOKUP(A35,'Données projet'!$A$191:$I$211,2,0)</f>
        <v>#N/A</v>
      </c>
      <c r="EH35" s="12" t="e">
        <f>VLOOKUP(A35,'Données projet'!$A$191:$I$211,9,0)</f>
        <v>#N/A</v>
      </c>
      <c r="EI35" s="12">
        <f t="array" ref="EI35">INDEX(EH:EH,MIN(IF(ISNUMBER(EH35:EH231),ROW(EH35:EH231),"")))</f>
        <v>7.2</v>
      </c>
      <c r="EJ35" s="12">
        <f>IF('Données projet'!$A$192&gt;35,EJ34+EI35-ER34,IF(A35&lt;'Données projet'!$A$192,$EG$205^A35,IF(A35='Données projet'!$A$192,'Données projet'!$B$192,EJ34+EI35-ER34)))</f>
        <v>123.39999999999999</v>
      </c>
      <c r="EK35" s="17">
        <f>EJ35*VLOOKUP('Données projet'!$B$15,Paramètres!$A$1:$I$89,3,0)*VLOOKUP('Données projet'!$B$15,Paramètres!$A$1:$I$89,5,0)</f>
        <v>100.10207999999999</v>
      </c>
      <c r="EL35" s="13">
        <f t="shared" si="45"/>
        <v>26.986315256436303</v>
      </c>
      <c r="EM35" s="20">
        <f t="shared" si="19"/>
        <v>221.34562173829318</v>
      </c>
      <c r="EN35" s="59">
        <f t="shared" si="20"/>
        <v>514.67895507162643</v>
      </c>
      <c r="EO35" s="59">
        <f ca="1">AVERAGE(OFFSET($EN$3,0,0,'Données projet'!$E$15+1,1))-AVERAGE(OFFSET($H$3,0,0,'Données projet'!$E$15+1,1))</f>
        <v>205.5272583787887</v>
      </c>
      <c r="EP35" s="59">
        <f t="shared" si="46"/>
        <v>180.54762778843178</v>
      </c>
      <c r="EQ35" s="15">
        <f>IF(ISNA(VLOOKUP(A35,'Données projet'!$A$191:$I$211,3,0)),0,VLOOKUP(A35,'Données projet'!$A$191:$I$211,3,0))</f>
        <v>0</v>
      </c>
      <c r="ER35" s="15">
        <f>IF(ISNA(VLOOKUP(A35,'Données projet'!$A$191:$I$211,4,0)),0,VLOOKUP(A35,'Données projet'!$A$191:$I$211,4,0))</f>
        <v>0</v>
      </c>
      <c r="ES35" s="16">
        <f>IF(ISNA(VLOOKUP(A35,'Données projet'!$A$191:$I$211,5,0)),0%,VLOOKUP(A35,'Données projet'!$A$191:$I$211,5,0)*VLOOKUP('Données projet'!$B$15,Paramètres!$A$1:$I$89,7,0))</f>
        <v>0</v>
      </c>
      <c r="ET35" s="16">
        <f>IF(ISNA(VLOOKUP(A35,'Données projet'!$A$191:$I$211,6,0)),0%,VLOOKUP(A35,'Données projet'!$A$191:$I$211,6,0)*VLOOKUP('Données projet'!$B$15,Paramètres!$A$1:$I$89,7,0))</f>
        <v>0</v>
      </c>
      <c r="EU35" s="16">
        <f>IF(ISNA(VLOOKUP(A35,'Données projet'!$A$191:$I$211,7,0)),0%,VLOOKUP(A35,'Données projet'!$A$191:$I$211,7,0))</f>
        <v>0</v>
      </c>
      <c r="EV35" s="21">
        <f>EXP(-LN(2)/35)*EV34+(1-EXP(-LN(2)/35))/(LN(2)/35)*ER35*ES35*VLOOKUP('Données projet'!$B$15,Paramètres!$A$1:$I$89,3,0)*0.475*44/12</f>
        <v>0.96364071656323269</v>
      </c>
      <c r="EW35" s="21">
        <f>EXP(-LN(2)/25)*EW34+(1-EXP(-LN(2)/25))/(LN(2)/25)*Calculateur!ER35*Calculateur!ET35*VLOOKUP('Données projet'!$B$15,Paramètres!$A$1:$I$89,3,0)*0.475*44/12</f>
        <v>5.4906356674479238</v>
      </c>
      <c r="EX35" s="21">
        <f>EXP(-LN(2)/2)*EX34+(1-EXP(-LN(2)/2))/(LN(2)/2)*ER35*EU35*VLOOKUP('Données projet'!$B$15,Paramètres!$A$1:$I$89,3,0)*0.475*44/12</f>
        <v>4.5313422601899678</v>
      </c>
      <c r="EY35" s="22">
        <f t="shared" si="21"/>
        <v>10.985618644201125</v>
      </c>
      <c r="EZ35" s="75">
        <f>('Scénario référence'!$F$8+'Scénario référence'!$F$9+'Scénario référence'!$B$17+'Scénario référence'!$B$9+'Scénario référence'!$B$10)*70+IF((45+25*(1-EXP(-0.0175*A35)))&lt;70,'Scénario référence'!$B$16*(45+25*(1-EXP(-0.0175*A35))),70*'Scénario référence'!$B$16)+IF((32+38*(1-EXP(-0.0175*A35)))&lt;70,'Scénario référence'!$B$18*(32+38*(1-EXP(-0.0175*A35))),70*'Scénario référence'!$B$18)</f>
        <v>70</v>
      </c>
      <c r="FA35" s="12">
        <f>IF(A35&gt;30,10,('Scénario référence'!$B$16+'Scénario référence'!$B$17+'Scénario référence'!$B$18+'Scénario référence'!$B$9+'Scénario référence'!$B$10)*A35*10/30+('Scénario référence'!$F$8+'Scénario référence'!$F$9)*10)</f>
        <v>10</v>
      </c>
      <c r="FB35" s="12" t="e">
        <f>VLOOKUP(A35,'Données projet'!$A$217:$I$237,2,0)</f>
        <v>#N/A</v>
      </c>
      <c r="FC35" s="12" t="e">
        <f>VLOOKUP(A35,'Données projet'!$A$217:$I$237,9,0)</f>
        <v>#N/A</v>
      </c>
      <c r="FD35" s="12">
        <f t="array" ref="FD35">INDEX(FC:FC,MIN(IF(ISNUMBER(FC35:FC231),ROW(FC35:FC231),"")))</f>
        <v>12.3</v>
      </c>
      <c r="FE35" s="12">
        <f>IF('Données projet'!$A$218&gt;35,FE34+FD35-FM34,IF(A35&lt;'Données projet'!$A$218,$FB$205^A35,IF(A35='Données projet'!$A$218,'Données projet'!$B$218,FE34+FD35-FM34)))</f>
        <v>123.59999999999998</v>
      </c>
      <c r="FF35" s="17">
        <f>FE35*VLOOKUP('Données projet'!$B$16,Paramètres!$A$1:$I$89,3,0)*VLOOKUP('Données projet'!$B$16,Paramètres!$A$1:$I$89,5,0)</f>
        <v>106.04879999999999</v>
      </c>
      <c r="FG35" s="13">
        <f t="shared" si="47"/>
        <v>28.398078356711014</v>
      </c>
      <c r="FH35" s="20">
        <f t="shared" si="22"/>
        <v>234.16164647127167</v>
      </c>
      <c r="FI35" s="59">
        <f t="shared" si="23"/>
        <v>527.49497980460501</v>
      </c>
      <c r="FJ35" s="59">
        <f ca="1">AVERAGE(OFFSET($FI$3,0,0,'Données projet'!$E$16+1,1))-AVERAGE(OFFSET($H$3,0,0,'Données projet'!$E$16+1,1))</f>
        <v>383.97627237444709</v>
      </c>
      <c r="FK35" s="59">
        <f t="shared" si="48"/>
        <v>203.35476578922339</v>
      </c>
      <c r="FL35" s="15">
        <f>IF(ISNA(VLOOKUP(A35,'Données projet'!$A$217:$I$237,3,0)),0,VLOOKUP(A35,'Données projet'!$A$217:$I$237,3,0))</f>
        <v>0</v>
      </c>
      <c r="FM35" s="15">
        <f>IF(ISNA(VLOOKUP(A35,'Données projet'!$A$217:$I$237,4,0)),0,VLOOKUP(A35,'Données projet'!$A$217:$I$237,4,0))</f>
        <v>0</v>
      </c>
      <c r="FN35" s="16">
        <f>IF(ISNA(VLOOKUP(A35,'Données projet'!$A$217:$I$237,5,0)),0%,VLOOKUP(A35,'Données projet'!$A$217:$I$237,5,0)*VLOOKUP('Données projet'!$B$16,Paramètres!$A$1:$I$89,7,0))</f>
        <v>0</v>
      </c>
      <c r="FO35" s="16">
        <f>IF(ISNA(VLOOKUP(A35,'Données projet'!$A$217:$I$237,6,0)),0%,VLOOKUP(A35,'Données projet'!$A$217:$I$237,6,0)*VLOOKUP('Données projet'!$B$16,Paramètres!$A$1:$I$89,7,0))</f>
        <v>0</v>
      </c>
      <c r="FP35" s="16">
        <f>IF(ISNA(VLOOKUP(A35,'Données projet'!$A$217:$I$237,7,0)),0%,VLOOKUP(A35,'Données projet'!$A$217:$I$237,7,0))</f>
        <v>0</v>
      </c>
      <c r="FQ35" s="21">
        <f>EXP(-LN(2)/35)*FQ34+(1-EXP(-LN(2)/35))/(LN(2)/35)*FM35*FN35*VLOOKUP('Données projet'!$B$16,Paramètres!$A$1:$I$89,3,0)*0.475*44/12</f>
        <v>4.9525904878240157</v>
      </c>
      <c r="FR35" s="21">
        <f>EXP(-LN(2)/25)*FR34+(1-EXP(-LN(2)/25))/(LN(2)/25)*Calculateur!FM35*Calculateur!FO35*VLOOKUP('Données projet'!$B$16,Paramètres!$A$1:$I$89,3,0)*0.475*44/12</f>
        <v>5.5735627135904826</v>
      </c>
      <c r="FS35" s="21">
        <f>EXP(-LN(2)/2)*FS34+(1-EXP(-LN(2)/2))/(LN(2)/2)*FM35*FP35*VLOOKUP('Données projet'!$B$16,Paramètres!$A$1:$I$89,3,0)*0.475*44/12</f>
        <v>8.3231457658949441</v>
      </c>
      <c r="FT35" s="22">
        <f t="shared" si="24"/>
        <v>18.849298967309444</v>
      </c>
      <c r="FU35" s="75">
        <f>('Scénario référence'!$F$8+'Scénario référence'!$F$9+'Scénario référence'!$B$17+'Scénario référence'!$B$9+'Scénario référence'!$B$10)*70+IF((45+25*(1-EXP(-0.0175*A35)))&lt;70,'Scénario référence'!$B$16*(45+25*(1-EXP(-0.0175*A35))),70*'Scénario référence'!$B$16)+IF((32+38*(1-EXP(-0.0175*A35)))&lt;70,'Scénario référence'!$B$18*(32+38*(1-EXP(-0.0175*A35))),70*'Scénario référence'!$B$18)</f>
        <v>70</v>
      </c>
      <c r="FV35" s="12">
        <f>IF(A35&gt;30,10,('Scénario référence'!$B$16+'Scénario référence'!$B$17+'Scénario référence'!$B$18+'Scénario référence'!$B$9+'Scénario référence'!$B$10)*A35*10/30+('Scénario référence'!$F$8+'Scénario référence'!$F$9)*10)</f>
        <v>10</v>
      </c>
      <c r="FW35" s="12" t="e">
        <f>VLOOKUP(A35,'Données projet'!$A$243:$I$263,2,0)</f>
        <v>#N/A</v>
      </c>
      <c r="FX35" s="12" t="e">
        <f>VLOOKUP(A35,'Données projet'!$A$243:$I$263,9,0)</f>
        <v>#N/A</v>
      </c>
      <c r="FY35" s="12">
        <f t="array" ref="FY35">INDEX(FX:FX,MIN(IF(ISNUMBER(FX35:FX231),ROW(FX35:FX231),"")))</f>
        <v>8.0564102564102562</v>
      </c>
      <c r="FZ35" s="12">
        <f>IF('Données projet'!$A$244&gt;35,FZ34+FY35-GH34,IF(A35&lt;'Données projet'!$A$244,$FW$205^A35,IF(A35='Données projet'!$A$244,'Données projet'!$B$244,FZ34+FY35-GH34)))</f>
        <v>137.99743589743588</v>
      </c>
      <c r="GA35" s="17">
        <f>FZ35*VLOOKUP('Données projet'!$B$17,Paramètres!$A$1:$I$89,3,0)*VLOOKUP('Données projet'!$B$17,Paramètres!$A$1:$I$89,5,0)</f>
        <v>148.54043999999996</v>
      </c>
      <c r="GB35" s="13">
        <f t="shared" si="49"/>
        <v>38.246706850465792</v>
      </c>
      <c r="GC35" s="20">
        <f t="shared" si="25"/>
        <v>325.32094743122781</v>
      </c>
      <c r="GD35" s="59">
        <f t="shared" si="26"/>
        <v>618.65428076456112</v>
      </c>
      <c r="GE35" s="59">
        <f ca="1">AVERAGE(OFFSET($GD$3,0,0,'Données projet'!$E$17+1,1))-AVERAGE(OFFSET($H$3,0,0,'Données projet'!$E$17+1,1))</f>
        <v>286.77702855541287</v>
      </c>
      <c r="GF35" s="59">
        <f t="shared" si="50"/>
        <v>227.12211541860779</v>
      </c>
      <c r="GG35" s="15">
        <f>IF(ISNA(VLOOKUP(A35,'Données projet'!$A$243:$I$263,3,0)),0,VLOOKUP(A35,'Données projet'!$A$243:$I$263,3,0))</f>
        <v>0</v>
      </c>
      <c r="GH35" s="15">
        <f>IF(ISNA(VLOOKUP(A35,'Données projet'!$A$243:$I$263,4,0)),0,VLOOKUP(A35,'Données projet'!$A$243:$I$263,4,0))</f>
        <v>0</v>
      </c>
      <c r="GI35" s="16">
        <f>IF(ISNA(VLOOKUP(A35,'Données projet'!$A$243:$I$263,5,0)),0%,VLOOKUP(A35,'Données projet'!$A$243:$I$263,5,0)*VLOOKUP('Données projet'!$B$17,Paramètres!$A$1:$I$89,7,0))</f>
        <v>0</v>
      </c>
      <c r="GJ35" s="16">
        <f>IF(ISNA(VLOOKUP(A35,'Données projet'!$A$243:$I$263,6,0)),0%,VLOOKUP(A35,'Données projet'!$A$243:$I$263,6,0)*VLOOKUP('Données projet'!$B$17,Paramètres!$A$1:$I$89,7,0))</f>
        <v>0</v>
      </c>
      <c r="GK35" s="16">
        <f>IF(ISNA(VLOOKUP(A35,'Données projet'!$A$243:$I$263,7,0)),0%,VLOOKUP(A35,'Données projet'!$A$243:$I$263,7,0))</f>
        <v>0</v>
      </c>
      <c r="GL35" s="21">
        <f>EXP(-LN(2)/35)*GL34+(1-EXP(-LN(2)/35))/(LN(2)/35)*GH35*GI35*VLOOKUP('Données projet'!$B$17,Paramètres!$A$1:$I$89,3,0)*0.475*44/12</f>
        <v>0</v>
      </c>
      <c r="GM35" s="21">
        <f>EXP(-LN(2)/25)*GM34+(1-EXP(-LN(2)/25))/(LN(2)/25)*Calculateur!GH35*Calculateur!GJ35*VLOOKUP('Données projet'!$B$17,Paramètres!$A$1:$I$89,3,0)*0.475*44/12</f>
        <v>0</v>
      </c>
      <c r="GN35" s="21">
        <f>EXP(-LN(2)/2)*GN34+(1-EXP(-LN(2)/2))/(LN(2)/2)*GH35*GK35*VLOOKUP('Données projet'!$B$17,Paramètres!$A$1:$I$89,3,0)*0.475*44/12</f>
        <v>0</v>
      </c>
      <c r="GO35" s="21">
        <f t="shared" si="27"/>
        <v>0</v>
      </c>
      <c r="GP35" s="75">
        <f>('Scénario référence'!$F$8+'Scénario référence'!$F$9+'Scénario référence'!$B$17+'Scénario référence'!$B$9+'Scénario référence'!$B$10)*70+IF((45+25*(1-EXP(-0.0175*A35)))&lt;70,'Scénario référence'!$B$16*(45+25*(1-EXP(-0.0175*A35))),70*'Scénario référence'!$B$16)+IF((32+38*(1-EXP(-0.0175*A35)))&lt;70,'Scénario référence'!$B$18*(32+38*(1-EXP(-0.0175*A35))),70*'Scénario référence'!$B$18)</f>
        <v>70</v>
      </c>
      <c r="GQ35" s="12">
        <f>IF(A35&gt;30,10,('Scénario référence'!$B$16+'Scénario référence'!$B$17+'Scénario référence'!$B$18+'Scénario référence'!$B$9+'Scénario référence'!$B$10)*A35*10/30+('Scénario référence'!$F$8+'Scénario référence'!$F$9)*10)</f>
        <v>10</v>
      </c>
      <c r="GR35" s="12" t="e">
        <f>VLOOKUP(A35,'Données projet'!$A$269:$I$289,2,0)</f>
        <v>#N/A</v>
      </c>
      <c r="GS35" s="12" t="e">
        <f>VLOOKUP(A35,'Données projet'!$A$269:$I$289,9,0)</f>
        <v>#N/A</v>
      </c>
      <c r="GT35" s="12">
        <f t="array" ref="GT35">INDEX(GS:GS,MIN(IF(ISNUMBER(GS35:GS231),ROW(GS35:GS231),"")))</f>
        <v>8.0564102564102562</v>
      </c>
      <c r="GU35" s="12">
        <f>IF('Données projet'!$A$270&gt;35,GU34+GT35-HC34,IF(A35&lt;'Données projet'!$A$270,$GR$205^A35,IF(A35='Données projet'!$A$270,'Données projet'!$B$270,GU34+GT35-HC34)))</f>
        <v>137.99743589743588</v>
      </c>
      <c r="GV35" s="17">
        <f>GU35*VLOOKUP('Données projet'!$B$18,Paramètres!$A$1:$I$89,3,0)*VLOOKUP('Données projet'!$B$18,Paramètres!$A$1:$I$89,5,0)</f>
        <v>148.54043999999996</v>
      </c>
      <c r="GW35" s="13">
        <f t="shared" si="51"/>
        <v>38.246706850465792</v>
      </c>
      <c r="GX35" s="20">
        <f t="shared" si="28"/>
        <v>325.32094743122781</v>
      </c>
      <c r="GY35" s="59">
        <f t="shared" si="29"/>
        <v>618.65428076456112</v>
      </c>
      <c r="GZ35" s="59">
        <f ca="1">AVERAGE(OFFSET($GY$3,0,0,'Données projet'!$E$18+1,1))-AVERAGE(OFFSET($H$3,0,0,'Données projet'!$E$18+1,1))</f>
        <v>286.77702855541287</v>
      </c>
      <c r="HA35" s="59">
        <f t="shared" si="52"/>
        <v>227.12211541860779</v>
      </c>
      <c r="HB35" s="15">
        <f>IF(ISNA(VLOOKUP(A35,'Données projet'!$A$269:$I$289,3,0)),0,VLOOKUP(A35,'Données projet'!$A$269:$I$289,3,0))</f>
        <v>0</v>
      </c>
      <c r="HC35" s="15">
        <f>IF(ISNA(VLOOKUP(A35,'Données projet'!$A$269:$I$289,4,0)),0,VLOOKUP(A35,'Données projet'!$A$269:$I$289,4,0))</f>
        <v>0</v>
      </c>
      <c r="HD35" s="16">
        <f>IF(ISNA(VLOOKUP(A35,'Données projet'!$A$269:$I$289,5,0)),0%,VLOOKUP(A35,'Données projet'!$A$269:$I$289,5,0)*VLOOKUP('Données projet'!$B$18,Paramètres!$A$1:$I$89,7,0))</f>
        <v>0</v>
      </c>
      <c r="HE35" s="16">
        <f>IF(ISNA(VLOOKUP(A35,'Données projet'!$A$269:$I$289,6,0)),0%,VLOOKUP(A35,'Données projet'!$A$269:$I$289,6,0)*VLOOKUP('Données projet'!$B$18,Paramètres!$A$1:$I$89,7,0))</f>
        <v>0</v>
      </c>
      <c r="HF35" s="16">
        <f>IF(ISNA(VLOOKUP(A35,'Données projet'!$A$269:$I$289,7,0)),0%,VLOOKUP(A35,'Données projet'!$A$269:$I$289,7,0))</f>
        <v>0</v>
      </c>
      <c r="HG35" s="21">
        <f>EXP(-LN(2)/35)*HG34+(1-EXP(-LN(2)/35))/(LN(2)/35)*HC35*HD35*VLOOKUP('Données projet'!$B$18,Paramètres!$A$1:$I$89,3,0)*0.475*44/12</f>
        <v>0</v>
      </c>
      <c r="HH35" s="21">
        <f>EXP(-LN(2)/25)*HH34+(1-EXP(-LN(2)/25))/(LN(2)/25)*Calculateur!HC35*Calculateur!HE35*VLOOKUP('Données projet'!$B$18,Paramètres!$A$1:$I$89,3,0)*0.475*44/12</f>
        <v>0</v>
      </c>
      <c r="HI35" s="21">
        <f>EXP(-LN(2)/2)*HI34+(1-EXP(-LN(2)/2))/(LN(2)/2)*HC35*HF35*VLOOKUP('Données projet'!$B$18,Paramètres!$A$1:$I$89,3,0)*0.475*44/12</f>
        <v>0</v>
      </c>
      <c r="HJ35" s="22">
        <f t="shared" si="30"/>
        <v>0</v>
      </c>
    </row>
    <row r="36" spans="1:218" x14ac:dyDescent="0.25">
      <c r="A36" s="10">
        <f t="shared" si="31"/>
        <v>33</v>
      </c>
      <c r="B36" s="73">
        <f>'Scénario référence'!$B$16*5+'Scénario référence'!$B$17*0+'Scénario référence'!$B$18*5</f>
        <v>0</v>
      </c>
      <c r="C36" s="19">
        <f>Calculateur!C35+'Scénario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29.343599999999988</v>
      </c>
      <c r="D36" s="11">
        <f t="shared" si="32"/>
        <v>9.1252947188023139</v>
      </c>
      <c r="E3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36" s="11">
        <f>IF(OR('Scénario référence'!$F$8&gt;0,'Scénario référence'!$F$9&gt;0),('Scénario référence'!$F$8+'Scénario référence'!$F$9)*10,0)</f>
        <v>10</v>
      </c>
      <c r="G36" s="11">
        <f>'Scénario référence'!$B$8*B36*44/12+'Scénario référence'!$B$9*(C36+D36)/0.475*44/12+'Scénario référence'!$B$10*(C36+D36)/0.475*44/12+'Scénario référence'!$F$8*(C36+D36)/0.475*44/12+'Scénario référence'!$F$9*(C36+D36)/0.475*44/12</f>
        <v>296.95287151356166</v>
      </c>
      <c r="H36" s="67">
        <f t="shared" si="1"/>
        <v>360.33332496858065</v>
      </c>
      <c r="I36" s="70">
        <f>('Scénario référence'!$F$8+'Scénario référence'!$F$9+'Scénario référence'!$B$17+'Scénario référence'!$B$9+'Scénario référence'!$B$10)*70+IF((45+25*(1-EXP(-0.0175*A36)))&lt;70,'Scénario référence'!$B$16*(45+25*(1-EXP(-0.0175*A36))),70*'Scénario référence'!$B$16)+IF((32+38*(1-EXP(-0.0175*A36)))&lt;70,'Scénario référence'!$B$18*(32+38*(1-EXP(-0.0175*A36))),70*'Scénario référence'!$B$18)</f>
        <v>70</v>
      </c>
      <c r="J36" s="13">
        <f>IF(A36&gt;30,10,('Scénario référence'!$B$16+'Scénario référence'!$B$17+'Scénario référence'!$B$18+'Scénario référence'!$B$9+'Scénario référence'!$B$10)*A36*10/30+('Scénario référence'!$F$8+'Scénario référence'!$F$9)*10)</f>
        <v>10</v>
      </c>
      <c r="K36" s="12" t="e">
        <f>VLOOKUP(A36,'Données projet'!$A$35:$I$55,2,0)</f>
        <v>#N/A</v>
      </c>
      <c r="L36" s="12" t="e">
        <f>VLOOKUP(A36,'Données projet'!$A$35:$I$55,9,0)</f>
        <v>#N/A</v>
      </c>
      <c r="M36" s="12">
        <f t="array" ref="M36">INDEX(L:L,MIN(IF(ISNUMBER(L36:L232),ROW(L36:L232),"")))</f>
        <v>22.884615384615376</v>
      </c>
      <c r="N36" s="13">
        <f>IF('Données projet'!$A$36&gt;35,N35+M36-V35,IF(A36&lt;'Données projet'!$A$36,$K$205^A36,IF(A36='Données projet'!$A$36,'Données projet'!$B$36,N35+M36-V35)))</f>
        <v>334.85384615384595</v>
      </c>
      <c r="O36" s="13">
        <f>N36*VLOOKUP('Données projet'!$B$9,Paramètres!$A$1:$I$89,3,0)*VLOOKUP('Données projet'!$B$9,Paramètres!$A$1:$I$89,5,0)</f>
        <v>187.18329999999989</v>
      </c>
      <c r="P36" s="13">
        <f t="shared" si="33"/>
        <v>46.91668019244311</v>
      </c>
      <c r="Q36" s="20">
        <f t="shared" si="53"/>
        <v>407.72413216850492</v>
      </c>
      <c r="R36" s="59">
        <f t="shared" si="0"/>
        <v>701.05746550183824</v>
      </c>
      <c r="S36" s="59">
        <f ca="1">AVERAGE(OFFSET($R$3,0,0,'Données projet'!$E$9+1,1))-AVERAGE(OFFSET($H$3,0,0,'Données projet'!$E$9+1,1))</f>
        <v>255.5374979188561</v>
      </c>
      <c r="T36" s="59">
        <f t="shared" si="34"/>
        <v>343.10418468620901</v>
      </c>
      <c r="U36" s="15">
        <f>IF(ISNA(VLOOKUP(A36,'Données projet'!$A$35:$I$55,3,0)),0,VLOOKUP(A36,'Données projet'!$A$35:$I$55,3,0))</f>
        <v>0</v>
      </c>
      <c r="V36" s="15">
        <f>IF(ISNA(VLOOKUP(A36,'Données projet'!$A$35:$I$55,4,0)),0,VLOOKUP(A36,'Données projet'!$A$35:$I$55,4,0))</f>
        <v>0</v>
      </c>
      <c r="W36" s="16">
        <f>IF(ISNA(VLOOKUP(A36,'Données projet'!$A$35:$I$55,5,0)),0%,VLOOKUP(A36,'Données projet'!$A$35:$I$55,5,0)*VLOOKUP('Données projet'!$B$9,Paramètres!$A$1:$I$89,7,0))</f>
        <v>0</v>
      </c>
      <c r="X36" s="16">
        <f>IF(ISNA(VLOOKUP(A36,'Données projet'!$A$35:$I$55,6,0)),0%,VLOOKUP(A36,'Données projet'!$A$35:$I$55,6,0)*VLOOKUP('Données projet'!$B$9,Paramètres!$A$1:$I$89,7,0))</f>
        <v>0</v>
      </c>
      <c r="Y36" s="16">
        <f>IF(ISNA(VLOOKUP(A36,'Données projet'!$A$35:$I$55,7,0)),0%,VLOOKUP(A36,'Données projet'!$A$35:$I$55,7,0))</f>
        <v>0</v>
      </c>
      <c r="Z36" s="21">
        <f>EXP(-LN(2)/35)*Z35+(1-EXP(-LN(2)/35))/(LN(2)/35)*V36*W36*VLOOKUP('Données projet'!$B$9,Paramètres!$A$1:$I$89,3,0)*0.475*44/12</f>
        <v>2.91180072107323</v>
      </c>
      <c r="AA36" s="21">
        <f>EXP(-LN(2)/25)*AA35+(1-EXP(-LN(2)/25))/(LN(2)/25)*Calculateur!V36*Calculateur!X36*VLOOKUP('Données projet'!$B$9,Paramètres!$A$1:$I$89,3,0)*0.475*44/12</f>
        <v>14.68643335244553</v>
      </c>
      <c r="AB36" s="21">
        <f>EXP(-LN(2)/2)*AB35+(1-EXP(-LN(2)/2))/(LN(2)/2)*V36*Y36*VLOOKUP('Données projet'!$B$9,Paramètres!$A$1:$I$89,3,0)*0.475*44/12</f>
        <v>0.59844288178574045</v>
      </c>
      <c r="AC36" s="22">
        <f t="shared" si="3"/>
        <v>18.1966769553045</v>
      </c>
      <c r="AD36" s="13">
        <f>('Scénario référence'!$F$8+'Scénario référence'!$F$9+'Scénario référence'!$B$17+'Scénario référence'!$B$9+'Scénario référence'!$B$10)*70+IF((45+25*(1-EXP(-0.0175*A36)))&lt;70,'Scénario référence'!$B$16*(45+25*(1-EXP(-0.0175*A36))),70*'Scénario référence'!$B$16)+IF((32+38*(1-EXP(-0.0175*A36)))&lt;70,'Scénario référence'!$B$18*(32+38*(1-EXP(-0.0175*A36))),70*'Scénario référence'!$B$18)</f>
        <v>70</v>
      </c>
      <c r="AE36" s="13">
        <f>IF(A36&gt;30,10,('Scénario référence'!$B$16+'Scénario référence'!$B$17+'Scénario référence'!$B$18+'Scénario référence'!$B$9+'Scénario référence'!$B$10)*A36*10/30+('Scénario référence'!$F$8+'Scénario référence'!$F$9)*10)</f>
        <v>10</v>
      </c>
      <c r="AF36" s="12" t="e">
        <f>VLOOKUP(A36,'Données projet'!$A$61:$I$81,2,0)</f>
        <v>#N/A</v>
      </c>
      <c r="AG36" s="12" t="e">
        <f>VLOOKUP(A36,'Données projet'!$A$61:$I$81,9,0)</f>
        <v>#N/A</v>
      </c>
      <c r="AH36" s="12">
        <f t="array" ref="AH36">INDEX(AG:AG,MIN(IF(ISNUMBER(AG36:AG232),ROW(AG36:AG232),"")))</f>
        <v>15.1</v>
      </c>
      <c r="AI36" s="13">
        <f>IF('Données projet'!$A$62&gt;35,AI35+AH36-AQ35,IF(A36&lt;'Données projet'!$A$62,$AF$205^A36,IF(A36='Données projet'!$A$62,'Données projet'!$B$62,AI35+AH36-AQ35)))</f>
        <v>224.3</v>
      </c>
      <c r="AJ36" s="13">
        <f>AI36*VLOOKUP('Données projet'!$B$10,Paramètres!$A$1:$I$89,3,0)*VLOOKUP('Données projet'!$B$10,Paramètres!$A$1:$I$89,5,0)</f>
        <v>139.9632</v>
      </c>
      <c r="AK36" s="13">
        <f t="shared" si="35"/>
        <v>36.288575002787859</v>
      </c>
      <c r="AL36" s="20">
        <f t="shared" si="4"/>
        <v>306.97184146318881</v>
      </c>
      <c r="AM36" s="59">
        <f t="shared" si="5"/>
        <v>600.30517479652212</v>
      </c>
      <c r="AN36" s="59">
        <f ca="1">AVERAGE(OFFSET($AM$3,0,0,'Données projet'!$E$10+1,1))-AVERAGE(OFFSET($H$3,0,0,'Données projet'!$E$10+1,1))</f>
        <v>261.78489480911571</v>
      </c>
      <c r="AO36" s="59">
        <f t="shared" si="36"/>
        <v>297.50513563712764</v>
      </c>
      <c r="AP36" s="15">
        <f>IF(ISNA(VLOOKUP(A36,'Données projet'!$A$61:$I$81,3,0)),0,VLOOKUP(A36,'Données projet'!$A$61:$I$81,3,0))</f>
        <v>0</v>
      </c>
      <c r="AQ36" s="15">
        <f>IF(ISNA(VLOOKUP(A36,'Données projet'!$A$61:$I$81,4,0)),0,VLOOKUP(A36,'Données projet'!$A$61:$I$81,4,0))</f>
        <v>0</v>
      </c>
      <c r="AR36" s="16">
        <f>IF(ISNA(VLOOKUP(A36,'Données projet'!$A$61:$I$81,5,0)),0%,VLOOKUP(A36,'Données projet'!$A$61:$I$81,5,0)*VLOOKUP('Données projet'!$B$10,Paramètres!$A$1:$I$89,7,0))</f>
        <v>0</v>
      </c>
      <c r="AS36" s="16">
        <f>IF(ISNA(VLOOKUP(A36,'Données projet'!$A$61:$I$81,6,0)),0%,VLOOKUP(A36,'Données projet'!$A$61:$I$81,6,0)*VLOOKUP('Données projet'!$B$10,Paramètres!$A$1:$I$89,7,0))</f>
        <v>0</v>
      </c>
      <c r="AT36" s="16">
        <f>IF(ISNA(VLOOKUP(A36,'Données projet'!$A$61:$I$81,7,0)),0%,VLOOKUP(A36,'Données projet'!$A$61:$I$81,7,0))</f>
        <v>0</v>
      </c>
      <c r="AU36" s="21">
        <f>EXP(-LN(2)/35)*AU35+(1-EXP(-LN(2)/35))/(LN(2)/35)*AQ36*AR36*VLOOKUP('Données projet'!$B$10,Paramètres!$A$1:$I$89,3,0)*0.475*44/12</f>
        <v>7.8626855457813818</v>
      </c>
      <c r="AV36" s="21">
        <f>EXP(-LN(2)/25)*AV35+(1-EXP(-LN(2)/25))/(LN(2)/25)*Calculateur!AQ36*Calculateur!AS36*VLOOKUP('Données projet'!$B$10,Paramètres!$A$1:$I$89,3,0)*0.475*44/12</f>
        <v>25.645508091161592</v>
      </c>
      <c r="AW36" s="21">
        <f>EXP(-LN(2)/2)*AW35+(1-EXP(-LN(2)/2))/(LN(2)/2)*AQ36*AT36*VLOOKUP('Données projet'!$B$10,Paramètres!$A$1:$I$89,3,0)*0.475*44/12</f>
        <v>8.6271238609697356</v>
      </c>
      <c r="AX36" s="21">
        <f t="shared" si="6"/>
        <v>42.135317497912709</v>
      </c>
      <c r="AY36" s="74">
        <f>('Scénario référence'!$F$8+'Scénario référence'!$F$9+'Scénario référence'!$B$17+'Scénario référence'!$B$9+'Scénario référence'!$B$10)*70+IF((45+25*(1-EXP(-0.0175*A36)))&lt;70,'Scénario référence'!$B$16*(45+25*(1-EXP(-0.0175*A36))),70*'Scénario référence'!$B$16)+IF((32+38*(1-EXP(-0.0175*A36)))&lt;70,'Scénario référence'!$B$18*(32+38*(1-EXP(-0.0175*A36))),70*'Scénario référence'!$B$18)</f>
        <v>70</v>
      </c>
      <c r="AZ36" s="12">
        <f>IF(A36&gt;30,10,('Scénario référence'!$B$16+'Scénario référence'!$B$17+'Scénario référence'!$B$18+'Scénario référence'!$B$9+'Scénario référence'!$B$10)*A36*10/30+('Scénario référence'!$F$8+'Scénario référence'!$F$9)*10)</f>
        <v>10</v>
      </c>
      <c r="BA36" s="12" t="e">
        <f>VLOOKUP(A36,'Données projet'!$A$87:$I$107,2,0)</f>
        <v>#N/A</v>
      </c>
      <c r="BB36" s="12" t="e">
        <f>VLOOKUP(A36,'Données projet'!$A$87:$I$107,9,0)</f>
        <v>#N/A</v>
      </c>
      <c r="BC36" s="12">
        <f t="array" ref="BC36">INDEX(BB:BB,MIN(IF(ISNUMBER(BB36:BB232),ROW(BB36:BB232),"")))</f>
        <v>18.2</v>
      </c>
      <c r="BD36" s="12">
        <f>IF('Données projet'!$A$88&gt;35,BD35+BC36-BL35,IF(A36&lt;'Données projet'!$A$88,$BA$205^A36,IF(A36='Données projet'!$A$88,'Données projet'!$B$88,BD35+BC36-BL35)))</f>
        <v>213.60000000000002</v>
      </c>
      <c r="BE36" s="13">
        <f>BD36*VLOOKUP('Données projet'!$B$11,Paramètres!$A$1:$I$89,3,0)*VLOOKUP('Données projet'!$B$11,Paramètres!$A$1:$I$89,5,0)</f>
        <v>127.73280000000003</v>
      </c>
      <c r="BF36" s="13">
        <f t="shared" si="37"/>
        <v>33.471940749957469</v>
      </c>
      <c r="BG36" s="20">
        <f t="shared" si="7"/>
        <v>280.76492347284267</v>
      </c>
      <c r="BH36" s="59">
        <f t="shared" si="8"/>
        <v>574.09825680617598</v>
      </c>
      <c r="BI36" s="59">
        <f ca="1">AVERAGE(OFFSET($BH$3,0,0,'Données projet'!$E$11+1,1))-AVERAGE(OFFSET($H$3,0,0,'Données projet'!$E$11+1,1))</f>
        <v>316.58509520829671</v>
      </c>
      <c r="BJ36" s="59">
        <f t="shared" si="38"/>
        <v>240.71332110643596</v>
      </c>
      <c r="BK36" s="15">
        <f>IF(ISNA(VLOOKUP(A36,'Données projet'!$A$87:$I$107,3,0)),0,VLOOKUP(A36,'Données projet'!$A$87:$I$107,3,0))</f>
        <v>0</v>
      </c>
      <c r="BL36" s="15">
        <f>IF(ISNA(VLOOKUP(A36,'Données projet'!$A$87:$I$107,4,0)),0,VLOOKUP(A36,'Données projet'!$A$87:$I$107,4,0))</f>
        <v>0</v>
      </c>
      <c r="BM36" s="16">
        <f>IF(ISNA(VLOOKUP(A36,'Données projet'!$A$87:$I$107,5,0)),0%,VLOOKUP(A36,'Données projet'!$A$87:$I$107,5,0)*VLOOKUP('Données projet'!$B$11,Paramètres!$A$1:$I$89,7,0))</f>
        <v>0</v>
      </c>
      <c r="BN36" s="16">
        <f>IF(ISNA(VLOOKUP(A36,'Données projet'!$A$87:$I$107,6,0)),0%,VLOOKUP(A36,'Données projet'!$A$87:$I$107,6,0)*VLOOKUP('Données projet'!$B$11,Paramètres!$A$1:$I$89,7,0))</f>
        <v>0</v>
      </c>
      <c r="BO36" s="16">
        <f>IF(ISNA(VLOOKUP(A36,'Données projet'!$A$87:$I$107,7,0)),0%,VLOOKUP(A36,'Données projet'!$A$87:$I$107,7,0))</f>
        <v>0</v>
      </c>
      <c r="BP36" s="21">
        <f>EXP(-LN(2)/35)*BP35+(1-EXP(-LN(2)/35))/(LN(2)/35)*BL36*BM36*VLOOKUP('Données projet'!$B$11,Paramètres!$A$1:$I$89,3,0)*0.475*44/12</f>
        <v>2.3883492366556927</v>
      </c>
      <c r="BQ36" s="21">
        <f>EXP(-LN(2)/25)*BQ35+(1-EXP(-LN(2)/25))/(LN(2)/25)*Calculateur!BL36*Calculateur!BN36*VLOOKUP('Données projet'!$B$11,Paramètres!$A$1:$I$89,3,0)*0.475*44/12</f>
        <v>14.049357618937552</v>
      </c>
      <c r="BR36" s="21">
        <f>EXP(-LN(2)/2)*BR35+(1-EXP(-LN(2)/2))/(LN(2)/2)*BL36*BO36*VLOOKUP('Données projet'!$B$11,Paramètres!$A$1:$I$89,3,0)*0.475*44/12</f>
        <v>7.7567291298373204</v>
      </c>
      <c r="BS36" s="22">
        <f t="shared" si="9"/>
        <v>24.194435985430566</v>
      </c>
      <c r="BT36" s="75">
        <f>('Scénario référence'!$F$8+'Scénario référence'!$F$9+'Scénario référence'!$B$17+'Scénario référence'!$B$9+'Scénario référence'!$B$10)*70+IF((45+25*(1-EXP(-0.0175*A36)))&lt;70,'Scénario référence'!$B$16*(45+25*(1-EXP(-0.0175*A36))),70*'Scénario référence'!$B$16)+IF((32+38*(1-EXP(-0.0175*A36)))&lt;70,'Scénario référence'!$B$18*(32+38*(1-EXP(-0.0175*A36))),70*'Scénario référence'!$B$18)</f>
        <v>70</v>
      </c>
      <c r="BU36" s="12">
        <f>IF(A36&gt;30,10,('Scénario référence'!$B$16+'Scénario référence'!$B$17+'Scénario référence'!$B$18+'Scénario référence'!$B$9+'Scénario référence'!$B$10)*A36*10/30+('Scénario référence'!$F$8+'Scénario référence'!$F$9)*10)</f>
        <v>10</v>
      </c>
      <c r="BV36" s="12" t="e">
        <f>VLOOKUP(A36,'Données projet'!$A$113:$I$133,2,0)</f>
        <v>#N/A</v>
      </c>
      <c r="BW36" s="12" t="e">
        <f>VLOOKUP(A36,'Données projet'!$A$113:$I$133,9,0)</f>
        <v>#N/A</v>
      </c>
      <c r="BX36" s="12">
        <f t="array" ref="BX36">INDEX(BW:BW,MIN(IF(ISNUMBER(BW36:BW232),ROW(BW36:BW232),"")))</f>
        <v>13.6</v>
      </c>
      <c r="BY36" s="12">
        <f>IF('Données projet'!$A$114&gt;35,BY35+BX36-CG35,IF(A36&lt;'Données projet'!$A$114,$BV$205^A36,IF(A36='Données projet'!$A$114,'Données projet'!$B$114,BY35+BX36-CG35)))</f>
        <v>185.7999999999999</v>
      </c>
      <c r="BZ36" s="13">
        <f>BY36*VLOOKUP('Données projet'!$B$12,Paramètres!$A$1:$I$89,3,0)*VLOOKUP('Données projet'!$B$12,Paramètres!$A$1:$I$89,5,0)</f>
        <v>106.27759999999994</v>
      </c>
      <c r="CA36" s="13">
        <f t="shared" si="39"/>
        <v>28.452208656137234</v>
      </c>
      <c r="CB36" s="20">
        <f t="shared" si="10"/>
        <v>234.65441674277224</v>
      </c>
      <c r="CC36" s="59">
        <f t="shared" si="11"/>
        <v>527.98775007610561</v>
      </c>
      <c r="CD36" s="59">
        <f ca="1">AVERAGE(OFFSET($CC$3,0,0,'Données projet'!$E$12+1,1))-AVERAGE(OFFSET($H$3,0,0,'Données projet'!$E$12+1,1))</f>
        <v>188.64374818906128</v>
      </c>
      <c r="CE36" s="59">
        <f t="shared" si="40"/>
        <v>211.95157880548652</v>
      </c>
      <c r="CF36" s="15">
        <f>IF(ISNA(VLOOKUP(A36,'Données projet'!$A$113:$I$133,3,0)),0,VLOOKUP(A36,'Données projet'!$A$113:$I$133,3,0))</f>
        <v>0</v>
      </c>
      <c r="CG36" s="15">
        <f>IF(ISNA(VLOOKUP(A36,'Données projet'!$A$113:$I$133,4,0)),0,VLOOKUP(A36,'Données projet'!$A$113:$I$133,4,0))</f>
        <v>0</v>
      </c>
      <c r="CH36" s="16">
        <f>IF(ISNA(VLOOKUP(A36,'Données projet'!$A$113:$I$133,5,0)),0%,VLOOKUP(A36,'Données projet'!$A$113:$I$133,5,0)*VLOOKUP('Données projet'!$B$12,Paramètres!$A$1:$I$89,7,0))</f>
        <v>0</v>
      </c>
      <c r="CI36" s="16">
        <f>IF(ISNA(VLOOKUP(A36,'Données projet'!$A$113:$I$133,6,0)),0%,VLOOKUP(A36,'Données projet'!$A$113:$I$133,6,0)*VLOOKUP('Données projet'!$B$12,Paramètres!$A$1:$I$89,7,0))</f>
        <v>0</v>
      </c>
      <c r="CJ36" s="16">
        <f>IF(ISNA(VLOOKUP(A36,'Données projet'!$A$113:$I$133,7,0)),0%,VLOOKUP(A36,'Données projet'!$A$113:$I$133,7,0))</f>
        <v>0</v>
      </c>
      <c r="CK36" s="21">
        <f>EXP(-LN(2)/35)*CK35+(1-EXP(-LN(2)/35))/(LN(2)/35)*CG36*CH36*VLOOKUP('Données projet'!$B$12,Paramètres!$A$1:$I$89,3,0)*0.475*44/12</f>
        <v>2.3166841340248721</v>
      </c>
      <c r="CL36" s="21">
        <f>EXP(-LN(2)/25)*CL35+(1-EXP(-LN(2)/25))/(LN(2)/25)*Calculateur!CG36*Calculateur!CI36*VLOOKUP('Données projet'!$B$12,Paramètres!$A$1:$I$89,3,0)*0.475*44/12</f>
        <v>13.223573493165672</v>
      </c>
      <c r="CM36" s="21">
        <f>EXP(-LN(2)/2)*CM35+(1-EXP(-LN(2)/2))/(LN(2)/2)*CG36*CJ36*VLOOKUP('Données projet'!$B$12,Paramètres!$A$1:$I$89,3,0)*0.475*44/12</f>
        <v>7.5117852667470659</v>
      </c>
      <c r="CN36" s="22">
        <f t="shared" si="12"/>
        <v>23.05204289393761</v>
      </c>
      <c r="CO36" s="75">
        <f>('Scénario référence'!$F$8+'Scénario référence'!$F$9+'Scénario référence'!$B$17+'Scénario référence'!$B$9+'Scénario référence'!$B$10)*70+IF((45+25*(1-EXP(-0.0175*A36)))&lt;70,'Scénario référence'!$B$16*(45+25*(1-EXP(-0.0175*A36))),70*'Scénario référence'!$B$16)+IF((32+38*(1-EXP(-0.0175*A36)))&lt;70,'Scénario référence'!$B$18*(32+38*(1-EXP(-0.0175*A36))),70*'Scénario référence'!$B$18)</f>
        <v>70</v>
      </c>
      <c r="CP36" s="12">
        <f>IF(A36&gt;30,10,('Scénario référence'!$B$16+'Scénario référence'!$B$17+'Scénario référence'!$B$18+'Scénario référence'!$B$9+'Scénario référence'!$B$10)*A36*10/30+('Scénario référence'!$F$8+'Scénario référence'!$F$9)*10)</f>
        <v>10</v>
      </c>
      <c r="CQ36" s="12" t="e">
        <f>VLOOKUP(A36,'Données projet'!$A$139:$I$159,2,0)</f>
        <v>#N/A</v>
      </c>
      <c r="CR36" s="12" t="e">
        <f>VLOOKUP(A36,'Données projet'!$A$139:$I$159,9,0)</f>
        <v>#N/A</v>
      </c>
      <c r="CS36" s="12">
        <f t="array" ref="CS36">INDEX(CR:CR,MIN(IF(ISNUMBER(CR36:CR232),ROW(CR36:CR232),"")))</f>
        <v>0</v>
      </c>
      <c r="CT36" s="12">
        <f>IF('Données projet'!$A$140&gt;35,CT35+CS36-DB35,IF(A36&lt;'Données projet'!$A$140,$CQ$205^A36,IF(A36='Données projet'!$A$140,'Données projet'!$B$140,CT35+CS36-DB35)))</f>
        <v>0</v>
      </c>
      <c r="CU36" s="17" t="e">
        <f>CT36*VLOOKUP('Données projet'!$B$13,Paramètres!$A$1:$I$89,3,0)*VLOOKUP('Données projet'!$B$13,Paramètres!$A$1:$I$89,5,0)</f>
        <v>#N/A</v>
      </c>
      <c r="CV36" s="13" t="e">
        <f t="shared" si="41"/>
        <v>#N/A</v>
      </c>
      <c r="CW36" s="20" t="e">
        <f t="shared" si="13"/>
        <v>#N/A</v>
      </c>
      <c r="CX36" s="59" t="e">
        <f t="shared" si="14"/>
        <v>#N/A</v>
      </c>
      <c r="CY36" s="59" t="e">
        <f ca="1">AVERAGE(OFFSET($CX$3,0,0,'Données projet'!$E$13+1,1))-AVERAGE(OFFSET($H$3,0,0,'Données projet'!$E$13+1,1))</f>
        <v>#N/A</v>
      </c>
      <c r="CZ36" s="59" t="e">
        <f t="shared" si="42"/>
        <v>#N/A</v>
      </c>
      <c r="DA36" s="15">
        <f>IF(ISNA(VLOOKUP(A36,'Données projet'!$A$139:$I$159,3,0)),0,VLOOKUP(A36,'Données projet'!$A$139:$I$159,3,0))</f>
        <v>0</v>
      </c>
      <c r="DB36" s="15">
        <f>IF(ISNA(VLOOKUP(A36,'Données projet'!$A$139:$I$159,4,0)),0,VLOOKUP(A36,'Données projet'!$A$139:$I$159,4,0))</f>
        <v>0</v>
      </c>
      <c r="DC36" s="16">
        <f>IF(ISNA(VLOOKUP(A36,'Données projet'!$A$139:$I$159,5,0)),0%,VLOOKUP(A36,'Données projet'!$A$139:$I$159,5,0)*VLOOKUP('Données projet'!$B$13,Paramètres!$A$1:$I$89,7,0))</f>
        <v>0</v>
      </c>
      <c r="DD36" s="16">
        <f>IF(ISNA(VLOOKUP(A36,'Données projet'!$A$139:$I$159,6,0)),0%,VLOOKUP(A36,'Données projet'!$A$139:$I$159,6,0)*VLOOKUP('Données projet'!$B$13,Paramètres!$A$1:$I$89,7,0))</f>
        <v>0</v>
      </c>
      <c r="DE36" s="16">
        <f>IF(ISNA(VLOOKUP(A36,'Données projet'!$A$139:$I$159,7,0)),0%,VLOOKUP(A36,'Données projet'!$A$139:$I$159,7,0))</f>
        <v>0</v>
      </c>
      <c r="DF36" s="21" t="e">
        <f>EXP(-LN(2)/35)*DF35+(1-EXP(-LN(2)/35))/(LN(2)/35)*DB36*DC36*VLOOKUP('Données projet'!$B$13,Paramètres!$A$1:$I$89,3,0)*0.475*44/12</f>
        <v>#N/A</v>
      </c>
      <c r="DG36" s="21" t="e">
        <f>EXP(-LN(2)/25)*DG35+(1-EXP(-LN(2)/25))/(LN(2)/25)*Calculateur!DB36*Calculateur!DD36*VLOOKUP('Données projet'!$B$13,Paramètres!$A$1:$I$89,3,0)*0.475*44/12</f>
        <v>#N/A</v>
      </c>
      <c r="DH36" s="21" t="e">
        <f>EXP(-LN(2)/2)*DH35+(1-EXP(-LN(2)/2))/(LN(2)/2)*DB36*DE36*VLOOKUP('Données projet'!$B$13,Paramètres!$A$1:$I$89,3,0)*0.475*44/12</f>
        <v>#N/A</v>
      </c>
      <c r="DI36" s="22" t="e">
        <f t="shared" si="15"/>
        <v>#N/A</v>
      </c>
      <c r="DJ36" s="75">
        <f>('Scénario référence'!$F$8+'Scénario référence'!$F$9+'Scénario référence'!$B$17+'Scénario référence'!$B$9+'Scénario référence'!$B$10)*70+IF((45+25*(1-EXP(-0.0175*A36)))&lt;70,'Scénario référence'!$B$16*(45+25*(1-EXP(-0.0175*A36))),70*'Scénario référence'!$B$16)+IF((32+38*(1-EXP(-0.0175*A36)))&lt;70,'Scénario référence'!$B$18*(32+38*(1-EXP(-0.0175*A36))),70*'Scénario référence'!$B$18)</f>
        <v>70</v>
      </c>
      <c r="DK36" s="12">
        <f>IF(A36&gt;30,10,('Scénario référence'!$B$16+'Scénario référence'!$B$17+'Scénario référence'!$B$18+'Scénario référence'!$B$9+'Scénario référence'!$B$10)*A36*10/30+('Scénario référence'!$F$8+'Scénario référence'!$F$9)*10)</f>
        <v>10</v>
      </c>
      <c r="DL36" s="12" t="e">
        <f>VLOOKUP(A36,'Données projet'!$A$165:$I$185,2,0)</f>
        <v>#N/A</v>
      </c>
      <c r="DM36" s="12" t="e">
        <f>VLOOKUP(A36,'Données projet'!$A$165:$I$185,9,0)</f>
        <v>#N/A</v>
      </c>
      <c r="DN36" s="12">
        <f t="array" ref="DN36">INDEX(DM:DM,MIN(IF(ISNUMBER(DM36:DM232),ROW(DM36:DM232),"")))</f>
        <v>9.1999999999999993</v>
      </c>
      <c r="DO36" s="12">
        <f>IF('Données projet'!$A$166&gt;35,DO35+DN36-DW35,IF(A36&lt;'Données projet'!$A$166,$DL$205^A36,IF(A36='Données projet'!$A$166,'Données projet'!$B$166,DO35+DN36-DW35)))</f>
        <v>187.59999999999997</v>
      </c>
      <c r="DP36" s="17">
        <f>DO36*VLOOKUP('Données projet'!$B$14,Paramètres!$A$1:$I$89,3,0)*VLOOKUP('Données projet'!$B$14,Paramètres!$A$1:$I$89,5,0)</f>
        <v>122.91551999999999</v>
      </c>
      <c r="DQ36" s="13">
        <f t="shared" si="43"/>
        <v>32.354043504846558</v>
      </c>
      <c r="DR36" s="20">
        <f t="shared" si="16"/>
        <v>270.42782310427435</v>
      </c>
      <c r="DS36" s="59">
        <f t="shared" si="17"/>
        <v>563.76115643760772</v>
      </c>
      <c r="DT36" s="59">
        <f ca="1">AVERAGE(OFFSET($DS$3,0,0,'Données projet'!$E$14+1,1))-AVERAGE(OFFSET($H$3,0,0,'Données projet'!$E$14+1,1))</f>
        <v>188.68915783955595</v>
      </c>
      <c r="DU36" s="59">
        <f t="shared" si="44"/>
        <v>240.82467772396944</v>
      </c>
      <c r="DV36" s="15">
        <f>IF(ISNA(VLOOKUP(A36,'Données projet'!$A$165:$I$185,3,0)),0,VLOOKUP(A36,'Données projet'!$A$165:$I$185,3,0))</f>
        <v>0</v>
      </c>
      <c r="DW36" s="15">
        <f>IF(ISNA(VLOOKUP(A36,'Données projet'!$A$165:$I$185,4,0)),0,VLOOKUP(A36,'Données projet'!$A$165:$I$185,4,0))</f>
        <v>0</v>
      </c>
      <c r="DX36" s="16">
        <f>IF(ISNA(VLOOKUP(A36,'Données projet'!$A$165:$I$185,5,0)),0%,VLOOKUP(A36,'Données projet'!$A$165:$I$185,5,0)*VLOOKUP('Données projet'!$B$14,Paramètres!$A$1:$I$89,7,0))</f>
        <v>0</v>
      </c>
      <c r="DY36" s="16">
        <f>IF(ISNA(VLOOKUP(A36,'Données projet'!$A$165:$I$185,6,0)),0%,VLOOKUP(A36,'Données projet'!$A$165:$I$185,6,0)*VLOOKUP('Données projet'!$B$14,Paramètres!$A$1:$I$89,7,0))</f>
        <v>0</v>
      </c>
      <c r="DZ36" s="16">
        <f>IF(ISNA(VLOOKUP(A36,'Données projet'!$A$165:$I$185,7,0)),0%,VLOOKUP(A36,'Données projet'!$A$165:$I$185,7,0))</f>
        <v>0</v>
      </c>
      <c r="EA36" s="21">
        <f>EXP(-LN(2)/35)*EA35+(1-EXP(-LN(2)/35))/(LN(2)/35)*DW36*DX36*VLOOKUP('Données projet'!$B$14,Paramètres!$A$1:$I$89,3,0)*0.475*44/12</f>
        <v>1.4674282919644077</v>
      </c>
      <c r="EB36" s="21">
        <f>EXP(-LN(2)/25)*EB35+(1-EXP(-LN(2)/25))/(LN(2)/25)*Calculateur!DW36*Calculateur!DY36*VLOOKUP('Données projet'!$B$14,Paramètres!$A$1:$I$89,3,0)*0.475*44/12</f>
        <v>7.3964952445451715</v>
      </c>
      <c r="EC36" s="21">
        <f>EXP(-LN(2)/2)*EC35+(1-EXP(-LN(2)/2))/(LN(2)/2)*DW36*DZ36*VLOOKUP('Données projet'!$B$14,Paramètres!$A$1:$I$89,3,0)*0.475*44/12</f>
        <v>4.9484774996502905</v>
      </c>
      <c r="ED36" s="22">
        <f t="shared" si="18"/>
        <v>13.812401036159869</v>
      </c>
      <c r="EE36" s="75">
        <f>('Scénario référence'!$F$8+'Scénario référence'!$F$9+'Scénario référence'!$B$17+'Scénario référence'!$B$9+'Scénario référence'!$B$10)*70+IF((45+25*(1-EXP(-0.0175*A36)))&lt;70,'Scénario référence'!$B$16*(45+25*(1-EXP(-0.0175*A36))),70*'Scénario référence'!$B$16)+IF((32+38*(1-EXP(-0.0175*A36)))&lt;70,'Scénario référence'!$B$18*(32+38*(1-EXP(-0.0175*A36))),70*'Scénario référence'!$B$18)</f>
        <v>70</v>
      </c>
      <c r="EF36" s="12">
        <f>IF(A36&gt;30,10,('Scénario référence'!$B$16+'Scénario référence'!$B$17+'Scénario référence'!$B$18+'Scénario référence'!$B$9+'Scénario référence'!$B$10)*A36*10/30+('Scénario référence'!$F$8+'Scénario référence'!$F$9)*10)</f>
        <v>10</v>
      </c>
      <c r="EG36" s="12" t="e">
        <f>VLOOKUP(A36,'Données projet'!$A$191:$I$211,2,0)</f>
        <v>#N/A</v>
      </c>
      <c r="EH36" s="12" t="e">
        <f>VLOOKUP(A36,'Données projet'!$A$191:$I$211,9,0)</f>
        <v>#N/A</v>
      </c>
      <c r="EI36" s="12">
        <f t="array" ref="EI36">INDEX(EH:EH,MIN(IF(ISNUMBER(EH36:EH232),ROW(EH36:EH232),"")))</f>
        <v>7.2</v>
      </c>
      <c r="EJ36" s="12">
        <f>IF('Données projet'!$A$192&gt;35,EJ35+EI36-ER35,IF(A36&lt;'Données projet'!$A$192,$EG$205^A36,IF(A36='Données projet'!$A$192,'Données projet'!$B$192,EJ35+EI36-ER35)))</f>
        <v>130.6</v>
      </c>
      <c r="EK36" s="17">
        <f>EJ36*VLOOKUP('Données projet'!$B$15,Paramètres!$A$1:$I$89,3,0)*VLOOKUP('Données projet'!$B$15,Paramètres!$A$1:$I$89,5,0)</f>
        <v>105.94272000000001</v>
      </c>
      <c r="EL36" s="13">
        <f t="shared" si="45"/>
        <v>28.372976970554706</v>
      </c>
      <c r="EM36" s="20">
        <f t="shared" si="19"/>
        <v>233.93317222371613</v>
      </c>
      <c r="EN36" s="59">
        <f t="shared" si="20"/>
        <v>527.26650555704941</v>
      </c>
      <c r="EO36" s="59">
        <f ca="1">AVERAGE(OFFSET($EN$3,0,0,'Données projet'!$E$15+1,1))-AVERAGE(OFFSET($H$3,0,0,'Données projet'!$E$15+1,1))</f>
        <v>205.5272583787887</v>
      </c>
      <c r="EP36" s="59">
        <f t="shared" si="46"/>
        <v>180.54762778843178</v>
      </c>
      <c r="EQ36" s="15">
        <f>IF(ISNA(VLOOKUP(A36,'Données projet'!$A$191:$I$211,3,0)),0,VLOOKUP(A36,'Données projet'!$A$191:$I$211,3,0))</f>
        <v>0</v>
      </c>
      <c r="ER36" s="15">
        <f>IF(ISNA(VLOOKUP(A36,'Données projet'!$A$191:$I$211,4,0)),0,VLOOKUP(A36,'Données projet'!$A$191:$I$211,4,0))</f>
        <v>0</v>
      </c>
      <c r="ES36" s="16">
        <f>IF(ISNA(VLOOKUP(A36,'Données projet'!$A$191:$I$211,5,0)),0%,VLOOKUP(A36,'Données projet'!$A$191:$I$211,5,0)*VLOOKUP('Données projet'!$B$15,Paramètres!$A$1:$I$89,7,0))</f>
        <v>0</v>
      </c>
      <c r="ET36" s="16">
        <f>IF(ISNA(VLOOKUP(A36,'Données projet'!$A$191:$I$211,6,0)),0%,VLOOKUP(A36,'Données projet'!$A$191:$I$211,6,0)*VLOOKUP('Données projet'!$B$15,Paramètres!$A$1:$I$89,7,0))</f>
        <v>0</v>
      </c>
      <c r="EU36" s="16">
        <f>IF(ISNA(VLOOKUP(A36,'Données projet'!$A$191:$I$211,7,0)),0%,VLOOKUP(A36,'Données projet'!$A$191:$I$211,7,0))</f>
        <v>0</v>
      </c>
      <c r="EV36" s="21">
        <f>EXP(-LN(2)/35)*EV35+(1-EXP(-LN(2)/35))/(LN(2)/35)*ER36*ES36*VLOOKUP('Données projet'!$B$15,Paramètres!$A$1:$I$89,3,0)*0.475*44/12</f>
        <v>0.94474430987422808</v>
      </c>
      <c r="EW36" s="21">
        <f>EXP(-LN(2)/25)*EW35+(1-EXP(-LN(2)/25))/(LN(2)/25)*Calculateur!ER36*Calculateur!ET36*VLOOKUP('Données projet'!$B$15,Paramètres!$A$1:$I$89,3,0)*0.475*44/12</f>
        <v>5.3404939463815797</v>
      </c>
      <c r="EX36" s="21">
        <f>EXP(-LN(2)/2)*EX35+(1-EXP(-LN(2)/2))/(LN(2)/2)*ER36*EU36*VLOOKUP('Données projet'!$B$15,Paramètres!$A$1:$I$89,3,0)*0.475*44/12</f>
        <v>3.2041428400575036</v>
      </c>
      <c r="EY36" s="22">
        <f t="shared" si="21"/>
        <v>9.4893810963133109</v>
      </c>
      <c r="EZ36" s="75">
        <f>('Scénario référence'!$F$8+'Scénario référence'!$F$9+'Scénario référence'!$B$17+'Scénario référence'!$B$9+'Scénario référence'!$B$10)*70+IF((45+25*(1-EXP(-0.0175*A36)))&lt;70,'Scénario référence'!$B$16*(45+25*(1-EXP(-0.0175*A36))),70*'Scénario référence'!$B$16)+IF((32+38*(1-EXP(-0.0175*A36)))&lt;70,'Scénario référence'!$B$18*(32+38*(1-EXP(-0.0175*A36))),70*'Scénario référence'!$B$18)</f>
        <v>70</v>
      </c>
      <c r="FA36" s="12">
        <f>IF(A36&gt;30,10,('Scénario référence'!$B$16+'Scénario référence'!$B$17+'Scénario référence'!$B$18+'Scénario référence'!$B$9+'Scénario référence'!$B$10)*A36*10/30+('Scénario référence'!$F$8+'Scénario référence'!$F$9)*10)</f>
        <v>10</v>
      </c>
      <c r="FB36" s="12" t="e">
        <f>VLOOKUP(A36,'Données projet'!$A$217:$I$237,2,0)</f>
        <v>#N/A</v>
      </c>
      <c r="FC36" s="12" t="e">
        <f>VLOOKUP(A36,'Données projet'!$A$217:$I$237,9,0)</f>
        <v>#N/A</v>
      </c>
      <c r="FD36" s="12">
        <f t="array" ref="FD36">INDEX(FC:FC,MIN(IF(ISNUMBER(FC36:FC232),ROW(FC36:FC232),"")))</f>
        <v>12.3</v>
      </c>
      <c r="FE36" s="12">
        <f>IF('Données projet'!$A$218&gt;35,FE35+FD36-FM35,IF(A36&lt;'Données projet'!$A$218,$FB$205^A36,IF(A36='Données projet'!$A$218,'Données projet'!$B$218,FE35+FD36-FM35)))</f>
        <v>135.89999999999998</v>
      </c>
      <c r="FF36" s="17">
        <f>FE36*VLOOKUP('Données projet'!$B$16,Paramètres!$A$1:$I$89,3,0)*VLOOKUP('Données projet'!$B$16,Paramètres!$A$1:$I$89,5,0)</f>
        <v>116.60219999999998</v>
      </c>
      <c r="FG36" s="13">
        <f t="shared" si="47"/>
        <v>30.88119831599235</v>
      </c>
      <c r="FH36" s="20">
        <f t="shared" si="22"/>
        <v>256.86691873368665</v>
      </c>
      <c r="FI36" s="59">
        <f t="shared" si="23"/>
        <v>550.20025206701996</v>
      </c>
      <c r="FJ36" s="59">
        <f ca="1">AVERAGE(OFFSET($FI$3,0,0,'Données projet'!$E$16+1,1))-AVERAGE(OFFSET($H$3,0,0,'Données projet'!$E$16+1,1))</f>
        <v>383.97627237444709</v>
      </c>
      <c r="FK36" s="59">
        <f t="shared" si="48"/>
        <v>203.35476578922339</v>
      </c>
      <c r="FL36" s="15">
        <f>IF(ISNA(VLOOKUP(A36,'Données projet'!$A$217:$I$237,3,0)),0,VLOOKUP(A36,'Données projet'!$A$217:$I$237,3,0))</f>
        <v>0</v>
      </c>
      <c r="FM36" s="15">
        <f>IF(ISNA(VLOOKUP(A36,'Données projet'!$A$217:$I$237,4,0)),0,VLOOKUP(A36,'Données projet'!$A$217:$I$237,4,0))</f>
        <v>0</v>
      </c>
      <c r="FN36" s="16">
        <f>IF(ISNA(VLOOKUP(A36,'Données projet'!$A$217:$I$237,5,0)),0%,VLOOKUP(A36,'Données projet'!$A$217:$I$237,5,0)*VLOOKUP('Données projet'!$B$16,Paramètres!$A$1:$I$89,7,0))</f>
        <v>0</v>
      </c>
      <c r="FO36" s="16">
        <f>IF(ISNA(VLOOKUP(A36,'Données projet'!$A$217:$I$237,6,0)),0%,VLOOKUP(A36,'Données projet'!$A$217:$I$237,6,0)*VLOOKUP('Données projet'!$B$16,Paramètres!$A$1:$I$89,7,0))</f>
        <v>0</v>
      </c>
      <c r="FP36" s="16">
        <f>IF(ISNA(VLOOKUP(A36,'Données projet'!$A$217:$I$237,7,0)),0%,VLOOKUP(A36,'Données projet'!$A$217:$I$237,7,0))</f>
        <v>0</v>
      </c>
      <c r="FQ36" s="21">
        <f>EXP(-LN(2)/35)*FQ35+(1-EXP(-LN(2)/35))/(LN(2)/35)*FM36*FN36*VLOOKUP('Données projet'!$B$16,Paramètres!$A$1:$I$89,3,0)*0.475*44/12</f>
        <v>4.8554732091397073</v>
      </c>
      <c r="FR36" s="21">
        <f>EXP(-LN(2)/25)*FR35+(1-EXP(-LN(2)/25))/(LN(2)/25)*Calculateur!FM36*Calculateur!FO36*VLOOKUP('Données projet'!$B$16,Paramètres!$A$1:$I$89,3,0)*0.475*44/12</f>
        <v>5.4211533480864267</v>
      </c>
      <c r="FS36" s="21">
        <f>EXP(-LN(2)/2)*FS35+(1-EXP(-LN(2)/2))/(LN(2)/2)*FM36*FP36*VLOOKUP('Données projet'!$B$16,Paramètres!$A$1:$I$89,3,0)*0.475*44/12</f>
        <v>5.8853528118684162</v>
      </c>
      <c r="FT36" s="22">
        <f t="shared" si="24"/>
        <v>16.161979369094549</v>
      </c>
      <c r="FU36" s="75">
        <f>('Scénario référence'!$F$8+'Scénario référence'!$F$9+'Scénario référence'!$B$17+'Scénario référence'!$B$9+'Scénario référence'!$B$10)*70+IF((45+25*(1-EXP(-0.0175*A36)))&lt;70,'Scénario référence'!$B$16*(45+25*(1-EXP(-0.0175*A36))),70*'Scénario référence'!$B$16)+IF((32+38*(1-EXP(-0.0175*A36)))&lt;70,'Scénario référence'!$B$18*(32+38*(1-EXP(-0.0175*A36))),70*'Scénario référence'!$B$18)</f>
        <v>70</v>
      </c>
      <c r="FV36" s="12">
        <f>IF(A36&gt;30,10,('Scénario référence'!$B$16+'Scénario référence'!$B$17+'Scénario référence'!$B$18+'Scénario référence'!$B$9+'Scénario référence'!$B$10)*A36*10/30+('Scénario référence'!$F$8+'Scénario référence'!$F$9)*10)</f>
        <v>10</v>
      </c>
      <c r="FW36" s="12" t="e">
        <f>VLOOKUP(A36,'Données projet'!$A$243:$I$263,2,0)</f>
        <v>#N/A</v>
      </c>
      <c r="FX36" s="12" t="e">
        <f>VLOOKUP(A36,'Données projet'!$A$243:$I$263,9,0)</f>
        <v>#N/A</v>
      </c>
      <c r="FY36" s="12">
        <f t="array" ref="FY36">INDEX(FX:FX,MIN(IF(ISNUMBER(FX36:FX232),ROW(FX36:FX232),"")))</f>
        <v>8.0564102564102562</v>
      </c>
      <c r="FZ36" s="12">
        <f>IF('Données projet'!$A$244&gt;35,FZ35+FY36-GH35,IF(A36&lt;'Données projet'!$A$244,$FW$205^A36,IF(A36='Données projet'!$A$244,'Données projet'!$B$244,FZ35+FY36-GH35)))</f>
        <v>146.05384615384614</v>
      </c>
      <c r="GA36" s="17">
        <f>FZ36*VLOOKUP('Données projet'!$B$17,Paramètres!$A$1:$I$89,3,0)*VLOOKUP('Données projet'!$B$17,Paramètres!$A$1:$I$89,5,0)</f>
        <v>157.21235999999996</v>
      </c>
      <c r="GB36" s="13">
        <f t="shared" si="49"/>
        <v>40.213113686059963</v>
      </c>
      <c r="GC36" s="20">
        <f t="shared" si="25"/>
        <v>343.84936666988773</v>
      </c>
      <c r="GD36" s="59">
        <f t="shared" si="26"/>
        <v>637.18270000322104</v>
      </c>
      <c r="GE36" s="59">
        <f ca="1">AVERAGE(OFFSET($GD$3,0,0,'Données projet'!$E$17+1,1))-AVERAGE(OFFSET($H$3,0,0,'Données projet'!$E$17+1,1))</f>
        <v>286.77702855541287</v>
      </c>
      <c r="GF36" s="59">
        <f t="shared" si="50"/>
        <v>227.12211541860779</v>
      </c>
      <c r="GG36" s="15">
        <f>IF(ISNA(VLOOKUP(A36,'Données projet'!$A$243:$I$263,3,0)),0,VLOOKUP(A36,'Données projet'!$A$243:$I$263,3,0))</f>
        <v>0</v>
      </c>
      <c r="GH36" s="15">
        <f>IF(ISNA(VLOOKUP(A36,'Données projet'!$A$243:$I$263,4,0)),0,VLOOKUP(A36,'Données projet'!$A$243:$I$263,4,0))</f>
        <v>0</v>
      </c>
      <c r="GI36" s="16">
        <f>IF(ISNA(VLOOKUP(A36,'Données projet'!$A$243:$I$263,5,0)),0%,VLOOKUP(A36,'Données projet'!$A$243:$I$263,5,0)*VLOOKUP('Données projet'!$B$17,Paramètres!$A$1:$I$89,7,0))</f>
        <v>0</v>
      </c>
      <c r="GJ36" s="16">
        <f>IF(ISNA(VLOOKUP(A36,'Données projet'!$A$243:$I$263,6,0)),0%,VLOOKUP(A36,'Données projet'!$A$243:$I$263,6,0)*VLOOKUP('Données projet'!$B$17,Paramètres!$A$1:$I$89,7,0))</f>
        <v>0</v>
      </c>
      <c r="GK36" s="16">
        <f>IF(ISNA(VLOOKUP(A36,'Données projet'!$A$243:$I$263,7,0)),0%,VLOOKUP(A36,'Données projet'!$A$243:$I$263,7,0))</f>
        <v>0</v>
      </c>
      <c r="GL36" s="21">
        <f>EXP(-LN(2)/35)*GL35+(1-EXP(-LN(2)/35))/(LN(2)/35)*GH36*GI36*VLOOKUP('Données projet'!$B$17,Paramètres!$A$1:$I$89,3,0)*0.475*44/12</f>
        <v>0</v>
      </c>
      <c r="GM36" s="21">
        <f>EXP(-LN(2)/25)*GM35+(1-EXP(-LN(2)/25))/(LN(2)/25)*Calculateur!GH36*Calculateur!GJ36*VLOOKUP('Données projet'!$B$17,Paramètres!$A$1:$I$89,3,0)*0.475*44/12</f>
        <v>0</v>
      </c>
      <c r="GN36" s="21">
        <f>EXP(-LN(2)/2)*GN35+(1-EXP(-LN(2)/2))/(LN(2)/2)*GH36*GK36*VLOOKUP('Données projet'!$B$17,Paramètres!$A$1:$I$89,3,0)*0.475*44/12</f>
        <v>0</v>
      </c>
      <c r="GO36" s="21">
        <f t="shared" si="27"/>
        <v>0</v>
      </c>
      <c r="GP36" s="75">
        <f>('Scénario référence'!$F$8+'Scénario référence'!$F$9+'Scénario référence'!$B$17+'Scénario référence'!$B$9+'Scénario référence'!$B$10)*70+IF((45+25*(1-EXP(-0.0175*A36)))&lt;70,'Scénario référence'!$B$16*(45+25*(1-EXP(-0.0175*A36))),70*'Scénario référence'!$B$16)+IF((32+38*(1-EXP(-0.0175*A36)))&lt;70,'Scénario référence'!$B$18*(32+38*(1-EXP(-0.0175*A36))),70*'Scénario référence'!$B$18)</f>
        <v>70</v>
      </c>
      <c r="GQ36" s="12">
        <f>IF(A36&gt;30,10,('Scénario référence'!$B$16+'Scénario référence'!$B$17+'Scénario référence'!$B$18+'Scénario référence'!$B$9+'Scénario référence'!$B$10)*A36*10/30+('Scénario référence'!$F$8+'Scénario référence'!$F$9)*10)</f>
        <v>10</v>
      </c>
      <c r="GR36" s="12" t="e">
        <f>VLOOKUP(A36,'Données projet'!$A$269:$I$289,2,0)</f>
        <v>#N/A</v>
      </c>
      <c r="GS36" s="12" t="e">
        <f>VLOOKUP(A36,'Données projet'!$A$269:$I$289,9,0)</f>
        <v>#N/A</v>
      </c>
      <c r="GT36" s="12">
        <f t="array" ref="GT36">INDEX(GS:GS,MIN(IF(ISNUMBER(GS36:GS232),ROW(GS36:GS232),"")))</f>
        <v>8.0564102564102562</v>
      </c>
      <c r="GU36" s="12">
        <f>IF('Données projet'!$A$270&gt;35,GU35+GT36-HC35,IF(A36&lt;'Données projet'!$A$270,$GR$205^A36,IF(A36='Données projet'!$A$270,'Données projet'!$B$270,GU35+GT36-HC35)))</f>
        <v>146.05384615384614</v>
      </c>
      <c r="GV36" s="17">
        <f>GU36*VLOOKUP('Données projet'!$B$18,Paramètres!$A$1:$I$89,3,0)*VLOOKUP('Données projet'!$B$18,Paramètres!$A$1:$I$89,5,0)</f>
        <v>157.21235999999996</v>
      </c>
      <c r="GW36" s="13">
        <f t="shared" si="51"/>
        <v>40.213113686059963</v>
      </c>
      <c r="GX36" s="20">
        <f t="shared" si="28"/>
        <v>343.84936666988773</v>
      </c>
      <c r="GY36" s="59">
        <f t="shared" si="29"/>
        <v>637.18270000322104</v>
      </c>
      <c r="GZ36" s="59">
        <f ca="1">AVERAGE(OFFSET($GY$3,0,0,'Données projet'!$E$18+1,1))-AVERAGE(OFFSET($H$3,0,0,'Données projet'!$E$18+1,1))</f>
        <v>286.77702855541287</v>
      </c>
      <c r="HA36" s="59">
        <f t="shared" si="52"/>
        <v>227.12211541860779</v>
      </c>
      <c r="HB36" s="15">
        <f>IF(ISNA(VLOOKUP(A36,'Données projet'!$A$269:$I$289,3,0)),0,VLOOKUP(A36,'Données projet'!$A$269:$I$289,3,0))</f>
        <v>0</v>
      </c>
      <c r="HC36" s="15">
        <f>IF(ISNA(VLOOKUP(A36,'Données projet'!$A$269:$I$289,4,0)),0,VLOOKUP(A36,'Données projet'!$A$269:$I$289,4,0))</f>
        <v>0</v>
      </c>
      <c r="HD36" s="16">
        <f>IF(ISNA(VLOOKUP(A36,'Données projet'!$A$269:$I$289,5,0)),0%,VLOOKUP(A36,'Données projet'!$A$269:$I$289,5,0)*VLOOKUP('Données projet'!$B$18,Paramètres!$A$1:$I$89,7,0))</f>
        <v>0</v>
      </c>
      <c r="HE36" s="16">
        <f>IF(ISNA(VLOOKUP(A36,'Données projet'!$A$269:$I$289,6,0)),0%,VLOOKUP(A36,'Données projet'!$A$269:$I$289,6,0)*VLOOKUP('Données projet'!$B$18,Paramètres!$A$1:$I$89,7,0))</f>
        <v>0</v>
      </c>
      <c r="HF36" s="16">
        <f>IF(ISNA(VLOOKUP(A36,'Données projet'!$A$269:$I$289,7,0)),0%,VLOOKUP(A36,'Données projet'!$A$269:$I$289,7,0))</f>
        <v>0</v>
      </c>
      <c r="HG36" s="21">
        <f>EXP(-LN(2)/35)*HG35+(1-EXP(-LN(2)/35))/(LN(2)/35)*HC36*HD36*VLOOKUP('Données projet'!$B$18,Paramètres!$A$1:$I$89,3,0)*0.475*44/12</f>
        <v>0</v>
      </c>
      <c r="HH36" s="21">
        <f>EXP(-LN(2)/25)*HH35+(1-EXP(-LN(2)/25))/(LN(2)/25)*Calculateur!HC36*Calculateur!HE36*VLOOKUP('Données projet'!$B$18,Paramètres!$A$1:$I$89,3,0)*0.475*44/12</f>
        <v>0</v>
      </c>
      <c r="HI36" s="21">
        <f>EXP(-LN(2)/2)*HI35+(1-EXP(-LN(2)/2))/(LN(2)/2)*HC36*HF36*VLOOKUP('Données projet'!$B$18,Paramètres!$A$1:$I$89,3,0)*0.475*44/12</f>
        <v>0</v>
      </c>
      <c r="HJ36" s="22">
        <f t="shared" si="30"/>
        <v>0</v>
      </c>
    </row>
    <row r="37" spans="1:218" x14ac:dyDescent="0.25">
      <c r="A37" s="10">
        <f t="shared" si="31"/>
        <v>34</v>
      </c>
      <c r="B37" s="73">
        <f>'Scénario référence'!$B$16*5+'Scénario référence'!$B$17*0+'Scénario référence'!$B$18*5</f>
        <v>0</v>
      </c>
      <c r="C37" s="19">
        <f>Calculateur!C36+'Scénario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30.232799999999987</v>
      </c>
      <c r="D37" s="11">
        <f t="shared" si="32"/>
        <v>9.3692052598737909</v>
      </c>
      <c r="E3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37" s="11">
        <f>IF(OR('Scénario référence'!$F$8&gt;0,'Scénario référence'!$F$9&gt;0),('Scénario référence'!$F$8+'Scénario référence'!$F$9)*10,0)</f>
        <v>10</v>
      </c>
      <c r="G37" s="11">
        <f>'Scénario référence'!$B$8*B37*44/12+'Scénario référence'!$B$9*(C37+D37)/0.475*44/12+'Scénario référence'!$B$10*(C37+D37)/0.475*44/12+'Scénario référence'!$F$8*(C37+D37)/0.475*44/12+'Scénario référence'!$F$9*(C37+D37)/0.475*44/12</f>
        <v>305.69968972534144</v>
      </c>
      <c r="H37" s="67">
        <f t="shared" si="1"/>
        <v>362.30682582761347</v>
      </c>
      <c r="I37" s="70">
        <f>('Scénario référence'!$F$8+'Scénario référence'!$F$9+'Scénario référence'!$B$17+'Scénario référence'!$B$9+'Scénario référence'!$B$10)*70+IF((45+25*(1-EXP(-0.0175*A37)))&lt;70,'Scénario référence'!$B$16*(45+25*(1-EXP(-0.0175*A37))),70*'Scénario référence'!$B$16)+IF((32+38*(1-EXP(-0.0175*A37)))&lt;70,'Scénario référence'!$B$18*(32+38*(1-EXP(-0.0175*A37))),70*'Scénario référence'!$B$18)</f>
        <v>70</v>
      </c>
      <c r="J37" s="13">
        <f>IF(A37&gt;30,10,('Scénario référence'!$B$16+'Scénario référence'!$B$17+'Scénario référence'!$B$18+'Scénario référence'!$B$9+'Scénario référence'!$B$10)*A37*10/30+('Scénario référence'!$F$8+'Scénario référence'!$F$9)*10)</f>
        <v>10</v>
      </c>
      <c r="K37" s="12" t="e">
        <f>VLOOKUP(A37,'Données projet'!$A$35:$I$55,2,0)</f>
        <v>#N/A</v>
      </c>
      <c r="L37" s="12" t="e">
        <f>VLOOKUP(A37,'Données projet'!$A$35:$I$55,9,0)</f>
        <v>#N/A</v>
      </c>
      <c r="M37" s="12">
        <f t="array" ref="M37">INDEX(L:L,MIN(IF(ISNUMBER(L37:L233),ROW(L37:L233),"")))</f>
        <v>22.884615384615376</v>
      </c>
      <c r="N37" s="13">
        <f>IF('Données projet'!$A$36&gt;35,N36+M37-V36,IF(A37&lt;'Données projet'!$A$36,$K$205^A37,IF(A37='Données projet'!$A$36,'Données projet'!$B$36,N36+M37-V36)))</f>
        <v>357.73846153846131</v>
      </c>
      <c r="O37" s="13">
        <f>N37*VLOOKUP('Données projet'!$B$9,Paramètres!$A$1:$I$89,3,0)*VLOOKUP('Données projet'!$B$9,Paramètres!$A$1:$I$89,5,0)</f>
        <v>199.97579999999988</v>
      </c>
      <c r="P37" s="13">
        <f t="shared" si="33"/>
        <v>49.738849260389202</v>
      </c>
      <c r="Q37" s="20">
        <f t="shared" si="53"/>
        <v>434.91968079517761</v>
      </c>
      <c r="R37" s="59">
        <f t="shared" si="0"/>
        <v>728.25301412851093</v>
      </c>
      <c r="S37" s="59">
        <f ca="1">AVERAGE(OFFSET($R$3,0,0,'Données projet'!$E$9+1,1))-AVERAGE(OFFSET($H$3,0,0,'Données projet'!$E$9+1,1))</f>
        <v>255.5374979188561</v>
      </c>
      <c r="T37" s="59">
        <f t="shared" si="34"/>
        <v>343.10418468620901</v>
      </c>
      <c r="U37" s="15">
        <f>IF(ISNA(VLOOKUP(A37,'Données projet'!$A$35:$I$55,3,0)),0,VLOOKUP(A37,'Données projet'!$A$35:$I$55,3,0))</f>
        <v>0</v>
      </c>
      <c r="V37" s="15">
        <f>IF(ISNA(VLOOKUP(A37,'Données projet'!$A$35:$I$55,4,0)),0,VLOOKUP(A37,'Données projet'!$A$35:$I$55,4,0))</f>
        <v>0</v>
      </c>
      <c r="W37" s="16">
        <f>IF(ISNA(VLOOKUP(A37,'Données projet'!$A$35:$I$55,5,0)),0%,VLOOKUP(A37,'Données projet'!$A$35:$I$55,5,0)*VLOOKUP('Données projet'!$B$9,Paramètres!$A$1:$I$89,7,0))</f>
        <v>0</v>
      </c>
      <c r="X37" s="16">
        <f>IF(ISNA(VLOOKUP(A37,'Données projet'!$A$35:$I$55,6,0)),0%,VLOOKUP(A37,'Données projet'!$A$35:$I$55,6,0)*VLOOKUP('Données projet'!$B$9,Paramètres!$A$1:$I$89,7,0))</f>
        <v>0</v>
      </c>
      <c r="Y37" s="16">
        <f>IF(ISNA(VLOOKUP(A37,'Données projet'!$A$35:$I$55,7,0)),0%,VLOOKUP(A37,'Données projet'!$A$35:$I$55,7,0))</f>
        <v>0</v>
      </c>
      <c r="Z37" s="21">
        <f>EXP(-LN(2)/35)*Z36+(1-EXP(-LN(2)/35))/(LN(2)/35)*V37*W37*VLOOKUP('Données projet'!$B$9,Paramètres!$A$1:$I$89,3,0)*0.475*44/12</f>
        <v>2.854702084956056</v>
      </c>
      <c r="AA37" s="21">
        <f>EXP(-LN(2)/25)*AA36+(1-EXP(-LN(2)/25))/(LN(2)/25)*Calculateur!V37*Calculateur!X37*VLOOKUP('Données projet'!$B$9,Paramètres!$A$1:$I$89,3,0)*0.475*44/12</f>
        <v>14.284832060096942</v>
      </c>
      <c r="AB37" s="21">
        <f>EXP(-LN(2)/2)*AB36+(1-EXP(-LN(2)/2))/(LN(2)/2)*V37*Y37*VLOOKUP('Données projet'!$B$9,Paramètres!$A$1:$I$89,3,0)*0.475*44/12</f>
        <v>0.42316301986351651</v>
      </c>
      <c r="AC37" s="22">
        <f t="shared" si="3"/>
        <v>17.562697164916514</v>
      </c>
      <c r="AD37" s="13">
        <f>('Scénario référence'!$F$8+'Scénario référence'!$F$9+'Scénario référence'!$B$17+'Scénario référence'!$B$9+'Scénario référence'!$B$10)*70+IF((45+25*(1-EXP(-0.0175*A37)))&lt;70,'Scénario référence'!$B$16*(45+25*(1-EXP(-0.0175*A37))),70*'Scénario référence'!$B$16)+IF((32+38*(1-EXP(-0.0175*A37)))&lt;70,'Scénario référence'!$B$18*(32+38*(1-EXP(-0.0175*A37))),70*'Scénario référence'!$B$18)</f>
        <v>70</v>
      </c>
      <c r="AE37" s="13">
        <f>IF(A37&gt;30,10,('Scénario référence'!$B$16+'Scénario référence'!$B$17+'Scénario référence'!$B$18+'Scénario référence'!$B$9+'Scénario référence'!$B$10)*A37*10/30+('Scénario référence'!$F$8+'Scénario référence'!$F$9)*10)</f>
        <v>10</v>
      </c>
      <c r="AF37" s="12" t="e">
        <f>VLOOKUP(A37,'Données projet'!$A$61:$I$81,2,0)</f>
        <v>#N/A</v>
      </c>
      <c r="AG37" s="12" t="e">
        <f>VLOOKUP(A37,'Données projet'!$A$61:$I$81,9,0)</f>
        <v>#N/A</v>
      </c>
      <c r="AH37" s="12">
        <f t="array" ref="AH37">INDEX(AG:AG,MIN(IF(ISNUMBER(AG37:AG233),ROW(AG37:AG233),"")))</f>
        <v>15.1</v>
      </c>
      <c r="AI37" s="13">
        <f>IF('Données projet'!$A$62&gt;35,AI36+AH37-AQ36,IF(A37&lt;'Données projet'!$A$62,$AF$205^A37,IF(A37='Données projet'!$A$62,'Données projet'!$B$62,AI36+AH37-AQ36)))</f>
        <v>239.4</v>
      </c>
      <c r="AJ37" s="13">
        <f>AI37*VLOOKUP('Données projet'!$B$10,Paramètres!$A$1:$I$89,3,0)*VLOOKUP('Données projet'!$B$10,Paramètres!$A$1:$I$89,5,0)</f>
        <v>149.38559999999998</v>
      </c>
      <c r="AK37" s="13">
        <f t="shared" si="35"/>
        <v>38.438927680599591</v>
      </c>
      <c r="AL37" s="20">
        <f t="shared" si="4"/>
        <v>327.1277190437109</v>
      </c>
      <c r="AM37" s="59">
        <f t="shared" si="5"/>
        <v>620.46105237704421</v>
      </c>
      <c r="AN37" s="59">
        <f ca="1">AVERAGE(OFFSET($AM$3,0,0,'Données projet'!$E$10+1,1))-AVERAGE(OFFSET($H$3,0,0,'Données projet'!$E$10+1,1))</f>
        <v>261.78489480911571</v>
      </c>
      <c r="AO37" s="59">
        <f t="shared" si="36"/>
        <v>297.50513563712764</v>
      </c>
      <c r="AP37" s="15">
        <f>IF(ISNA(VLOOKUP(A37,'Données projet'!$A$61:$I$81,3,0)),0,VLOOKUP(A37,'Données projet'!$A$61:$I$81,3,0))</f>
        <v>0</v>
      </c>
      <c r="AQ37" s="15">
        <f>IF(ISNA(VLOOKUP(A37,'Données projet'!$A$61:$I$81,4,0)),0,VLOOKUP(A37,'Données projet'!$A$61:$I$81,4,0))</f>
        <v>0</v>
      </c>
      <c r="AR37" s="16">
        <f>IF(ISNA(VLOOKUP(A37,'Données projet'!$A$61:$I$81,5,0)),0%,VLOOKUP(A37,'Données projet'!$A$61:$I$81,5,0)*VLOOKUP('Données projet'!$B$10,Paramètres!$A$1:$I$89,7,0))</f>
        <v>0</v>
      </c>
      <c r="AS37" s="16">
        <f>IF(ISNA(VLOOKUP(A37,'Données projet'!$A$61:$I$81,6,0)),0%,VLOOKUP(A37,'Données projet'!$A$61:$I$81,6,0)*VLOOKUP('Données projet'!$B$10,Paramètres!$A$1:$I$89,7,0))</f>
        <v>0</v>
      </c>
      <c r="AT37" s="16">
        <f>IF(ISNA(VLOOKUP(A37,'Données projet'!$A$61:$I$81,7,0)),0%,VLOOKUP(A37,'Données projet'!$A$61:$I$81,7,0))</f>
        <v>0</v>
      </c>
      <c r="AU37" s="21">
        <f>EXP(-LN(2)/35)*AU36+(1-EXP(-LN(2)/35))/(LN(2)/35)*AQ37*AR37*VLOOKUP('Données projet'!$B$10,Paramètres!$A$1:$I$89,3,0)*0.475*44/12</f>
        <v>7.7085030779932495</v>
      </c>
      <c r="AV37" s="21">
        <f>EXP(-LN(2)/25)*AV36+(1-EXP(-LN(2)/25))/(LN(2)/25)*Calculateur!AQ37*Calculateur!AS37*VLOOKUP('Données projet'!$B$10,Paramètres!$A$1:$I$89,3,0)*0.475*44/12</f>
        <v>24.944230323770121</v>
      </c>
      <c r="AW37" s="21">
        <f>EXP(-LN(2)/2)*AW36+(1-EXP(-LN(2)/2))/(LN(2)/2)*AQ37*AT37*VLOOKUP('Données projet'!$B$10,Paramètres!$A$1:$I$89,3,0)*0.475*44/12</f>
        <v>6.10029778422797</v>
      </c>
      <c r="AX37" s="21">
        <f t="shared" si="6"/>
        <v>38.75303118599134</v>
      </c>
      <c r="AY37" s="74">
        <f>('Scénario référence'!$F$8+'Scénario référence'!$F$9+'Scénario référence'!$B$17+'Scénario référence'!$B$9+'Scénario référence'!$B$10)*70+IF((45+25*(1-EXP(-0.0175*A37)))&lt;70,'Scénario référence'!$B$16*(45+25*(1-EXP(-0.0175*A37))),70*'Scénario référence'!$B$16)+IF((32+38*(1-EXP(-0.0175*A37)))&lt;70,'Scénario référence'!$B$18*(32+38*(1-EXP(-0.0175*A37))),70*'Scénario référence'!$B$18)</f>
        <v>70</v>
      </c>
      <c r="AZ37" s="12">
        <f>IF(A37&gt;30,10,('Scénario référence'!$B$16+'Scénario référence'!$B$17+'Scénario référence'!$B$18+'Scénario référence'!$B$9+'Scénario référence'!$B$10)*A37*10/30+('Scénario référence'!$F$8+'Scénario référence'!$F$9)*10)</f>
        <v>10</v>
      </c>
      <c r="BA37" s="12" t="e">
        <f>VLOOKUP(A37,'Données projet'!$A$87:$I$107,2,0)</f>
        <v>#N/A</v>
      </c>
      <c r="BB37" s="12" t="e">
        <f>VLOOKUP(A37,'Données projet'!$A$87:$I$107,9,0)</f>
        <v>#N/A</v>
      </c>
      <c r="BC37" s="12">
        <f t="array" ref="BC37">INDEX(BB:BB,MIN(IF(ISNUMBER(BB37:BB233),ROW(BB37:BB233),"")))</f>
        <v>18.2</v>
      </c>
      <c r="BD37" s="12">
        <f>IF('Données projet'!$A$88&gt;35,BD36+BC37-BL36,IF(A37&lt;'Données projet'!$A$88,$BA$205^A37,IF(A37='Données projet'!$A$88,'Données projet'!$B$88,BD36+BC37-BL36)))</f>
        <v>231.8</v>
      </c>
      <c r="BE37" s="13">
        <f>BD37*VLOOKUP('Données projet'!$B$11,Paramètres!$A$1:$I$89,3,0)*VLOOKUP('Données projet'!$B$11,Paramètres!$A$1:$I$89,5,0)</f>
        <v>138.61640000000003</v>
      </c>
      <c r="BF37" s="13">
        <f t="shared" si="37"/>
        <v>35.97985917844175</v>
      </c>
      <c r="BG37" s="20">
        <f t="shared" si="7"/>
        <v>304.08848473578604</v>
      </c>
      <c r="BH37" s="59">
        <f t="shared" si="8"/>
        <v>597.42181806911935</v>
      </c>
      <c r="BI37" s="59">
        <f ca="1">AVERAGE(OFFSET($BH$3,0,0,'Données projet'!$E$11+1,1))-AVERAGE(OFFSET($H$3,0,0,'Données projet'!$E$11+1,1))</f>
        <v>316.58509520829671</v>
      </c>
      <c r="BJ37" s="59">
        <f t="shared" si="38"/>
        <v>240.71332110643596</v>
      </c>
      <c r="BK37" s="15">
        <f>IF(ISNA(VLOOKUP(A37,'Données projet'!$A$87:$I$107,3,0)),0,VLOOKUP(A37,'Données projet'!$A$87:$I$107,3,0))</f>
        <v>0</v>
      </c>
      <c r="BL37" s="15">
        <f>IF(ISNA(VLOOKUP(A37,'Données projet'!$A$87:$I$107,4,0)),0,VLOOKUP(A37,'Données projet'!$A$87:$I$107,4,0))</f>
        <v>0</v>
      </c>
      <c r="BM37" s="16">
        <f>IF(ISNA(VLOOKUP(A37,'Données projet'!$A$87:$I$107,5,0)),0%,VLOOKUP(A37,'Données projet'!$A$87:$I$107,5,0)*VLOOKUP('Données projet'!$B$11,Paramètres!$A$1:$I$89,7,0))</f>
        <v>0</v>
      </c>
      <c r="BN37" s="16">
        <f>IF(ISNA(VLOOKUP(A37,'Données projet'!$A$87:$I$107,6,0)),0%,VLOOKUP(A37,'Données projet'!$A$87:$I$107,6,0)*VLOOKUP('Données projet'!$B$11,Paramètres!$A$1:$I$89,7,0))</f>
        <v>0</v>
      </c>
      <c r="BO37" s="16">
        <f>IF(ISNA(VLOOKUP(A37,'Données projet'!$A$87:$I$107,7,0)),0%,VLOOKUP(A37,'Données projet'!$A$87:$I$107,7,0))</f>
        <v>0</v>
      </c>
      <c r="BP37" s="21">
        <f>EXP(-LN(2)/35)*BP36+(1-EXP(-LN(2)/35))/(LN(2)/35)*BL37*BM37*VLOOKUP('Données projet'!$B$11,Paramètres!$A$1:$I$89,3,0)*0.475*44/12</f>
        <v>2.3415151648740666</v>
      </c>
      <c r="BQ37" s="21">
        <f>EXP(-LN(2)/25)*BQ36+(1-EXP(-LN(2)/25))/(LN(2)/25)*Calculateur!BL37*Calculateur!BN37*VLOOKUP('Données projet'!$B$11,Paramètres!$A$1:$I$89,3,0)*0.475*44/12</f>
        <v>13.665177196024098</v>
      </c>
      <c r="BR37" s="21">
        <f>EXP(-LN(2)/2)*BR36+(1-EXP(-LN(2)/2))/(LN(2)/2)*BL37*BO37*VLOOKUP('Données projet'!$B$11,Paramètres!$A$1:$I$89,3,0)*0.475*44/12</f>
        <v>5.4848357675351975</v>
      </c>
      <c r="BS37" s="22">
        <f t="shared" si="9"/>
        <v>21.491528128433362</v>
      </c>
      <c r="BT37" s="75">
        <f>('Scénario référence'!$F$8+'Scénario référence'!$F$9+'Scénario référence'!$B$17+'Scénario référence'!$B$9+'Scénario référence'!$B$10)*70+IF((45+25*(1-EXP(-0.0175*A37)))&lt;70,'Scénario référence'!$B$16*(45+25*(1-EXP(-0.0175*A37))),70*'Scénario référence'!$B$16)+IF((32+38*(1-EXP(-0.0175*A37)))&lt;70,'Scénario référence'!$B$18*(32+38*(1-EXP(-0.0175*A37))),70*'Scénario référence'!$B$18)</f>
        <v>70</v>
      </c>
      <c r="BU37" s="12">
        <f>IF(A37&gt;30,10,('Scénario référence'!$B$16+'Scénario référence'!$B$17+'Scénario référence'!$B$18+'Scénario référence'!$B$9+'Scénario référence'!$B$10)*A37*10/30+('Scénario référence'!$F$8+'Scénario référence'!$F$9)*10)</f>
        <v>10</v>
      </c>
      <c r="BV37" s="12" t="e">
        <f>VLOOKUP(A37,'Données projet'!$A$113:$I$133,2,0)</f>
        <v>#N/A</v>
      </c>
      <c r="BW37" s="12" t="e">
        <f>VLOOKUP(A37,'Données projet'!$A$113:$I$133,9,0)</f>
        <v>#N/A</v>
      </c>
      <c r="BX37" s="12">
        <f t="array" ref="BX37">INDEX(BW:BW,MIN(IF(ISNUMBER(BW37:BW233),ROW(BW37:BW233),"")))</f>
        <v>13.6</v>
      </c>
      <c r="BY37" s="12">
        <f>IF('Données projet'!$A$114&gt;35,BY36+BX37-CG36,IF(A37&lt;'Données projet'!$A$114,$BV$205^A37,IF(A37='Données projet'!$A$114,'Données projet'!$B$114,BY36+BX37-CG36)))</f>
        <v>199.39999999999989</v>
      </c>
      <c r="BZ37" s="13">
        <f>BY37*VLOOKUP('Données projet'!$B$12,Paramètres!$A$1:$I$89,3,0)*VLOOKUP('Données projet'!$B$12,Paramètres!$A$1:$I$89,5,0)</f>
        <v>114.05679999999994</v>
      </c>
      <c r="CA37" s="13">
        <f t="shared" si="39"/>
        <v>30.28477433983053</v>
      </c>
      <c r="CB37" s="20">
        <f t="shared" si="10"/>
        <v>251.39490864187141</v>
      </c>
      <c r="CC37" s="59">
        <f t="shared" si="11"/>
        <v>544.7282419752047</v>
      </c>
      <c r="CD37" s="59">
        <f ca="1">AVERAGE(OFFSET($CC$3,0,0,'Données projet'!$E$12+1,1))-AVERAGE(OFFSET($H$3,0,0,'Données projet'!$E$12+1,1))</f>
        <v>188.64374818906128</v>
      </c>
      <c r="CE37" s="59">
        <f t="shared" si="40"/>
        <v>211.95157880548652</v>
      </c>
      <c r="CF37" s="15">
        <f>IF(ISNA(VLOOKUP(A37,'Données projet'!$A$113:$I$133,3,0)),0,VLOOKUP(A37,'Données projet'!$A$113:$I$133,3,0))</f>
        <v>0</v>
      </c>
      <c r="CG37" s="15">
        <f>IF(ISNA(VLOOKUP(A37,'Données projet'!$A$113:$I$133,4,0)),0,VLOOKUP(A37,'Données projet'!$A$113:$I$133,4,0))</f>
        <v>0</v>
      </c>
      <c r="CH37" s="16">
        <f>IF(ISNA(VLOOKUP(A37,'Données projet'!$A$113:$I$133,5,0)),0%,VLOOKUP(A37,'Données projet'!$A$113:$I$133,5,0)*VLOOKUP('Données projet'!$B$12,Paramètres!$A$1:$I$89,7,0))</f>
        <v>0</v>
      </c>
      <c r="CI37" s="16">
        <f>IF(ISNA(VLOOKUP(A37,'Données projet'!$A$113:$I$133,6,0)),0%,VLOOKUP(A37,'Données projet'!$A$113:$I$133,6,0)*VLOOKUP('Données projet'!$B$12,Paramètres!$A$1:$I$89,7,0))</f>
        <v>0</v>
      </c>
      <c r="CJ37" s="16">
        <f>IF(ISNA(VLOOKUP(A37,'Données projet'!$A$113:$I$133,7,0)),0%,VLOOKUP(A37,'Données projet'!$A$113:$I$133,7,0))</f>
        <v>0</v>
      </c>
      <c r="CK37" s="21">
        <f>EXP(-LN(2)/35)*CK36+(1-EXP(-LN(2)/35))/(LN(2)/35)*CG37*CH37*VLOOKUP('Données projet'!$B$12,Paramètres!$A$1:$I$89,3,0)*0.475*44/12</f>
        <v>2.2712553711944401</v>
      </c>
      <c r="CL37" s="21">
        <f>EXP(-LN(2)/25)*CL36+(1-EXP(-LN(2)/25))/(LN(2)/25)*Calculateur!CG37*Calculateur!CI37*VLOOKUP('Données projet'!$B$12,Paramètres!$A$1:$I$89,3,0)*0.475*44/12</f>
        <v>12.861974180597549</v>
      </c>
      <c r="CM37" s="21">
        <f>EXP(-LN(2)/2)*CM36+(1-EXP(-LN(2)/2))/(LN(2)/2)*CG37*CJ37*VLOOKUP('Données projet'!$B$12,Paramètres!$A$1:$I$89,3,0)*0.475*44/12</f>
        <v>5.3116343009340499</v>
      </c>
      <c r="CN37" s="22">
        <f t="shared" si="12"/>
        <v>20.444863852726041</v>
      </c>
      <c r="CO37" s="75">
        <f>('Scénario référence'!$F$8+'Scénario référence'!$F$9+'Scénario référence'!$B$17+'Scénario référence'!$B$9+'Scénario référence'!$B$10)*70+IF((45+25*(1-EXP(-0.0175*A37)))&lt;70,'Scénario référence'!$B$16*(45+25*(1-EXP(-0.0175*A37))),70*'Scénario référence'!$B$16)+IF((32+38*(1-EXP(-0.0175*A37)))&lt;70,'Scénario référence'!$B$18*(32+38*(1-EXP(-0.0175*A37))),70*'Scénario référence'!$B$18)</f>
        <v>70</v>
      </c>
      <c r="CP37" s="12">
        <f>IF(A37&gt;30,10,('Scénario référence'!$B$16+'Scénario référence'!$B$17+'Scénario référence'!$B$18+'Scénario référence'!$B$9+'Scénario référence'!$B$10)*A37*10/30+('Scénario référence'!$F$8+'Scénario référence'!$F$9)*10)</f>
        <v>10</v>
      </c>
      <c r="CQ37" s="12" t="e">
        <f>VLOOKUP(A37,'Données projet'!$A$139:$I$159,2,0)</f>
        <v>#N/A</v>
      </c>
      <c r="CR37" s="12" t="e">
        <f>VLOOKUP(A37,'Données projet'!$A$139:$I$159,9,0)</f>
        <v>#N/A</v>
      </c>
      <c r="CS37" s="12">
        <f t="array" ref="CS37">INDEX(CR:CR,MIN(IF(ISNUMBER(CR37:CR233),ROW(CR37:CR233),"")))</f>
        <v>0</v>
      </c>
      <c r="CT37" s="12">
        <f>IF('Données projet'!$A$140&gt;35,CT36+CS37-DB36,IF(A37&lt;'Données projet'!$A$140,$CQ$205^A37,IF(A37='Données projet'!$A$140,'Données projet'!$B$140,CT36+CS37-DB36)))</f>
        <v>0</v>
      </c>
      <c r="CU37" s="17" t="e">
        <f>CT37*VLOOKUP('Données projet'!$B$13,Paramètres!$A$1:$I$89,3,0)*VLOOKUP('Données projet'!$B$13,Paramètres!$A$1:$I$89,5,0)</f>
        <v>#N/A</v>
      </c>
      <c r="CV37" s="13" t="e">
        <f t="shared" si="41"/>
        <v>#N/A</v>
      </c>
      <c r="CW37" s="20" t="e">
        <f t="shared" si="13"/>
        <v>#N/A</v>
      </c>
      <c r="CX37" s="59" t="e">
        <f t="shared" si="14"/>
        <v>#N/A</v>
      </c>
      <c r="CY37" s="59" t="e">
        <f ca="1">AVERAGE(OFFSET($CX$3,0,0,'Données projet'!$E$13+1,1))-AVERAGE(OFFSET($H$3,0,0,'Données projet'!$E$13+1,1))</f>
        <v>#N/A</v>
      </c>
      <c r="CZ37" s="59" t="e">
        <f t="shared" si="42"/>
        <v>#N/A</v>
      </c>
      <c r="DA37" s="15">
        <f>IF(ISNA(VLOOKUP(A37,'Données projet'!$A$139:$I$159,3,0)),0,VLOOKUP(A37,'Données projet'!$A$139:$I$159,3,0))</f>
        <v>0</v>
      </c>
      <c r="DB37" s="15">
        <f>IF(ISNA(VLOOKUP(A37,'Données projet'!$A$139:$I$159,4,0)),0,VLOOKUP(A37,'Données projet'!$A$139:$I$159,4,0))</f>
        <v>0</v>
      </c>
      <c r="DC37" s="16">
        <f>IF(ISNA(VLOOKUP(A37,'Données projet'!$A$139:$I$159,5,0)),0%,VLOOKUP(A37,'Données projet'!$A$139:$I$159,5,0)*VLOOKUP('Données projet'!$B$13,Paramètres!$A$1:$I$89,7,0))</f>
        <v>0</v>
      </c>
      <c r="DD37" s="16">
        <f>IF(ISNA(VLOOKUP(A37,'Données projet'!$A$139:$I$159,6,0)),0%,VLOOKUP(A37,'Données projet'!$A$139:$I$159,6,0)*VLOOKUP('Données projet'!$B$13,Paramètres!$A$1:$I$89,7,0))</f>
        <v>0</v>
      </c>
      <c r="DE37" s="16">
        <f>IF(ISNA(VLOOKUP(A37,'Données projet'!$A$139:$I$159,7,0)),0%,VLOOKUP(A37,'Données projet'!$A$139:$I$159,7,0))</f>
        <v>0</v>
      </c>
      <c r="DF37" s="21" t="e">
        <f>EXP(-LN(2)/35)*DF36+(1-EXP(-LN(2)/35))/(LN(2)/35)*DB37*DC37*VLOOKUP('Données projet'!$B$13,Paramètres!$A$1:$I$89,3,0)*0.475*44/12</f>
        <v>#N/A</v>
      </c>
      <c r="DG37" s="21" t="e">
        <f>EXP(-LN(2)/25)*DG36+(1-EXP(-LN(2)/25))/(LN(2)/25)*Calculateur!DB37*Calculateur!DD37*VLOOKUP('Données projet'!$B$13,Paramètres!$A$1:$I$89,3,0)*0.475*44/12</f>
        <v>#N/A</v>
      </c>
      <c r="DH37" s="21" t="e">
        <f>EXP(-LN(2)/2)*DH36+(1-EXP(-LN(2)/2))/(LN(2)/2)*DB37*DE37*VLOOKUP('Données projet'!$B$13,Paramètres!$A$1:$I$89,3,0)*0.475*44/12</f>
        <v>#N/A</v>
      </c>
      <c r="DI37" s="22" t="e">
        <f t="shared" si="15"/>
        <v>#N/A</v>
      </c>
      <c r="DJ37" s="75">
        <f>('Scénario référence'!$F$8+'Scénario référence'!$F$9+'Scénario référence'!$B$17+'Scénario référence'!$B$9+'Scénario référence'!$B$10)*70+IF((45+25*(1-EXP(-0.0175*A37)))&lt;70,'Scénario référence'!$B$16*(45+25*(1-EXP(-0.0175*A37))),70*'Scénario référence'!$B$16)+IF((32+38*(1-EXP(-0.0175*A37)))&lt;70,'Scénario référence'!$B$18*(32+38*(1-EXP(-0.0175*A37))),70*'Scénario référence'!$B$18)</f>
        <v>70</v>
      </c>
      <c r="DK37" s="12">
        <f>IF(A37&gt;30,10,('Scénario référence'!$B$16+'Scénario référence'!$B$17+'Scénario référence'!$B$18+'Scénario référence'!$B$9+'Scénario référence'!$B$10)*A37*10/30+('Scénario référence'!$F$8+'Scénario référence'!$F$9)*10)</f>
        <v>10</v>
      </c>
      <c r="DL37" s="12" t="e">
        <f>VLOOKUP(A37,'Données projet'!$A$165:$I$185,2,0)</f>
        <v>#N/A</v>
      </c>
      <c r="DM37" s="12" t="e">
        <f>VLOOKUP(A37,'Données projet'!$A$165:$I$185,9,0)</f>
        <v>#N/A</v>
      </c>
      <c r="DN37" s="12">
        <f t="array" ref="DN37">INDEX(DM:DM,MIN(IF(ISNUMBER(DM37:DM233),ROW(DM37:DM233),"")))</f>
        <v>9.1999999999999993</v>
      </c>
      <c r="DO37" s="12">
        <f>IF('Données projet'!$A$166&gt;35,DO36+DN37-DW36,IF(A37&lt;'Données projet'!$A$166,$DL$205^A37,IF(A37='Données projet'!$A$166,'Données projet'!$B$166,DO36+DN37-DW36)))</f>
        <v>196.79999999999995</v>
      </c>
      <c r="DP37" s="17">
        <f>DO37*VLOOKUP('Données projet'!$B$14,Paramètres!$A$1:$I$89,3,0)*VLOOKUP('Données projet'!$B$14,Paramètres!$A$1:$I$89,5,0)</f>
        <v>128.94335999999996</v>
      </c>
      <c r="DQ37" s="13">
        <f t="shared" si="43"/>
        <v>33.752085002132162</v>
      </c>
      <c r="DR37" s="20">
        <f t="shared" si="16"/>
        <v>283.36123337871345</v>
      </c>
      <c r="DS37" s="59">
        <f t="shared" si="17"/>
        <v>576.69456671204671</v>
      </c>
      <c r="DT37" s="59">
        <f ca="1">AVERAGE(OFFSET($DS$3,0,0,'Données projet'!$E$14+1,1))-AVERAGE(OFFSET($H$3,0,0,'Données projet'!$E$14+1,1))</f>
        <v>188.68915783955595</v>
      </c>
      <c r="DU37" s="59">
        <f t="shared" si="44"/>
        <v>240.82467772396944</v>
      </c>
      <c r="DV37" s="15">
        <f>IF(ISNA(VLOOKUP(A37,'Données projet'!$A$165:$I$185,3,0)),0,VLOOKUP(A37,'Données projet'!$A$165:$I$185,3,0))</f>
        <v>0</v>
      </c>
      <c r="DW37" s="15">
        <f>IF(ISNA(VLOOKUP(A37,'Données projet'!$A$165:$I$185,4,0)),0,VLOOKUP(A37,'Données projet'!$A$165:$I$185,4,0))</f>
        <v>0</v>
      </c>
      <c r="DX37" s="16">
        <f>IF(ISNA(VLOOKUP(A37,'Données projet'!$A$165:$I$185,5,0)),0%,VLOOKUP(A37,'Données projet'!$A$165:$I$185,5,0)*VLOOKUP('Données projet'!$B$14,Paramètres!$A$1:$I$89,7,0))</f>
        <v>0</v>
      </c>
      <c r="DY37" s="16">
        <f>IF(ISNA(VLOOKUP(A37,'Données projet'!$A$165:$I$185,6,0)),0%,VLOOKUP(A37,'Données projet'!$A$165:$I$185,6,0)*VLOOKUP('Données projet'!$B$14,Paramètres!$A$1:$I$89,7,0))</f>
        <v>0</v>
      </c>
      <c r="DZ37" s="16">
        <f>IF(ISNA(VLOOKUP(A37,'Données projet'!$A$165:$I$185,7,0)),0%,VLOOKUP(A37,'Données projet'!$A$165:$I$185,7,0))</f>
        <v>0</v>
      </c>
      <c r="EA37" s="21">
        <f>EXP(-LN(2)/35)*EA36+(1-EXP(-LN(2)/35))/(LN(2)/35)*DW37*DX37*VLOOKUP('Données projet'!$B$14,Paramètres!$A$1:$I$89,3,0)*0.475*44/12</f>
        <v>1.4386529182018657</v>
      </c>
      <c r="EB37" s="21">
        <f>EXP(-LN(2)/25)*EB36+(1-EXP(-LN(2)/25))/(LN(2)/25)*Calculateur!DW37*Calculateur!DY37*VLOOKUP('Données projet'!$B$14,Paramètres!$A$1:$I$89,3,0)*0.475*44/12</f>
        <v>7.1942376931183034</v>
      </c>
      <c r="EC37" s="21">
        <f>EXP(-LN(2)/2)*EC36+(1-EXP(-LN(2)/2))/(LN(2)/2)*DW37*DZ37*VLOOKUP('Données projet'!$B$14,Paramètres!$A$1:$I$89,3,0)*0.475*44/12</f>
        <v>3.4991019965517718</v>
      </c>
      <c r="ED37" s="22">
        <f t="shared" si="18"/>
        <v>12.131992607871942</v>
      </c>
      <c r="EE37" s="75">
        <f>('Scénario référence'!$F$8+'Scénario référence'!$F$9+'Scénario référence'!$B$17+'Scénario référence'!$B$9+'Scénario référence'!$B$10)*70+IF((45+25*(1-EXP(-0.0175*A37)))&lt;70,'Scénario référence'!$B$16*(45+25*(1-EXP(-0.0175*A37))),70*'Scénario référence'!$B$16)+IF((32+38*(1-EXP(-0.0175*A37)))&lt;70,'Scénario référence'!$B$18*(32+38*(1-EXP(-0.0175*A37))),70*'Scénario référence'!$B$18)</f>
        <v>70</v>
      </c>
      <c r="EF37" s="12">
        <f>IF(A37&gt;30,10,('Scénario référence'!$B$16+'Scénario référence'!$B$17+'Scénario référence'!$B$18+'Scénario référence'!$B$9+'Scénario référence'!$B$10)*A37*10/30+('Scénario référence'!$F$8+'Scénario référence'!$F$9)*10)</f>
        <v>10</v>
      </c>
      <c r="EG37" s="12" t="e">
        <f>VLOOKUP(A37,'Données projet'!$A$191:$I$211,2,0)</f>
        <v>#N/A</v>
      </c>
      <c r="EH37" s="12" t="e">
        <f>VLOOKUP(A37,'Données projet'!$A$191:$I$211,9,0)</f>
        <v>#N/A</v>
      </c>
      <c r="EI37" s="12">
        <f t="array" ref="EI37">INDEX(EH:EH,MIN(IF(ISNUMBER(EH37:EH233),ROW(EH37:EH233),"")))</f>
        <v>7.2</v>
      </c>
      <c r="EJ37" s="12">
        <f>IF('Données projet'!$A$192&gt;35,EJ36+EI37-ER36,IF(A37&lt;'Données projet'!$A$192,$EG$205^A37,IF(A37='Données projet'!$A$192,'Données projet'!$B$192,EJ36+EI37-ER36)))</f>
        <v>137.79999999999998</v>
      </c>
      <c r="EK37" s="17">
        <f>EJ37*VLOOKUP('Données projet'!$B$15,Paramètres!$A$1:$I$89,3,0)*VLOOKUP('Données projet'!$B$15,Paramètres!$A$1:$I$89,5,0)</f>
        <v>111.78335999999999</v>
      </c>
      <c r="EL37" s="13">
        <f t="shared" si="45"/>
        <v>29.750764011091608</v>
      </c>
      <c r="EM37" s="20">
        <f t="shared" si="19"/>
        <v>246.50526598598449</v>
      </c>
      <c r="EN37" s="59">
        <f t="shared" si="20"/>
        <v>539.83859931931784</v>
      </c>
      <c r="EO37" s="59">
        <f ca="1">AVERAGE(OFFSET($EN$3,0,0,'Données projet'!$E$15+1,1))-AVERAGE(OFFSET($H$3,0,0,'Données projet'!$E$15+1,1))</f>
        <v>205.5272583787887</v>
      </c>
      <c r="EP37" s="59">
        <f t="shared" si="46"/>
        <v>180.54762778843178</v>
      </c>
      <c r="EQ37" s="15">
        <f>IF(ISNA(VLOOKUP(A37,'Données projet'!$A$191:$I$211,3,0)),0,VLOOKUP(A37,'Données projet'!$A$191:$I$211,3,0))</f>
        <v>0</v>
      </c>
      <c r="ER37" s="15">
        <f>IF(ISNA(VLOOKUP(A37,'Données projet'!$A$191:$I$211,4,0)),0,VLOOKUP(A37,'Données projet'!$A$191:$I$211,4,0))</f>
        <v>0</v>
      </c>
      <c r="ES37" s="16">
        <f>IF(ISNA(VLOOKUP(A37,'Données projet'!$A$191:$I$211,5,0)),0%,VLOOKUP(A37,'Données projet'!$A$191:$I$211,5,0)*VLOOKUP('Données projet'!$B$15,Paramètres!$A$1:$I$89,7,0))</f>
        <v>0</v>
      </c>
      <c r="ET37" s="16">
        <f>IF(ISNA(VLOOKUP(A37,'Données projet'!$A$191:$I$211,6,0)),0%,VLOOKUP(A37,'Données projet'!$A$191:$I$211,6,0)*VLOOKUP('Données projet'!$B$15,Paramètres!$A$1:$I$89,7,0))</f>
        <v>0</v>
      </c>
      <c r="EU37" s="16">
        <f>IF(ISNA(VLOOKUP(A37,'Données projet'!$A$191:$I$211,7,0)),0%,VLOOKUP(A37,'Données projet'!$A$191:$I$211,7,0))</f>
        <v>0</v>
      </c>
      <c r="EV37" s="21">
        <f>EXP(-LN(2)/35)*EV36+(1-EXP(-LN(2)/35))/(LN(2)/35)*ER37*ES37*VLOOKUP('Données projet'!$B$15,Paramètres!$A$1:$I$89,3,0)*0.475*44/12</f>
        <v>0.92621845019472482</v>
      </c>
      <c r="EW37" s="21">
        <f>EXP(-LN(2)/25)*EW36+(1-EXP(-LN(2)/25))/(LN(2)/25)*Calculateur!ER37*Calculateur!ET37*VLOOKUP('Données projet'!$B$15,Paramètres!$A$1:$I$89,3,0)*0.475*44/12</f>
        <v>5.1944578585734043</v>
      </c>
      <c r="EX37" s="21">
        <f>EXP(-LN(2)/2)*EX36+(1-EXP(-LN(2)/2))/(LN(2)/2)*ER37*EU37*VLOOKUP('Données projet'!$B$15,Paramètres!$A$1:$I$89,3,0)*0.475*44/12</f>
        <v>2.2656711300949843</v>
      </c>
      <c r="EY37" s="22">
        <f t="shared" si="21"/>
        <v>8.3863474388631136</v>
      </c>
      <c r="EZ37" s="75">
        <f>('Scénario référence'!$F$8+'Scénario référence'!$F$9+'Scénario référence'!$B$17+'Scénario référence'!$B$9+'Scénario référence'!$B$10)*70+IF((45+25*(1-EXP(-0.0175*A37)))&lt;70,'Scénario référence'!$B$16*(45+25*(1-EXP(-0.0175*A37))),70*'Scénario référence'!$B$16)+IF((32+38*(1-EXP(-0.0175*A37)))&lt;70,'Scénario référence'!$B$18*(32+38*(1-EXP(-0.0175*A37))),70*'Scénario référence'!$B$18)</f>
        <v>70</v>
      </c>
      <c r="FA37" s="12">
        <f>IF(A37&gt;30,10,('Scénario référence'!$B$16+'Scénario référence'!$B$17+'Scénario référence'!$B$18+'Scénario référence'!$B$9+'Scénario référence'!$B$10)*A37*10/30+('Scénario référence'!$F$8+'Scénario référence'!$F$9)*10)</f>
        <v>10</v>
      </c>
      <c r="FB37" s="12" t="e">
        <f>VLOOKUP(A37,'Données projet'!$A$217:$I$237,2,0)</f>
        <v>#N/A</v>
      </c>
      <c r="FC37" s="12" t="e">
        <f>VLOOKUP(A37,'Données projet'!$A$217:$I$237,9,0)</f>
        <v>#N/A</v>
      </c>
      <c r="FD37" s="12">
        <f t="array" ref="FD37">INDEX(FC:FC,MIN(IF(ISNUMBER(FC37:FC233),ROW(FC37:FC233),"")))</f>
        <v>12.3</v>
      </c>
      <c r="FE37" s="12">
        <f>IF('Données projet'!$A$218&gt;35,FE36+FD37-FM36,IF(A37&lt;'Données projet'!$A$218,$FB$205^A37,IF(A37='Données projet'!$A$218,'Données projet'!$B$218,FE36+FD37-FM36)))</f>
        <v>148.19999999999999</v>
      </c>
      <c r="FF37" s="17">
        <f>FE37*VLOOKUP('Données projet'!$B$16,Paramètres!$A$1:$I$89,3,0)*VLOOKUP('Données projet'!$B$16,Paramètres!$A$1:$I$89,5,0)</f>
        <v>127.15560000000001</v>
      </c>
      <c r="FG37" s="13">
        <f t="shared" si="47"/>
        <v>33.338258149231912</v>
      </c>
      <c r="FH37" s="20">
        <f t="shared" si="22"/>
        <v>279.52680294324563</v>
      </c>
      <c r="FI37" s="59">
        <f t="shared" si="23"/>
        <v>572.86013627657894</v>
      </c>
      <c r="FJ37" s="59">
        <f ca="1">AVERAGE(OFFSET($FI$3,0,0,'Données projet'!$E$16+1,1))-AVERAGE(OFFSET($H$3,0,0,'Données projet'!$E$16+1,1))</f>
        <v>383.97627237444709</v>
      </c>
      <c r="FK37" s="59">
        <f t="shared" si="48"/>
        <v>203.35476578922339</v>
      </c>
      <c r="FL37" s="15">
        <f>IF(ISNA(VLOOKUP(A37,'Données projet'!$A$217:$I$237,3,0)),0,VLOOKUP(A37,'Données projet'!$A$217:$I$237,3,0))</f>
        <v>0</v>
      </c>
      <c r="FM37" s="15">
        <f>IF(ISNA(VLOOKUP(A37,'Données projet'!$A$217:$I$237,4,0)),0,VLOOKUP(A37,'Données projet'!$A$217:$I$237,4,0))</f>
        <v>0</v>
      </c>
      <c r="FN37" s="16">
        <f>IF(ISNA(VLOOKUP(A37,'Données projet'!$A$217:$I$237,5,0)),0%,VLOOKUP(A37,'Données projet'!$A$217:$I$237,5,0)*VLOOKUP('Données projet'!$B$16,Paramètres!$A$1:$I$89,7,0))</f>
        <v>0</v>
      </c>
      <c r="FO37" s="16">
        <f>IF(ISNA(VLOOKUP(A37,'Données projet'!$A$217:$I$237,6,0)),0%,VLOOKUP(A37,'Données projet'!$A$217:$I$237,6,0)*VLOOKUP('Données projet'!$B$16,Paramètres!$A$1:$I$89,7,0))</f>
        <v>0</v>
      </c>
      <c r="FP37" s="16">
        <f>IF(ISNA(VLOOKUP(A37,'Données projet'!$A$217:$I$237,7,0)),0%,VLOOKUP(A37,'Données projet'!$A$217:$I$237,7,0))</f>
        <v>0</v>
      </c>
      <c r="FQ37" s="21">
        <f>EXP(-LN(2)/35)*FQ36+(1-EXP(-LN(2)/35))/(LN(2)/35)*FM37*FN37*VLOOKUP('Données projet'!$B$16,Paramètres!$A$1:$I$89,3,0)*0.475*44/12</f>
        <v>4.7602603410547069</v>
      </c>
      <c r="FR37" s="21">
        <f>EXP(-LN(2)/25)*FR36+(1-EXP(-LN(2)/25))/(LN(2)/25)*Calculateur!FM37*Calculateur!FO37*VLOOKUP('Données projet'!$B$16,Paramètres!$A$1:$I$89,3,0)*0.475*44/12</f>
        <v>5.2729116246969392</v>
      </c>
      <c r="FS37" s="21">
        <f>EXP(-LN(2)/2)*FS36+(1-EXP(-LN(2)/2))/(LN(2)/2)*FM37*FP37*VLOOKUP('Données projet'!$B$16,Paramètres!$A$1:$I$89,3,0)*0.475*44/12</f>
        <v>4.161572882947473</v>
      </c>
      <c r="FT37" s="22">
        <f t="shared" si="24"/>
        <v>14.194744848699118</v>
      </c>
      <c r="FU37" s="75">
        <f>('Scénario référence'!$F$8+'Scénario référence'!$F$9+'Scénario référence'!$B$17+'Scénario référence'!$B$9+'Scénario référence'!$B$10)*70+IF((45+25*(1-EXP(-0.0175*A37)))&lt;70,'Scénario référence'!$B$16*(45+25*(1-EXP(-0.0175*A37))),70*'Scénario référence'!$B$16)+IF((32+38*(1-EXP(-0.0175*A37)))&lt;70,'Scénario référence'!$B$18*(32+38*(1-EXP(-0.0175*A37))),70*'Scénario référence'!$B$18)</f>
        <v>70</v>
      </c>
      <c r="FV37" s="12">
        <f>IF(A37&gt;30,10,('Scénario référence'!$B$16+'Scénario référence'!$B$17+'Scénario référence'!$B$18+'Scénario référence'!$B$9+'Scénario référence'!$B$10)*A37*10/30+('Scénario référence'!$F$8+'Scénario référence'!$F$9)*10)</f>
        <v>10</v>
      </c>
      <c r="FW37" s="12" t="e">
        <f>VLOOKUP(A37,'Données projet'!$A$243:$I$263,2,0)</f>
        <v>#N/A</v>
      </c>
      <c r="FX37" s="12" t="e">
        <f>VLOOKUP(A37,'Données projet'!$A$243:$I$263,9,0)</f>
        <v>#N/A</v>
      </c>
      <c r="FY37" s="12">
        <f t="array" ref="FY37">INDEX(FX:FX,MIN(IF(ISNUMBER(FX37:FX233),ROW(FX37:FX233),"")))</f>
        <v>8.0564102564102562</v>
      </c>
      <c r="FZ37" s="12">
        <f>IF('Données projet'!$A$244&gt;35,FZ36+FY37-GH36,IF(A37&lt;'Données projet'!$A$244,$FW$205^A37,IF(A37='Données projet'!$A$244,'Données projet'!$B$244,FZ36+FY37-GH36)))</f>
        <v>154.1102564102564</v>
      </c>
      <c r="GA37" s="17">
        <f>FZ37*VLOOKUP('Données projet'!$B$17,Paramètres!$A$1:$I$89,3,0)*VLOOKUP('Données projet'!$B$17,Paramètres!$A$1:$I$89,5,0)</f>
        <v>165.88427999999996</v>
      </c>
      <c r="GB37" s="13">
        <f t="shared" si="49"/>
        <v>42.166928542858805</v>
      </c>
      <c r="GC37" s="20">
        <f t="shared" si="25"/>
        <v>362.35585487881235</v>
      </c>
      <c r="GD37" s="59">
        <f t="shared" si="26"/>
        <v>655.68918821214561</v>
      </c>
      <c r="GE37" s="59">
        <f ca="1">AVERAGE(OFFSET($GD$3,0,0,'Données projet'!$E$17+1,1))-AVERAGE(OFFSET($H$3,0,0,'Données projet'!$E$17+1,1))</f>
        <v>286.77702855541287</v>
      </c>
      <c r="GF37" s="59">
        <f t="shared" si="50"/>
        <v>227.12211541860779</v>
      </c>
      <c r="GG37" s="15">
        <f>IF(ISNA(VLOOKUP(A37,'Données projet'!$A$243:$I$263,3,0)),0,VLOOKUP(A37,'Données projet'!$A$243:$I$263,3,0))</f>
        <v>0</v>
      </c>
      <c r="GH37" s="15">
        <f>IF(ISNA(VLOOKUP(A37,'Données projet'!$A$243:$I$263,4,0)),0,VLOOKUP(A37,'Données projet'!$A$243:$I$263,4,0))</f>
        <v>0</v>
      </c>
      <c r="GI37" s="16">
        <f>IF(ISNA(VLOOKUP(A37,'Données projet'!$A$243:$I$263,5,0)),0%,VLOOKUP(A37,'Données projet'!$A$243:$I$263,5,0)*VLOOKUP('Données projet'!$B$17,Paramètres!$A$1:$I$89,7,0))</f>
        <v>0</v>
      </c>
      <c r="GJ37" s="16">
        <f>IF(ISNA(VLOOKUP(A37,'Données projet'!$A$243:$I$263,6,0)),0%,VLOOKUP(A37,'Données projet'!$A$243:$I$263,6,0)*VLOOKUP('Données projet'!$B$17,Paramètres!$A$1:$I$89,7,0))</f>
        <v>0</v>
      </c>
      <c r="GK37" s="16">
        <f>IF(ISNA(VLOOKUP(A37,'Données projet'!$A$243:$I$263,7,0)),0%,VLOOKUP(A37,'Données projet'!$A$243:$I$263,7,0))</f>
        <v>0</v>
      </c>
      <c r="GL37" s="21">
        <f>EXP(-LN(2)/35)*GL36+(1-EXP(-LN(2)/35))/(LN(2)/35)*GH37*GI37*VLOOKUP('Données projet'!$B$17,Paramètres!$A$1:$I$89,3,0)*0.475*44/12</f>
        <v>0</v>
      </c>
      <c r="GM37" s="21">
        <f>EXP(-LN(2)/25)*GM36+(1-EXP(-LN(2)/25))/(LN(2)/25)*Calculateur!GH37*Calculateur!GJ37*VLOOKUP('Données projet'!$B$17,Paramètres!$A$1:$I$89,3,0)*0.475*44/12</f>
        <v>0</v>
      </c>
      <c r="GN37" s="21">
        <f>EXP(-LN(2)/2)*GN36+(1-EXP(-LN(2)/2))/(LN(2)/2)*GH37*GK37*VLOOKUP('Données projet'!$B$17,Paramètres!$A$1:$I$89,3,0)*0.475*44/12</f>
        <v>0</v>
      </c>
      <c r="GO37" s="21">
        <f t="shared" si="27"/>
        <v>0</v>
      </c>
      <c r="GP37" s="75">
        <f>('Scénario référence'!$F$8+'Scénario référence'!$F$9+'Scénario référence'!$B$17+'Scénario référence'!$B$9+'Scénario référence'!$B$10)*70+IF((45+25*(1-EXP(-0.0175*A37)))&lt;70,'Scénario référence'!$B$16*(45+25*(1-EXP(-0.0175*A37))),70*'Scénario référence'!$B$16)+IF((32+38*(1-EXP(-0.0175*A37)))&lt;70,'Scénario référence'!$B$18*(32+38*(1-EXP(-0.0175*A37))),70*'Scénario référence'!$B$18)</f>
        <v>70</v>
      </c>
      <c r="GQ37" s="12">
        <f>IF(A37&gt;30,10,('Scénario référence'!$B$16+'Scénario référence'!$B$17+'Scénario référence'!$B$18+'Scénario référence'!$B$9+'Scénario référence'!$B$10)*A37*10/30+('Scénario référence'!$F$8+'Scénario référence'!$F$9)*10)</f>
        <v>10</v>
      </c>
      <c r="GR37" s="12" t="e">
        <f>VLOOKUP(A37,'Données projet'!$A$269:$I$289,2,0)</f>
        <v>#N/A</v>
      </c>
      <c r="GS37" s="12" t="e">
        <f>VLOOKUP(A37,'Données projet'!$A$269:$I$289,9,0)</f>
        <v>#N/A</v>
      </c>
      <c r="GT37" s="12">
        <f t="array" ref="GT37">INDEX(GS:GS,MIN(IF(ISNUMBER(GS37:GS233),ROW(GS37:GS233),"")))</f>
        <v>8.0564102564102562</v>
      </c>
      <c r="GU37" s="12">
        <f>IF('Données projet'!$A$270&gt;35,GU36+GT37-HC36,IF(A37&lt;'Données projet'!$A$270,$GR$205^A37,IF(A37='Données projet'!$A$270,'Données projet'!$B$270,GU36+GT37-HC36)))</f>
        <v>154.1102564102564</v>
      </c>
      <c r="GV37" s="17">
        <f>GU37*VLOOKUP('Données projet'!$B$18,Paramètres!$A$1:$I$89,3,0)*VLOOKUP('Données projet'!$B$18,Paramètres!$A$1:$I$89,5,0)</f>
        <v>165.88427999999996</v>
      </c>
      <c r="GW37" s="13">
        <f t="shared" si="51"/>
        <v>42.166928542858805</v>
      </c>
      <c r="GX37" s="20">
        <f t="shared" si="28"/>
        <v>362.35585487881235</v>
      </c>
      <c r="GY37" s="59">
        <f t="shared" si="29"/>
        <v>655.68918821214561</v>
      </c>
      <c r="GZ37" s="59">
        <f ca="1">AVERAGE(OFFSET($GY$3,0,0,'Données projet'!$E$18+1,1))-AVERAGE(OFFSET($H$3,0,0,'Données projet'!$E$18+1,1))</f>
        <v>286.77702855541287</v>
      </c>
      <c r="HA37" s="59">
        <f t="shared" si="52"/>
        <v>227.12211541860779</v>
      </c>
      <c r="HB37" s="15">
        <f>IF(ISNA(VLOOKUP(A37,'Données projet'!$A$269:$I$289,3,0)),0,VLOOKUP(A37,'Données projet'!$A$269:$I$289,3,0))</f>
        <v>0</v>
      </c>
      <c r="HC37" s="15">
        <f>IF(ISNA(VLOOKUP(A37,'Données projet'!$A$269:$I$289,4,0)),0,VLOOKUP(A37,'Données projet'!$A$269:$I$289,4,0))</f>
        <v>0</v>
      </c>
      <c r="HD37" s="16">
        <f>IF(ISNA(VLOOKUP(A37,'Données projet'!$A$269:$I$289,5,0)),0%,VLOOKUP(A37,'Données projet'!$A$269:$I$289,5,0)*VLOOKUP('Données projet'!$B$18,Paramètres!$A$1:$I$89,7,0))</f>
        <v>0</v>
      </c>
      <c r="HE37" s="16">
        <f>IF(ISNA(VLOOKUP(A37,'Données projet'!$A$269:$I$289,6,0)),0%,VLOOKUP(A37,'Données projet'!$A$269:$I$289,6,0)*VLOOKUP('Données projet'!$B$18,Paramètres!$A$1:$I$89,7,0))</f>
        <v>0</v>
      </c>
      <c r="HF37" s="16">
        <f>IF(ISNA(VLOOKUP(A37,'Données projet'!$A$269:$I$289,7,0)),0%,VLOOKUP(A37,'Données projet'!$A$269:$I$289,7,0))</f>
        <v>0</v>
      </c>
      <c r="HG37" s="21">
        <f>EXP(-LN(2)/35)*HG36+(1-EXP(-LN(2)/35))/(LN(2)/35)*HC37*HD37*VLOOKUP('Données projet'!$B$18,Paramètres!$A$1:$I$89,3,0)*0.475*44/12</f>
        <v>0</v>
      </c>
      <c r="HH37" s="21">
        <f>EXP(-LN(2)/25)*HH36+(1-EXP(-LN(2)/25))/(LN(2)/25)*Calculateur!HC37*Calculateur!HE37*VLOOKUP('Données projet'!$B$18,Paramètres!$A$1:$I$89,3,0)*0.475*44/12</f>
        <v>0</v>
      </c>
      <c r="HI37" s="21">
        <f>EXP(-LN(2)/2)*HI36+(1-EXP(-LN(2)/2))/(LN(2)/2)*HC37*HF37*VLOOKUP('Données projet'!$B$18,Paramètres!$A$1:$I$89,3,0)*0.475*44/12</f>
        <v>0</v>
      </c>
      <c r="HJ37" s="22">
        <f t="shared" si="30"/>
        <v>0</v>
      </c>
    </row>
    <row r="38" spans="1:218" x14ac:dyDescent="0.25">
      <c r="A38" s="10">
        <f t="shared" si="31"/>
        <v>35</v>
      </c>
      <c r="B38" s="73">
        <f>'Scénario référence'!$B$16*5+'Scénario référence'!$B$17*0+'Scénario référence'!$B$18*5</f>
        <v>0</v>
      </c>
      <c r="C38" s="19">
        <f>Calculateur!C37+'Scénario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31.121999999999986</v>
      </c>
      <c r="D38" s="11">
        <f t="shared" si="32"/>
        <v>9.612282066778798</v>
      </c>
      <c r="E3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38" s="11">
        <f>IF(OR('Scénario référence'!$F$8&gt;0,'Scénario référence'!$F$9&gt;0),('Scénario référence'!$F$8+'Scénario référence'!$F$9)*10,0)</f>
        <v>10</v>
      </c>
      <c r="G38" s="11">
        <f>'Scénario référence'!$B$8*B38*44/12+'Scénario référence'!$B$9*(C38+D38)/0.475*44/12+'Scénario référence'!$B$10*(C38+D38)/0.475*44/12+'Scénario référence'!$F$8*(C38+D38)/0.475*44/12+'Scénario référence'!$F$9*(C38+D38)/0.475*44/12</f>
        <v>314.44007209443271</v>
      </c>
      <c r="H38" s="67">
        <f t="shared" si="1"/>
        <v>364.27887459963966</v>
      </c>
      <c r="I38" s="70">
        <f>('Scénario référence'!$F$8+'Scénario référence'!$F$9+'Scénario référence'!$B$17+'Scénario référence'!$B$9+'Scénario référence'!$B$10)*70+IF((45+25*(1-EXP(-0.0175*A38)))&lt;70,'Scénario référence'!$B$16*(45+25*(1-EXP(-0.0175*A38))),70*'Scénario référence'!$B$16)+IF((32+38*(1-EXP(-0.0175*A38)))&lt;70,'Scénario référence'!$B$18*(32+38*(1-EXP(-0.0175*A38))),70*'Scénario référence'!$B$18)</f>
        <v>70</v>
      </c>
      <c r="J38" s="13">
        <f>IF(A38&gt;30,10,('Scénario référence'!$B$16+'Scénario référence'!$B$17+'Scénario référence'!$B$18+'Scénario référence'!$B$9+'Scénario référence'!$B$10)*A38*10/30+('Scénario référence'!$F$8+'Scénario référence'!$F$9)*10)</f>
        <v>10</v>
      </c>
      <c r="K38" s="12" t="e">
        <f>VLOOKUP(A38,'Données projet'!$A$35:$I$55,2,0)</f>
        <v>#N/A</v>
      </c>
      <c r="L38" s="12" t="e">
        <f>VLOOKUP(A38,'Données projet'!$A$35:$I$55,9,0)</f>
        <v>#N/A</v>
      </c>
      <c r="M38" s="12">
        <f t="array" ref="M38">INDEX(L:L,MIN(IF(ISNUMBER(L38:L234),ROW(L38:L234),"")))</f>
        <v>22.884615384615376</v>
      </c>
      <c r="N38" s="13">
        <f>IF('Données projet'!$A$36&gt;35,N37+M38-V37,IF(A38&lt;'Données projet'!$A$36,$K$205^A38,IF(A38='Données projet'!$A$36,'Données projet'!$B$36,N37+M38-V37)))</f>
        <v>380.62307692307667</v>
      </c>
      <c r="O38" s="13">
        <f>N38*VLOOKUP('Données projet'!$B$9,Paramètres!$A$1:$I$89,3,0)*VLOOKUP('Données projet'!$B$9,Paramètres!$A$1:$I$89,5,0)</f>
        <v>212.76829999999987</v>
      </c>
      <c r="P38" s="13">
        <f t="shared" si="33"/>
        <v>52.540067037520458</v>
      </c>
      <c r="Q38" s="20">
        <f t="shared" si="53"/>
        <v>462.07873925701455</v>
      </c>
      <c r="R38" s="59">
        <f t="shared" si="0"/>
        <v>755.41207259034786</v>
      </c>
      <c r="S38" s="59">
        <f ca="1">AVERAGE(OFFSET($R$3,0,0,'Données projet'!$E$9+1,1))-AVERAGE(OFFSET($H$3,0,0,'Données projet'!$E$9+1,1))</f>
        <v>255.5374979188561</v>
      </c>
      <c r="T38" s="59">
        <f t="shared" si="34"/>
        <v>343.10418468620901</v>
      </c>
      <c r="U38" s="15">
        <f>IF(ISNA(VLOOKUP(A38,'Données projet'!$A$35:$I$55,3,0)),0,VLOOKUP(A38,'Données projet'!$A$35:$I$55,3,0))</f>
        <v>0</v>
      </c>
      <c r="V38" s="15">
        <f>IF(ISNA(VLOOKUP(A38,'Données projet'!$A$35:$I$55,4,0)),0,VLOOKUP(A38,'Données projet'!$A$35:$I$55,4,0))</f>
        <v>0</v>
      </c>
      <c r="W38" s="16">
        <f>IF(ISNA(VLOOKUP(A38,'Données projet'!$A$35:$I$55,5,0)),0%,VLOOKUP(A38,'Données projet'!$A$35:$I$55,5,0)*VLOOKUP('Données projet'!$B$9,Paramètres!$A$1:$I$89,7,0))</f>
        <v>0</v>
      </c>
      <c r="X38" s="16">
        <f>IF(ISNA(VLOOKUP(A38,'Données projet'!$A$35:$I$55,6,0)),0%,VLOOKUP(A38,'Données projet'!$A$35:$I$55,6,0)*VLOOKUP('Données projet'!$B$9,Paramètres!$A$1:$I$89,7,0))</f>
        <v>0</v>
      </c>
      <c r="Y38" s="16">
        <f>IF(ISNA(VLOOKUP(A38,'Données projet'!$A$35:$I$55,7,0)),0%,VLOOKUP(A38,'Données projet'!$A$35:$I$55,7,0))</f>
        <v>0</v>
      </c>
      <c r="Z38" s="21">
        <f>EXP(-LN(2)/35)*Z37+(1-EXP(-LN(2)/35))/(LN(2)/35)*V38*W38*VLOOKUP('Données projet'!$B$9,Paramètres!$A$1:$I$89,3,0)*0.475*44/12</f>
        <v>2.7987231182664107</v>
      </c>
      <c r="AA38" s="21">
        <f>EXP(-LN(2)/25)*AA37+(1-EXP(-LN(2)/25))/(LN(2)/25)*Calculateur!V38*Calculateur!X38*VLOOKUP('Données projet'!$B$9,Paramètres!$A$1:$I$89,3,0)*0.475*44/12</f>
        <v>13.894212576206922</v>
      </c>
      <c r="AB38" s="21">
        <f>EXP(-LN(2)/2)*AB37+(1-EXP(-LN(2)/2))/(LN(2)/2)*V38*Y38*VLOOKUP('Données projet'!$B$9,Paramètres!$A$1:$I$89,3,0)*0.475*44/12</f>
        <v>0.29922144089287023</v>
      </c>
      <c r="AC38" s="22">
        <f t="shared" si="3"/>
        <v>16.992157135366206</v>
      </c>
      <c r="AD38" s="13">
        <f>('Scénario référence'!$F$8+'Scénario référence'!$F$9+'Scénario référence'!$B$17+'Scénario référence'!$B$9+'Scénario référence'!$B$10)*70+IF((45+25*(1-EXP(-0.0175*A38)))&lt;70,'Scénario référence'!$B$16*(45+25*(1-EXP(-0.0175*A38))),70*'Scénario référence'!$B$16)+IF((32+38*(1-EXP(-0.0175*A38)))&lt;70,'Scénario référence'!$B$18*(32+38*(1-EXP(-0.0175*A38))),70*'Scénario référence'!$B$18)</f>
        <v>70</v>
      </c>
      <c r="AE38" s="13">
        <f>IF(A38&gt;30,10,('Scénario référence'!$B$16+'Scénario référence'!$B$17+'Scénario référence'!$B$18+'Scénario référence'!$B$9+'Scénario référence'!$B$10)*A38*10/30+('Scénario référence'!$F$8+'Scénario référence'!$F$9)*10)</f>
        <v>10</v>
      </c>
      <c r="AF38" s="12" t="e">
        <f>VLOOKUP(A38,'Données projet'!$A$61:$I$81,2,0)</f>
        <v>#N/A</v>
      </c>
      <c r="AG38" s="12" t="e">
        <f>VLOOKUP(A38,'Données projet'!$A$61:$I$81,9,0)</f>
        <v>#N/A</v>
      </c>
      <c r="AH38" s="12">
        <f t="array" ref="AH38">INDEX(AG:AG,MIN(IF(ISNUMBER(AG38:AG234),ROW(AG38:AG234),"")))</f>
        <v>15.1</v>
      </c>
      <c r="AI38" s="13">
        <f>IF('Données projet'!$A$62&gt;35,AI37+AH38-AQ37,IF(A38&lt;'Données projet'!$A$62,$AF$205^A38,IF(A38='Données projet'!$A$62,'Données projet'!$B$62,AI37+AH38-AQ37)))</f>
        <v>254.5</v>
      </c>
      <c r="AJ38" s="13">
        <f>AI38*VLOOKUP('Données projet'!$B$10,Paramètres!$A$1:$I$89,3,0)*VLOOKUP('Données projet'!$B$10,Paramètres!$A$1:$I$89,5,0)</f>
        <v>158.80799999999999</v>
      </c>
      <c r="AK38" s="13">
        <f t="shared" si="35"/>
        <v>40.573539580413687</v>
      </c>
      <c r="AL38" s="20">
        <f t="shared" si="4"/>
        <v>347.25618143588719</v>
      </c>
      <c r="AM38" s="59">
        <f t="shared" si="5"/>
        <v>640.5895147692205</v>
      </c>
      <c r="AN38" s="59">
        <f ca="1">AVERAGE(OFFSET($AM$3,0,0,'Données projet'!$E$10+1,1))-AVERAGE(OFFSET($H$3,0,0,'Données projet'!$E$10+1,1))</f>
        <v>261.78489480911571</v>
      </c>
      <c r="AO38" s="59">
        <f t="shared" si="36"/>
        <v>297.50513563712764</v>
      </c>
      <c r="AP38" s="15">
        <f>IF(ISNA(VLOOKUP(A38,'Données projet'!$A$61:$I$81,3,0)),0,VLOOKUP(A38,'Données projet'!$A$61:$I$81,3,0))</f>
        <v>0</v>
      </c>
      <c r="AQ38" s="15">
        <f>IF(ISNA(VLOOKUP(A38,'Données projet'!$A$61:$I$81,4,0)),0,VLOOKUP(A38,'Données projet'!$A$61:$I$81,4,0))</f>
        <v>0</v>
      </c>
      <c r="AR38" s="16">
        <f>IF(ISNA(VLOOKUP(A38,'Données projet'!$A$61:$I$81,5,0)),0%,VLOOKUP(A38,'Données projet'!$A$61:$I$81,5,0)*VLOOKUP('Données projet'!$B$10,Paramètres!$A$1:$I$89,7,0))</f>
        <v>0</v>
      </c>
      <c r="AS38" s="16">
        <f>IF(ISNA(VLOOKUP(A38,'Données projet'!$A$61:$I$81,6,0)),0%,VLOOKUP(A38,'Données projet'!$A$61:$I$81,6,0)*VLOOKUP('Données projet'!$B$10,Paramètres!$A$1:$I$89,7,0))</f>
        <v>0</v>
      </c>
      <c r="AT38" s="16">
        <f>IF(ISNA(VLOOKUP(A38,'Données projet'!$A$61:$I$81,7,0)),0%,VLOOKUP(A38,'Données projet'!$A$61:$I$81,7,0))</f>
        <v>0</v>
      </c>
      <c r="AU38" s="21">
        <f>EXP(-LN(2)/35)*AU37+(1-EXP(-LN(2)/35))/(LN(2)/35)*AQ38*AR38*VLOOKUP('Données projet'!$B$10,Paramètres!$A$1:$I$89,3,0)*0.475*44/12</f>
        <v>7.5573440343564231</v>
      </c>
      <c r="AV38" s="21">
        <f>EXP(-LN(2)/25)*AV37+(1-EXP(-LN(2)/25))/(LN(2)/25)*Calculateur!AQ38*Calculateur!AS38*VLOOKUP('Données projet'!$B$10,Paramètres!$A$1:$I$89,3,0)*0.475*44/12</f>
        <v>24.262129033806566</v>
      </c>
      <c r="AW38" s="21">
        <f>EXP(-LN(2)/2)*AW37+(1-EXP(-LN(2)/2))/(LN(2)/2)*AQ38*AT38*VLOOKUP('Données projet'!$B$10,Paramètres!$A$1:$I$89,3,0)*0.475*44/12</f>
        <v>4.3135619304848678</v>
      </c>
      <c r="AX38" s="21">
        <f t="shared" si="6"/>
        <v>36.133034998647858</v>
      </c>
      <c r="AY38" s="74">
        <f>('Scénario référence'!$F$8+'Scénario référence'!$F$9+'Scénario référence'!$B$17+'Scénario référence'!$B$9+'Scénario référence'!$B$10)*70+IF((45+25*(1-EXP(-0.0175*A38)))&lt;70,'Scénario référence'!$B$16*(45+25*(1-EXP(-0.0175*A38))),70*'Scénario référence'!$B$16)+IF((32+38*(1-EXP(-0.0175*A38)))&lt;70,'Scénario référence'!$B$18*(32+38*(1-EXP(-0.0175*A38))),70*'Scénario référence'!$B$18)</f>
        <v>70</v>
      </c>
      <c r="AZ38" s="12">
        <f>IF(A38&gt;30,10,('Scénario référence'!$B$16+'Scénario référence'!$B$17+'Scénario référence'!$B$18+'Scénario référence'!$B$9+'Scénario référence'!$B$10)*A38*10/30+('Scénario référence'!$F$8+'Scénario référence'!$F$9)*10)</f>
        <v>10</v>
      </c>
      <c r="BA38" s="12" t="e">
        <f>VLOOKUP(A38,'Données projet'!$A$87:$I$107,2,0)</f>
        <v>#N/A</v>
      </c>
      <c r="BB38" s="12" t="e">
        <f>VLOOKUP(A38,'Données projet'!$A$87:$I$107,9,0)</f>
        <v>#N/A</v>
      </c>
      <c r="BC38" s="12">
        <f t="array" ref="BC38">INDEX(BB:BB,MIN(IF(ISNUMBER(BB38:BB234),ROW(BB38:BB234),"")))</f>
        <v>18.2</v>
      </c>
      <c r="BD38" s="12">
        <f>IF('Données projet'!$A$88&gt;35,BD37+BC38-BL37,IF(A38&lt;'Données projet'!$A$88,$BA$205^A38,IF(A38='Données projet'!$A$88,'Données projet'!$B$88,BD37+BC38-BL37)))</f>
        <v>250</v>
      </c>
      <c r="BE38" s="13">
        <f>BD38*VLOOKUP('Données projet'!$B$11,Paramètres!$A$1:$I$89,3,0)*VLOOKUP('Données projet'!$B$11,Paramètres!$A$1:$I$89,5,0)</f>
        <v>149.5</v>
      </c>
      <c r="BF38" s="13">
        <f t="shared" si="37"/>
        <v>38.464936755681478</v>
      </c>
      <c r="BG38" s="20">
        <f t="shared" si="7"/>
        <v>327.3722648494786</v>
      </c>
      <c r="BH38" s="59">
        <f t="shared" si="8"/>
        <v>620.70559818281185</v>
      </c>
      <c r="BI38" s="59">
        <f ca="1">AVERAGE(OFFSET($BH$3,0,0,'Données projet'!$E$11+1,1))-AVERAGE(OFFSET($H$3,0,0,'Données projet'!$E$11+1,1))</f>
        <v>316.58509520829671</v>
      </c>
      <c r="BJ38" s="59">
        <f t="shared" si="38"/>
        <v>240.71332110643596</v>
      </c>
      <c r="BK38" s="15">
        <f>IF(ISNA(VLOOKUP(A38,'Données projet'!$A$87:$I$107,3,0)),0,VLOOKUP(A38,'Données projet'!$A$87:$I$107,3,0))</f>
        <v>0</v>
      </c>
      <c r="BL38" s="15">
        <f>IF(ISNA(VLOOKUP(A38,'Données projet'!$A$87:$I$107,4,0)),0,VLOOKUP(A38,'Données projet'!$A$87:$I$107,4,0))</f>
        <v>0</v>
      </c>
      <c r="BM38" s="16">
        <f>IF(ISNA(VLOOKUP(A38,'Données projet'!$A$87:$I$107,5,0)),0%,VLOOKUP(A38,'Données projet'!$A$87:$I$107,5,0)*VLOOKUP('Données projet'!$B$11,Paramètres!$A$1:$I$89,7,0))</f>
        <v>0</v>
      </c>
      <c r="BN38" s="16">
        <f>IF(ISNA(VLOOKUP(A38,'Données projet'!$A$87:$I$107,6,0)),0%,VLOOKUP(A38,'Données projet'!$A$87:$I$107,6,0)*VLOOKUP('Données projet'!$B$11,Paramètres!$A$1:$I$89,7,0))</f>
        <v>0</v>
      </c>
      <c r="BO38" s="16">
        <f>IF(ISNA(VLOOKUP(A38,'Données projet'!$A$87:$I$107,7,0)),0%,VLOOKUP(A38,'Données projet'!$A$87:$I$107,7,0))</f>
        <v>0</v>
      </c>
      <c r="BP38" s="21">
        <f>EXP(-LN(2)/35)*BP37+(1-EXP(-LN(2)/35))/(LN(2)/35)*BL38*BM38*VLOOKUP('Données projet'!$B$11,Paramètres!$A$1:$I$89,3,0)*0.475*44/12</f>
        <v>2.2955994806741153</v>
      </c>
      <c r="BQ38" s="21">
        <f>EXP(-LN(2)/25)*BQ37+(1-EXP(-LN(2)/25))/(LN(2)/25)*Calculateur!BL38*Calculateur!BN38*VLOOKUP('Données projet'!$B$11,Paramètres!$A$1:$I$89,3,0)*0.475*44/12</f>
        <v>13.291502206978382</v>
      </c>
      <c r="BR38" s="21">
        <f>EXP(-LN(2)/2)*BR37+(1-EXP(-LN(2)/2))/(LN(2)/2)*BL38*BO38*VLOOKUP('Données projet'!$B$11,Paramètres!$A$1:$I$89,3,0)*0.475*44/12</f>
        <v>3.8783645649186607</v>
      </c>
      <c r="BS38" s="22">
        <f t="shared" si="9"/>
        <v>19.465466252571158</v>
      </c>
      <c r="BT38" s="75">
        <f>('Scénario référence'!$F$8+'Scénario référence'!$F$9+'Scénario référence'!$B$17+'Scénario référence'!$B$9+'Scénario référence'!$B$10)*70+IF((45+25*(1-EXP(-0.0175*A38)))&lt;70,'Scénario référence'!$B$16*(45+25*(1-EXP(-0.0175*A38))),70*'Scénario référence'!$B$16)+IF((32+38*(1-EXP(-0.0175*A38)))&lt;70,'Scénario référence'!$B$18*(32+38*(1-EXP(-0.0175*A38))),70*'Scénario référence'!$B$18)</f>
        <v>70</v>
      </c>
      <c r="BU38" s="12">
        <f>IF(A38&gt;30,10,('Scénario référence'!$B$16+'Scénario référence'!$B$17+'Scénario référence'!$B$18+'Scénario référence'!$B$9+'Scénario référence'!$B$10)*A38*10/30+('Scénario référence'!$F$8+'Scénario référence'!$F$9)*10)</f>
        <v>10</v>
      </c>
      <c r="BV38" s="12" t="e">
        <f>VLOOKUP(A38,'Données projet'!$A$113:$I$133,2,0)</f>
        <v>#N/A</v>
      </c>
      <c r="BW38" s="12" t="e">
        <f>VLOOKUP(A38,'Données projet'!$A$113:$I$133,9,0)</f>
        <v>#N/A</v>
      </c>
      <c r="BX38" s="12">
        <f t="array" ref="BX38">INDEX(BW:BW,MIN(IF(ISNUMBER(BW38:BW234),ROW(BW38:BW234),"")))</f>
        <v>13.6</v>
      </c>
      <c r="BY38" s="12">
        <f>IF('Données projet'!$A$114&gt;35,BY37+BX38-CG37,IF(A38&lt;'Données projet'!$A$114,$BV$205^A38,IF(A38='Données projet'!$A$114,'Données projet'!$B$114,BY37+BX38-CG37)))</f>
        <v>212.99999999999989</v>
      </c>
      <c r="BZ38" s="13">
        <f>BY38*VLOOKUP('Données projet'!$B$12,Paramètres!$A$1:$I$89,3,0)*VLOOKUP('Données projet'!$B$12,Paramètres!$A$1:$I$89,5,0)</f>
        <v>121.83599999999994</v>
      </c>
      <c r="CA38" s="13">
        <f t="shared" si="39"/>
        <v>32.102836987236969</v>
      </c>
      <c r="CB38" s="20">
        <f t="shared" si="10"/>
        <v>268.11014108610431</v>
      </c>
      <c r="CC38" s="59">
        <f t="shared" si="11"/>
        <v>561.44347441943762</v>
      </c>
      <c r="CD38" s="59">
        <f ca="1">AVERAGE(OFFSET($CC$3,0,0,'Données projet'!$E$12+1,1))-AVERAGE(OFFSET($H$3,0,0,'Données projet'!$E$12+1,1))</f>
        <v>188.64374818906128</v>
      </c>
      <c r="CE38" s="59">
        <f t="shared" si="40"/>
        <v>211.95157880548652</v>
      </c>
      <c r="CF38" s="15">
        <f>IF(ISNA(VLOOKUP(A38,'Données projet'!$A$113:$I$133,3,0)),0,VLOOKUP(A38,'Données projet'!$A$113:$I$133,3,0))</f>
        <v>0</v>
      </c>
      <c r="CG38" s="15">
        <f>IF(ISNA(VLOOKUP(A38,'Données projet'!$A$113:$I$133,4,0)),0,VLOOKUP(A38,'Données projet'!$A$113:$I$133,4,0))</f>
        <v>0</v>
      </c>
      <c r="CH38" s="16">
        <f>IF(ISNA(VLOOKUP(A38,'Données projet'!$A$113:$I$133,5,0)),0%,VLOOKUP(A38,'Données projet'!$A$113:$I$133,5,0)*VLOOKUP('Données projet'!$B$12,Paramètres!$A$1:$I$89,7,0))</f>
        <v>0</v>
      </c>
      <c r="CI38" s="16">
        <f>IF(ISNA(VLOOKUP(A38,'Données projet'!$A$113:$I$133,6,0)),0%,VLOOKUP(A38,'Données projet'!$A$113:$I$133,6,0)*VLOOKUP('Données projet'!$B$12,Paramètres!$A$1:$I$89,7,0))</f>
        <v>0</v>
      </c>
      <c r="CJ38" s="16">
        <f>IF(ISNA(VLOOKUP(A38,'Données projet'!$A$113:$I$133,7,0)),0%,VLOOKUP(A38,'Données projet'!$A$113:$I$133,7,0))</f>
        <v>0</v>
      </c>
      <c r="CK38" s="21">
        <f>EXP(-LN(2)/35)*CK37+(1-EXP(-LN(2)/35))/(LN(2)/35)*CG38*CH38*VLOOKUP('Données projet'!$B$12,Paramètres!$A$1:$I$89,3,0)*0.475*44/12</f>
        <v>2.2267174386943038</v>
      </c>
      <c r="CL38" s="21">
        <f>EXP(-LN(2)/25)*CL37+(1-EXP(-LN(2)/25))/(LN(2)/25)*Calculateur!CG38*Calculateur!CI38*VLOOKUP('Données projet'!$B$12,Paramètres!$A$1:$I$89,3,0)*0.475*44/12</f>
        <v>12.510262820247284</v>
      </c>
      <c r="CM38" s="21">
        <f>EXP(-LN(2)/2)*CM37+(1-EXP(-LN(2)/2))/(LN(2)/2)*CG38*CJ38*VLOOKUP('Données projet'!$B$12,Paramètres!$A$1:$I$89,3,0)*0.475*44/12</f>
        <v>3.7558926333735339</v>
      </c>
      <c r="CN38" s="22">
        <f t="shared" si="12"/>
        <v>18.492872892315123</v>
      </c>
      <c r="CO38" s="75">
        <f>('Scénario référence'!$F$8+'Scénario référence'!$F$9+'Scénario référence'!$B$17+'Scénario référence'!$B$9+'Scénario référence'!$B$10)*70+IF((45+25*(1-EXP(-0.0175*A38)))&lt;70,'Scénario référence'!$B$16*(45+25*(1-EXP(-0.0175*A38))),70*'Scénario référence'!$B$16)+IF((32+38*(1-EXP(-0.0175*A38)))&lt;70,'Scénario référence'!$B$18*(32+38*(1-EXP(-0.0175*A38))),70*'Scénario référence'!$B$18)</f>
        <v>70</v>
      </c>
      <c r="CP38" s="12">
        <f>IF(A38&gt;30,10,('Scénario référence'!$B$16+'Scénario référence'!$B$17+'Scénario référence'!$B$18+'Scénario référence'!$B$9+'Scénario référence'!$B$10)*A38*10/30+('Scénario référence'!$F$8+'Scénario référence'!$F$9)*10)</f>
        <v>10</v>
      </c>
      <c r="CQ38" s="12" t="e">
        <f>VLOOKUP(A38,'Données projet'!$A$139:$I$159,2,0)</f>
        <v>#N/A</v>
      </c>
      <c r="CR38" s="12" t="e">
        <f>VLOOKUP(A38,'Données projet'!$A$139:$I$159,9,0)</f>
        <v>#N/A</v>
      </c>
      <c r="CS38" s="12">
        <f t="array" ref="CS38">INDEX(CR:CR,MIN(IF(ISNUMBER(CR38:CR234),ROW(CR38:CR234),"")))</f>
        <v>0</v>
      </c>
      <c r="CT38" s="12">
        <f>IF('Données projet'!$A$140&gt;35,CT37+CS38-DB37,IF(A38&lt;'Données projet'!$A$140,$CQ$205^A38,IF(A38='Données projet'!$A$140,'Données projet'!$B$140,CT37+CS38-DB37)))</f>
        <v>0</v>
      </c>
      <c r="CU38" s="17" t="e">
        <f>CT38*VLOOKUP('Données projet'!$B$13,Paramètres!$A$1:$I$89,3,0)*VLOOKUP('Données projet'!$B$13,Paramètres!$A$1:$I$89,5,0)</f>
        <v>#N/A</v>
      </c>
      <c r="CV38" s="13" t="e">
        <f t="shared" si="41"/>
        <v>#N/A</v>
      </c>
      <c r="CW38" s="20" t="e">
        <f t="shared" si="13"/>
        <v>#N/A</v>
      </c>
      <c r="CX38" s="59" t="e">
        <f t="shared" si="14"/>
        <v>#N/A</v>
      </c>
      <c r="CY38" s="59" t="e">
        <f ca="1">AVERAGE(OFFSET($CX$3,0,0,'Données projet'!$E$13+1,1))-AVERAGE(OFFSET($H$3,0,0,'Données projet'!$E$13+1,1))</f>
        <v>#N/A</v>
      </c>
      <c r="CZ38" s="59" t="e">
        <f t="shared" si="42"/>
        <v>#N/A</v>
      </c>
      <c r="DA38" s="15">
        <f>IF(ISNA(VLOOKUP(A38,'Données projet'!$A$139:$I$159,3,0)),0,VLOOKUP(A38,'Données projet'!$A$139:$I$159,3,0))</f>
        <v>0</v>
      </c>
      <c r="DB38" s="15">
        <f>IF(ISNA(VLOOKUP(A38,'Données projet'!$A$139:$I$159,4,0)),0,VLOOKUP(A38,'Données projet'!$A$139:$I$159,4,0))</f>
        <v>0</v>
      </c>
      <c r="DC38" s="16">
        <f>IF(ISNA(VLOOKUP(A38,'Données projet'!$A$139:$I$159,5,0)),0%,VLOOKUP(A38,'Données projet'!$A$139:$I$159,5,0)*VLOOKUP('Données projet'!$B$13,Paramètres!$A$1:$I$89,7,0))</f>
        <v>0</v>
      </c>
      <c r="DD38" s="16">
        <f>IF(ISNA(VLOOKUP(A38,'Données projet'!$A$139:$I$159,6,0)),0%,VLOOKUP(A38,'Données projet'!$A$139:$I$159,6,0)*VLOOKUP('Données projet'!$B$13,Paramètres!$A$1:$I$89,7,0))</f>
        <v>0</v>
      </c>
      <c r="DE38" s="16">
        <f>IF(ISNA(VLOOKUP(A38,'Données projet'!$A$139:$I$159,7,0)),0%,VLOOKUP(A38,'Données projet'!$A$139:$I$159,7,0))</f>
        <v>0</v>
      </c>
      <c r="DF38" s="21" t="e">
        <f>EXP(-LN(2)/35)*DF37+(1-EXP(-LN(2)/35))/(LN(2)/35)*DB38*DC38*VLOOKUP('Données projet'!$B$13,Paramètres!$A$1:$I$89,3,0)*0.475*44/12</f>
        <v>#N/A</v>
      </c>
      <c r="DG38" s="21" t="e">
        <f>EXP(-LN(2)/25)*DG37+(1-EXP(-LN(2)/25))/(LN(2)/25)*Calculateur!DB38*Calculateur!DD38*VLOOKUP('Données projet'!$B$13,Paramètres!$A$1:$I$89,3,0)*0.475*44/12</f>
        <v>#N/A</v>
      </c>
      <c r="DH38" s="21" t="e">
        <f>EXP(-LN(2)/2)*DH37+(1-EXP(-LN(2)/2))/(LN(2)/2)*DB38*DE38*VLOOKUP('Données projet'!$B$13,Paramètres!$A$1:$I$89,3,0)*0.475*44/12</f>
        <v>#N/A</v>
      </c>
      <c r="DI38" s="22" t="e">
        <f t="shared" si="15"/>
        <v>#N/A</v>
      </c>
      <c r="DJ38" s="75">
        <f>('Scénario référence'!$F$8+'Scénario référence'!$F$9+'Scénario référence'!$B$17+'Scénario référence'!$B$9+'Scénario référence'!$B$10)*70+IF((45+25*(1-EXP(-0.0175*A38)))&lt;70,'Scénario référence'!$B$16*(45+25*(1-EXP(-0.0175*A38))),70*'Scénario référence'!$B$16)+IF((32+38*(1-EXP(-0.0175*A38)))&lt;70,'Scénario référence'!$B$18*(32+38*(1-EXP(-0.0175*A38))),70*'Scénario référence'!$B$18)</f>
        <v>70</v>
      </c>
      <c r="DK38" s="12">
        <f>IF(A38&gt;30,10,('Scénario référence'!$B$16+'Scénario référence'!$B$17+'Scénario référence'!$B$18+'Scénario référence'!$B$9+'Scénario référence'!$B$10)*A38*10/30+('Scénario référence'!$F$8+'Scénario référence'!$F$9)*10)</f>
        <v>10</v>
      </c>
      <c r="DL38" s="12" t="e">
        <f>VLOOKUP(A38,'Données projet'!$A$165:$I$185,2,0)</f>
        <v>#N/A</v>
      </c>
      <c r="DM38" s="12" t="e">
        <f>VLOOKUP(A38,'Données projet'!$A$165:$I$185,9,0)</f>
        <v>#N/A</v>
      </c>
      <c r="DN38" s="12">
        <f t="array" ref="DN38">INDEX(DM:DM,MIN(IF(ISNUMBER(DM38:DM234),ROW(DM38:DM234),"")))</f>
        <v>9.1999999999999993</v>
      </c>
      <c r="DO38" s="12">
        <f>IF('Données projet'!$A$166&gt;35,DO37+DN38-DW37,IF(A38&lt;'Données projet'!$A$166,$DL$205^A38,IF(A38='Données projet'!$A$166,'Données projet'!$B$166,DO37+DN38-DW37)))</f>
        <v>205.99999999999994</v>
      </c>
      <c r="DP38" s="17">
        <f>DO38*VLOOKUP('Données projet'!$B$14,Paramètres!$A$1:$I$89,3,0)*VLOOKUP('Données projet'!$B$14,Paramètres!$A$1:$I$89,5,0)</f>
        <v>134.97119999999995</v>
      </c>
      <c r="DQ38" s="13">
        <f t="shared" si="43"/>
        <v>35.142536849088657</v>
      </c>
      <c r="DR38" s="20">
        <f t="shared" si="16"/>
        <v>296.28142501216263</v>
      </c>
      <c r="DS38" s="59">
        <f t="shared" si="17"/>
        <v>589.61475834549594</v>
      </c>
      <c r="DT38" s="59">
        <f ca="1">AVERAGE(OFFSET($DS$3,0,0,'Données projet'!$E$14+1,1))-AVERAGE(OFFSET($H$3,0,0,'Données projet'!$E$14+1,1))</f>
        <v>188.68915783955595</v>
      </c>
      <c r="DU38" s="59">
        <f t="shared" si="44"/>
        <v>240.82467772396944</v>
      </c>
      <c r="DV38" s="15">
        <f>IF(ISNA(VLOOKUP(A38,'Données projet'!$A$165:$I$185,3,0)),0,VLOOKUP(A38,'Données projet'!$A$165:$I$185,3,0))</f>
        <v>0</v>
      </c>
      <c r="DW38" s="15">
        <f>IF(ISNA(VLOOKUP(A38,'Données projet'!$A$165:$I$185,4,0)),0,VLOOKUP(A38,'Données projet'!$A$165:$I$185,4,0))</f>
        <v>0</v>
      </c>
      <c r="DX38" s="16">
        <f>IF(ISNA(VLOOKUP(A38,'Données projet'!$A$165:$I$185,5,0)),0%,VLOOKUP(A38,'Données projet'!$A$165:$I$185,5,0)*VLOOKUP('Données projet'!$B$14,Paramètres!$A$1:$I$89,7,0))</f>
        <v>0</v>
      </c>
      <c r="DY38" s="16">
        <f>IF(ISNA(VLOOKUP(A38,'Données projet'!$A$165:$I$185,6,0)),0%,VLOOKUP(A38,'Données projet'!$A$165:$I$185,6,0)*VLOOKUP('Données projet'!$B$14,Paramètres!$A$1:$I$89,7,0))</f>
        <v>0</v>
      </c>
      <c r="DZ38" s="16">
        <f>IF(ISNA(VLOOKUP(A38,'Données projet'!$A$165:$I$185,7,0)),0%,VLOOKUP(A38,'Données projet'!$A$165:$I$185,7,0))</f>
        <v>0</v>
      </c>
      <c r="EA38" s="21">
        <f>EXP(-LN(2)/35)*EA37+(1-EXP(-LN(2)/35))/(LN(2)/35)*DW38*DX38*VLOOKUP('Données projet'!$B$14,Paramètres!$A$1:$I$89,3,0)*0.475*44/12</f>
        <v>1.4104418119675621</v>
      </c>
      <c r="EB38" s="21">
        <f>EXP(-LN(2)/25)*EB37+(1-EXP(-LN(2)/25))/(LN(2)/25)*Calculateur!DW38*Calculateur!DY38*VLOOKUP('Données projet'!$B$14,Paramètres!$A$1:$I$89,3,0)*0.475*44/12</f>
        <v>6.997510885071466</v>
      </c>
      <c r="EC38" s="21">
        <f>EXP(-LN(2)/2)*EC37+(1-EXP(-LN(2)/2))/(LN(2)/2)*DW38*DZ38*VLOOKUP('Données projet'!$B$14,Paramètres!$A$1:$I$89,3,0)*0.475*44/12</f>
        <v>2.4742387498251452</v>
      </c>
      <c r="ED38" s="22">
        <f t="shared" si="18"/>
        <v>10.882191446864175</v>
      </c>
      <c r="EE38" s="75">
        <f>('Scénario référence'!$F$8+'Scénario référence'!$F$9+'Scénario référence'!$B$17+'Scénario référence'!$B$9+'Scénario référence'!$B$10)*70+IF((45+25*(1-EXP(-0.0175*A38)))&lt;70,'Scénario référence'!$B$16*(45+25*(1-EXP(-0.0175*A38))),70*'Scénario référence'!$B$16)+IF((32+38*(1-EXP(-0.0175*A38)))&lt;70,'Scénario référence'!$B$18*(32+38*(1-EXP(-0.0175*A38))),70*'Scénario référence'!$B$18)</f>
        <v>70</v>
      </c>
      <c r="EF38" s="12">
        <f>IF(A38&gt;30,10,('Scénario référence'!$B$16+'Scénario référence'!$B$17+'Scénario référence'!$B$18+'Scénario référence'!$B$9+'Scénario référence'!$B$10)*A38*10/30+('Scénario référence'!$F$8+'Scénario référence'!$F$9)*10)</f>
        <v>10</v>
      </c>
      <c r="EG38" s="12" t="e">
        <f>VLOOKUP(A38,'Données projet'!$A$191:$I$211,2,0)</f>
        <v>#N/A</v>
      </c>
      <c r="EH38" s="12" t="e">
        <f>VLOOKUP(A38,'Données projet'!$A$191:$I$211,9,0)</f>
        <v>#N/A</v>
      </c>
      <c r="EI38" s="12">
        <f t="array" ref="EI38">INDEX(EH:EH,MIN(IF(ISNUMBER(EH38:EH234),ROW(EH38:EH234),"")))</f>
        <v>7.2</v>
      </c>
      <c r="EJ38" s="12">
        <f>IF('Données projet'!$A$192&gt;35,EJ37+EI38-ER37,IF(A38&lt;'Données projet'!$A$192,$EG$205^A38,IF(A38='Données projet'!$A$192,'Données projet'!$B$192,EJ37+EI38-ER37)))</f>
        <v>144.99999999999997</v>
      </c>
      <c r="EK38" s="17">
        <f>EJ38*VLOOKUP('Données projet'!$B$15,Paramètres!$A$1:$I$89,3,0)*VLOOKUP('Données projet'!$B$15,Paramètres!$A$1:$I$89,5,0)</f>
        <v>117.624</v>
      </c>
      <c r="EL38" s="13">
        <f t="shared" si="45"/>
        <v>31.120192961985413</v>
      </c>
      <c r="EM38" s="20">
        <f t="shared" si="19"/>
        <v>259.06280274212457</v>
      </c>
      <c r="EN38" s="59">
        <f t="shared" si="20"/>
        <v>552.39613607545789</v>
      </c>
      <c r="EO38" s="59">
        <f ca="1">AVERAGE(OFFSET($EN$3,0,0,'Données projet'!$E$15+1,1))-AVERAGE(OFFSET($H$3,0,0,'Données projet'!$E$15+1,1))</f>
        <v>205.5272583787887</v>
      </c>
      <c r="EP38" s="59">
        <f t="shared" si="46"/>
        <v>180.54762778843178</v>
      </c>
      <c r="EQ38" s="15">
        <f>IF(ISNA(VLOOKUP(A38,'Données projet'!$A$191:$I$211,3,0)),0,VLOOKUP(A38,'Données projet'!$A$191:$I$211,3,0))</f>
        <v>0</v>
      </c>
      <c r="ER38" s="15">
        <f>IF(ISNA(VLOOKUP(A38,'Données projet'!$A$191:$I$211,4,0)),0,VLOOKUP(A38,'Données projet'!$A$191:$I$211,4,0))</f>
        <v>0</v>
      </c>
      <c r="ES38" s="16">
        <f>IF(ISNA(VLOOKUP(A38,'Données projet'!$A$191:$I$211,5,0)),0%,VLOOKUP(A38,'Données projet'!$A$191:$I$211,5,0)*VLOOKUP('Données projet'!$B$15,Paramètres!$A$1:$I$89,7,0))</f>
        <v>0</v>
      </c>
      <c r="ET38" s="16">
        <f>IF(ISNA(VLOOKUP(A38,'Données projet'!$A$191:$I$211,6,0)),0%,VLOOKUP(A38,'Données projet'!$A$191:$I$211,6,0)*VLOOKUP('Données projet'!$B$15,Paramètres!$A$1:$I$89,7,0))</f>
        <v>0</v>
      </c>
      <c r="EU38" s="16">
        <f>IF(ISNA(VLOOKUP(A38,'Données projet'!$A$191:$I$211,7,0)),0%,VLOOKUP(A38,'Données projet'!$A$191:$I$211,7,0))</f>
        <v>0</v>
      </c>
      <c r="EV38" s="21">
        <f>EXP(-LN(2)/35)*EV37+(1-EXP(-LN(2)/35))/(LN(2)/35)*ER38*ES38*VLOOKUP('Données projet'!$B$15,Paramètres!$A$1:$I$89,3,0)*0.475*44/12</f>
        <v>0.90805587132387799</v>
      </c>
      <c r="EW38" s="21">
        <f>EXP(-LN(2)/25)*EW37+(1-EXP(-LN(2)/25))/(LN(2)/25)*Calculateur!ER38*Calculateur!ET38*VLOOKUP('Données projet'!$B$15,Paramètres!$A$1:$I$89,3,0)*0.475*44/12</f>
        <v>5.052415135266048</v>
      </c>
      <c r="EX38" s="21">
        <f>EXP(-LN(2)/2)*EX37+(1-EXP(-LN(2)/2))/(LN(2)/2)*ER38*EU38*VLOOKUP('Données projet'!$B$15,Paramètres!$A$1:$I$89,3,0)*0.475*44/12</f>
        <v>1.602071420028752</v>
      </c>
      <c r="EY38" s="22">
        <f t="shared" si="21"/>
        <v>7.5625424266186778</v>
      </c>
      <c r="EZ38" s="75">
        <f>('Scénario référence'!$F$8+'Scénario référence'!$F$9+'Scénario référence'!$B$17+'Scénario référence'!$B$9+'Scénario référence'!$B$10)*70+IF((45+25*(1-EXP(-0.0175*A38)))&lt;70,'Scénario référence'!$B$16*(45+25*(1-EXP(-0.0175*A38))),70*'Scénario référence'!$B$16)+IF((32+38*(1-EXP(-0.0175*A38)))&lt;70,'Scénario référence'!$B$18*(32+38*(1-EXP(-0.0175*A38))),70*'Scénario référence'!$B$18)</f>
        <v>70</v>
      </c>
      <c r="FA38" s="12">
        <f>IF(A38&gt;30,10,('Scénario référence'!$B$16+'Scénario référence'!$B$17+'Scénario référence'!$B$18+'Scénario référence'!$B$9+'Scénario référence'!$B$10)*A38*10/30+('Scénario référence'!$F$8+'Scénario référence'!$F$9)*10)</f>
        <v>10</v>
      </c>
      <c r="FB38" s="12" t="e">
        <f>VLOOKUP(A38,'Données projet'!$A$217:$I$237,2,0)</f>
        <v>#N/A</v>
      </c>
      <c r="FC38" s="12" t="e">
        <f>VLOOKUP(A38,'Données projet'!$A$217:$I$237,9,0)</f>
        <v>#N/A</v>
      </c>
      <c r="FD38" s="12">
        <f t="array" ref="FD38">INDEX(FC:FC,MIN(IF(ISNUMBER(FC38:FC234),ROW(FC38:FC234),"")))</f>
        <v>12.3</v>
      </c>
      <c r="FE38" s="12">
        <f>IF('Données projet'!$A$218&gt;35,FE37+FD38-FM37,IF(A38&lt;'Données projet'!$A$218,$FB$205^A38,IF(A38='Données projet'!$A$218,'Données projet'!$B$218,FE37+FD38-FM37)))</f>
        <v>160.5</v>
      </c>
      <c r="FF38" s="17">
        <f>FE38*VLOOKUP('Données projet'!$B$16,Paramètres!$A$1:$I$89,3,0)*VLOOKUP('Données projet'!$B$16,Paramètres!$A$1:$I$89,5,0)</f>
        <v>137.709</v>
      </c>
      <c r="FG38" s="13">
        <f t="shared" si="47"/>
        <v>35.771666641209528</v>
      </c>
      <c r="FH38" s="20">
        <f t="shared" si="22"/>
        <v>302.1454944001066</v>
      </c>
      <c r="FI38" s="59">
        <f t="shared" si="23"/>
        <v>595.47882773343986</v>
      </c>
      <c r="FJ38" s="59">
        <f ca="1">AVERAGE(OFFSET($FI$3,0,0,'Données projet'!$E$16+1,1))-AVERAGE(OFFSET($H$3,0,0,'Données projet'!$E$16+1,1))</f>
        <v>383.97627237444709</v>
      </c>
      <c r="FK38" s="59">
        <f t="shared" si="48"/>
        <v>203.35476578922339</v>
      </c>
      <c r="FL38" s="15">
        <f>IF(ISNA(VLOOKUP(A38,'Données projet'!$A$217:$I$237,3,0)),0,VLOOKUP(A38,'Données projet'!$A$217:$I$237,3,0))</f>
        <v>0</v>
      </c>
      <c r="FM38" s="15">
        <f>IF(ISNA(VLOOKUP(A38,'Données projet'!$A$217:$I$237,4,0)),0,VLOOKUP(A38,'Données projet'!$A$217:$I$237,4,0))</f>
        <v>0</v>
      </c>
      <c r="FN38" s="16">
        <f>IF(ISNA(VLOOKUP(A38,'Données projet'!$A$217:$I$237,5,0)),0%,VLOOKUP(A38,'Données projet'!$A$217:$I$237,5,0)*VLOOKUP('Données projet'!$B$16,Paramètres!$A$1:$I$89,7,0))</f>
        <v>0</v>
      </c>
      <c r="FO38" s="16">
        <f>IF(ISNA(VLOOKUP(A38,'Données projet'!$A$217:$I$237,6,0)),0%,VLOOKUP(A38,'Données projet'!$A$217:$I$237,6,0)*VLOOKUP('Données projet'!$B$16,Paramètres!$A$1:$I$89,7,0))</f>
        <v>0</v>
      </c>
      <c r="FP38" s="16">
        <f>IF(ISNA(VLOOKUP(A38,'Données projet'!$A$217:$I$237,7,0)),0%,VLOOKUP(A38,'Données projet'!$A$217:$I$237,7,0))</f>
        <v>0</v>
      </c>
      <c r="FQ38" s="21">
        <f>EXP(-LN(2)/35)*FQ37+(1-EXP(-LN(2)/35))/(LN(2)/35)*FM38*FN38*VLOOKUP('Données projet'!$B$16,Paramètres!$A$1:$I$89,3,0)*0.475*44/12</f>
        <v>4.6669145392387383</v>
      </c>
      <c r="FR38" s="21">
        <f>EXP(-LN(2)/25)*FR37+(1-EXP(-LN(2)/25))/(LN(2)/25)*Calculateur!FM38*Calculateur!FO38*VLOOKUP('Données projet'!$B$16,Paramètres!$A$1:$I$89,3,0)*0.475*44/12</f>
        <v>5.1287235790292307</v>
      </c>
      <c r="FS38" s="21">
        <f>EXP(-LN(2)/2)*FS37+(1-EXP(-LN(2)/2))/(LN(2)/2)*FM38*FP38*VLOOKUP('Données projet'!$B$16,Paramètres!$A$1:$I$89,3,0)*0.475*44/12</f>
        <v>2.9426764059342085</v>
      </c>
      <c r="FT38" s="22">
        <f t="shared" si="24"/>
        <v>12.738314524202178</v>
      </c>
      <c r="FU38" s="75">
        <f>('Scénario référence'!$F$8+'Scénario référence'!$F$9+'Scénario référence'!$B$17+'Scénario référence'!$B$9+'Scénario référence'!$B$10)*70+IF((45+25*(1-EXP(-0.0175*A38)))&lt;70,'Scénario référence'!$B$16*(45+25*(1-EXP(-0.0175*A38))),70*'Scénario référence'!$B$16)+IF((32+38*(1-EXP(-0.0175*A38)))&lt;70,'Scénario référence'!$B$18*(32+38*(1-EXP(-0.0175*A38))),70*'Scénario référence'!$B$18)</f>
        <v>70</v>
      </c>
      <c r="FV38" s="12">
        <f>IF(A38&gt;30,10,('Scénario référence'!$B$16+'Scénario référence'!$B$17+'Scénario référence'!$B$18+'Scénario référence'!$B$9+'Scénario référence'!$B$10)*A38*10/30+('Scénario référence'!$F$8+'Scénario référence'!$F$9)*10)</f>
        <v>10</v>
      </c>
      <c r="FW38" s="12">
        <f>VLOOKUP(A38,'Données projet'!$A$243:$I$263,2,0)</f>
        <v>162.16666666666666</v>
      </c>
      <c r="FX38" s="12">
        <f>VLOOKUP(A38,'Données projet'!$A$243:$I$263,9,0)</f>
        <v>8.0564102564102562</v>
      </c>
      <c r="FY38" s="12">
        <f t="array" ref="FY38">INDEX(FX:FX,MIN(IF(ISNUMBER(FX38:FX234),ROW(FX38:FX234),"")))</f>
        <v>8.0564102564102562</v>
      </c>
      <c r="FZ38" s="12">
        <f>IF('Données projet'!$A$244&gt;35,FZ37+FY38-GH37,IF(A38&lt;'Données projet'!$A$244,$FW$205^A38,IF(A38='Données projet'!$A$244,'Données projet'!$B$244,FZ37+FY38-GH37)))</f>
        <v>162.16666666666666</v>
      </c>
      <c r="GA38" s="17">
        <f>FZ38*VLOOKUP('Données projet'!$B$17,Paramètres!$A$1:$I$89,3,0)*VLOOKUP('Données projet'!$B$17,Paramètres!$A$1:$I$89,5,0)</f>
        <v>174.55619999999999</v>
      </c>
      <c r="GB38" s="13">
        <f t="shared" si="49"/>
        <v>44.108884766962227</v>
      </c>
      <c r="GC38" s="20">
        <f t="shared" si="25"/>
        <v>380.84168930245914</v>
      </c>
      <c r="GD38" s="59">
        <f t="shared" si="26"/>
        <v>674.1750226357924</v>
      </c>
      <c r="GE38" s="59">
        <f ca="1">AVERAGE(OFFSET($GD$3,0,0,'Données projet'!$E$17+1,1))-AVERAGE(OFFSET($H$3,0,0,'Données projet'!$E$17+1,1))</f>
        <v>286.77702855541287</v>
      </c>
      <c r="GF38" s="59">
        <f t="shared" si="50"/>
        <v>227.12211541860779</v>
      </c>
      <c r="GG38" s="15">
        <f>IF(ISNA(VLOOKUP(A38,'Données projet'!$A$243:$I$263,3,0)),0,VLOOKUP(A38,'Données projet'!$A$243:$I$263,3,0))</f>
        <v>1</v>
      </c>
      <c r="GH38" s="15">
        <f>IF(ISNA(VLOOKUP(A38,'Données projet'!$A$243:$I$263,4,0)),0,VLOOKUP(A38,'Données projet'!$A$243:$I$263,4,0))</f>
        <v>60.602564102564102</v>
      </c>
      <c r="GI38" s="16">
        <f>IF(ISNA(VLOOKUP(A38,'Données projet'!$A$243:$I$263,5,0)),0%,VLOOKUP(A38,'Données projet'!$A$243:$I$263,5,0)*VLOOKUP('Données projet'!$B$17,Paramètres!$A$1:$I$89,7,0))</f>
        <v>0</v>
      </c>
      <c r="GJ38" s="16">
        <f>IF(ISNA(VLOOKUP(A38,'Données projet'!$A$243:$I$263,6,0)),0%,VLOOKUP(A38,'Données projet'!$A$243:$I$263,6,0)*VLOOKUP('Données projet'!$B$17,Paramètres!$A$1:$I$89,7,0))</f>
        <v>0</v>
      </c>
      <c r="GK38" s="16">
        <f>IF(ISNA(VLOOKUP(A38,'Données projet'!$A$243:$I$263,7,0)),0%,VLOOKUP(A38,'Données projet'!$A$243:$I$263,7,0))</f>
        <v>0</v>
      </c>
      <c r="GL38" s="21">
        <f>EXP(-LN(2)/35)*GL37+(1-EXP(-LN(2)/35))/(LN(2)/35)*GH38*GI38*VLOOKUP('Données projet'!$B$17,Paramètres!$A$1:$I$89,3,0)*0.475*44/12</f>
        <v>0</v>
      </c>
      <c r="GM38" s="21">
        <f>EXP(-LN(2)/25)*GM37+(1-EXP(-LN(2)/25))/(LN(2)/25)*Calculateur!GH38*Calculateur!GJ38*VLOOKUP('Données projet'!$B$17,Paramètres!$A$1:$I$89,3,0)*0.475*44/12</f>
        <v>0</v>
      </c>
      <c r="GN38" s="21">
        <f>EXP(-LN(2)/2)*GN37+(1-EXP(-LN(2)/2))/(LN(2)/2)*GH38*GK38*VLOOKUP('Données projet'!$B$17,Paramètres!$A$1:$I$89,3,0)*0.475*44/12</f>
        <v>0</v>
      </c>
      <c r="GO38" s="21">
        <f t="shared" si="27"/>
        <v>0</v>
      </c>
      <c r="GP38" s="75">
        <f>('Scénario référence'!$F$8+'Scénario référence'!$F$9+'Scénario référence'!$B$17+'Scénario référence'!$B$9+'Scénario référence'!$B$10)*70+IF((45+25*(1-EXP(-0.0175*A38)))&lt;70,'Scénario référence'!$B$16*(45+25*(1-EXP(-0.0175*A38))),70*'Scénario référence'!$B$16)+IF((32+38*(1-EXP(-0.0175*A38)))&lt;70,'Scénario référence'!$B$18*(32+38*(1-EXP(-0.0175*A38))),70*'Scénario référence'!$B$18)</f>
        <v>70</v>
      </c>
      <c r="GQ38" s="12">
        <f>IF(A38&gt;30,10,('Scénario référence'!$B$16+'Scénario référence'!$B$17+'Scénario référence'!$B$18+'Scénario référence'!$B$9+'Scénario référence'!$B$10)*A38*10/30+('Scénario référence'!$F$8+'Scénario référence'!$F$9)*10)</f>
        <v>10</v>
      </c>
      <c r="GR38" s="12">
        <f>VLOOKUP(A38,'Données projet'!$A$269:$I$289,2,0)</f>
        <v>162.16666666666666</v>
      </c>
      <c r="GS38" s="12">
        <f>VLOOKUP(A38,'Données projet'!$A$269:$I$289,9,0)</f>
        <v>8.0564102564102562</v>
      </c>
      <c r="GT38" s="12">
        <f t="array" ref="GT38">INDEX(GS:GS,MIN(IF(ISNUMBER(GS38:GS234),ROW(GS38:GS234),"")))</f>
        <v>8.0564102564102562</v>
      </c>
      <c r="GU38" s="12">
        <f>IF('Données projet'!$A$270&gt;35,GU37+GT38-HC37,IF(A38&lt;'Données projet'!$A$270,$GR$205^A38,IF(A38='Données projet'!$A$270,'Données projet'!$B$270,GU37+GT38-HC37)))</f>
        <v>162.16666666666666</v>
      </c>
      <c r="GV38" s="17">
        <f>GU38*VLOOKUP('Données projet'!$B$18,Paramètres!$A$1:$I$89,3,0)*VLOOKUP('Données projet'!$B$18,Paramètres!$A$1:$I$89,5,0)</f>
        <v>174.55619999999999</v>
      </c>
      <c r="GW38" s="13">
        <f t="shared" si="51"/>
        <v>44.108884766962227</v>
      </c>
      <c r="GX38" s="20">
        <f t="shared" si="28"/>
        <v>380.84168930245914</v>
      </c>
      <c r="GY38" s="59">
        <f t="shared" si="29"/>
        <v>674.1750226357924</v>
      </c>
      <c r="GZ38" s="59">
        <f ca="1">AVERAGE(OFFSET($GY$3,0,0,'Données projet'!$E$18+1,1))-AVERAGE(OFFSET($H$3,0,0,'Données projet'!$E$18+1,1))</f>
        <v>286.77702855541287</v>
      </c>
      <c r="HA38" s="59">
        <f t="shared" si="52"/>
        <v>227.12211541860779</v>
      </c>
      <c r="HB38" s="15">
        <f>IF(ISNA(VLOOKUP(A38,'Données projet'!$A$269:$I$289,3,0)),0,VLOOKUP(A38,'Données projet'!$A$269:$I$289,3,0))</f>
        <v>1</v>
      </c>
      <c r="HC38" s="15">
        <f>IF(ISNA(VLOOKUP(A38,'Données projet'!$A$269:$I$289,4,0)),0,VLOOKUP(A38,'Données projet'!$A$269:$I$289,4,0))</f>
        <v>60.602564102564102</v>
      </c>
      <c r="HD38" s="16">
        <f>IF(ISNA(VLOOKUP(A38,'Données projet'!$A$269:$I$289,5,0)),0%,VLOOKUP(A38,'Données projet'!$A$269:$I$289,5,0)*VLOOKUP('Données projet'!$B$18,Paramètres!$A$1:$I$89,7,0))</f>
        <v>0</v>
      </c>
      <c r="HE38" s="16">
        <f>IF(ISNA(VLOOKUP(A38,'Données projet'!$A$269:$I$289,6,0)),0%,VLOOKUP(A38,'Données projet'!$A$269:$I$289,6,0)*VLOOKUP('Données projet'!$B$18,Paramètres!$A$1:$I$89,7,0))</f>
        <v>0</v>
      </c>
      <c r="HF38" s="16">
        <f>IF(ISNA(VLOOKUP(A38,'Données projet'!$A$269:$I$289,7,0)),0%,VLOOKUP(A38,'Données projet'!$A$269:$I$289,7,0))</f>
        <v>0</v>
      </c>
      <c r="HG38" s="21">
        <f>EXP(-LN(2)/35)*HG37+(1-EXP(-LN(2)/35))/(LN(2)/35)*HC38*HD38*VLOOKUP('Données projet'!$B$18,Paramètres!$A$1:$I$89,3,0)*0.475*44/12</f>
        <v>0</v>
      </c>
      <c r="HH38" s="21">
        <f>EXP(-LN(2)/25)*HH37+(1-EXP(-LN(2)/25))/(LN(2)/25)*Calculateur!HC38*Calculateur!HE38*VLOOKUP('Données projet'!$B$18,Paramètres!$A$1:$I$89,3,0)*0.475*44/12</f>
        <v>0</v>
      </c>
      <c r="HI38" s="21">
        <f>EXP(-LN(2)/2)*HI37+(1-EXP(-LN(2)/2))/(LN(2)/2)*HC38*HF38*VLOOKUP('Données projet'!$B$18,Paramètres!$A$1:$I$89,3,0)*0.475*44/12</f>
        <v>0</v>
      </c>
      <c r="HJ38" s="22">
        <f t="shared" si="30"/>
        <v>0</v>
      </c>
    </row>
    <row r="39" spans="1:218" x14ac:dyDescent="0.25">
      <c r="A39" s="10">
        <f t="shared" si="31"/>
        <v>36</v>
      </c>
      <c r="B39" s="73">
        <f>'Scénario référence'!$B$16*5+'Scénario référence'!$B$17*0+'Scénario référence'!$B$18*5</f>
        <v>0</v>
      </c>
      <c r="C39" s="19">
        <f>Calculateur!C38+'Scénario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32.011199999999988</v>
      </c>
      <c r="D39" s="11">
        <f t="shared" si="32"/>
        <v>9.8545516964045738</v>
      </c>
      <c r="E3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39" s="11">
        <f>IF(OR('Scénario référence'!$F$8&gt;0,'Scénario référence'!$F$9&gt;0),('Scénario référence'!$F$8+'Scénario référence'!$F$9)*10,0)</f>
        <v>10</v>
      </c>
      <c r="G39" s="11">
        <f>'Scénario référence'!$B$8*B39*44/12+'Scénario référence'!$B$9*(C39+D39)/0.475*44/12+'Scénario référence'!$B$10*(C39+D39)/0.475*44/12+'Scénario référence'!$F$8*(C39+D39)/0.475*44/12+'Scénario référence'!$F$9*(C39+D39)/0.475*44/12</f>
        <v>323.17422362136853</v>
      </c>
      <c r="H39" s="67">
        <f t="shared" si="1"/>
        <v>366.24951753790458</v>
      </c>
      <c r="I39" s="70">
        <f>('Scénario référence'!$F$8+'Scénario référence'!$F$9+'Scénario référence'!$B$17+'Scénario référence'!$B$9+'Scénario référence'!$B$10)*70+IF((45+25*(1-EXP(-0.0175*A39)))&lt;70,'Scénario référence'!$B$16*(45+25*(1-EXP(-0.0175*A39))),70*'Scénario référence'!$B$16)+IF((32+38*(1-EXP(-0.0175*A39)))&lt;70,'Scénario référence'!$B$18*(32+38*(1-EXP(-0.0175*A39))),70*'Scénario référence'!$B$18)</f>
        <v>70</v>
      </c>
      <c r="J39" s="13">
        <f>IF(A39&gt;30,10,('Scénario référence'!$B$16+'Scénario référence'!$B$17+'Scénario référence'!$B$18+'Scénario référence'!$B$9+'Scénario référence'!$B$10)*A39*10/30+('Scénario référence'!$F$8+'Scénario référence'!$F$9)*10)</f>
        <v>10</v>
      </c>
      <c r="K39" s="12">
        <f>VLOOKUP(A39,'Données projet'!$A$35:$I$55,2,0)</f>
        <v>403.50769230769225</v>
      </c>
      <c r="L39" s="12">
        <f>VLOOKUP(A39,'Données projet'!$A$35:$I$55,9,0)</f>
        <v>22.884615384615376</v>
      </c>
      <c r="M39" s="12">
        <f t="array" ref="M39">INDEX(L:L,MIN(IF(ISNUMBER(L39:L235),ROW(L39:L235),"")))</f>
        <v>22.884615384615376</v>
      </c>
      <c r="N39" s="13">
        <f>IF('Données projet'!$A$36&gt;35,N38+M39-V38,IF(A39&lt;'Données projet'!$A$36,$K$205^A39,IF(A39='Données projet'!$A$36,'Données projet'!$B$36,N38+M39-V38)))</f>
        <v>403.50769230769203</v>
      </c>
      <c r="O39" s="13">
        <f>N39*VLOOKUP('Données projet'!$B$9,Paramètres!$A$1:$I$89,3,0)*VLOOKUP('Données projet'!$B$9,Paramètres!$A$1:$I$89,5,0)</f>
        <v>225.56079999999986</v>
      </c>
      <c r="P39" s="13">
        <f t="shared" si="33"/>
        <v>55.321736658663617</v>
      </c>
      <c r="Q39" s="20">
        <f t="shared" si="53"/>
        <v>489.20375134717227</v>
      </c>
      <c r="R39" s="59">
        <f t="shared" si="0"/>
        <v>782.53708468050559</v>
      </c>
      <c r="S39" s="59">
        <f ca="1">AVERAGE(OFFSET($R$3,0,0,'Données projet'!$E$9+1,1))-AVERAGE(OFFSET($H$3,0,0,'Données projet'!$E$9+1,1))</f>
        <v>255.5374979188561</v>
      </c>
      <c r="T39" s="59">
        <f t="shared" si="34"/>
        <v>343.10418468620901</v>
      </c>
      <c r="U39" s="15">
        <f>IF(ISNA(VLOOKUP(A39,'Données projet'!$A$35:$I$55,3,0)),0,VLOOKUP(A39,'Données projet'!$A$35:$I$55,3,0))</f>
        <v>4</v>
      </c>
      <c r="V39" s="15">
        <f>IF(ISNA(VLOOKUP(A39,'Données projet'!$A$35:$I$55,4,0)),0,VLOOKUP(A39,'Données projet'!$A$35:$I$55,4,0))</f>
        <v>69.3</v>
      </c>
      <c r="W39" s="16">
        <f>IF(ISNA(VLOOKUP(A39,'Données projet'!$A$35:$I$55,5,0)),0%,VLOOKUP(A39,'Données projet'!$A$35:$I$55,5,0)*VLOOKUP('Données projet'!$B$9,Paramètres!$A$1:$I$89,7,0))</f>
        <v>0</v>
      </c>
      <c r="X39" s="16">
        <f>IF(ISNA(VLOOKUP(A39,'Données projet'!$A$35:$I$55,6,0)),0%,VLOOKUP(A39,'Données projet'!$A$35:$I$55,6,0)*VLOOKUP('Données projet'!$B$9,Paramètres!$A$1:$I$89,7,0))</f>
        <v>0</v>
      </c>
      <c r="Y39" s="16">
        <f>IF(ISNA(VLOOKUP(A39,'Données projet'!$A$35:$I$55,7,0)),0%,VLOOKUP(A39,'Données projet'!$A$35:$I$55,7,0))</f>
        <v>0</v>
      </c>
      <c r="Z39" s="21">
        <f>EXP(-LN(2)/35)*Z38+(1-EXP(-LN(2)/35))/(LN(2)/35)*V39*W39*VLOOKUP('Données projet'!$B$9,Paramètres!$A$1:$I$89,3,0)*0.475*44/12</f>
        <v>2.7438418649697511</v>
      </c>
      <c r="AA39" s="21">
        <f>EXP(-LN(2)/25)*AA38+(1-EXP(-LN(2)/25))/(LN(2)/25)*Calculateur!V39*Calculateur!X39*VLOOKUP('Données projet'!$B$9,Paramètres!$A$1:$I$89,3,0)*0.475*44/12</f>
        <v>13.51427460264566</v>
      </c>
      <c r="AB39" s="21">
        <f>EXP(-LN(2)/2)*AB38+(1-EXP(-LN(2)/2))/(LN(2)/2)*V39*Y39*VLOOKUP('Données projet'!$B$9,Paramètres!$A$1:$I$89,3,0)*0.475*44/12</f>
        <v>0.21158150993175825</v>
      </c>
      <c r="AC39" s="22">
        <f t="shared" si="3"/>
        <v>16.46969797754717</v>
      </c>
      <c r="AD39" s="13">
        <f>('Scénario référence'!$F$8+'Scénario référence'!$F$9+'Scénario référence'!$B$17+'Scénario référence'!$B$9+'Scénario référence'!$B$10)*70+IF((45+25*(1-EXP(-0.0175*A39)))&lt;70,'Scénario référence'!$B$16*(45+25*(1-EXP(-0.0175*A39))),70*'Scénario référence'!$B$16)+IF((32+38*(1-EXP(-0.0175*A39)))&lt;70,'Scénario référence'!$B$18*(32+38*(1-EXP(-0.0175*A39))),70*'Scénario référence'!$B$18)</f>
        <v>70</v>
      </c>
      <c r="AE39" s="13">
        <f>IF(A39&gt;30,10,('Scénario référence'!$B$16+'Scénario référence'!$B$17+'Scénario référence'!$B$18+'Scénario référence'!$B$9+'Scénario référence'!$B$10)*A39*10/30+('Scénario référence'!$F$8+'Scénario référence'!$F$9)*10)</f>
        <v>10</v>
      </c>
      <c r="AF39" s="12" t="e">
        <f>VLOOKUP(A39,'Données projet'!$A$61:$I$81,2,0)</f>
        <v>#N/A</v>
      </c>
      <c r="AG39" s="12" t="e">
        <f>VLOOKUP(A39,'Données projet'!$A$61:$I$81,9,0)</f>
        <v>#N/A</v>
      </c>
      <c r="AH39" s="12">
        <f t="array" ref="AH39">INDEX(AG:AG,MIN(IF(ISNUMBER(AG39:AG235),ROW(AG39:AG235),"")))</f>
        <v>15.1</v>
      </c>
      <c r="AI39" s="13">
        <f>IF('Données projet'!$A$62&gt;35,AI38+AH39-AQ38,IF(A39&lt;'Données projet'!$A$62,$AF$205^A39,IF(A39='Données projet'!$A$62,'Données projet'!$B$62,AI38+AH39-AQ38)))</f>
        <v>269.60000000000002</v>
      </c>
      <c r="AJ39" s="13">
        <f>AI39*VLOOKUP('Données projet'!$B$10,Paramètres!$A$1:$I$89,3,0)*VLOOKUP('Données projet'!$B$10,Paramètres!$A$1:$I$89,5,0)</f>
        <v>168.23040000000003</v>
      </c>
      <c r="AK39" s="13">
        <f t="shared" si="35"/>
        <v>42.693451008292193</v>
      </c>
      <c r="AL39" s="20">
        <f t="shared" si="4"/>
        <v>367.3590405061089</v>
      </c>
      <c r="AM39" s="59">
        <f t="shared" si="5"/>
        <v>660.69237383944221</v>
      </c>
      <c r="AN39" s="59">
        <f ca="1">AVERAGE(OFFSET($AM$3,0,0,'Données projet'!$E$10+1,1))-AVERAGE(OFFSET($H$3,0,0,'Données projet'!$E$10+1,1))</f>
        <v>261.78489480911571</v>
      </c>
      <c r="AO39" s="59">
        <f t="shared" si="36"/>
        <v>297.50513563712764</v>
      </c>
      <c r="AP39" s="15">
        <f>IF(ISNA(VLOOKUP(A39,'Données projet'!$A$61:$I$81,3,0)),0,VLOOKUP(A39,'Données projet'!$A$61:$I$81,3,0))</f>
        <v>0</v>
      </c>
      <c r="AQ39" s="15">
        <f>IF(ISNA(VLOOKUP(A39,'Données projet'!$A$61:$I$81,4,0)),0,VLOOKUP(A39,'Données projet'!$A$61:$I$81,4,0))</f>
        <v>0</v>
      </c>
      <c r="AR39" s="16">
        <f>IF(ISNA(VLOOKUP(A39,'Données projet'!$A$61:$I$81,5,0)),0%,VLOOKUP(A39,'Données projet'!$A$61:$I$81,5,0)*VLOOKUP('Données projet'!$B$10,Paramètres!$A$1:$I$89,7,0))</f>
        <v>0</v>
      </c>
      <c r="AS39" s="16">
        <f>IF(ISNA(VLOOKUP(A39,'Données projet'!$A$61:$I$81,6,0)),0%,VLOOKUP(A39,'Données projet'!$A$61:$I$81,6,0)*VLOOKUP('Données projet'!$B$10,Paramètres!$A$1:$I$89,7,0))</f>
        <v>0</v>
      </c>
      <c r="AT39" s="16">
        <f>IF(ISNA(VLOOKUP(A39,'Données projet'!$A$61:$I$81,7,0)),0%,VLOOKUP(A39,'Données projet'!$A$61:$I$81,7,0))</f>
        <v>0</v>
      </c>
      <c r="AU39" s="21">
        <f>EXP(-LN(2)/35)*AU38+(1-EXP(-LN(2)/35))/(LN(2)/35)*AQ39*AR39*VLOOKUP('Données projet'!$B$10,Paramètres!$A$1:$I$89,3,0)*0.475*44/12</f>
        <v>7.4091491273674022</v>
      </c>
      <c r="AV39" s="21">
        <f>EXP(-LN(2)/25)*AV38+(1-EXP(-LN(2)/25))/(LN(2)/25)*Calculateur!AQ39*Calculateur!AS39*VLOOKUP('Données projet'!$B$10,Paramètres!$A$1:$I$89,3,0)*0.475*44/12</f>
        <v>23.598679839487211</v>
      </c>
      <c r="AW39" s="21">
        <f>EXP(-LN(2)/2)*AW38+(1-EXP(-LN(2)/2))/(LN(2)/2)*AQ39*AT39*VLOOKUP('Données projet'!$B$10,Paramètres!$A$1:$I$89,3,0)*0.475*44/12</f>
        <v>3.050148892113985</v>
      </c>
      <c r="AX39" s="21">
        <f t="shared" si="6"/>
        <v>34.057977858968599</v>
      </c>
      <c r="AY39" s="74">
        <f>('Scénario référence'!$F$8+'Scénario référence'!$F$9+'Scénario référence'!$B$17+'Scénario référence'!$B$9+'Scénario référence'!$B$10)*70+IF((45+25*(1-EXP(-0.0175*A39)))&lt;70,'Scénario référence'!$B$16*(45+25*(1-EXP(-0.0175*A39))),70*'Scénario référence'!$B$16)+IF((32+38*(1-EXP(-0.0175*A39)))&lt;70,'Scénario référence'!$B$18*(32+38*(1-EXP(-0.0175*A39))),70*'Scénario référence'!$B$18)</f>
        <v>70</v>
      </c>
      <c r="AZ39" s="12">
        <f>IF(A39&gt;30,10,('Scénario référence'!$B$16+'Scénario référence'!$B$17+'Scénario référence'!$B$18+'Scénario référence'!$B$9+'Scénario référence'!$B$10)*A39*10/30+('Scénario référence'!$F$8+'Scénario référence'!$F$9)*10)</f>
        <v>10</v>
      </c>
      <c r="BA39" s="12" t="e">
        <f>VLOOKUP(A39,'Données projet'!$A$87:$I$107,2,0)</f>
        <v>#N/A</v>
      </c>
      <c r="BB39" s="12" t="e">
        <f>VLOOKUP(A39,'Données projet'!$A$87:$I$107,9,0)</f>
        <v>#N/A</v>
      </c>
      <c r="BC39" s="12">
        <f t="array" ref="BC39">INDEX(BB:BB,MIN(IF(ISNUMBER(BB39:BB235),ROW(BB39:BB235),"")))</f>
        <v>18.2</v>
      </c>
      <c r="BD39" s="12">
        <f>IF('Données projet'!$A$88&gt;35,BD38+BC39-BL38,IF(A39&lt;'Données projet'!$A$88,$BA$205^A39,IF(A39='Données projet'!$A$88,'Données projet'!$B$88,BD38+BC39-BL38)))</f>
        <v>268.2</v>
      </c>
      <c r="BE39" s="13">
        <f>BD39*VLOOKUP('Données projet'!$B$11,Paramètres!$A$1:$I$89,3,0)*VLOOKUP('Données projet'!$B$11,Paramètres!$A$1:$I$89,5,0)</f>
        <v>160.3836</v>
      </c>
      <c r="BF39" s="13">
        <f t="shared" si="37"/>
        <v>40.929025395397886</v>
      </c>
      <c r="BG39" s="20">
        <f t="shared" si="7"/>
        <v>350.61948923031804</v>
      </c>
      <c r="BH39" s="59">
        <f t="shared" si="8"/>
        <v>643.95282256365135</v>
      </c>
      <c r="BI39" s="59">
        <f ca="1">AVERAGE(OFFSET($BH$3,0,0,'Données projet'!$E$11+1,1))-AVERAGE(OFFSET($H$3,0,0,'Données projet'!$E$11+1,1))</f>
        <v>316.58509520829671</v>
      </c>
      <c r="BJ39" s="59">
        <f t="shared" si="38"/>
        <v>240.71332110643596</v>
      </c>
      <c r="BK39" s="15">
        <f>IF(ISNA(VLOOKUP(A39,'Données projet'!$A$87:$I$107,3,0)),0,VLOOKUP(A39,'Données projet'!$A$87:$I$107,3,0))</f>
        <v>0</v>
      </c>
      <c r="BL39" s="15">
        <f>IF(ISNA(VLOOKUP(A39,'Données projet'!$A$87:$I$107,4,0)),0,VLOOKUP(A39,'Données projet'!$A$87:$I$107,4,0))</f>
        <v>0</v>
      </c>
      <c r="BM39" s="16">
        <f>IF(ISNA(VLOOKUP(A39,'Données projet'!$A$87:$I$107,5,0)),0%,VLOOKUP(A39,'Données projet'!$A$87:$I$107,5,0)*VLOOKUP('Données projet'!$B$11,Paramètres!$A$1:$I$89,7,0))</f>
        <v>0</v>
      </c>
      <c r="BN39" s="16">
        <f>IF(ISNA(VLOOKUP(A39,'Données projet'!$A$87:$I$107,6,0)),0%,VLOOKUP(A39,'Données projet'!$A$87:$I$107,6,0)*VLOOKUP('Données projet'!$B$11,Paramètres!$A$1:$I$89,7,0))</f>
        <v>0</v>
      </c>
      <c r="BO39" s="16">
        <f>IF(ISNA(VLOOKUP(A39,'Données projet'!$A$87:$I$107,7,0)),0%,VLOOKUP(A39,'Données projet'!$A$87:$I$107,7,0))</f>
        <v>0</v>
      </c>
      <c r="BP39" s="21">
        <f>EXP(-LN(2)/35)*BP38+(1-EXP(-LN(2)/35))/(LN(2)/35)*BL39*BM39*VLOOKUP('Données projet'!$B$11,Paramètres!$A$1:$I$89,3,0)*0.475*44/12</f>
        <v>2.2505841750355233</v>
      </c>
      <c r="BQ39" s="21">
        <f>EXP(-LN(2)/25)*BQ38+(1-EXP(-LN(2)/25))/(LN(2)/25)*Calculateur!BL39*Calculateur!BN39*VLOOKUP('Données projet'!$B$11,Paramètres!$A$1:$I$89,3,0)*0.475*44/12</f>
        <v>12.928045380158835</v>
      </c>
      <c r="BR39" s="21">
        <f>EXP(-LN(2)/2)*BR38+(1-EXP(-LN(2)/2))/(LN(2)/2)*BL39*BO39*VLOOKUP('Données projet'!$B$11,Paramètres!$A$1:$I$89,3,0)*0.475*44/12</f>
        <v>2.7424178837675992</v>
      </c>
      <c r="BS39" s="22">
        <f t="shared" si="9"/>
        <v>17.921047438961956</v>
      </c>
      <c r="BT39" s="75">
        <f>('Scénario référence'!$F$8+'Scénario référence'!$F$9+'Scénario référence'!$B$17+'Scénario référence'!$B$9+'Scénario référence'!$B$10)*70+IF((45+25*(1-EXP(-0.0175*A39)))&lt;70,'Scénario référence'!$B$16*(45+25*(1-EXP(-0.0175*A39))),70*'Scénario référence'!$B$16)+IF((32+38*(1-EXP(-0.0175*A39)))&lt;70,'Scénario référence'!$B$18*(32+38*(1-EXP(-0.0175*A39))),70*'Scénario référence'!$B$18)</f>
        <v>70</v>
      </c>
      <c r="BU39" s="12">
        <f>IF(A39&gt;30,10,('Scénario référence'!$B$16+'Scénario référence'!$B$17+'Scénario référence'!$B$18+'Scénario référence'!$B$9+'Scénario référence'!$B$10)*A39*10/30+('Scénario référence'!$F$8+'Scénario référence'!$F$9)*10)</f>
        <v>10</v>
      </c>
      <c r="BV39" s="12" t="e">
        <f>VLOOKUP(A39,'Données projet'!$A$113:$I$133,2,0)</f>
        <v>#N/A</v>
      </c>
      <c r="BW39" s="12" t="e">
        <f>VLOOKUP(A39,'Données projet'!$A$113:$I$133,9,0)</f>
        <v>#N/A</v>
      </c>
      <c r="BX39" s="12">
        <f t="array" ref="BX39">INDEX(BW:BW,MIN(IF(ISNUMBER(BW39:BW235),ROW(BW39:BW235),"")))</f>
        <v>13.6</v>
      </c>
      <c r="BY39" s="12">
        <f>IF('Données projet'!$A$114&gt;35,BY38+BX39-CG38,IF(A39&lt;'Données projet'!$A$114,$BV$205^A39,IF(A39='Données projet'!$A$114,'Données projet'!$B$114,BY38+BX39-CG38)))</f>
        <v>226.59999999999988</v>
      </c>
      <c r="BZ39" s="13">
        <f>BY39*VLOOKUP('Données projet'!$B$12,Paramètres!$A$1:$I$89,3,0)*VLOOKUP('Données projet'!$B$12,Paramètres!$A$1:$I$89,5,0)</f>
        <v>129.61519999999993</v>
      </c>
      <c r="CA39" s="13">
        <f t="shared" si="39"/>
        <v>33.907428015722559</v>
      </c>
      <c r="CB39" s="20">
        <f t="shared" si="10"/>
        <v>284.80191046071667</v>
      </c>
      <c r="CC39" s="59">
        <f t="shared" si="11"/>
        <v>578.13524379404998</v>
      </c>
      <c r="CD39" s="59">
        <f ca="1">AVERAGE(OFFSET($CC$3,0,0,'Données projet'!$E$12+1,1))-AVERAGE(OFFSET($H$3,0,0,'Données projet'!$E$12+1,1))</f>
        <v>188.64374818906128</v>
      </c>
      <c r="CE39" s="59">
        <f t="shared" si="40"/>
        <v>211.95157880548652</v>
      </c>
      <c r="CF39" s="15">
        <f>IF(ISNA(VLOOKUP(A39,'Données projet'!$A$113:$I$133,3,0)),0,VLOOKUP(A39,'Données projet'!$A$113:$I$133,3,0))</f>
        <v>0</v>
      </c>
      <c r="CG39" s="15">
        <f>IF(ISNA(VLOOKUP(A39,'Données projet'!$A$113:$I$133,4,0)),0,VLOOKUP(A39,'Données projet'!$A$113:$I$133,4,0))</f>
        <v>0</v>
      </c>
      <c r="CH39" s="16">
        <f>IF(ISNA(VLOOKUP(A39,'Données projet'!$A$113:$I$133,5,0)),0%,VLOOKUP(A39,'Données projet'!$A$113:$I$133,5,0)*VLOOKUP('Données projet'!$B$12,Paramètres!$A$1:$I$89,7,0))</f>
        <v>0</v>
      </c>
      <c r="CI39" s="16">
        <f>IF(ISNA(VLOOKUP(A39,'Données projet'!$A$113:$I$133,6,0)),0%,VLOOKUP(A39,'Données projet'!$A$113:$I$133,6,0)*VLOOKUP('Données projet'!$B$12,Paramètres!$A$1:$I$89,7,0))</f>
        <v>0</v>
      </c>
      <c r="CJ39" s="16">
        <f>IF(ISNA(VLOOKUP(A39,'Données projet'!$A$113:$I$133,7,0)),0%,VLOOKUP(A39,'Données projet'!$A$113:$I$133,7,0))</f>
        <v>0</v>
      </c>
      <c r="CK39" s="21">
        <f>EXP(-LN(2)/35)*CK38+(1-EXP(-LN(2)/35))/(LN(2)/35)*CG39*CH39*VLOOKUP('Données projet'!$B$12,Paramètres!$A$1:$I$89,3,0)*0.475*44/12</f>
        <v>2.1830528678850385</v>
      </c>
      <c r="CL39" s="21">
        <f>EXP(-LN(2)/25)*CL38+(1-EXP(-LN(2)/25))/(LN(2)/25)*Calculateur!CG39*Calculateur!CI39*VLOOKUP('Données projet'!$B$12,Paramètres!$A$1:$I$89,3,0)*0.475*44/12</f>
        <v>12.168169025541493</v>
      </c>
      <c r="CM39" s="21">
        <f>EXP(-LN(2)/2)*CM38+(1-EXP(-LN(2)/2))/(LN(2)/2)*CG39*CJ39*VLOOKUP('Données projet'!$B$12,Paramètres!$A$1:$I$89,3,0)*0.475*44/12</f>
        <v>2.6558171504670254</v>
      </c>
      <c r="CN39" s="22">
        <f t="shared" si="12"/>
        <v>17.007039043893556</v>
      </c>
      <c r="CO39" s="75">
        <f>('Scénario référence'!$F$8+'Scénario référence'!$F$9+'Scénario référence'!$B$17+'Scénario référence'!$B$9+'Scénario référence'!$B$10)*70+IF((45+25*(1-EXP(-0.0175*A39)))&lt;70,'Scénario référence'!$B$16*(45+25*(1-EXP(-0.0175*A39))),70*'Scénario référence'!$B$16)+IF((32+38*(1-EXP(-0.0175*A39)))&lt;70,'Scénario référence'!$B$18*(32+38*(1-EXP(-0.0175*A39))),70*'Scénario référence'!$B$18)</f>
        <v>70</v>
      </c>
      <c r="CP39" s="12">
        <f>IF(A39&gt;30,10,('Scénario référence'!$B$16+'Scénario référence'!$B$17+'Scénario référence'!$B$18+'Scénario référence'!$B$9+'Scénario référence'!$B$10)*A39*10/30+('Scénario référence'!$F$8+'Scénario référence'!$F$9)*10)</f>
        <v>10</v>
      </c>
      <c r="CQ39" s="12" t="e">
        <f>VLOOKUP(A39,'Données projet'!$A$139:$I$159,2,0)</f>
        <v>#N/A</v>
      </c>
      <c r="CR39" s="12" t="e">
        <f>VLOOKUP(A39,'Données projet'!$A$139:$I$159,9,0)</f>
        <v>#N/A</v>
      </c>
      <c r="CS39" s="12">
        <f t="array" ref="CS39">INDEX(CR:CR,MIN(IF(ISNUMBER(CR39:CR235),ROW(CR39:CR235),"")))</f>
        <v>0</v>
      </c>
      <c r="CT39" s="12">
        <f>IF('Données projet'!$A$140&gt;35,CT38+CS39-DB38,IF(A39&lt;'Données projet'!$A$140,$CQ$205^A39,IF(A39='Données projet'!$A$140,'Données projet'!$B$140,CT38+CS39-DB38)))</f>
        <v>0</v>
      </c>
      <c r="CU39" s="17" t="e">
        <f>CT39*VLOOKUP('Données projet'!$B$13,Paramètres!$A$1:$I$89,3,0)*VLOOKUP('Données projet'!$B$13,Paramètres!$A$1:$I$89,5,0)</f>
        <v>#N/A</v>
      </c>
      <c r="CV39" s="13" t="e">
        <f t="shared" si="41"/>
        <v>#N/A</v>
      </c>
      <c r="CW39" s="20" t="e">
        <f t="shared" si="13"/>
        <v>#N/A</v>
      </c>
      <c r="CX39" s="59" t="e">
        <f t="shared" si="14"/>
        <v>#N/A</v>
      </c>
      <c r="CY39" s="59" t="e">
        <f ca="1">AVERAGE(OFFSET($CX$3,0,0,'Données projet'!$E$13+1,1))-AVERAGE(OFFSET($H$3,0,0,'Données projet'!$E$13+1,1))</f>
        <v>#N/A</v>
      </c>
      <c r="CZ39" s="59" t="e">
        <f t="shared" si="42"/>
        <v>#N/A</v>
      </c>
      <c r="DA39" s="15">
        <f>IF(ISNA(VLOOKUP(A39,'Données projet'!$A$139:$I$159,3,0)),0,VLOOKUP(A39,'Données projet'!$A$139:$I$159,3,0))</f>
        <v>0</v>
      </c>
      <c r="DB39" s="15">
        <f>IF(ISNA(VLOOKUP(A39,'Données projet'!$A$139:$I$159,4,0)),0,VLOOKUP(A39,'Données projet'!$A$139:$I$159,4,0))</f>
        <v>0</v>
      </c>
      <c r="DC39" s="16">
        <f>IF(ISNA(VLOOKUP(A39,'Données projet'!$A$139:$I$159,5,0)),0%,VLOOKUP(A39,'Données projet'!$A$139:$I$159,5,0)*VLOOKUP('Données projet'!$B$13,Paramètres!$A$1:$I$89,7,0))</f>
        <v>0</v>
      </c>
      <c r="DD39" s="16">
        <f>IF(ISNA(VLOOKUP(A39,'Données projet'!$A$139:$I$159,6,0)),0%,VLOOKUP(A39,'Données projet'!$A$139:$I$159,6,0)*VLOOKUP('Données projet'!$B$13,Paramètres!$A$1:$I$89,7,0))</f>
        <v>0</v>
      </c>
      <c r="DE39" s="16">
        <f>IF(ISNA(VLOOKUP(A39,'Données projet'!$A$139:$I$159,7,0)),0%,VLOOKUP(A39,'Données projet'!$A$139:$I$159,7,0))</f>
        <v>0</v>
      </c>
      <c r="DF39" s="21" t="e">
        <f>EXP(-LN(2)/35)*DF38+(1-EXP(-LN(2)/35))/(LN(2)/35)*DB39*DC39*VLOOKUP('Données projet'!$B$13,Paramètres!$A$1:$I$89,3,0)*0.475*44/12</f>
        <v>#N/A</v>
      </c>
      <c r="DG39" s="21" t="e">
        <f>EXP(-LN(2)/25)*DG38+(1-EXP(-LN(2)/25))/(LN(2)/25)*Calculateur!DB39*Calculateur!DD39*VLOOKUP('Données projet'!$B$13,Paramètres!$A$1:$I$89,3,0)*0.475*44/12</f>
        <v>#N/A</v>
      </c>
      <c r="DH39" s="21" t="e">
        <f>EXP(-LN(2)/2)*DH38+(1-EXP(-LN(2)/2))/(LN(2)/2)*DB39*DE39*VLOOKUP('Données projet'!$B$13,Paramètres!$A$1:$I$89,3,0)*0.475*44/12</f>
        <v>#N/A</v>
      </c>
      <c r="DI39" s="22" t="e">
        <f t="shared" si="15"/>
        <v>#N/A</v>
      </c>
      <c r="DJ39" s="75">
        <f>('Scénario référence'!$F$8+'Scénario référence'!$F$9+'Scénario référence'!$B$17+'Scénario référence'!$B$9+'Scénario référence'!$B$10)*70+IF((45+25*(1-EXP(-0.0175*A39)))&lt;70,'Scénario référence'!$B$16*(45+25*(1-EXP(-0.0175*A39))),70*'Scénario référence'!$B$16)+IF((32+38*(1-EXP(-0.0175*A39)))&lt;70,'Scénario référence'!$B$18*(32+38*(1-EXP(-0.0175*A39))),70*'Scénario référence'!$B$18)</f>
        <v>70</v>
      </c>
      <c r="DK39" s="12">
        <f>IF(A39&gt;30,10,('Scénario référence'!$B$16+'Scénario référence'!$B$17+'Scénario référence'!$B$18+'Scénario référence'!$B$9+'Scénario référence'!$B$10)*A39*10/30+('Scénario référence'!$F$8+'Scénario référence'!$F$9)*10)</f>
        <v>10</v>
      </c>
      <c r="DL39" s="12" t="e">
        <f>VLOOKUP(A39,'Données projet'!$A$165:$I$185,2,0)</f>
        <v>#N/A</v>
      </c>
      <c r="DM39" s="12" t="e">
        <f>VLOOKUP(A39,'Données projet'!$A$165:$I$185,9,0)</f>
        <v>#N/A</v>
      </c>
      <c r="DN39" s="12">
        <f t="array" ref="DN39">INDEX(DM:DM,MIN(IF(ISNUMBER(DM39:DM235),ROW(DM39:DM235),"")))</f>
        <v>9.1999999999999993</v>
      </c>
      <c r="DO39" s="12">
        <f>IF('Données projet'!$A$166&gt;35,DO38+DN39-DW38,IF(A39&lt;'Données projet'!$A$166,$DL$205^A39,IF(A39='Données projet'!$A$166,'Données projet'!$B$166,DO38+DN39-DW38)))</f>
        <v>215.19999999999993</v>
      </c>
      <c r="DP39" s="17">
        <f>DO39*VLOOKUP('Données projet'!$B$14,Paramètres!$A$1:$I$89,3,0)*VLOOKUP('Données projet'!$B$14,Paramètres!$A$1:$I$89,5,0)</f>
        <v>140.99903999999995</v>
      </c>
      <c r="DQ39" s="13">
        <f t="shared" si="43"/>
        <v>36.525776729948824</v>
      </c>
      <c r="DR39" s="20">
        <f t="shared" si="16"/>
        <v>309.18905580466077</v>
      </c>
      <c r="DS39" s="59">
        <f t="shared" si="17"/>
        <v>602.52238913799408</v>
      </c>
      <c r="DT39" s="59">
        <f ca="1">AVERAGE(OFFSET($DS$3,0,0,'Données projet'!$E$14+1,1))-AVERAGE(OFFSET($H$3,0,0,'Données projet'!$E$14+1,1))</f>
        <v>188.68915783955595</v>
      </c>
      <c r="DU39" s="59">
        <f t="shared" si="44"/>
        <v>240.82467772396944</v>
      </c>
      <c r="DV39" s="15">
        <f>IF(ISNA(VLOOKUP(A39,'Données projet'!$A$165:$I$185,3,0)),0,VLOOKUP(A39,'Données projet'!$A$165:$I$185,3,0))</f>
        <v>0</v>
      </c>
      <c r="DW39" s="15">
        <f>IF(ISNA(VLOOKUP(A39,'Données projet'!$A$165:$I$185,4,0)),0,VLOOKUP(A39,'Données projet'!$A$165:$I$185,4,0))</f>
        <v>0</v>
      </c>
      <c r="DX39" s="16">
        <f>IF(ISNA(VLOOKUP(A39,'Données projet'!$A$165:$I$185,5,0)),0%,VLOOKUP(A39,'Données projet'!$A$165:$I$185,5,0)*VLOOKUP('Données projet'!$B$14,Paramètres!$A$1:$I$89,7,0))</f>
        <v>0</v>
      </c>
      <c r="DY39" s="16">
        <f>IF(ISNA(VLOOKUP(A39,'Données projet'!$A$165:$I$185,6,0)),0%,VLOOKUP(A39,'Données projet'!$A$165:$I$185,6,0)*VLOOKUP('Données projet'!$B$14,Paramètres!$A$1:$I$89,7,0))</f>
        <v>0</v>
      </c>
      <c r="DZ39" s="16">
        <f>IF(ISNA(VLOOKUP(A39,'Données projet'!$A$165:$I$185,7,0)),0%,VLOOKUP(A39,'Données projet'!$A$165:$I$185,7,0))</f>
        <v>0</v>
      </c>
      <c r="EA39" s="21">
        <f>EXP(-LN(2)/35)*EA38+(1-EXP(-LN(2)/35))/(LN(2)/35)*DW39*DX39*VLOOKUP('Données projet'!$B$14,Paramètres!$A$1:$I$89,3,0)*0.475*44/12</f>
        <v>1.3827839083194375</v>
      </c>
      <c r="EB39" s="21">
        <f>EXP(-LN(2)/25)*EB38+(1-EXP(-LN(2)/25))/(LN(2)/25)*Calculateur!DW39*Calculateur!DY39*VLOOKUP('Données projet'!$B$14,Paramètres!$A$1:$I$89,3,0)*0.475*44/12</f>
        <v>6.8061635819360822</v>
      </c>
      <c r="EC39" s="21">
        <f>EXP(-LN(2)/2)*EC38+(1-EXP(-LN(2)/2))/(LN(2)/2)*DW39*DZ39*VLOOKUP('Données projet'!$B$14,Paramètres!$A$1:$I$89,3,0)*0.475*44/12</f>
        <v>1.7495509982758859</v>
      </c>
      <c r="ED39" s="22">
        <f t="shared" si="18"/>
        <v>9.9384984885314065</v>
      </c>
      <c r="EE39" s="75">
        <f>('Scénario référence'!$F$8+'Scénario référence'!$F$9+'Scénario référence'!$B$17+'Scénario référence'!$B$9+'Scénario référence'!$B$10)*70+IF((45+25*(1-EXP(-0.0175*A39)))&lt;70,'Scénario référence'!$B$16*(45+25*(1-EXP(-0.0175*A39))),70*'Scénario référence'!$B$16)+IF((32+38*(1-EXP(-0.0175*A39)))&lt;70,'Scénario référence'!$B$18*(32+38*(1-EXP(-0.0175*A39))),70*'Scénario référence'!$B$18)</f>
        <v>70</v>
      </c>
      <c r="EF39" s="12">
        <f>IF(A39&gt;30,10,('Scénario référence'!$B$16+'Scénario référence'!$B$17+'Scénario référence'!$B$18+'Scénario référence'!$B$9+'Scénario référence'!$B$10)*A39*10/30+('Scénario référence'!$F$8+'Scénario référence'!$F$9)*10)</f>
        <v>10</v>
      </c>
      <c r="EG39" s="12" t="e">
        <f>VLOOKUP(A39,'Données projet'!$A$191:$I$211,2,0)</f>
        <v>#N/A</v>
      </c>
      <c r="EH39" s="12" t="e">
        <f>VLOOKUP(A39,'Données projet'!$A$191:$I$211,9,0)</f>
        <v>#N/A</v>
      </c>
      <c r="EI39" s="12">
        <f t="array" ref="EI39">INDEX(EH:EH,MIN(IF(ISNUMBER(EH39:EH235),ROW(EH39:EH235),"")))</f>
        <v>7.2</v>
      </c>
      <c r="EJ39" s="12">
        <f>IF('Données projet'!$A$192&gt;35,EJ38+EI39-ER38,IF(A39&lt;'Données projet'!$A$192,$EG$205^A39,IF(A39='Données projet'!$A$192,'Données projet'!$B$192,EJ38+EI39-ER38)))</f>
        <v>152.19999999999996</v>
      </c>
      <c r="EK39" s="17">
        <f>EJ39*VLOOKUP('Données projet'!$B$15,Paramètres!$A$1:$I$89,3,0)*VLOOKUP('Données projet'!$B$15,Paramètres!$A$1:$I$89,5,0)</f>
        <v>123.46463999999997</v>
      </c>
      <c r="EL39" s="13">
        <f t="shared" si="45"/>
        <v>32.481726206916214</v>
      </c>
      <c r="EM39" s="20">
        <f t="shared" si="19"/>
        <v>271.60658781037904</v>
      </c>
      <c r="EN39" s="59">
        <f t="shared" si="20"/>
        <v>564.93992114371235</v>
      </c>
      <c r="EO39" s="59">
        <f ca="1">AVERAGE(OFFSET($EN$3,0,0,'Données projet'!$E$15+1,1))-AVERAGE(OFFSET($H$3,0,0,'Données projet'!$E$15+1,1))</f>
        <v>205.5272583787887</v>
      </c>
      <c r="EP39" s="59">
        <f t="shared" si="46"/>
        <v>180.54762778843178</v>
      </c>
      <c r="EQ39" s="15">
        <f>IF(ISNA(VLOOKUP(A39,'Données projet'!$A$191:$I$211,3,0)),0,VLOOKUP(A39,'Données projet'!$A$191:$I$211,3,0))</f>
        <v>0</v>
      </c>
      <c r="ER39" s="15">
        <f>IF(ISNA(VLOOKUP(A39,'Données projet'!$A$191:$I$211,4,0)),0,VLOOKUP(A39,'Données projet'!$A$191:$I$211,4,0))</f>
        <v>0</v>
      </c>
      <c r="ES39" s="16">
        <f>IF(ISNA(VLOOKUP(A39,'Données projet'!$A$191:$I$211,5,0)),0%,VLOOKUP(A39,'Données projet'!$A$191:$I$211,5,0)*VLOOKUP('Données projet'!$B$15,Paramètres!$A$1:$I$89,7,0))</f>
        <v>0</v>
      </c>
      <c r="ET39" s="16">
        <f>IF(ISNA(VLOOKUP(A39,'Données projet'!$A$191:$I$211,6,0)),0%,VLOOKUP(A39,'Données projet'!$A$191:$I$211,6,0)*VLOOKUP('Données projet'!$B$15,Paramètres!$A$1:$I$89,7,0))</f>
        <v>0</v>
      </c>
      <c r="EU39" s="16">
        <f>IF(ISNA(VLOOKUP(A39,'Données projet'!$A$191:$I$211,7,0)),0%,VLOOKUP(A39,'Données projet'!$A$191:$I$211,7,0))</f>
        <v>0</v>
      </c>
      <c r="EV39" s="21">
        <f>EXP(-LN(2)/35)*EV38+(1-EXP(-LN(2)/35))/(LN(2)/35)*ER39*ES39*VLOOKUP('Données projet'!$B$15,Paramètres!$A$1:$I$89,3,0)*0.475*44/12</f>
        <v>0.89024944954660923</v>
      </c>
      <c r="EW39" s="21">
        <f>EXP(-LN(2)/25)*EW38+(1-EXP(-LN(2)/25))/(LN(2)/25)*Calculateur!ER39*Calculateur!ET39*VLOOKUP('Données projet'!$B$15,Paramètres!$A$1:$I$89,3,0)*0.475*44/12</f>
        <v>4.9142565776972331</v>
      </c>
      <c r="EX39" s="21">
        <f>EXP(-LN(2)/2)*EX38+(1-EXP(-LN(2)/2))/(LN(2)/2)*ER39*EU39*VLOOKUP('Données projet'!$B$15,Paramètres!$A$1:$I$89,3,0)*0.475*44/12</f>
        <v>1.1328355650474924</v>
      </c>
      <c r="EY39" s="22">
        <f t="shared" si="21"/>
        <v>6.9373415922913351</v>
      </c>
      <c r="EZ39" s="75">
        <f>('Scénario référence'!$F$8+'Scénario référence'!$F$9+'Scénario référence'!$B$17+'Scénario référence'!$B$9+'Scénario référence'!$B$10)*70+IF((45+25*(1-EXP(-0.0175*A39)))&lt;70,'Scénario référence'!$B$16*(45+25*(1-EXP(-0.0175*A39))),70*'Scénario référence'!$B$16)+IF((32+38*(1-EXP(-0.0175*A39)))&lt;70,'Scénario référence'!$B$18*(32+38*(1-EXP(-0.0175*A39))),70*'Scénario référence'!$B$18)</f>
        <v>70</v>
      </c>
      <c r="FA39" s="12">
        <f>IF(A39&gt;30,10,('Scénario référence'!$B$16+'Scénario référence'!$B$17+'Scénario référence'!$B$18+'Scénario référence'!$B$9+'Scénario référence'!$B$10)*A39*10/30+('Scénario référence'!$F$8+'Scénario référence'!$F$9)*10)</f>
        <v>10</v>
      </c>
      <c r="FB39" s="12" t="e">
        <f>VLOOKUP(A39,'Données projet'!$A$217:$I$237,2,0)</f>
        <v>#N/A</v>
      </c>
      <c r="FC39" s="12" t="e">
        <f>VLOOKUP(A39,'Données projet'!$A$217:$I$237,9,0)</f>
        <v>#N/A</v>
      </c>
      <c r="FD39" s="12">
        <f t="array" ref="FD39">INDEX(FC:FC,MIN(IF(ISNUMBER(FC39:FC235),ROW(FC39:FC235),"")))</f>
        <v>12.3</v>
      </c>
      <c r="FE39" s="12">
        <f>IF('Données projet'!$A$218&gt;35,FE38+FD39-FM38,IF(A39&lt;'Données projet'!$A$218,$FB$205^A39,IF(A39='Données projet'!$A$218,'Données projet'!$B$218,FE38+FD39-FM38)))</f>
        <v>172.8</v>
      </c>
      <c r="FF39" s="17">
        <f>FE39*VLOOKUP('Données projet'!$B$16,Paramètres!$A$1:$I$89,3,0)*VLOOKUP('Données projet'!$B$16,Paramètres!$A$1:$I$89,5,0)</f>
        <v>148.26240000000004</v>
      </c>
      <c r="FG39" s="13">
        <f t="shared" si="47"/>
        <v>38.183442410139151</v>
      </c>
      <c r="FH39" s="20">
        <f t="shared" si="22"/>
        <v>324.72650886432575</v>
      </c>
      <c r="FI39" s="59">
        <f t="shared" si="23"/>
        <v>618.05984219765901</v>
      </c>
      <c r="FJ39" s="59">
        <f ca="1">AVERAGE(OFFSET($FI$3,0,0,'Données projet'!$E$16+1,1))-AVERAGE(OFFSET($H$3,0,0,'Données projet'!$E$16+1,1))</f>
        <v>383.97627237444709</v>
      </c>
      <c r="FK39" s="59">
        <f t="shared" si="48"/>
        <v>203.35476578922339</v>
      </c>
      <c r="FL39" s="15">
        <f>IF(ISNA(VLOOKUP(A39,'Données projet'!$A$217:$I$237,3,0)),0,VLOOKUP(A39,'Données projet'!$A$217:$I$237,3,0))</f>
        <v>0</v>
      </c>
      <c r="FM39" s="15">
        <f>IF(ISNA(VLOOKUP(A39,'Données projet'!$A$217:$I$237,4,0)),0,VLOOKUP(A39,'Données projet'!$A$217:$I$237,4,0))</f>
        <v>0</v>
      </c>
      <c r="FN39" s="16">
        <f>IF(ISNA(VLOOKUP(A39,'Données projet'!$A$217:$I$237,5,0)),0%,VLOOKUP(A39,'Données projet'!$A$217:$I$237,5,0)*VLOOKUP('Données projet'!$B$16,Paramètres!$A$1:$I$89,7,0))</f>
        <v>0</v>
      </c>
      <c r="FO39" s="16">
        <f>IF(ISNA(VLOOKUP(A39,'Données projet'!$A$217:$I$237,6,0)),0%,VLOOKUP(A39,'Données projet'!$A$217:$I$237,6,0)*VLOOKUP('Données projet'!$B$16,Paramètres!$A$1:$I$89,7,0))</f>
        <v>0</v>
      </c>
      <c r="FP39" s="16">
        <f>IF(ISNA(VLOOKUP(A39,'Données projet'!$A$217:$I$237,7,0)),0%,VLOOKUP(A39,'Données projet'!$A$217:$I$237,7,0))</f>
        <v>0</v>
      </c>
      <c r="FQ39" s="21">
        <f>EXP(-LN(2)/35)*FQ38+(1-EXP(-LN(2)/35))/(LN(2)/35)*FM39*FN39*VLOOKUP('Données projet'!$B$16,Paramètres!$A$1:$I$89,3,0)*0.475*44/12</f>
        <v>4.575399191661063</v>
      </c>
      <c r="FR39" s="21">
        <f>EXP(-LN(2)/25)*FR38+(1-EXP(-LN(2)/25))/(LN(2)/25)*Calculateur!FM39*Calculateur!FO39*VLOOKUP('Données projet'!$B$16,Paramètres!$A$1:$I$89,3,0)*0.475*44/12</f>
        <v>4.9884783630528249</v>
      </c>
      <c r="FS39" s="21">
        <f>EXP(-LN(2)/2)*FS38+(1-EXP(-LN(2)/2))/(LN(2)/2)*FM39*FP39*VLOOKUP('Données projet'!$B$16,Paramètres!$A$1:$I$89,3,0)*0.475*44/12</f>
        <v>2.0807864414737365</v>
      </c>
      <c r="FT39" s="22">
        <f t="shared" si="24"/>
        <v>11.644663996187624</v>
      </c>
      <c r="FU39" s="75">
        <f>('Scénario référence'!$F$8+'Scénario référence'!$F$9+'Scénario référence'!$B$17+'Scénario référence'!$B$9+'Scénario référence'!$B$10)*70+IF((45+25*(1-EXP(-0.0175*A39)))&lt;70,'Scénario référence'!$B$16*(45+25*(1-EXP(-0.0175*A39))),70*'Scénario référence'!$B$16)+IF((32+38*(1-EXP(-0.0175*A39)))&lt;70,'Scénario référence'!$B$18*(32+38*(1-EXP(-0.0175*A39))),70*'Scénario référence'!$B$18)</f>
        <v>70</v>
      </c>
      <c r="FV39" s="12">
        <f>IF(A39&gt;30,10,('Scénario référence'!$B$16+'Scénario référence'!$B$17+'Scénario référence'!$B$18+'Scénario référence'!$B$9+'Scénario référence'!$B$10)*A39*10/30+('Scénario référence'!$F$8+'Scénario référence'!$F$9)*10)</f>
        <v>10</v>
      </c>
      <c r="FW39" s="12" t="e">
        <f>VLOOKUP(A39,'Données projet'!$A$243:$I$263,2,0)</f>
        <v>#N/A</v>
      </c>
      <c r="FX39" s="12" t="e">
        <f>VLOOKUP(A39,'Données projet'!$A$243:$I$263,9,0)</f>
        <v>#N/A</v>
      </c>
      <c r="FY39" s="12">
        <f t="array" ref="FY39">INDEX(FX:FX,MIN(IF(ISNUMBER(FX39:FX235),ROW(FX39:FX235),"")))</f>
        <v>9.3141025641025674</v>
      </c>
      <c r="FZ39" s="12">
        <f>IF('Données projet'!$A$244&gt;35,FZ38+FY39-GH38,IF(A39&lt;'Données projet'!$A$244,$FW$205^A39,IF(A39='Données projet'!$A$244,'Données projet'!$B$244,FZ38+FY39-GH38)))</f>
        <v>110.87820512820512</v>
      </c>
      <c r="GA39" s="17">
        <f>FZ39*VLOOKUP('Données projet'!$B$17,Paramètres!$A$1:$I$89,3,0)*VLOOKUP('Données projet'!$B$17,Paramètres!$A$1:$I$89,5,0)</f>
        <v>119.3493</v>
      </c>
      <c r="GB39" s="13">
        <f t="shared" si="49"/>
        <v>31.523186212435331</v>
      </c>
      <c r="GC39" s="20">
        <f t="shared" si="25"/>
        <v>262.76958015332485</v>
      </c>
      <c r="GD39" s="59">
        <f t="shared" si="26"/>
        <v>556.10291348665817</v>
      </c>
      <c r="GE39" s="59">
        <f ca="1">AVERAGE(OFFSET($GD$3,0,0,'Données projet'!$E$17+1,1))-AVERAGE(OFFSET($H$3,0,0,'Données projet'!$E$17+1,1))</f>
        <v>286.77702855541287</v>
      </c>
      <c r="GF39" s="59">
        <f t="shared" si="50"/>
        <v>227.12211541860779</v>
      </c>
      <c r="GG39" s="15">
        <f>IF(ISNA(VLOOKUP(A39,'Données projet'!$A$243:$I$263,3,0)),0,VLOOKUP(A39,'Données projet'!$A$243:$I$263,3,0))</f>
        <v>0</v>
      </c>
      <c r="GH39" s="15">
        <f>IF(ISNA(VLOOKUP(A39,'Données projet'!$A$243:$I$263,4,0)),0,VLOOKUP(A39,'Données projet'!$A$243:$I$263,4,0))</f>
        <v>0</v>
      </c>
      <c r="GI39" s="16">
        <f>IF(ISNA(VLOOKUP(A39,'Données projet'!$A$243:$I$263,5,0)),0%,VLOOKUP(A39,'Données projet'!$A$243:$I$263,5,0)*VLOOKUP('Données projet'!$B$17,Paramètres!$A$1:$I$89,7,0))</f>
        <v>0</v>
      </c>
      <c r="GJ39" s="16">
        <f>IF(ISNA(VLOOKUP(A39,'Données projet'!$A$243:$I$263,6,0)),0%,VLOOKUP(A39,'Données projet'!$A$243:$I$263,6,0)*VLOOKUP('Données projet'!$B$17,Paramètres!$A$1:$I$89,7,0))</f>
        <v>0</v>
      </c>
      <c r="GK39" s="16">
        <f>IF(ISNA(VLOOKUP(A39,'Données projet'!$A$243:$I$263,7,0)),0%,VLOOKUP(A39,'Données projet'!$A$243:$I$263,7,0))</f>
        <v>0</v>
      </c>
      <c r="GL39" s="21">
        <f>EXP(-LN(2)/35)*GL38+(1-EXP(-LN(2)/35))/(LN(2)/35)*GH39*GI39*VLOOKUP('Données projet'!$B$17,Paramètres!$A$1:$I$89,3,0)*0.475*44/12</f>
        <v>0</v>
      </c>
      <c r="GM39" s="21">
        <f>EXP(-LN(2)/25)*GM38+(1-EXP(-LN(2)/25))/(LN(2)/25)*Calculateur!GH39*Calculateur!GJ39*VLOOKUP('Données projet'!$B$17,Paramètres!$A$1:$I$89,3,0)*0.475*44/12</f>
        <v>0</v>
      </c>
      <c r="GN39" s="21">
        <f>EXP(-LN(2)/2)*GN38+(1-EXP(-LN(2)/2))/(LN(2)/2)*GH39*GK39*VLOOKUP('Données projet'!$B$17,Paramètres!$A$1:$I$89,3,0)*0.475*44/12</f>
        <v>0</v>
      </c>
      <c r="GO39" s="21">
        <f t="shared" si="27"/>
        <v>0</v>
      </c>
      <c r="GP39" s="75">
        <f>('Scénario référence'!$F$8+'Scénario référence'!$F$9+'Scénario référence'!$B$17+'Scénario référence'!$B$9+'Scénario référence'!$B$10)*70+IF((45+25*(1-EXP(-0.0175*A39)))&lt;70,'Scénario référence'!$B$16*(45+25*(1-EXP(-0.0175*A39))),70*'Scénario référence'!$B$16)+IF((32+38*(1-EXP(-0.0175*A39)))&lt;70,'Scénario référence'!$B$18*(32+38*(1-EXP(-0.0175*A39))),70*'Scénario référence'!$B$18)</f>
        <v>70</v>
      </c>
      <c r="GQ39" s="12">
        <f>IF(A39&gt;30,10,('Scénario référence'!$B$16+'Scénario référence'!$B$17+'Scénario référence'!$B$18+'Scénario référence'!$B$9+'Scénario référence'!$B$10)*A39*10/30+('Scénario référence'!$F$8+'Scénario référence'!$F$9)*10)</f>
        <v>10</v>
      </c>
      <c r="GR39" s="12" t="e">
        <f>VLOOKUP(A39,'Données projet'!$A$269:$I$289,2,0)</f>
        <v>#N/A</v>
      </c>
      <c r="GS39" s="12" t="e">
        <f>VLOOKUP(A39,'Données projet'!$A$269:$I$289,9,0)</f>
        <v>#N/A</v>
      </c>
      <c r="GT39" s="12">
        <f t="array" ref="GT39">INDEX(GS:GS,MIN(IF(ISNUMBER(GS39:GS235),ROW(GS39:GS235),"")))</f>
        <v>9.3141025641025674</v>
      </c>
      <c r="GU39" s="12">
        <f>IF('Données projet'!$A$270&gt;35,GU38+GT39-HC38,IF(A39&lt;'Données projet'!$A$270,$GR$205^A39,IF(A39='Données projet'!$A$270,'Données projet'!$B$270,GU38+GT39-HC38)))</f>
        <v>110.87820512820512</v>
      </c>
      <c r="GV39" s="17">
        <f>GU39*VLOOKUP('Données projet'!$B$18,Paramètres!$A$1:$I$89,3,0)*VLOOKUP('Données projet'!$B$18,Paramètres!$A$1:$I$89,5,0)</f>
        <v>119.3493</v>
      </c>
      <c r="GW39" s="13">
        <f t="shared" si="51"/>
        <v>31.523186212435331</v>
      </c>
      <c r="GX39" s="20">
        <f t="shared" si="28"/>
        <v>262.76958015332485</v>
      </c>
      <c r="GY39" s="59">
        <f t="shared" si="29"/>
        <v>556.10291348665817</v>
      </c>
      <c r="GZ39" s="59">
        <f ca="1">AVERAGE(OFFSET($GY$3,0,0,'Données projet'!$E$18+1,1))-AVERAGE(OFFSET($H$3,0,0,'Données projet'!$E$18+1,1))</f>
        <v>286.77702855541287</v>
      </c>
      <c r="HA39" s="59">
        <f t="shared" si="52"/>
        <v>227.12211541860779</v>
      </c>
      <c r="HB39" s="15">
        <f>IF(ISNA(VLOOKUP(A39,'Données projet'!$A$269:$I$289,3,0)),0,VLOOKUP(A39,'Données projet'!$A$269:$I$289,3,0))</f>
        <v>0</v>
      </c>
      <c r="HC39" s="15">
        <f>IF(ISNA(VLOOKUP(A39,'Données projet'!$A$269:$I$289,4,0)),0,VLOOKUP(A39,'Données projet'!$A$269:$I$289,4,0))</f>
        <v>0</v>
      </c>
      <c r="HD39" s="16">
        <f>IF(ISNA(VLOOKUP(A39,'Données projet'!$A$269:$I$289,5,0)),0%,VLOOKUP(A39,'Données projet'!$A$269:$I$289,5,0)*VLOOKUP('Données projet'!$B$18,Paramètres!$A$1:$I$89,7,0))</f>
        <v>0</v>
      </c>
      <c r="HE39" s="16">
        <f>IF(ISNA(VLOOKUP(A39,'Données projet'!$A$269:$I$289,6,0)),0%,VLOOKUP(A39,'Données projet'!$A$269:$I$289,6,0)*VLOOKUP('Données projet'!$B$18,Paramètres!$A$1:$I$89,7,0))</f>
        <v>0</v>
      </c>
      <c r="HF39" s="16">
        <f>IF(ISNA(VLOOKUP(A39,'Données projet'!$A$269:$I$289,7,0)),0%,VLOOKUP(A39,'Données projet'!$A$269:$I$289,7,0))</f>
        <v>0</v>
      </c>
      <c r="HG39" s="21">
        <f>EXP(-LN(2)/35)*HG38+(1-EXP(-LN(2)/35))/(LN(2)/35)*HC39*HD39*VLOOKUP('Données projet'!$B$18,Paramètres!$A$1:$I$89,3,0)*0.475*44/12</f>
        <v>0</v>
      </c>
      <c r="HH39" s="21">
        <f>EXP(-LN(2)/25)*HH38+(1-EXP(-LN(2)/25))/(LN(2)/25)*Calculateur!HC39*Calculateur!HE39*VLOOKUP('Données projet'!$B$18,Paramètres!$A$1:$I$89,3,0)*0.475*44/12</f>
        <v>0</v>
      </c>
      <c r="HI39" s="21">
        <f>EXP(-LN(2)/2)*HI38+(1-EXP(-LN(2)/2))/(LN(2)/2)*HC39*HF39*VLOOKUP('Données projet'!$B$18,Paramètres!$A$1:$I$89,3,0)*0.475*44/12</f>
        <v>0</v>
      </c>
      <c r="HJ39" s="22">
        <f t="shared" si="30"/>
        <v>0</v>
      </c>
    </row>
    <row r="40" spans="1:218" x14ac:dyDescent="0.25">
      <c r="A40" s="10">
        <f t="shared" si="31"/>
        <v>37</v>
      </c>
      <c r="B40" s="73">
        <f>'Scénario référence'!$B$16*5+'Scénario référence'!$B$17*0+'Scénario référence'!$B$18*5</f>
        <v>0</v>
      </c>
      <c r="C40" s="19">
        <f>Calculateur!C39+'Scénario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32.900399999999991</v>
      </c>
      <c r="D40" s="11">
        <f t="shared" si="32"/>
        <v>10.096039146303498</v>
      </c>
      <c r="E4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40" s="11">
        <f>IF(OR('Scénario référence'!$F$8&gt;0,'Scénario référence'!$F$9&gt;0),('Scénario référence'!$F$8+'Scénario référence'!$F$9)*10,0)</f>
        <v>10</v>
      </c>
      <c r="G40" s="11">
        <f>'Scénario référence'!$B$8*B40*44/12+'Scénario référence'!$B$9*(C40+D40)/0.475*44/12+'Scénario référence'!$B$10*(C40+D40)/0.475*44/12+'Scénario référence'!$F$8*(C40+D40)/0.475*44/12+'Scénario référence'!$F$9*(C40+D40)/0.475*44/12</f>
        <v>331.90233726971115</v>
      </c>
      <c r="H40" s="67">
        <f t="shared" si="1"/>
        <v>368.21879817981187</v>
      </c>
      <c r="I40" s="70">
        <f>('Scénario référence'!$F$8+'Scénario référence'!$F$9+'Scénario référence'!$B$17+'Scénario référence'!$B$9+'Scénario référence'!$B$10)*70+IF((45+25*(1-EXP(-0.0175*A40)))&lt;70,'Scénario référence'!$B$16*(45+25*(1-EXP(-0.0175*A40))),70*'Scénario référence'!$B$16)+IF((32+38*(1-EXP(-0.0175*A40)))&lt;70,'Scénario référence'!$B$18*(32+38*(1-EXP(-0.0175*A40))),70*'Scénario référence'!$B$18)</f>
        <v>70</v>
      </c>
      <c r="J40" s="13">
        <f>IF(A40&gt;30,10,('Scénario référence'!$B$16+'Scénario référence'!$B$17+'Scénario référence'!$B$18+'Scénario référence'!$B$9+'Scénario référence'!$B$10)*A40*10/30+('Scénario référence'!$F$8+'Scénario référence'!$F$9)*10)</f>
        <v>10</v>
      </c>
      <c r="K40" s="12" t="e">
        <f>VLOOKUP(A40,'Données projet'!$A$35:$I$55,2,0)</f>
        <v>#N/A</v>
      </c>
      <c r="L40" s="12" t="e">
        <f>VLOOKUP(A40,'Données projet'!$A$35:$I$55,9,0)</f>
        <v>#N/A</v>
      </c>
      <c r="M40" s="12">
        <f t="array" ref="M40">INDEX(L:L,MIN(IF(ISNUMBER(L40:L236),ROW(L40:L236),"")))</f>
        <v>22.419230769230779</v>
      </c>
      <c r="N40" s="13">
        <f>IF('Données projet'!$A$36&gt;35,N39+M40-V39,IF(A40&lt;'Données projet'!$A$36,$K$205^A40,IF(A40='Données projet'!$A$36,'Données projet'!$B$36,N39+M40-V39)))</f>
        <v>356.62692307692276</v>
      </c>
      <c r="O40" s="13">
        <f>N40*VLOOKUP('Données projet'!$B$9,Paramètres!$A$1:$I$89,3,0)*VLOOKUP('Données projet'!$B$9,Paramètres!$A$1:$I$89,5,0)</f>
        <v>199.35444999999984</v>
      </c>
      <c r="P40" s="13">
        <f t="shared" si="33"/>
        <v>49.602268690733197</v>
      </c>
      <c r="Q40" s="20">
        <f t="shared" si="53"/>
        <v>433.59961838636008</v>
      </c>
      <c r="R40" s="59">
        <f t="shared" si="0"/>
        <v>726.93295171969339</v>
      </c>
      <c r="S40" s="59">
        <f ca="1">AVERAGE(OFFSET($R$3,0,0,'Données projet'!$E$9+1,1))-AVERAGE(OFFSET($H$3,0,0,'Données projet'!$E$9+1,1))</f>
        <v>255.5374979188561</v>
      </c>
      <c r="T40" s="59">
        <f t="shared" si="34"/>
        <v>343.10418468620901</v>
      </c>
      <c r="U40" s="15">
        <f>IF(ISNA(VLOOKUP(A40,'Données projet'!$A$35:$I$55,3,0)),0,VLOOKUP(A40,'Données projet'!$A$35:$I$55,3,0))</f>
        <v>0</v>
      </c>
      <c r="V40" s="15">
        <f>IF(ISNA(VLOOKUP(A40,'Données projet'!$A$35:$I$55,4,0)),0,VLOOKUP(A40,'Données projet'!$A$35:$I$55,4,0))</f>
        <v>0</v>
      </c>
      <c r="W40" s="16">
        <f>IF(ISNA(VLOOKUP(A40,'Données projet'!$A$35:$I$55,5,0)),0%,VLOOKUP(A40,'Données projet'!$A$35:$I$55,5,0)*VLOOKUP('Données projet'!$B$9,Paramètres!$A$1:$I$89,7,0))</f>
        <v>0</v>
      </c>
      <c r="X40" s="16">
        <f>IF(ISNA(VLOOKUP(A40,'Données projet'!$A$35:$I$55,6,0)),0%,VLOOKUP(A40,'Données projet'!$A$35:$I$55,6,0)*VLOOKUP('Données projet'!$B$9,Paramètres!$A$1:$I$89,7,0))</f>
        <v>0</v>
      </c>
      <c r="Y40" s="16">
        <f>IF(ISNA(VLOOKUP(A40,'Données projet'!$A$35:$I$55,7,0)),0%,VLOOKUP(A40,'Données projet'!$A$35:$I$55,7,0))</f>
        <v>0</v>
      </c>
      <c r="Z40" s="21">
        <f>EXP(-LN(2)/35)*Z39+(1-EXP(-LN(2)/35))/(LN(2)/35)*V40*W40*VLOOKUP('Données projet'!$B$9,Paramètres!$A$1:$I$89,3,0)*0.475*44/12</f>
        <v>2.6900367995759797</v>
      </c>
      <c r="AA40" s="21">
        <f>EXP(-LN(2)/25)*AA39+(1-EXP(-LN(2)/25))/(LN(2)/25)*Calculateur!V40*Calculateur!X40*VLOOKUP('Données projet'!$B$9,Paramètres!$A$1:$I$89,3,0)*0.475*44/12</f>
        <v>13.1447260529515</v>
      </c>
      <c r="AB40" s="21">
        <f>EXP(-LN(2)/2)*AB39+(1-EXP(-LN(2)/2))/(LN(2)/2)*V40*Y40*VLOOKUP('Données projet'!$B$9,Paramètres!$A$1:$I$89,3,0)*0.475*44/12</f>
        <v>0.14961072044643511</v>
      </c>
      <c r="AC40" s="22">
        <f t="shared" si="3"/>
        <v>15.984373572973915</v>
      </c>
      <c r="AD40" s="13">
        <f>('Scénario référence'!$F$8+'Scénario référence'!$F$9+'Scénario référence'!$B$17+'Scénario référence'!$B$9+'Scénario référence'!$B$10)*70+IF((45+25*(1-EXP(-0.0175*A40)))&lt;70,'Scénario référence'!$B$16*(45+25*(1-EXP(-0.0175*A40))),70*'Scénario référence'!$B$16)+IF((32+38*(1-EXP(-0.0175*A40)))&lt;70,'Scénario référence'!$B$18*(32+38*(1-EXP(-0.0175*A40))),70*'Scénario référence'!$B$18)</f>
        <v>70</v>
      </c>
      <c r="AE40" s="13">
        <f>IF(A40&gt;30,10,('Scénario référence'!$B$16+'Scénario référence'!$B$17+'Scénario référence'!$B$18+'Scénario référence'!$B$9+'Scénario référence'!$B$10)*A40*10/30+('Scénario référence'!$F$8+'Scénario référence'!$F$9)*10)</f>
        <v>10</v>
      </c>
      <c r="AF40" s="12" t="e">
        <f>VLOOKUP(A40,'Données projet'!$A$61:$I$81,2,0)</f>
        <v>#N/A</v>
      </c>
      <c r="AG40" s="12" t="e">
        <f>VLOOKUP(A40,'Données projet'!$A$61:$I$81,9,0)</f>
        <v>#N/A</v>
      </c>
      <c r="AH40" s="12">
        <f t="array" ref="AH40">INDEX(AG:AG,MIN(IF(ISNUMBER(AG40:AG236),ROW(AG40:AG236),"")))</f>
        <v>15.1</v>
      </c>
      <c r="AI40" s="13">
        <f>IF('Données projet'!$A$62&gt;35,AI39+AH40-AQ39,IF(A40&lt;'Données projet'!$A$62,$AF$205^A40,IF(A40='Données projet'!$A$62,'Données projet'!$B$62,AI39+AH40-AQ39)))</f>
        <v>284.70000000000005</v>
      </c>
      <c r="AJ40" s="13">
        <f>AI40*VLOOKUP('Données projet'!$B$10,Paramètres!$A$1:$I$89,3,0)*VLOOKUP('Données projet'!$B$10,Paramètres!$A$1:$I$89,5,0)</f>
        <v>177.65280000000001</v>
      </c>
      <c r="AK40" s="13">
        <f t="shared" si="35"/>
        <v>44.799579155749747</v>
      </c>
      <c r="AL40" s="20">
        <f t="shared" si="4"/>
        <v>387.43789369626415</v>
      </c>
      <c r="AM40" s="59">
        <f t="shared" si="5"/>
        <v>680.77122702959741</v>
      </c>
      <c r="AN40" s="59">
        <f ca="1">AVERAGE(OFFSET($AM$3,0,0,'Données projet'!$E$10+1,1))-AVERAGE(OFFSET($H$3,0,0,'Données projet'!$E$10+1,1))</f>
        <v>261.78489480911571</v>
      </c>
      <c r="AO40" s="59">
        <f t="shared" si="36"/>
        <v>297.50513563712764</v>
      </c>
      <c r="AP40" s="15">
        <f>IF(ISNA(VLOOKUP(A40,'Données projet'!$A$61:$I$81,3,0)),0,VLOOKUP(A40,'Données projet'!$A$61:$I$81,3,0))</f>
        <v>0</v>
      </c>
      <c r="AQ40" s="15">
        <f>IF(ISNA(VLOOKUP(A40,'Données projet'!$A$61:$I$81,4,0)),0,VLOOKUP(A40,'Données projet'!$A$61:$I$81,4,0))</f>
        <v>0</v>
      </c>
      <c r="AR40" s="16">
        <f>IF(ISNA(VLOOKUP(A40,'Données projet'!$A$61:$I$81,5,0)),0%,VLOOKUP(A40,'Données projet'!$A$61:$I$81,5,0)*VLOOKUP('Données projet'!$B$10,Paramètres!$A$1:$I$89,7,0))</f>
        <v>0</v>
      </c>
      <c r="AS40" s="16">
        <f>IF(ISNA(VLOOKUP(A40,'Données projet'!$A$61:$I$81,6,0)),0%,VLOOKUP(A40,'Données projet'!$A$61:$I$81,6,0)*VLOOKUP('Données projet'!$B$10,Paramètres!$A$1:$I$89,7,0))</f>
        <v>0</v>
      </c>
      <c r="AT40" s="16">
        <f>IF(ISNA(VLOOKUP(A40,'Données projet'!$A$61:$I$81,7,0)),0%,VLOOKUP(A40,'Données projet'!$A$61:$I$81,7,0))</f>
        <v>0</v>
      </c>
      <c r="AU40" s="21">
        <f>EXP(-LN(2)/35)*AU39+(1-EXP(-LN(2)/35))/(LN(2)/35)*AQ40*AR40*VLOOKUP('Données projet'!$B$10,Paramètres!$A$1:$I$89,3,0)*0.475*44/12</f>
        <v>7.2638602321144674</v>
      </c>
      <c r="AV40" s="21">
        <f>EXP(-LN(2)/25)*AV39+(1-EXP(-LN(2)/25))/(LN(2)/25)*Calculateur!AQ40*Calculateur!AS40*VLOOKUP('Données projet'!$B$10,Paramètres!$A$1:$I$89,3,0)*0.475*44/12</f>
        <v>22.953372698275796</v>
      </c>
      <c r="AW40" s="21">
        <f>EXP(-LN(2)/2)*AW39+(1-EXP(-LN(2)/2))/(LN(2)/2)*AQ40*AT40*VLOOKUP('Données projet'!$B$10,Paramètres!$A$1:$I$89,3,0)*0.475*44/12</f>
        <v>2.1567809652424339</v>
      </c>
      <c r="AX40" s="21">
        <f t="shared" si="6"/>
        <v>32.3740138956327</v>
      </c>
      <c r="AY40" s="74">
        <f>('Scénario référence'!$F$8+'Scénario référence'!$F$9+'Scénario référence'!$B$17+'Scénario référence'!$B$9+'Scénario référence'!$B$10)*70+IF((45+25*(1-EXP(-0.0175*A40)))&lt;70,'Scénario référence'!$B$16*(45+25*(1-EXP(-0.0175*A40))),70*'Scénario référence'!$B$16)+IF((32+38*(1-EXP(-0.0175*A40)))&lt;70,'Scénario référence'!$B$18*(32+38*(1-EXP(-0.0175*A40))),70*'Scénario référence'!$B$18)</f>
        <v>70</v>
      </c>
      <c r="AZ40" s="12">
        <f>IF(A40&gt;30,10,('Scénario référence'!$B$16+'Scénario référence'!$B$17+'Scénario référence'!$B$18+'Scénario référence'!$B$9+'Scénario référence'!$B$10)*A40*10/30+('Scénario référence'!$F$8+'Scénario référence'!$F$9)*10)</f>
        <v>10</v>
      </c>
      <c r="BA40" s="12" t="e">
        <f>VLOOKUP(A40,'Données projet'!$A$87:$I$107,2,0)</f>
        <v>#N/A</v>
      </c>
      <c r="BB40" s="12" t="e">
        <f>VLOOKUP(A40,'Données projet'!$A$87:$I$107,9,0)</f>
        <v>#N/A</v>
      </c>
      <c r="BC40" s="12">
        <f t="array" ref="BC40">INDEX(BB:BB,MIN(IF(ISNUMBER(BB40:BB236),ROW(BB40:BB236),"")))</f>
        <v>18.2</v>
      </c>
      <c r="BD40" s="12">
        <f>IF('Données projet'!$A$88&gt;35,BD39+BC40-BL39,IF(A40&lt;'Données projet'!$A$88,$BA$205^A40,IF(A40='Données projet'!$A$88,'Données projet'!$B$88,BD39+BC40-BL39)))</f>
        <v>286.39999999999998</v>
      </c>
      <c r="BE40" s="13">
        <f>BD40*VLOOKUP('Données projet'!$B$11,Paramètres!$A$1:$I$89,3,0)*VLOOKUP('Données projet'!$B$11,Paramètres!$A$1:$I$89,5,0)</f>
        <v>171.2672</v>
      </c>
      <c r="BF40" s="13">
        <f t="shared" si="37"/>
        <v>43.373711445811836</v>
      </c>
      <c r="BG40" s="20">
        <f t="shared" si="7"/>
        <v>373.83292076812228</v>
      </c>
      <c r="BH40" s="59">
        <f t="shared" si="8"/>
        <v>667.16625410145559</v>
      </c>
      <c r="BI40" s="59">
        <f ca="1">AVERAGE(OFFSET($BH$3,0,0,'Données projet'!$E$11+1,1))-AVERAGE(OFFSET($H$3,0,0,'Données projet'!$E$11+1,1))</f>
        <v>316.58509520829671</v>
      </c>
      <c r="BJ40" s="59">
        <f t="shared" si="38"/>
        <v>240.71332110643596</v>
      </c>
      <c r="BK40" s="15">
        <f>IF(ISNA(VLOOKUP(A40,'Données projet'!$A$87:$I$107,3,0)),0,VLOOKUP(A40,'Données projet'!$A$87:$I$107,3,0))</f>
        <v>0</v>
      </c>
      <c r="BL40" s="15">
        <f>IF(ISNA(VLOOKUP(A40,'Données projet'!$A$87:$I$107,4,0)),0,VLOOKUP(A40,'Données projet'!$A$87:$I$107,4,0))</f>
        <v>0</v>
      </c>
      <c r="BM40" s="16">
        <f>IF(ISNA(VLOOKUP(A40,'Données projet'!$A$87:$I$107,5,0)),0%,VLOOKUP(A40,'Données projet'!$A$87:$I$107,5,0)*VLOOKUP('Données projet'!$B$11,Paramètres!$A$1:$I$89,7,0))</f>
        <v>0</v>
      </c>
      <c r="BN40" s="16">
        <f>IF(ISNA(VLOOKUP(A40,'Données projet'!$A$87:$I$107,6,0)),0%,VLOOKUP(A40,'Données projet'!$A$87:$I$107,6,0)*VLOOKUP('Données projet'!$B$11,Paramètres!$A$1:$I$89,7,0))</f>
        <v>0</v>
      </c>
      <c r="BO40" s="16">
        <f>IF(ISNA(VLOOKUP(A40,'Données projet'!$A$87:$I$107,7,0)),0%,VLOOKUP(A40,'Données projet'!$A$87:$I$107,7,0))</f>
        <v>0</v>
      </c>
      <c r="BP40" s="21">
        <f>EXP(-LN(2)/35)*BP39+(1-EXP(-LN(2)/35))/(LN(2)/35)*BL40*BM40*VLOOKUP('Données projet'!$B$11,Paramètres!$A$1:$I$89,3,0)*0.475*44/12</f>
        <v>2.2064515920838788</v>
      </c>
      <c r="BQ40" s="21">
        <f>EXP(-LN(2)/25)*BQ39+(1-EXP(-LN(2)/25))/(LN(2)/25)*Calculateur!BL40*Calculateur!BN40*VLOOKUP('Données projet'!$B$11,Paramètres!$A$1:$I$89,3,0)*0.475*44/12</f>
        <v>12.574527299382032</v>
      </c>
      <c r="BR40" s="21">
        <f>EXP(-LN(2)/2)*BR39+(1-EXP(-LN(2)/2))/(LN(2)/2)*BL40*BO40*VLOOKUP('Données projet'!$B$11,Paramètres!$A$1:$I$89,3,0)*0.475*44/12</f>
        <v>1.9391822824593306</v>
      </c>
      <c r="BS40" s="22">
        <f t="shared" si="9"/>
        <v>16.720161173925241</v>
      </c>
      <c r="BT40" s="75">
        <f>('Scénario référence'!$F$8+'Scénario référence'!$F$9+'Scénario référence'!$B$17+'Scénario référence'!$B$9+'Scénario référence'!$B$10)*70+IF((45+25*(1-EXP(-0.0175*A40)))&lt;70,'Scénario référence'!$B$16*(45+25*(1-EXP(-0.0175*A40))),70*'Scénario référence'!$B$16)+IF((32+38*(1-EXP(-0.0175*A40)))&lt;70,'Scénario référence'!$B$18*(32+38*(1-EXP(-0.0175*A40))),70*'Scénario référence'!$B$18)</f>
        <v>70</v>
      </c>
      <c r="BU40" s="12">
        <f>IF(A40&gt;30,10,('Scénario référence'!$B$16+'Scénario référence'!$B$17+'Scénario référence'!$B$18+'Scénario référence'!$B$9+'Scénario référence'!$B$10)*A40*10/30+('Scénario référence'!$F$8+'Scénario référence'!$F$9)*10)</f>
        <v>10</v>
      </c>
      <c r="BV40" s="12" t="e">
        <f>VLOOKUP(A40,'Données projet'!$A$113:$I$133,2,0)</f>
        <v>#N/A</v>
      </c>
      <c r="BW40" s="12" t="e">
        <f>VLOOKUP(A40,'Données projet'!$A$113:$I$133,9,0)</f>
        <v>#N/A</v>
      </c>
      <c r="BX40" s="12">
        <f t="array" ref="BX40">INDEX(BW:BW,MIN(IF(ISNUMBER(BW40:BW236),ROW(BW40:BW236),"")))</f>
        <v>13.6</v>
      </c>
      <c r="BY40" s="12">
        <f>IF('Données projet'!$A$114&gt;35,BY39+BX40-CG39,IF(A40&lt;'Données projet'!$A$114,$BV$205^A40,IF(A40='Données projet'!$A$114,'Données projet'!$B$114,BY39+BX40-CG39)))</f>
        <v>240.19999999999987</v>
      </c>
      <c r="BZ40" s="13">
        <f>BY40*VLOOKUP('Données projet'!$B$12,Paramètres!$A$1:$I$89,3,0)*VLOOKUP('Données projet'!$B$12,Paramètres!$A$1:$I$89,5,0)</f>
        <v>137.39439999999993</v>
      </c>
      <c r="CA40" s="13">
        <f t="shared" si="39"/>
        <v>35.69944804128626</v>
      </c>
      <c r="CB40" s="20">
        <f t="shared" si="10"/>
        <v>301.47178533857345</v>
      </c>
      <c r="CC40" s="59">
        <f t="shared" si="11"/>
        <v>594.80511867190671</v>
      </c>
      <c r="CD40" s="59">
        <f ca="1">AVERAGE(OFFSET($CC$3,0,0,'Données projet'!$E$12+1,1))-AVERAGE(OFFSET($H$3,0,0,'Données projet'!$E$12+1,1))</f>
        <v>188.64374818906128</v>
      </c>
      <c r="CE40" s="59">
        <f t="shared" si="40"/>
        <v>211.95157880548652</v>
      </c>
      <c r="CF40" s="15">
        <f>IF(ISNA(VLOOKUP(A40,'Données projet'!$A$113:$I$133,3,0)),0,VLOOKUP(A40,'Données projet'!$A$113:$I$133,3,0))</f>
        <v>0</v>
      </c>
      <c r="CG40" s="15">
        <f>IF(ISNA(VLOOKUP(A40,'Données projet'!$A$113:$I$133,4,0)),0,VLOOKUP(A40,'Données projet'!$A$113:$I$133,4,0))</f>
        <v>0</v>
      </c>
      <c r="CH40" s="16">
        <f>IF(ISNA(VLOOKUP(A40,'Données projet'!$A$113:$I$133,5,0)),0%,VLOOKUP(A40,'Données projet'!$A$113:$I$133,5,0)*VLOOKUP('Données projet'!$B$12,Paramètres!$A$1:$I$89,7,0))</f>
        <v>0</v>
      </c>
      <c r="CI40" s="16">
        <f>IF(ISNA(VLOOKUP(A40,'Données projet'!$A$113:$I$133,6,0)),0%,VLOOKUP(A40,'Données projet'!$A$113:$I$133,6,0)*VLOOKUP('Données projet'!$B$12,Paramètres!$A$1:$I$89,7,0))</f>
        <v>0</v>
      </c>
      <c r="CJ40" s="16">
        <f>IF(ISNA(VLOOKUP(A40,'Données projet'!$A$113:$I$133,7,0)),0%,VLOOKUP(A40,'Données projet'!$A$113:$I$133,7,0))</f>
        <v>0</v>
      </c>
      <c r="CK40" s="21">
        <f>EXP(-LN(2)/35)*CK39+(1-EXP(-LN(2)/35))/(LN(2)/35)*CG40*CH40*VLOOKUP('Données projet'!$B$12,Paramètres!$A$1:$I$89,3,0)*0.475*44/12</f>
        <v>2.1402445326765847</v>
      </c>
      <c r="CL40" s="21">
        <f>EXP(-LN(2)/25)*CL39+(1-EXP(-LN(2)/25))/(LN(2)/25)*Calculateur!CG40*Calculateur!CI40*VLOOKUP('Données projet'!$B$12,Paramètres!$A$1:$I$89,3,0)*0.475*44/12</f>
        <v>11.835429803641862</v>
      </c>
      <c r="CM40" s="21">
        <f>EXP(-LN(2)/2)*CM39+(1-EXP(-LN(2)/2))/(LN(2)/2)*CG40*CJ40*VLOOKUP('Données projet'!$B$12,Paramètres!$A$1:$I$89,3,0)*0.475*44/12</f>
        <v>1.8779463166867671</v>
      </c>
      <c r="CN40" s="22">
        <f t="shared" si="12"/>
        <v>15.853620653005214</v>
      </c>
      <c r="CO40" s="75">
        <f>('Scénario référence'!$F$8+'Scénario référence'!$F$9+'Scénario référence'!$B$17+'Scénario référence'!$B$9+'Scénario référence'!$B$10)*70+IF((45+25*(1-EXP(-0.0175*A40)))&lt;70,'Scénario référence'!$B$16*(45+25*(1-EXP(-0.0175*A40))),70*'Scénario référence'!$B$16)+IF((32+38*(1-EXP(-0.0175*A40)))&lt;70,'Scénario référence'!$B$18*(32+38*(1-EXP(-0.0175*A40))),70*'Scénario référence'!$B$18)</f>
        <v>70</v>
      </c>
      <c r="CP40" s="12">
        <f>IF(A40&gt;30,10,('Scénario référence'!$B$16+'Scénario référence'!$B$17+'Scénario référence'!$B$18+'Scénario référence'!$B$9+'Scénario référence'!$B$10)*A40*10/30+('Scénario référence'!$F$8+'Scénario référence'!$F$9)*10)</f>
        <v>10</v>
      </c>
      <c r="CQ40" s="12" t="e">
        <f>VLOOKUP(A40,'Données projet'!$A$139:$I$159,2,0)</f>
        <v>#N/A</v>
      </c>
      <c r="CR40" s="12" t="e">
        <f>VLOOKUP(A40,'Données projet'!$A$139:$I$159,9,0)</f>
        <v>#N/A</v>
      </c>
      <c r="CS40" s="12">
        <f t="array" ref="CS40">INDEX(CR:CR,MIN(IF(ISNUMBER(CR40:CR236),ROW(CR40:CR236),"")))</f>
        <v>0</v>
      </c>
      <c r="CT40" s="12">
        <f>IF('Données projet'!$A$140&gt;35,CT39+CS40-DB39,IF(A40&lt;'Données projet'!$A$140,$CQ$205^A40,IF(A40='Données projet'!$A$140,'Données projet'!$B$140,CT39+CS40-DB39)))</f>
        <v>0</v>
      </c>
      <c r="CU40" s="17" t="e">
        <f>CT40*VLOOKUP('Données projet'!$B$13,Paramètres!$A$1:$I$89,3,0)*VLOOKUP('Données projet'!$B$13,Paramètres!$A$1:$I$89,5,0)</f>
        <v>#N/A</v>
      </c>
      <c r="CV40" s="13" t="e">
        <f t="shared" si="41"/>
        <v>#N/A</v>
      </c>
      <c r="CW40" s="20" t="e">
        <f t="shared" si="13"/>
        <v>#N/A</v>
      </c>
      <c r="CX40" s="59" t="e">
        <f t="shared" si="14"/>
        <v>#N/A</v>
      </c>
      <c r="CY40" s="59" t="e">
        <f ca="1">AVERAGE(OFFSET($CX$3,0,0,'Données projet'!$E$13+1,1))-AVERAGE(OFFSET($H$3,0,0,'Données projet'!$E$13+1,1))</f>
        <v>#N/A</v>
      </c>
      <c r="CZ40" s="59" t="e">
        <f t="shared" si="42"/>
        <v>#N/A</v>
      </c>
      <c r="DA40" s="15">
        <f>IF(ISNA(VLOOKUP(A40,'Données projet'!$A$139:$I$159,3,0)),0,VLOOKUP(A40,'Données projet'!$A$139:$I$159,3,0))</f>
        <v>0</v>
      </c>
      <c r="DB40" s="15">
        <f>IF(ISNA(VLOOKUP(A40,'Données projet'!$A$139:$I$159,4,0)),0,VLOOKUP(A40,'Données projet'!$A$139:$I$159,4,0))</f>
        <v>0</v>
      </c>
      <c r="DC40" s="16">
        <f>IF(ISNA(VLOOKUP(A40,'Données projet'!$A$139:$I$159,5,0)),0%,VLOOKUP(A40,'Données projet'!$A$139:$I$159,5,0)*VLOOKUP('Données projet'!$B$13,Paramètres!$A$1:$I$89,7,0))</f>
        <v>0</v>
      </c>
      <c r="DD40" s="16">
        <f>IF(ISNA(VLOOKUP(A40,'Données projet'!$A$139:$I$159,6,0)),0%,VLOOKUP(A40,'Données projet'!$A$139:$I$159,6,0)*VLOOKUP('Données projet'!$B$13,Paramètres!$A$1:$I$89,7,0))</f>
        <v>0</v>
      </c>
      <c r="DE40" s="16">
        <f>IF(ISNA(VLOOKUP(A40,'Données projet'!$A$139:$I$159,7,0)),0%,VLOOKUP(A40,'Données projet'!$A$139:$I$159,7,0))</f>
        <v>0</v>
      </c>
      <c r="DF40" s="21" t="e">
        <f>EXP(-LN(2)/35)*DF39+(1-EXP(-LN(2)/35))/(LN(2)/35)*DB40*DC40*VLOOKUP('Données projet'!$B$13,Paramètres!$A$1:$I$89,3,0)*0.475*44/12</f>
        <v>#N/A</v>
      </c>
      <c r="DG40" s="21" t="e">
        <f>EXP(-LN(2)/25)*DG39+(1-EXP(-LN(2)/25))/(LN(2)/25)*Calculateur!DB40*Calculateur!DD40*VLOOKUP('Données projet'!$B$13,Paramètres!$A$1:$I$89,3,0)*0.475*44/12</f>
        <v>#N/A</v>
      </c>
      <c r="DH40" s="21" t="e">
        <f>EXP(-LN(2)/2)*DH39+(1-EXP(-LN(2)/2))/(LN(2)/2)*DB40*DE40*VLOOKUP('Données projet'!$B$13,Paramètres!$A$1:$I$89,3,0)*0.475*44/12</f>
        <v>#N/A</v>
      </c>
      <c r="DI40" s="22" t="e">
        <f t="shared" si="15"/>
        <v>#N/A</v>
      </c>
      <c r="DJ40" s="75">
        <f>('Scénario référence'!$F$8+'Scénario référence'!$F$9+'Scénario référence'!$B$17+'Scénario référence'!$B$9+'Scénario référence'!$B$10)*70+IF((45+25*(1-EXP(-0.0175*A40)))&lt;70,'Scénario référence'!$B$16*(45+25*(1-EXP(-0.0175*A40))),70*'Scénario référence'!$B$16)+IF((32+38*(1-EXP(-0.0175*A40)))&lt;70,'Scénario référence'!$B$18*(32+38*(1-EXP(-0.0175*A40))),70*'Scénario référence'!$B$18)</f>
        <v>70</v>
      </c>
      <c r="DK40" s="12">
        <f>IF(A40&gt;30,10,('Scénario référence'!$B$16+'Scénario référence'!$B$17+'Scénario référence'!$B$18+'Scénario référence'!$B$9+'Scénario référence'!$B$10)*A40*10/30+('Scénario référence'!$F$8+'Scénario référence'!$F$9)*10)</f>
        <v>10</v>
      </c>
      <c r="DL40" s="12" t="e">
        <f>VLOOKUP(A40,'Données projet'!$A$165:$I$185,2,0)</f>
        <v>#N/A</v>
      </c>
      <c r="DM40" s="12" t="e">
        <f>VLOOKUP(A40,'Données projet'!$A$165:$I$185,9,0)</f>
        <v>#N/A</v>
      </c>
      <c r="DN40" s="12">
        <f t="array" ref="DN40">INDEX(DM:DM,MIN(IF(ISNUMBER(DM40:DM236),ROW(DM40:DM236),"")))</f>
        <v>9.1999999999999993</v>
      </c>
      <c r="DO40" s="12">
        <f>IF('Données projet'!$A$166&gt;35,DO39+DN40-DW39,IF(A40&lt;'Données projet'!$A$166,$DL$205^A40,IF(A40='Données projet'!$A$166,'Données projet'!$B$166,DO39+DN40-DW39)))</f>
        <v>224.39999999999992</v>
      </c>
      <c r="DP40" s="17">
        <f>DO40*VLOOKUP('Données projet'!$B$14,Paramètres!$A$1:$I$89,3,0)*VLOOKUP('Données projet'!$B$14,Paramètres!$A$1:$I$89,5,0)</f>
        <v>147.02687999999995</v>
      </c>
      <c r="DQ40" s="13">
        <f t="shared" si="43"/>
        <v>37.902148209767233</v>
      </c>
      <c r="DR40" s="20">
        <f t="shared" si="16"/>
        <v>322.08472413201116</v>
      </c>
      <c r="DS40" s="59">
        <f t="shared" si="17"/>
        <v>615.41805746534442</v>
      </c>
      <c r="DT40" s="59">
        <f ca="1">AVERAGE(OFFSET($DS$3,0,0,'Données projet'!$E$14+1,1))-AVERAGE(OFFSET($H$3,0,0,'Données projet'!$E$14+1,1))</f>
        <v>188.68915783955595</v>
      </c>
      <c r="DU40" s="59">
        <f t="shared" si="44"/>
        <v>240.82467772396944</v>
      </c>
      <c r="DV40" s="15">
        <f>IF(ISNA(VLOOKUP(A40,'Données projet'!$A$165:$I$185,3,0)),0,VLOOKUP(A40,'Données projet'!$A$165:$I$185,3,0))</f>
        <v>0</v>
      </c>
      <c r="DW40" s="15">
        <f>IF(ISNA(VLOOKUP(A40,'Données projet'!$A$165:$I$185,4,0)),0,VLOOKUP(A40,'Données projet'!$A$165:$I$185,4,0))</f>
        <v>0</v>
      </c>
      <c r="DX40" s="16">
        <f>IF(ISNA(VLOOKUP(A40,'Données projet'!$A$165:$I$185,5,0)),0%,VLOOKUP(A40,'Données projet'!$A$165:$I$185,5,0)*VLOOKUP('Données projet'!$B$14,Paramètres!$A$1:$I$89,7,0))</f>
        <v>0</v>
      </c>
      <c r="DY40" s="16">
        <f>IF(ISNA(VLOOKUP(A40,'Données projet'!$A$165:$I$185,6,0)),0%,VLOOKUP(A40,'Données projet'!$A$165:$I$185,6,0)*VLOOKUP('Données projet'!$B$14,Paramètres!$A$1:$I$89,7,0))</f>
        <v>0</v>
      </c>
      <c r="DZ40" s="16">
        <f>IF(ISNA(VLOOKUP(A40,'Données projet'!$A$165:$I$185,7,0)),0%,VLOOKUP(A40,'Données projet'!$A$165:$I$185,7,0))</f>
        <v>0</v>
      </c>
      <c r="EA40" s="21">
        <f>EXP(-LN(2)/35)*EA39+(1-EXP(-LN(2)/35))/(LN(2)/35)*DW40*DX40*VLOOKUP('Données projet'!$B$14,Paramètres!$A$1:$I$89,3,0)*0.475*44/12</f>
        <v>1.3556683592921972</v>
      </c>
      <c r="EB40" s="21">
        <f>EXP(-LN(2)/25)*EB39+(1-EXP(-LN(2)/25))/(LN(2)/25)*Calculateur!DW40*Calculateur!DY40*VLOOKUP('Données projet'!$B$14,Paramètres!$A$1:$I$89,3,0)*0.475*44/12</f>
        <v>6.6200486808674528</v>
      </c>
      <c r="EC40" s="21">
        <f>EXP(-LN(2)/2)*EC39+(1-EXP(-LN(2)/2))/(LN(2)/2)*DW40*DZ40*VLOOKUP('Données projet'!$B$14,Paramètres!$A$1:$I$89,3,0)*0.475*44/12</f>
        <v>1.2371193749125726</v>
      </c>
      <c r="ED40" s="22">
        <f t="shared" si="18"/>
        <v>9.2128364150722231</v>
      </c>
      <c r="EE40" s="75">
        <f>('Scénario référence'!$F$8+'Scénario référence'!$F$9+'Scénario référence'!$B$17+'Scénario référence'!$B$9+'Scénario référence'!$B$10)*70+IF((45+25*(1-EXP(-0.0175*A40)))&lt;70,'Scénario référence'!$B$16*(45+25*(1-EXP(-0.0175*A40))),70*'Scénario référence'!$B$16)+IF((32+38*(1-EXP(-0.0175*A40)))&lt;70,'Scénario référence'!$B$18*(32+38*(1-EXP(-0.0175*A40))),70*'Scénario référence'!$B$18)</f>
        <v>70</v>
      </c>
      <c r="EF40" s="12">
        <f>IF(A40&gt;30,10,('Scénario référence'!$B$16+'Scénario référence'!$B$17+'Scénario référence'!$B$18+'Scénario référence'!$B$9+'Scénario référence'!$B$10)*A40*10/30+('Scénario référence'!$F$8+'Scénario référence'!$F$9)*10)</f>
        <v>10</v>
      </c>
      <c r="EG40" s="12" t="e">
        <f>VLOOKUP(A40,'Données projet'!$A$191:$I$211,2,0)</f>
        <v>#N/A</v>
      </c>
      <c r="EH40" s="12" t="e">
        <f>VLOOKUP(A40,'Données projet'!$A$191:$I$211,9,0)</f>
        <v>#N/A</v>
      </c>
      <c r="EI40" s="12">
        <f t="array" ref="EI40">INDEX(EH:EH,MIN(IF(ISNUMBER(EH40:EH236),ROW(EH40:EH236),"")))</f>
        <v>7.2</v>
      </c>
      <c r="EJ40" s="12">
        <f>IF('Données projet'!$A$192&gt;35,EJ39+EI40-ER39,IF(A40&lt;'Données projet'!$A$192,$EG$205^A40,IF(A40='Données projet'!$A$192,'Données projet'!$B$192,EJ39+EI40-ER39)))</f>
        <v>159.39999999999995</v>
      </c>
      <c r="EK40" s="17">
        <f>EJ40*VLOOKUP('Données projet'!$B$15,Paramètres!$A$1:$I$89,3,0)*VLOOKUP('Données projet'!$B$15,Paramètres!$A$1:$I$89,5,0)</f>
        <v>129.30527999999998</v>
      </c>
      <c r="EL40" s="13">
        <f t="shared" si="45"/>
        <v>33.835779910277751</v>
      </c>
      <c r="EM40" s="20">
        <f t="shared" si="19"/>
        <v>284.13734601040034</v>
      </c>
      <c r="EN40" s="59">
        <f t="shared" si="20"/>
        <v>577.47067934373365</v>
      </c>
      <c r="EO40" s="59">
        <f ca="1">AVERAGE(OFFSET($EN$3,0,0,'Données projet'!$E$15+1,1))-AVERAGE(OFFSET($H$3,0,0,'Données projet'!$E$15+1,1))</f>
        <v>205.5272583787887</v>
      </c>
      <c r="EP40" s="59">
        <f t="shared" si="46"/>
        <v>180.54762778843178</v>
      </c>
      <c r="EQ40" s="15">
        <f>IF(ISNA(VLOOKUP(A40,'Données projet'!$A$191:$I$211,3,0)),0,VLOOKUP(A40,'Données projet'!$A$191:$I$211,3,0))</f>
        <v>0</v>
      </c>
      <c r="ER40" s="15">
        <f>IF(ISNA(VLOOKUP(A40,'Données projet'!$A$191:$I$211,4,0)),0,VLOOKUP(A40,'Données projet'!$A$191:$I$211,4,0))</f>
        <v>0</v>
      </c>
      <c r="ES40" s="16">
        <f>IF(ISNA(VLOOKUP(A40,'Données projet'!$A$191:$I$211,5,0)),0%,VLOOKUP(A40,'Données projet'!$A$191:$I$211,5,0)*VLOOKUP('Données projet'!$B$15,Paramètres!$A$1:$I$89,7,0))</f>
        <v>0</v>
      </c>
      <c r="ET40" s="16">
        <f>IF(ISNA(VLOOKUP(A40,'Données projet'!$A$191:$I$211,6,0)),0%,VLOOKUP(A40,'Données projet'!$A$191:$I$211,6,0)*VLOOKUP('Données projet'!$B$15,Paramètres!$A$1:$I$89,7,0))</f>
        <v>0</v>
      </c>
      <c r="EU40" s="16">
        <f>IF(ISNA(VLOOKUP(A40,'Données projet'!$A$191:$I$211,7,0)),0%,VLOOKUP(A40,'Données projet'!$A$191:$I$211,7,0))</f>
        <v>0</v>
      </c>
      <c r="EV40" s="21">
        <f>EXP(-LN(2)/35)*EV39+(1-EXP(-LN(2)/35))/(LN(2)/35)*ER40*ES40*VLOOKUP('Données projet'!$B$15,Paramètres!$A$1:$I$89,3,0)*0.475*44/12</f>
        <v>0.87279220083954778</v>
      </c>
      <c r="EW40" s="21">
        <f>EXP(-LN(2)/25)*EW39+(1-EXP(-LN(2)/25))/(LN(2)/25)*Calculateur!ER40*Calculateur!ET40*VLOOKUP('Données projet'!$B$15,Paramètres!$A$1:$I$89,3,0)*0.475*44/12</f>
        <v>4.7798759731505802</v>
      </c>
      <c r="EX40" s="21">
        <f>EXP(-LN(2)/2)*EX39+(1-EXP(-LN(2)/2))/(LN(2)/2)*ER40*EU40*VLOOKUP('Données projet'!$B$15,Paramètres!$A$1:$I$89,3,0)*0.475*44/12</f>
        <v>0.80103571001437623</v>
      </c>
      <c r="EY40" s="22">
        <f t="shared" si="21"/>
        <v>6.4537038840045042</v>
      </c>
      <c r="EZ40" s="75">
        <f>('Scénario référence'!$F$8+'Scénario référence'!$F$9+'Scénario référence'!$B$17+'Scénario référence'!$B$9+'Scénario référence'!$B$10)*70+IF((45+25*(1-EXP(-0.0175*A40)))&lt;70,'Scénario référence'!$B$16*(45+25*(1-EXP(-0.0175*A40))),70*'Scénario référence'!$B$16)+IF((32+38*(1-EXP(-0.0175*A40)))&lt;70,'Scénario référence'!$B$18*(32+38*(1-EXP(-0.0175*A40))),70*'Scénario référence'!$B$18)</f>
        <v>70</v>
      </c>
      <c r="FA40" s="12">
        <f>IF(A40&gt;30,10,('Scénario référence'!$B$16+'Scénario référence'!$B$17+'Scénario référence'!$B$18+'Scénario référence'!$B$9+'Scénario référence'!$B$10)*A40*10/30+('Scénario référence'!$F$8+'Scénario référence'!$F$9)*10)</f>
        <v>10</v>
      </c>
      <c r="FB40" s="12" t="e">
        <f>VLOOKUP(A40,'Données projet'!$A$217:$I$237,2,0)</f>
        <v>#N/A</v>
      </c>
      <c r="FC40" s="12" t="e">
        <f>VLOOKUP(A40,'Données projet'!$A$217:$I$237,9,0)</f>
        <v>#N/A</v>
      </c>
      <c r="FD40" s="12">
        <f t="array" ref="FD40">INDEX(FC:FC,MIN(IF(ISNUMBER(FC40:FC236),ROW(FC40:FC236),"")))</f>
        <v>12.3</v>
      </c>
      <c r="FE40" s="12">
        <f>IF('Données projet'!$A$218&gt;35,FE39+FD40-FM39,IF(A40&lt;'Données projet'!$A$218,$FB$205^A40,IF(A40='Données projet'!$A$218,'Données projet'!$B$218,FE39+FD40-FM39)))</f>
        <v>185.10000000000002</v>
      </c>
      <c r="FF40" s="17">
        <f>FE40*VLOOKUP('Données projet'!$B$16,Paramètres!$A$1:$I$89,3,0)*VLOOKUP('Données projet'!$B$16,Paramètres!$A$1:$I$89,5,0)</f>
        <v>158.81580000000002</v>
      </c>
      <c r="FG40" s="13">
        <f t="shared" si="47"/>
        <v>40.575300419170723</v>
      </c>
      <c r="FH40" s="20">
        <f t="shared" si="22"/>
        <v>347.27283323005571</v>
      </c>
      <c r="FI40" s="59">
        <f t="shared" si="23"/>
        <v>640.60616656338902</v>
      </c>
      <c r="FJ40" s="59">
        <f ca="1">AVERAGE(OFFSET($FI$3,0,0,'Données projet'!$E$16+1,1))-AVERAGE(OFFSET($H$3,0,0,'Données projet'!$E$16+1,1))</f>
        <v>383.97627237444709</v>
      </c>
      <c r="FK40" s="59">
        <f t="shared" si="48"/>
        <v>203.35476578922339</v>
      </c>
      <c r="FL40" s="15">
        <f>IF(ISNA(VLOOKUP(A40,'Données projet'!$A$217:$I$237,3,0)),0,VLOOKUP(A40,'Données projet'!$A$217:$I$237,3,0))</f>
        <v>0</v>
      </c>
      <c r="FM40" s="15">
        <f>IF(ISNA(VLOOKUP(A40,'Données projet'!$A$217:$I$237,4,0)),0,VLOOKUP(A40,'Données projet'!$A$217:$I$237,4,0))</f>
        <v>0</v>
      </c>
      <c r="FN40" s="16">
        <f>IF(ISNA(VLOOKUP(A40,'Données projet'!$A$217:$I$237,5,0)),0%,VLOOKUP(A40,'Données projet'!$A$217:$I$237,5,0)*VLOOKUP('Données projet'!$B$16,Paramètres!$A$1:$I$89,7,0))</f>
        <v>0</v>
      </c>
      <c r="FO40" s="16">
        <f>IF(ISNA(VLOOKUP(A40,'Données projet'!$A$217:$I$237,6,0)),0%,VLOOKUP(A40,'Données projet'!$A$217:$I$237,6,0)*VLOOKUP('Données projet'!$B$16,Paramètres!$A$1:$I$89,7,0))</f>
        <v>0</v>
      </c>
      <c r="FP40" s="16">
        <f>IF(ISNA(VLOOKUP(A40,'Données projet'!$A$217:$I$237,7,0)),0%,VLOOKUP(A40,'Données projet'!$A$217:$I$237,7,0))</f>
        <v>0</v>
      </c>
      <c r="FQ40" s="21">
        <f>EXP(-LN(2)/35)*FQ39+(1-EXP(-LN(2)/35))/(LN(2)/35)*FM40*FN40*VLOOKUP('Données projet'!$B$16,Paramètres!$A$1:$I$89,3,0)*0.475*44/12</f>
        <v>4.4856784042305362</v>
      </c>
      <c r="FR40" s="21">
        <f>EXP(-LN(2)/25)*FR39+(1-EXP(-LN(2)/25))/(LN(2)/25)*Calculateur!FM40*Calculateur!FO40*VLOOKUP('Données projet'!$B$16,Paramètres!$A$1:$I$89,3,0)*0.475*44/12</f>
        <v>4.85206815988247</v>
      </c>
      <c r="FS40" s="21">
        <f>EXP(-LN(2)/2)*FS39+(1-EXP(-LN(2)/2))/(LN(2)/2)*FM40*FP40*VLOOKUP('Données projet'!$B$16,Paramètres!$A$1:$I$89,3,0)*0.475*44/12</f>
        <v>1.4713382029671043</v>
      </c>
      <c r="FT40" s="22">
        <f t="shared" si="24"/>
        <v>10.80908476708011</v>
      </c>
      <c r="FU40" s="75">
        <f>('Scénario référence'!$F$8+'Scénario référence'!$F$9+'Scénario référence'!$B$17+'Scénario référence'!$B$9+'Scénario référence'!$B$10)*70+IF((45+25*(1-EXP(-0.0175*A40)))&lt;70,'Scénario référence'!$B$16*(45+25*(1-EXP(-0.0175*A40))),70*'Scénario référence'!$B$16)+IF((32+38*(1-EXP(-0.0175*A40)))&lt;70,'Scénario référence'!$B$18*(32+38*(1-EXP(-0.0175*A40))),70*'Scénario référence'!$B$18)</f>
        <v>70</v>
      </c>
      <c r="FV40" s="12">
        <f>IF(A40&gt;30,10,('Scénario référence'!$B$16+'Scénario référence'!$B$17+'Scénario référence'!$B$18+'Scénario référence'!$B$9+'Scénario référence'!$B$10)*A40*10/30+('Scénario référence'!$F$8+'Scénario référence'!$F$9)*10)</f>
        <v>10</v>
      </c>
      <c r="FW40" s="12" t="e">
        <f>VLOOKUP(A40,'Données projet'!$A$243:$I$263,2,0)</f>
        <v>#N/A</v>
      </c>
      <c r="FX40" s="12" t="e">
        <f>VLOOKUP(A40,'Données projet'!$A$243:$I$263,9,0)</f>
        <v>#N/A</v>
      </c>
      <c r="FY40" s="12">
        <f t="array" ref="FY40">INDEX(FX:FX,MIN(IF(ISNUMBER(FX40:FX236),ROW(FX40:FX236),"")))</f>
        <v>9.3141025641025674</v>
      </c>
      <c r="FZ40" s="12">
        <f>IF('Données projet'!$A$244&gt;35,FZ39+FY40-GH39,IF(A40&lt;'Données projet'!$A$244,$FW$205^A40,IF(A40='Données projet'!$A$244,'Données projet'!$B$244,FZ39+FY40-GH39)))</f>
        <v>120.19230769230769</v>
      </c>
      <c r="GA40" s="17">
        <f>FZ40*VLOOKUP('Données projet'!$B$17,Paramètres!$A$1:$I$89,3,0)*VLOOKUP('Données projet'!$B$17,Paramètres!$A$1:$I$89,5,0)</f>
        <v>129.375</v>
      </c>
      <c r="GB40" s="13">
        <f t="shared" si="49"/>
        <v>33.851899700731053</v>
      </c>
      <c r="GC40" s="20">
        <f t="shared" si="25"/>
        <v>284.28685031210659</v>
      </c>
      <c r="GD40" s="59">
        <f t="shared" si="26"/>
        <v>577.62018364543997</v>
      </c>
      <c r="GE40" s="59">
        <f ca="1">AVERAGE(OFFSET($GD$3,0,0,'Données projet'!$E$17+1,1))-AVERAGE(OFFSET($H$3,0,0,'Données projet'!$E$17+1,1))</f>
        <v>286.77702855541287</v>
      </c>
      <c r="GF40" s="59">
        <f t="shared" si="50"/>
        <v>227.12211541860779</v>
      </c>
      <c r="GG40" s="15">
        <f>IF(ISNA(VLOOKUP(A40,'Données projet'!$A$243:$I$263,3,0)),0,VLOOKUP(A40,'Données projet'!$A$243:$I$263,3,0))</f>
        <v>0</v>
      </c>
      <c r="GH40" s="15">
        <f>IF(ISNA(VLOOKUP(A40,'Données projet'!$A$243:$I$263,4,0)),0,VLOOKUP(A40,'Données projet'!$A$243:$I$263,4,0))</f>
        <v>0</v>
      </c>
      <c r="GI40" s="16">
        <f>IF(ISNA(VLOOKUP(A40,'Données projet'!$A$243:$I$263,5,0)),0%,VLOOKUP(A40,'Données projet'!$A$243:$I$263,5,0)*VLOOKUP('Données projet'!$B$17,Paramètres!$A$1:$I$89,7,0))</f>
        <v>0</v>
      </c>
      <c r="GJ40" s="16">
        <f>IF(ISNA(VLOOKUP(A40,'Données projet'!$A$243:$I$263,6,0)),0%,VLOOKUP(A40,'Données projet'!$A$243:$I$263,6,0)*VLOOKUP('Données projet'!$B$17,Paramètres!$A$1:$I$89,7,0))</f>
        <v>0</v>
      </c>
      <c r="GK40" s="16">
        <f>IF(ISNA(VLOOKUP(A40,'Données projet'!$A$243:$I$263,7,0)),0%,VLOOKUP(A40,'Données projet'!$A$243:$I$263,7,0))</f>
        <v>0</v>
      </c>
      <c r="GL40" s="21">
        <f>EXP(-LN(2)/35)*GL39+(1-EXP(-LN(2)/35))/(LN(2)/35)*GH40*GI40*VLOOKUP('Données projet'!$B$17,Paramètres!$A$1:$I$89,3,0)*0.475*44/12</f>
        <v>0</v>
      </c>
      <c r="GM40" s="21">
        <f>EXP(-LN(2)/25)*GM39+(1-EXP(-LN(2)/25))/(LN(2)/25)*Calculateur!GH40*Calculateur!GJ40*VLOOKUP('Données projet'!$B$17,Paramètres!$A$1:$I$89,3,0)*0.475*44/12</f>
        <v>0</v>
      </c>
      <c r="GN40" s="21">
        <f>EXP(-LN(2)/2)*GN39+(1-EXP(-LN(2)/2))/(LN(2)/2)*GH40*GK40*VLOOKUP('Données projet'!$B$17,Paramètres!$A$1:$I$89,3,0)*0.475*44/12</f>
        <v>0</v>
      </c>
      <c r="GO40" s="21">
        <f t="shared" si="27"/>
        <v>0</v>
      </c>
      <c r="GP40" s="75">
        <f>('Scénario référence'!$F$8+'Scénario référence'!$F$9+'Scénario référence'!$B$17+'Scénario référence'!$B$9+'Scénario référence'!$B$10)*70+IF((45+25*(1-EXP(-0.0175*A40)))&lt;70,'Scénario référence'!$B$16*(45+25*(1-EXP(-0.0175*A40))),70*'Scénario référence'!$B$16)+IF((32+38*(1-EXP(-0.0175*A40)))&lt;70,'Scénario référence'!$B$18*(32+38*(1-EXP(-0.0175*A40))),70*'Scénario référence'!$B$18)</f>
        <v>70</v>
      </c>
      <c r="GQ40" s="12">
        <f>IF(A40&gt;30,10,('Scénario référence'!$B$16+'Scénario référence'!$B$17+'Scénario référence'!$B$18+'Scénario référence'!$B$9+'Scénario référence'!$B$10)*A40*10/30+('Scénario référence'!$F$8+'Scénario référence'!$F$9)*10)</f>
        <v>10</v>
      </c>
      <c r="GR40" s="12" t="e">
        <f>VLOOKUP(A40,'Données projet'!$A$269:$I$289,2,0)</f>
        <v>#N/A</v>
      </c>
      <c r="GS40" s="12" t="e">
        <f>VLOOKUP(A40,'Données projet'!$A$269:$I$289,9,0)</f>
        <v>#N/A</v>
      </c>
      <c r="GT40" s="12">
        <f t="array" ref="GT40">INDEX(GS:GS,MIN(IF(ISNUMBER(GS40:GS236),ROW(GS40:GS236),"")))</f>
        <v>9.3141025641025674</v>
      </c>
      <c r="GU40" s="12">
        <f>IF('Données projet'!$A$270&gt;35,GU39+GT40-HC39,IF(A40&lt;'Données projet'!$A$270,$GR$205^A40,IF(A40='Données projet'!$A$270,'Données projet'!$B$270,GU39+GT40-HC39)))</f>
        <v>120.19230769230769</v>
      </c>
      <c r="GV40" s="17">
        <f>GU40*VLOOKUP('Données projet'!$B$18,Paramètres!$A$1:$I$89,3,0)*VLOOKUP('Données projet'!$B$18,Paramètres!$A$1:$I$89,5,0)</f>
        <v>129.375</v>
      </c>
      <c r="GW40" s="13">
        <f t="shared" si="51"/>
        <v>33.851899700731053</v>
      </c>
      <c r="GX40" s="20">
        <f t="shared" si="28"/>
        <v>284.28685031210659</v>
      </c>
      <c r="GY40" s="59">
        <f t="shared" si="29"/>
        <v>577.62018364543997</v>
      </c>
      <c r="GZ40" s="59">
        <f ca="1">AVERAGE(OFFSET($GY$3,0,0,'Données projet'!$E$18+1,1))-AVERAGE(OFFSET($H$3,0,0,'Données projet'!$E$18+1,1))</f>
        <v>286.77702855541287</v>
      </c>
      <c r="HA40" s="59">
        <f t="shared" si="52"/>
        <v>227.12211541860779</v>
      </c>
      <c r="HB40" s="15">
        <f>IF(ISNA(VLOOKUP(A40,'Données projet'!$A$269:$I$289,3,0)),0,VLOOKUP(A40,'Données projet'!$A$269:$I$289,3,0))</f>
        <v>0</v>
      </c>
      <c r="HC40" s="15">
        <f>IF(ISNA(VLOOKUP(A40,'Données projet'!$A$269:$I$289,4,0)),0,VLOOKUP(A40,'Données projet'!$A$269:$I$289,4,0))</f>
        <v>0</v>
      </c>
      <c r="HD40" s="16">
        <f>IF(ISNA(VLOOKUP(A40,'Données projet'!$A$269:$I$289,5,0)),0%,VLOOKUP(A40,'Données projet'!$A$269:$I$289,5,0)*VLOOKUP('Données projet'!$B$18,Paramètres!$A$1:$I$89,7,0))</f>
        <v>0</v>
      </c>
      <c r="HE40" s="16">
        <f>IF(ISNA(VLOOKUP(A40,'Données projet'!$A$269:$I$289,6,0)),0%,VLOOKUP(A40,'Données projet'!$A$269:$I$289,6,0)*VLOOKUP('Données projet'!$B$18,Paramètres!$A$1:$I$89,7,0))</f>
        <v>0</v>
      </c>
      <c r="HF40" s="16">
        <f>IF(ISNA(VLOOKUP(A40,'Données projet'!$A$269:$I$289,7,0)),0%,VLOOKUP(A40,'Données projet'!$A$269:$I$289,7,0))</f>
        <v>0</v>
      </c>
      <c r="HG40" s="21">
        <f>EXP(-LN(2)/35)*HG39+(1-EXP(-LN(2)/35))/(LN(2)/35)*HC40*HD40*VLOOKUP('Données projet'!$B$18,Paramètres!$A$1:$I$89,3,0)*0.475*44/12</f>
        <v>0</v>
      </c>
      <c r="HH40" s="21">
        <f>EXP(-LN(2)/25)*HH39+(1-EXP(-LN(2)/25))/(LN(2)/25)*Calculateur!HC40*Calculateur!HE40*VLOOKUP('Données projet'!$B$18,Paramètres!$A$1:$I$89,3,0)*0.475*44/12</f>
        <v>0</v>
      </c>
      <c r="HI40" s="21">
        <f>EXP(-LN(2)/2)*HI39+(1-EXP(-LN(2)/2))/(LN(2)/2)*HC40*HF40*VLOOKUP('Données projet'!$B$18,Paramètres!$A$1:$I$89,3,0)*0.475*44/12</f>
        <v>0</v>
      </c>
      <c r="HJ40" s="22">
        <f t="shared" si="30"/>
        <v>0</v>
      </c>
    </row>
    <row r="41" spans="1:218" x14ac:dyDescent="0.25">
      <c r="A41" s="10">
        <f t="shared" si="31"/>
        <v>38</v>
      </c>
      <c r="B41" s="73">
        <f>'Scénario référence'!$B$16*5+'Scénario référence'!$B$17*0+'Scénario référence'!$B$18*5</f>
        <v>0</v>
      </c>
      <c r="C41" s="19">
        <f>Calculateur!C40+'Scénario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33.789599999999993</v>
      </c>
      <c r="D41" s="11">
        <f t="shared" si="32"/>
        <v>10.336767985889495</v>
      </c>
      <c r="E4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41" s="11">
        <f>IF(OR('Scénario référence'!$F$8&gt;0,'Scénario référence'!$F$9&gt;0),('Scénario référence'!$F$8+'Scénario référence'!$F$9)*10,0)</f>
        <v>10</v>
      </c>
      <c r="G41" s="11">
        <f>'Scénario référence'!$B$8*B41*44/12+'Scénario référence'!$B$9*(C41+D41)/0.475*44/12+'Scénario référence'!$B$10*(C41+D41)/0.475*44/12+'Scénario référence'!$F$8*(C41+D41)/0.475*44/12+'Scénario référence'!$F$9*(C41+D41)/0.475*44/12</f>
        <v>340.62459497879604</v>
      </c>
      <c r="H41" s="67">
        <f t="shared" si="1"/>
        <v>370.18675757542417</v>
      </c>
      <c r="I41" s="70">
        <f>('Scénario référence'!$F$8+'Scénario référence'!$F$9+'Scénario référence'!$B$17+'Scénario référence'!$B$9+'Scénario référence'!$B$10)*70+IF((45+25*(1-EXP(-0.0175*A41)))&lt;70,'Scénario référence'!$B$16*(45+25*(1-EXP(-0.0175*A41))),70*'Scénario référence'!$B$16)+IF((32+38*(1-EXP(-0.0175*A41)))&lt;70,'Scénario référence'!$B$18*(32+38*(1-EXP(-0.0175*A41))),70*'Scénario référence'!$B$18)</f>
        <v>70</v>
      </c>
      <c r="J41" s="13">
        <f>IF(A41&gt;30,10,('Scénario référence'!$B$16+'Scénario référence'!$B$17+'Scénario référence'!$B$18+'Scénario référence'!$B$9+'Scénario référence'!$B$10)*A41*10/30+('Scénario référence'!$F$8+'Scénario référence'!$F$9)*10)</f>
        <v>10</v>
      </c>
      <c r="K41" s="12" t="e">
        <f>VLOOKUP(A41,'Données projet'!$A$35:$I$55,2,0)</f>
        <v>#N/A</v>
      </c>
      <c r="L41" s="12" t="e">
        <f>VLOOKUP(A41,'Données projet'!$A$35:$I$55,9,0)</f>
        <v>#N/A</v>
      </c>
      <c r="M41" s="12">
        <f t="array" ref="M41">INDEX(L:L,MIN(IF(ISNUMBER(L41:L237),ROW(L41:L237),"")))</f>
        <v>22.419230769230779</v>
      </c>
      <c r="N41" s="13">
        <f>IF('Données projet'!$A$36&gt;35,N40+M41-V40,IF(A41&lt;'Données projet'!$A$36,$K$205^A41,IF(A41='Données projet'!$A$36,'Données projet'!$B$36,N40+M41-V40)))</f>
        <v>379.04615384615352</v>
      </c>
      <c r="O41" s="13">
        <f>N41*VLOOKUP('Données projet'!$B$9,Paramètres!$A$1:$I$89,3,0)*VLOOKUP('Données projet'!$B$9,Paramètres!$A$1:$I$89,5,0)</f>
        <v>211.88679999999982</v>
      </c>
      <c r="P41" s="13">
        <f t="shared" si="33"/>
        <v>52.347684082939267</v>
      </c>
      <c r="Q41" s="20">
        <f t="shared" si="53"/>
        <v>460.20839311111894</v>
      </c>
      <c r="R41" s="59">
        <f t="shared" si="0"/>
        <v>753.54172644445225</v>
      </c>
      <c r="S41" s="59">
        <f ca="1">AVERAGE(OFFSET($R$3,0,0,'Données projet'!$E$9+1,1))-AVERAGE(OFFSET($H$3,0,0,'Données projet'!$E$9+1,1))</f>
        <v>255.5374979188561</v>
      </c>
      <c r="T41" s="59">
        <f t="shared" si="34"/>
        <v>343.10418468620901</v>
      </c>
      <c r="U41" s="15">
        <f>IF(ISNA(VLOOKUP(A41,'Données projet'!$A$35:$I$55,3,0)),0,VLOOKUP(A41,'Données projet'!$A$35:$I$55,3,0))</f>
        <v>0</v>
      </c>
      <c r="V41" s="15">
        <f>IF(ISNA(VLOOKUP(A41,'Données projet'!$A$35:$I$55,4,0)),0,VLOOKUP(A41,'Données projet'!$A$35:$I$55,4,0))</f>
        <v>0</v>
      </c>
      <c r="W41" s="16">
        <f>IF(ISNA(VLOOKUP(A41,'Données projet'!$A$35:$I$55,5,0)),0%,VLOOKUP(A41,'Données projet'!$A$35:$I$55,5,0)*VLOOKUP('Données projet'!$B$9,Paramètres!$A$1:$I$89,7,0))</f>
        <v>0</v>
      </c>
      <c r="X41" s="16">
        <f>IF(ISNA(VLOOKUP(A41,'Données projet'!$A$35:$I$55,6,0)),0%,VLOOKUP(A41,'Données projet'!$A$35:$I$55,6,0)*VLOOKUP('Données projet'!$B$9,Paramètres!$A$1:$I$89,7,0))</f>
        <v>0</v>
      </c>
      <c r="Y41" s="16">
        <f>IF(ISNA(VLOOKUP(A41,'Données projet'!$A$35:$I$55,7,0)),0%,VLOOKUP(A41,'Données projet'!$A$35:$I$55,7,0))</f>
        <v>0</v>
      </c>
      <c r="Z41" s="21">
        <f>EXP(-LN(2)/35)*Z40+(1-EXP(-LN(2)/35))/(LN(2)/35)*V41*W41*VLOOKUP('Données projet'!$B$9,Paramètres!$A$1:$I$89,3,0)*0.475*44/12</f>
        <v>2.6372868186967309</v>
      </c>
      <c r="AA41" s="21">
        <f>EXP(-LN(2)/25)*AA40+(1-EXP(-LN(2)/25))/(LN(2)/25)*Calculateur!V41*Calculateur!X41*VLOOKUP('Données projet'!$B$9,Paramètres!$A$1:$I$89,3,0)*0.475*44/12</f>
        <v>12.78528282778244</v>
      </c>
      <c r="AB41" s="21">
        <f>EXP(-LN(2)/2)*AB40+(1-EXP(-LN(2)/2))/(LN(2)/2)*V41*Y41*VLOOKUP('Données projet'!$B$9,Paramètres!$A$1:$I$89,3,0)*0.475*44/12</f>
        <v>0.10579075496587913</v>
      </c>
      <c r="AC41" s="22">
        <f t="shared" si="3"/>
        <v>15.528360401445051</v>
      </c>
      <c r="AD41" s="13">
        <f>('Scénario référence'!$F$8+'Scénario référence'!$F$9+'Scénario référence'!$B$17+'Scénario référence'!$B$9+'Scénario référence'!$B$10)*70+IF((45+25*(1-EXP(-0.0175*A41)))&lt;70,'Scénario référence'!$B$16*(45+25*(1-EXP(-0.0175*A41))),70*'Scénario référence'!$B$16)+IF((32+38*(1-EXP(-0.0175*A41)))&lt;70,'Scénario référence'!$B$18*(32+38*(1-EXP(-0.0175*A41))),70*'Scénario référence'!$B$18)</f>
        <v>70</v>
      </c>
      <c r="AE41" s="13">
        <f>IF(A41&gt;30,10,('Scénario référence'!$B$16+'Scénario référence'!$B$17+'Scénario référence'!$B$18+'Scénario référence'!$B$9+'Scénario référence'!$B$10)*A41*10/30+('Scénario référence'!$F$8+'Scénario référence'!$F$9)*10)</f>
        <v>10</v>
      </c>
      <c r="AF41" s="12" t="e">
        <f>VLOOKUP(A41,'Données projet'!$A$61:$I$81,2,0)</f>
        <v>#N/A</v>
      </c>
      <c r="AG41" s="12" t="e">
        <f>VLOOKUP(A41,'Données projet'!$A$61:$I$81,9,0)</f>
        <v>#N/A</v>
      </c>
      <c r="AH41" s="12">
        <f t="array" ref="AH41">INDEX(AG:AG,MIN(IF(ISNUMBER(AG41:AG237),ROW(AG41:AG237),"")))</f>
        <v>15.1</v>
      </c>
      <c r="AI41" s="13">
        <f>IF('Données projet'!$A$62&gt;35,AI40+AH41-AQ40,IF(A41&lt;'Données projet'!$A$62,$AF$205^A41,IF(A41='Données projet'!$A$62,'Données projet'!$B$62,AI40+AH41-AQ40)))</f>
        <v>299.80000000000007</v>
      </c>
      <c r="AJ41" s="13">
        <f>AI41*VLOOKUP('Données projet'!$B$10,Paramètres!$A$1:$I$89,3,0)*VLOOKUP('Données projet'!$B$10,Paramètres!$A$1:$I$89,5,0)</f>
        <v>187.07520000000005</v>
      </c>
      <c r="AK41" s="13">
        <f t="shared" si="35"/>
        <v>46.892738426785456</v>
      </c>
      <c r="AL41" s="20">
        <f t="shared" si="4"/>
        <v>407.49415942665138</v>
      </c>
      <c r="AM41" s="59">
        <f t="shared" si="5"/>
        <v>700.82749275998469</v>
      </c>
      <c r="AN41" s="59">
        <f ca="1">AVERAGE(OFFSET($AM$3,0,0,'Données projet'!$E$10+1,1))-AVERAGE(OFFSET($H$3,0,0,'Données projet'!$E$10+1,1))</f>
        <v>261.78489480911571</v>
      </c>
      <c r="AO41" s="59">
        <f t="shared" si="36"/>
        <v>297.50513563712764</v>
      </c>
      <c r="AP41" s="15">
        <f>IF(ISNA(VLOOKUP(A41,'Données projet'!$A$61:$I$81,3,0)),0,VLOOKUP(A41,'Données projet'!$A$61:$I$81,3,0))</f>
        <v>0</v>
      </c>
      <c r="AQ41" s="15">
        <f>IF(ISNA(VLOOKUP(A41,'Données projet'!$A$61:$I$81,4,0)),0,VLOOKUP(A41,'Données projet'!$A$61:$I$81,4,0))</f>
        <v>0</v>
      </c>
      <c r="AR41" s="16">
        <f>IF(ISNA(VLOOKUP(A41,'Données projet'!$A$61:$I$81,5,0)),0%,VLOOKUP(A41,'Données projet'!$A$61:$I$81,5,0)*VLOOKUP('Données projet'!$B$10,Paramètres!$A$1:$I$89,7,0))</f>
        <v>0</v>
      </c>
      <c r="AS41" s="16">
        <f>IF(ISNA(VLOOKUP(A41,'Données projet'!$A$61:$I$81,6,0)),0%,VLOOKUP(A41,'Données projet'!$A$61:$I$81,6,0)*VLOOKUP('Données projet'!$B$10,Paramètres!$A$1:$I$89,7,0))</f>
        <v>0</v>
      </c>
      <c r="AT41" s="16">
        <f>IF(ISNA(VLOOKUP(A41,'Données projet'!$A$61:$I$81,7,0)),0%,VLOOKUP(A41,'Données projet'!$A$61:$I$81,7,0))</f>
        <v>0</v>
      </c>
      <c r="AU41" s="21">
        <f>EXP(-LN(2)/35)*AU40+(1-EXP(-LN(2)/35))/(LN(2)/35)*AQ41*AR41*VLOOKUP('Données projet'!$B$10,Paramètres!$A$1:$I$89,3,0)*0.475*44/12</f>
        <v>7.1214203634799667</v>
      </c>
      <c r="AV41" s="21">
        <f>EXP(-LN(2)/25)*AV40+(1-EXP(-LN(2)/25))/(LN(2)/25)*Calculateur!AQ41*Calculateur!AS41*VLOOKUP('Données projet'!$B$10,Paramètres!$A$1:$I$89,3,0)*0.475*44/12</f>
        <v>22.325711514776035</v>
      </c>
      <c r="AW41" s="21">
        <f>EXP(-LN(2)/2)*AW40+(1-EXP(-LN(2)/2))/(LN(2)/2)*AQ41*AT41*VLOOKUP('Données projet'!$B$10,Paramètres!$A$1:$I$89,3,0)*0.475*44/12</f>
        <v>1.5250744460569925</v>
      </c>
      <c r="AX41" s="21">
        <f t="shared" si="6"/>
        <v>30.972206324312996</v>
      </c>
      <c r="AY41" s="74">
        <f>('Scénario référence'!$F$8+'Scénario référence'!$F$9+'Scénario référence'!$B$17+'Scénario référence'!$B$9+'Scénario référence'!$B$10)*70+IF((45+25*(1-EXP(-0.0175*A41)))&lt;70,'Scénario référence'!$B$16*(45+25*(1-EXP(-0.0175*A41))),70*'Scénario référence'!$B$16)+IF((32+38*(1-EXP(-0.0175*A41)))&lt;70,'Scénario référence'!$B$18*(32+38*(1-EXP(-0.0175*A41))),70*'Scénario référence'!$B$18)</f>
        <v>70</v>
      </c>
      <c r="AZ41" s="12">
        <f>IF(A41&gt;30,10,('Scénario référence'!$B$16+'Scénario référence'!$B$17+'Scénario référence'!$B$18+'Scénario référence'!$B$9+'Scénario référence'!$B$10)*A41*10/30+('Scénario référence'!$F$8+'Scénario référence'!$F$9)*10)</f>
        <v>10</v>
      </c>
      <c r="BA41" s="12" t="e">
        <f>VLOOKUP(A41,'Données projet'!$A$87:$I$107,2,0)</f>
        <v>#N/A</v>
      </c>
      <c r="BB41" s="12" t="e">
        <f>VLOOKUP(A41,'Données projet'!$A$87:$I$107,9,0)</f>
        <v>#N/A</v>
      </c>
      <c r="BC41" s="12">
        <f t="array" ref="BC41">INDEX(BB:BB,MIN(IF(ISNUMBER(BB41:BB237),ROW(BB41:BB237),"")))</f>
        <v>18.2</v>
      </c>
      <c r="BD41" s="12">
        <f>IF('Données projet'!$A$88&gt;35,BD40+BC41-BL40,IF(A41&lt;'Données projet'!$A$88,$BA$205^A41,IF(A41='Données projet'!$A$88,'Données projet'!$B$88,BD40+BC41-BL40)))</f>
        <v>304.59999999999997</v>
      </c>
      <c r="BE41" s="13">
        <f>BD41*VLOOKUP('Données projet'!$B$11,Paramètres!$A$1:$I$89,3,0)*VLOOKUP('Données projet'!$B$11,Paramètres!$A$1:$I$89,5,0)</f>
        <v>182.15079999999998</v>
      </c>
      <c r="BF41" s="13">
        <f t="shared" si="37"/>
        <v>45.800368240506849</v>
      </c>
      <c r="BG41" s="20">
        <f t="shared" si="7"/>
        <v>397.01495135221603</v>
      </c>
      <c r="BH41" s="59">
        <f t="shared" si="8"/>
        <v>690.34828468554929</v>
      </c>
      <c r="BI41" s="59">
        <f ca="1">AVERAGE(OFFSET($BH$3,0,0,'Données projet'!$E$11+1,1))-AVERAGE(OFFSET($H$3,0,0,'Données projet'!$E$11+1,1))</f>
        <v>316.58509520829671</v>
      </c>
      <c r="BJ41" s="59">
        <f t="shared" si="38"/>
        <v>240.71332110643596</v>
      </c>
      <c r="BK41" s="15">
        <f>IF(ISNA(VLOOKUP(A41,'Données projet'!$A$87:$I$107,3,0)),0,VLOOKUP(A41,'Données projet'!$A$87:$I$107,3,0))</f>
        <v>0</v>
      </c>
      <c r="BL41" s="15">
        <f>IF(ISNA(VLOOKUP(A41,'Données projet'!$A$87:$I$107,4,0)),0,VLOOKUP(A41,'Données projet'!$A$87:$I$107,4,0))</f>
        <v>0</v>
      </c>
      <c r="BM41" s="16">
        <f>IF(ISNA(VLOOKUP(A41,'Données projet'!$A$87:$I$107,5,0)),0%,VLOOKUP(A41,'Données projet'!$A$87:$I$107,5,0)*VLOOKUP('Données projet'!$B$11,Paramètres!$A$1:$I$89,7,0))</f>
        <v>0</v>
      </c>
      <c r="BN41" s="16">
        <f>IF(ISNA(VLOOKUP(A41,'Données projet'!$A$87:$I$107,6,0)),0%,VLOOKUP(A41,'Données projet'!$A$87:$I$107,6,0)*VLOOKUP('Données projet'!$B$11,Paramètres!$A$1:$I$89,7,0))</f>
        <v>0</v>
      </c>
      <c r="BO41" s="16">
        <f>IF(ISNA(VLOOKUP(A41,'Données projet'!$A$87:$I$107,7,0)),0%,VLOOKUP(A41,'Données projet'!$A$87:$I$107,7,0))</f>
        <v>0</v>
      </c>
      <c r="BP41" s="21">
        <f>EXP(-LN(2)/35)*BP40+(1-EXP(-LN(2)/35))/(LN(2)/35)*BL41*BM41*VLOOKUP('Données projet'!$B$11,Paramètres!$A$1:$I$89,3,0)*0.475*44/12</f>
        <v>2.1631844221656982</v>
      </c>
      <c r="BQ41" s="21">
        <f>EXP(-LN(2)/25)*BQ40+(1-EXP(-LN(2)/25))/(LN(2)/25)*Calculateur!BL41*Calculateur!BN41*VLOOKUP('Données projet'!$B$11,Paramètres!$A$1:$I$89,3,0)*0.475*44/12</f>
        <v>12.23067618911478</v>
      </c>
      <c r="BR41" s="21">
        <f>EXP(-LN(2)/2)*BR40+(1-EXP(-LN(2)/2))/(LN(2)/2)*BL41*BO41*VLOOKUP('Données projet'!$B$11,Paramètres!$A$1:$I$89,3,0)*0.475*44/12</f>
        <v>1.3712089418837998</v>
      </c>
      <c r="BS41" s="22">
        <f t="shared" si="9"/>
        <v>15.765069553164277</v>
      </c>
      <c r="BT41" s="75">
        <f>('Scénario référence'!$F$8+'Scénario référence'!$F$9+'Scénario référence'!$B$17+'Scénario référence'!$B$9+'Scénario référence'!$B$10)*70+IF((45+25*(1-EXP(-0.0175*A41)))&lt;70,'Scénario référence'!$B$16*(45+25*(1-EXP(-0.0175*A41))),70*'Scénario référence'!$B$16)+IF((32+38*(1-EXP(-0.0175*A41)))&lt;70,'Scénario référence'!$B$18*(32+38*(1-EXP(-0.0175*A41))),70*'Scénario référence'!$B$18)</f>
        <v>70</v>
      </c>
      <c r="BU41" s="12">
        <f>IF(A41&gt;30,10,('Scénario référence'!$B$16+'Scénario référence'!$B$17+'Scénario référence'!$B$18+'Scénario référence'!$B$9+'Scénario référence'!$B$10)*A41*10/30+('Scénario référence'!$F$8+'Scénario référence'!$F$9)*10)</f>
        <v>10</v>
      </c>
      <c r="BV41" s="12" t="e">
        <f>VLOOKUP(A41,'Données projet'!$A$113:$I$133,2,0)</f>
        <v>#N/A</v>
      </c>
      <c r="BW41" s="12" t="e">
        <f>VLOOKUP(A41,'Données projet'!$A$113:$I$133,9,0)</f>
        <v>#N/A</v>
      </c>
      <c r="BX41" s="12">
        <f t="array" ref="BX41">INDEX(BW:BW,MIN(IF(ISNUMBER(BW41:BW237),ROW(BW41:BW237),"")))</f>
        <v>13.6</v>
      </c>
      <c r="BY41" s="12">
        <f>IF('Données projet'!$A$114&gt;35,BY40+BX41-CG40,IF(A41&lt;'Données projet'!$A$114,$BV$205^A41,IF(A41='Données projet'!$A$114,'Données projet'!$B$114,BY40+BX41-CG40)))</f>
        <v>253.79999999999987</v>
      </c>
      <c r="BZ41" s="13">
        <f>BY41*VLOOKUP('Données projet'!$B$12,Paramètres!$A$1:$I$89,3,0)*VLOOKUP('Données projet'!$B$12,Paramètres!$A$1:$I$89,5,0)</f>
        <v>145.17359999999994</v>
      </c>
      <c r="CA41" s="13">
        <f t="shared" si="39"/>
        <v>37.479689934865057</v>
      </c>
      <c r="CB41" s="20">
        <f t="shared" si="10"/>
        <v>318.12114663655655</v>
      </c>
      <c r="CC41" s="59">
        <f t="shared" si="11"/>
        <v>611.45447996988992</v>
      </c>
      <c r="CD41" s="59">
        <f ca="1">AVERAGE(OFFSET($CC$3,0,0,'Données projet'!$E$12+1,1))-AVERAGE(OFFSET($H$3,0,0,'Données projet'!$E$12+1,1))</f>
        <v>188.64374818906128</v>
      </c>
      <c r="CE41" s="59">
        <f t="shared" si="40"/>
        <v>211.95157880548652</v>
      </c>
      <c r="CF41" s="15">
        <f>IF(ISNA(VLOOKUP(A41,'Données projet'!$A$113:$I$133,3,0)),0,VLOOKUP(A41,'Données projet'!$A$113:$I$133,3,0))</f>
        <v>0</v>
      </c>
      <c r="CG41" s="15">
        <f>IF(ISNA(VLOOKUP(A41,'Données projet'!$A$113:$I$133,4,0)),0,VLOOKUP(A41,'Données projet'!$A$113:$I$133,4,0))</f>
        <v>0</v>
      </c>
      <c r="CH41" s="16">
        <f>IF(ISNA(VLOOKUP(A41,'Données projet'!$A$113:$I$133,5,0)),0%,VLOOKUP(A41,'Données projet'!$A$113:$I$133,5,0)*VLOOKUP('Données projet'!$B$12,Paramètres!$A$1:$I$89,7,0))</f>
        <v>0</v>
      </c>
      <c r="CI41" s="16">
        <f>IF(ISNA(VLOOKUP(A41,'Données projet'!$A$113:$I$133,6,0)),0%,VLOOKUP(A41,'Données projet'!$A$113:$I$133,6,0)*VLOOKUP('Données projet'!$B$12,Paramètres!$A$1:$I$89,7,0))</f>
        <v>0</v>
      </c>
      <c r="CJ41" s="16">
        <f>IF(ISNA(VLOOKUP(A41,'Données projet'!$A$113:$I$133,7,0)),0%,VLOOKUP(A41,'Données projet'!$A$113:$I$133,7,0))</f>
        <v>0</v>
      </c>
      <c r="CK41" s="21">
        <f>EXP(-LN(2)/35)*CK40+(1-EXP(-LN(2)/35))/(LN(2)/35)*CG41*CH41*VLOOKUP('Données projet'!$B$12,Paramètres!$A$1:$I$89,3,0)*0.475*44/12</f>
        <v>2.0982756428110623</v>
      </c>
      <c r="CL41" s="21">
        <f>EXP(-LN(2)/25)*CL40+(1-EXP(-LN(2)/25))/(LN(2)/25)*Calculateur!CG41*Calculateur!CI41*VLOOKUP('Données projet'!$B$12,Paramètres!$A$1:$I$89,3,0)*0.475*44/12</f>
        <v>11.511789353263072</v>
      </c>
      <c r="CM41" s="21">
        <f>EXP(-LN(2)/2)*CM40+(1-EXP(-LN(2)/2))/(LN(2)/2)*CG41*CJ41*VLOOKUP('Données projet'!$B$12,Paramètres!$A$1:$I$89,3,0)*0.475*44/12</f>
        <v>1.3279085752335129</v>
      </c>
      <c r="CN41" s="22">
        <f t="shared" si="12"/>
        <v>14.937973571307648</v>
      </c>
      <c r="CO41" s="75">
        <f>('Scénario référence'!$F$8+'Scénario référence'!$F$9+'Scénario référence'!$B$17+'Scénario référence'!$B$9+'Scénario référence'!$B$10)*70+IF((45+25*(1-EXP(-0.0175*A41)))&lt;70,'Scénario référence'!$B$16*(45+25*(1-EXP(-0.0175*A41))),70*'Scénario référence'!$B$16)+IF((32+38*(1-EXP(-0.0175*A41)))&lt;70,'Scénario référence'!$B$18*(32+38*(1-EXP(-0.0175*A41))),70*'Scénario référence'!$B$18)</f>
        <v>70</v>
      </c>
      <c r="CP41" s="12">
        <f>IF(A41&gt;30,10,('Scénario référence'!$B$16+'Scénario référence'!$B$17+'Scénario référence'!$B$18+'Scénario référence'!$B$9+'Scénario référence'!$B$10)*A41*10/30+('Scénario référence'!$F$8+'Scénario référence'!$F$9)*10)</f>
        <v>10</v>
      </c>
      <c r="CQ41" s="12" t="e">
        <f>VLOOKUP(A41,'Données projet'!$A$139:$I$159,2,0)</f>
        <v>#N/A</v>
      </c>
      <c r="CR41" s="12" t="e">
        <f>VLOOKUP(A41,'Données projet'!$A$139:$I$159,9,0)</f>
        <v>#N/A</v>
      </c>
      <c r="CS41" s="12">
        <f t="array" ref="CS41">INDEX(CR:CR,MIN(IF(ISNUMBER(CR41:CR237),ROW(CR41:CR237),"")))</f>
        <v>0</v>
      </c>
      <c r="CT41" s="12">
        <f>IF('Données projet'!$A$140&gt;35,CT40+CS41-DB40,IF(A41&lt;'Données projet'!$A$140,$CQ$205^A41,IF(A41='Données projet'!$A$140,'Données projet'!$B$140,CT40+CS41-DB40)))</f>
        <v>0</v>
      </c>
      <c r="CU41" s="17" t="e">
        <f>CT41*VLOOKUP('Données projet'!$B$13,Paramètres!$A$1:$I$89,3,0)*VLOOKUP('Données projet'!$B$13,Paramètres!$A$1:$I$89,5,0)</f>
        <v>#N/A</v>
      </c>
      <c r="CV41" s="13" t="e">
        <f t="shared" si="41"/>
        <v>#N/A</v>
      </c>
      <c r="CW41" s="20" t="e">
        <f t="shared" si="13"/>
        <v>#N/A</v>
      </c>
      <c r="CX41" s="59" t="e">
        <f t="shared" si="14"/>
        <v>#N/A</v>
      </c>
      <c r="CY41" s="59" t="e">
        <f ca="1">AVERAGE(OFFSET($CX$3,0,0,'Données projet'!$E$13+1,1))-AVERAGE(OFFSET($H$3,0,0,'Données projet'!$E$13+1,1))</f>
        <v>#N/A</v>
      </c>
      <c r="CZ41" s="59" t="e">
        <f t="shared" si="42"/>
        <v>#N/A</v>
      </c>
      <c r="DA41" s="15">
        <f>IF(ISNA(VLOOKUP(A41,'Données projet'!$A$139:$I$159,3,0)),0,VLOOKUP(A41,'Données projet'!$A$139:$I$159,3,0))</f>
        <v>0</v>
      </c>
      <c r="DB41" s="15">
        <f>IF(ISNA(VLOOKUP(A41,'Données projet'!$A$139:$I$159,4,0)),0,VLOOKUP(A41,'Données projet'!$A$139:$I$159,4,0))</f>
        <v>0</v>
      </c>
      <c r="DC41" s="16">
        <f>IF(ISNA(VLOOKUP(A41,'Données projet'!$A$139:$I$159,5,0)),0%,VLOOKUP(A41,'Données projet'!$A$139:$I$159,5,0)*VLOOKUP('Données projet'!$B$13,Paramètres!$A$1:$I$89,7,0))</f>
        <v>0</v>
      </c>
      <c r="DD41" s="16">
        <f>IF(ISNA(VLOOKUP(A41,'Données projet'!$A$139:$I$159,6,0)),0%,VLOOKUP(A41,'Données projet'!$A$139:$I$159,6,0)*VLOOKUP('Données projet'!$B$13,Paramètres!$A$1:$I$89,7,0))</f>
        <v>0</v>
      </c>
      <c r="DE41" s="16">
        <f>IF(ISNA(VLOOKUP(A41,'Données projet'!$A$139:$I$159,7,0)),0%,VLOOKUP(A41,'Données projet'!$A$139:$I$159,7,0))</f>
        <v>0</v>
      </c>
      <c r="DF41" s="21" t="e">
        <f>EXP(-LN(2)/35)*DF40+(1-EXP(-LN(2)/35))/(LN(2)/35)*DB41*DC41*VLOOKUP('Données projet'!$B$13,Paramètres!$A$1:$I$89,3,0)*0.475*44/12</f>
        <v>#N/A</v>
      </c>
      <c r="DG41" s="21" t="e">
        <f>EXP(-LN(2)/25)*DG40+(1-EXP(-LN(2)/25))/(LN(2)/25)*Calculateur!DB41*Calculateur!DD41*VLOOKUP('Données projet'!$B$13,Paramètres!$A$1:$I$89,3,0)*0.475*44/12</f>
        <v>#N/A</v>
      </c>
      <c r="DH41" s="21" t="e">
        <f>EXP(-LN(2)/2)*DH40+(1-EXP(-LN(2)/2))/(LN(2)/2)*DB41*DE41*VLOOKUP('Données projet'!$B$13,Paramètres!$A$1:$I$89,3,0)*0.475*44/12</f>
        <v>#N/A</v>
      </c>
      <c r="DI41" s="22" t="e">
        <f t="shared" si="15"/>
        <v>#N/A</v>
      </c>
      <c r="DJ41" s="75">
        <f>('Scénario référence'!$F$8+'Scénario référence'!$F$9+'Scénario référence'!$B$17+'Scénario référence'!$B$9+'Scénario référence'!$B$10)*70+IF((45+25*(1-EXP(-0.0175*A41)))&lt;70,'Scénario référence'!$B$16*(45+25*(1-EXP(-0.0175*A41))),70*'Scénario référence'!$B$16)+IF((32+38*(1-EXP(-0.0175*A41)))&lt;70,'Scénario référence'!$B$18*(32+38*(1-EXP(-0.0175*A41))),70*'Scénario référence'!$B$18)</f>
        <v>70</v>
      </c>
      <c r="DK41" s="12">
        <f>IF(A41&gt;30,10,('Scénario référence'!$B$16+'Scénario référence'!$B$17+'Scénario référence'!$B$18+'Scénario référence'!$B$9+'Scénario référence'!$B$10)*A41*10/30+('Scénario référence'!$F$8+'Scénario référence'!$F$9)*10)</f>
        <v>10</v>
      </c>
      <c r="DL41" s="12" t="e">
        <f>VLOOKUP(A41,'Données projet'!$A$165:$I$185,2,0)</f>
        <v>#N/A</v>
      </c>
      <c r="DM41" s="12" t="e">
        <f>VLOOKUP(A41,'Données projet'!$A$165:$I$185,9,0)</f>
        <v>#N/A</v>
      </c>
      <c r="DN41" s="12">
        <f t="array" ref="DN41">INDEX(DM:DM,MIN(IF(ISNUMBER(DM41:DM237),ROW(DM41:DM237),"")))</f>
        <v>9.1999999999999993</v>
      </c>
      <c r="DO41" s="12">
        <f>IF('Données projet'!$A$166&gt;35,DO40+DN41-DW40,IF(A41&lt;'Données projet'!$A$166,$DL$205^A41,IF(A41='Données projet'!$A$166,'Données projet'!$B$166,DO40+DN41-DW40)))</f>
        <v>233.59999999999991</v>
      </c>
      <c r="DP41" s="17">
        <f>DO41*VLOOKUP('Données projet'!$B$14,Paramètres!$A$1:$I$89,3,0)*VLOOKUP('Données projet'!$B$14,Paramètres!$A$1:$I$89,5,0)</f>
        <v>153.05471999999992</v>
      </c>
      <c r="DQ41" s="13">
        <f t="shared" si="43"/>
        <v>39.271965088385166</v>
      </c>
      <c r="DR41" s="20">
        <f t="shared" si="16"/>
        <v>334.96897652893739</v>
      </c>
      <c r="DS41" s="59">
        <f t="shared" si="17"/>
        <v>628.3023098622707</v>
      </c>
      <c r="DT41" s="59">
        <f ca="1">AVERAGE(OFFSET($DS$3,0,0,'Données projet'!$E$14+1,1))-AVERAGE(OFFSET($H$3,0,0,'Données projet'!$E$14+1,1))</f>
        <v>188.68915783955595</v>
      </c>
      <c r="DU41" s="59">
        <f t="shared" si="44"/>
        <v>240.82467772396944</v>
      </c>
      <c r="DV41" s="15">
        <f>IF(ISNA(VLOOKUP(A41,'Données projet'!$A$165:$I$185,3,0)),0,VLOOKUP(A41,'Données projet'!$A$165:$I$185,3,0))</f>
        <v>0</v>
      </c>
      <c r="DW41" s="15">
        <f>IF(ISNA(VLOOKUP(A41,'Données projet'!$A$165:$I$185,4,0)),0,VLOOKUP(A41,'Données projet'!$A$165:$I$185,4,0))</f>
        <v>0</v>
      </c>
      <c r="DX41" s="16">
        <f>IF(ISNA(VLOOKUP(A41,'Données projet'!$A$165:$I$185,5,0)),0%,VLOOKUP(A41,'Données projet'!$A$165:$I$185,5,0)*VLOOKUP('Données projet'!$B$14,Paramètres!$A$1:$I$89,7,0))</f>
        <v>0</v>
      </c>
      <c r="DY41" s="16">
        <f>IF(ISNA(VLOOKUP(A41,'Données projet'!$A$165:$I$185,6,0)),0%,VLOOKUP(A41,'Données projet'!$A$165:$I$185,6,0)*VLOOKUP('Données projet'!$B$14,Paramètres!$A$1:$I$89,7,0))</f>
        <v>0</v>
      </c>
      <c r="DZ41" s="16">
        <f>IF(ISNA(VLOOKUP(A41,'Données projet'!$A$165:$I$185,7,0)),0%,VLOOKUP(A41,'Données projet'!$A$165:$I$185,7,0))</f>
        <v>0</v>
      </c>
      <c r="EA41" s="21">
        <f>EXP(-LN(2)/35)*EA40+(1-EXP(-LN(2)/35))/(LN(2)/35)*DW41*DX41*VLOOKUP('Données projet'!$B$14,Paramètres!$A$1:$I$89,3,0)*0.475*44/12</f>
        <v>1.3290845296425291</v>
      </c>
      <c r="EB41" s="21">
        <f>EXP(-LN(2)/25)*EB40+(1-EXP(-LN(2)/25))/(LN(2)/25)*Calculateur!DW41*Calculateur!DY41*VLOOKUP('Données projet'!$B$14,Paramètres!$A$1:$I$89,3,0)*0.475*44/12</f>
        <v>6.4390231015559021</v>
      </c>
      <c r="EC41" s="21">
        <f>EXP(-LN(2)/2)*EC40+(1-EXP(-LN(2)/2))/(LN(2)/2)*DW41*DZ41*VLOOKUP('Données projet'!$B$14,Paramètres!$A$1:$I$89,3,0)*0.475*44/12</f>
        <v>0.87477549913794295</v>
      </c>
      <c r="ED41" s="22">
        <f t="shared" si="18"/>
        <v>8.642883130336374</v>
      </c>
      <c r="EE41" s="75">
        <f>('Scénario référence'!$F$8+'Scénario référence'!$F$9+'Scénario référence'!$B$17+'Scénario référence'!$B$9+'Scénario référence'!$B$10)*70+IF((45+25*(1-EXP(-0.0175*A41)))&lt;70,'Scénario référence'!$B$16*(45+25*(1-EXP(-0.0175*A41))),70*'Scénario référence'!$B$16)+IF((32+38*(1-EXP(-0.0175*A41)))&lt;70,'Scénario référence'!$B$18*(32+38*(1-EXP(-0.0175*A41))),70*'Scénario référence'!$B$18)</f>
        <v>70</v>
      </c>
      <c r="EF41" s="12">
        <f>IF(A41&gt;30,10,('Scénario référence'!$B$16+'Scénario référence'!$B$17+'Scénario référence'!$B$18+'Scénario référence'!$B$9+'Scénario référence'!$B$10)*A41*10/30+('Scénario référence'!$F$8+'Scénario référence'!$F$9)*10)</f>
        <v>10</v>
      </c>
      <c r="EG41" s="12" t="e">
        <f>VLOOKUP(A41,'Données projet'!$A$191:$I$211,2,0)</f>
        <v>#N/A</v>
      </c>
      <c r="EH41" s="12" t="e">
        <f>VLOOKUP(A41,'Données projet'!$A$191:$I$211,9,0)</f>
        <v>#N/A</v>
      </c>
      <c r="EI41" s="12">
        <f t="array" ref="EI41">INDEX(EH:EH,MIN(IF(ISNUMBER(EH41:EH237),ROW(EH41:EH237),"")))</f>
        <v>7.2</v>
      </c>
      <c r="EJ41" s="12">
        <f>IF('Données projet'!$A$192&gt;35,EJ40+EI41-ER40,IF(A41&lt;'Données projet'!$A$192,$EG$205^A41,IF(A41='Données projet'!$A$192,'Données projet'!$B$192,EJ40+EI41-ER40)))</f>
        <v>166.59999999999994</v>
      </c>
      <c r="EK41" s="17">
        <f>EJ41*VLOOKUP('Données projet'!$B$15,Paramètres!$A$1:$I$89,3,0)*VLOOKUP('Données projet'!$B$15,Paramètres!$A$1:$I$89,5,0)</f>
        <v>135.14591999999996</v>
      </c>
      <c r="EL41" s="13">
        <f t="shared" si="45"/>
        <v>35.18273051541685</v>
      </c>
      <c r="EM41" s="20">
        <f t="shared" si="19"/>
        <v>296.65573298101759</v>
      </c>
      <c r="EN41" s="59">
        <f t="shared" si="20"/>
        <v>589.98906631435091</v>
      </c>
      <c r="EO41" s="59">
        <f ca="1">AVERAGE(OFFSET($EN$3,0,0,'Données projet'!$E$15+1,1))-AVERAGE(OFFSET($H$3,0,0,'Données projet'!$E$15+1,1))</f>
        <v>205.5272583787887</v>
      </c>
      <c r="EP41" s="59">
        <f t="shared" si="46"/>
        <v>180.54762778843178</v>
      </c>
      <c r="EQ41" s="15">
        <f>IF(ISNA(VLOOKUP(A41,'Données projet'!$A$191:$I$211,3,0)),0,VLOOKUP(A41,'Données projet'!$A$191:$I$211,3,0))</f>
        <v>0</v>
      </c>
      <c r="ER41" s="15">
        <f>IF(ISNA(VLOOKUP(A41,'Données projet'!$A$191:$I$211,4,0)),0,VLOOKUP(A41,'Données projet'!$A$191:$I$211,4,0))</f>
        <v>0</v>
      </c>
      <c r="ES41" s="16">
        <f>IF(ISNA(VLOOKUP(A41,'Données projet'!$A$191:$I$211,5,0)),0%,VLOOKUP(A41,'Données projet'!$A$191:$I$211,5,0)*VLOOKUP('Données projet'!$B$15,Paramètres!$A$1:$I$89,7,0))</f>
        <v>0</v>
      </c>
      <c r="ET41" s="16">
        <f>IF(ISNA(VLOOKUP(A41,'Données projet'!$A$191:$I$211,6,0)),0%,VLOOKUP(A41,'Données projet'!$A$191:$I$211,6,0)*VLOOKUP('Données projet'!$B$15,Paramètres!$A$1:$I$89,7,0))</f>
        <v>0</v>
      </c>
      <c r="EU41" s="16">
        <f>IF(ISNA(VLOOKUP(A41,'Données projet'!$A$191:$I$211,7,0)),0%,VLOOKUP(A41,'Données projet'!$A$191:$I$211,7,0))</f>
        <v>0</v>
      </c>
      <c r="EV41" s="21">
        <f>EXP(-LN(2)/35)*EV40+(1-EXP(-LN(2)/35))/(LN(2)/35)*ER41*ES41*VLOOKUP('Données projet'!$B$15,Paramètres!$A$1:$I$89,3,0)*0.475*44/12</f>
        <v>0.85567727813176153</v>
      </c>
      <c r="EW41" s="21">
        <f>EXP(-LN(2)/25)*EW40+(1-EXP(-LN(2)/25))/(LN(2)/25)*Calculateur!ER41*Calculateur!ET41*VLOOKUP('Données projet'!$B$15,Paramètres!$A$1:$I$89,3,0)*0.475*44/12</f>
        <v>4.6491700133020251</v>
      </c>
      <c r="EX41" s="21">
        <f>EXP(-LN(2)/2)*EX40+(1-EXP(-LN(2)/2))/(LN(2)/2)*ER41*EU41*VLOOKUP('Données projet'!$B$15,Paramètres!$A$1:$I$89,3,0)*0.475*44/12</f>
        <v>0.5664177825237463</v>
      </c>
      <c r="EY41" s="22">
        <f t="shared" si="21"/>
        <v>6.0712650739575329</v>
      </c>
      <c r="EZ41" s="75">
        <f>('Scénario référence'!$F$8+'Scénario référence'!$F$9+'Scénario référence'!$B$17+'Scénario référence'!$B$9+'Scénario référence'!$B$10)*70+IF((45+25*(1-EXP(-0.0175*A41)))&lt;70,'Scénario référence'!$B$16*(45+25*(1-EXP(-0.0175*A41))),70*'Scénario référence'!$B$16)+IF((32+38*(1-EXP(-0.0175*A41)))&lt;70,'Scénario référence'!$B$18*(32+38*(1-EXP(-0.0175*A41))),70*'Scénario référence'!$B$18)</f>
        <v>70</v>
      </c>
      <c r="FA41" s="12">
        <f>IF(A41&gt;30,10,('Scénario référence'!$B$16+'Scénario référence'!$B$17+'Scénario référence'!$B$18+'Scénario référence'!$B$9+'Scénario référence'!$B$10)*A41*10/30+('Scénario référence'!$F$8+'Scénario référence'!$F$9)*10)</f>
        <v>10</v>
      </c>
      <c r="FB41" s="12" t="e">
        <f>VLOOKUP(A41,'Données projet'!$A$217:$I$237,2,0)</f>
        <v>#N/A</v>
      </c>
      <c r="FC41" s="12" t="e">
        <f>VLOOKUP(A41,'Données projet'!$A$217:$I$237,9,0)</f>
        <v>#N/A</v>
      </c>
      <c r="FD41" s="12">
        <f t="array" ref="FD41">INDEX(FC:FC,MIN(IF(ISNUMBER(FC41:FC237),ROW(FC41:FC237),"")))</f>
        <v>12.3</v>
      </c>
      <c r="FE41" s="12">
        <f>IF('Données projet'!$A$218&gt;35,FE40+FD41-FM40,IF(A41&lt;'Données projet'!$A$218,$FB$205^A41,IF(A41='Données projet'!$A$218,'Données projet'!$B$218,FE40+FD41-FM40)))</f>
        <v>197.40000000000003</v>
      </c>
      <c r="FF41" s="17">
        <f>FE41*VLOOKUP('Données projet'!$B$16,Paramètres!$A$1:$I$89,3,0)*VLOOKUP('Données projet'!$B$16,Paramètres!$A$1:$I$89,5,0)</f>
        <v>169.36920000000003</v>
      </c>
      <c r="FG41" s="13">
        <f t="shared" si="47"/>
        <v>42.948714817158709</v>
      </c>
      <c r="FH41" s="20">
        <f t="shared" si="22"/>
        <v>369.78703497321811</v>
      </c>
      <c r="FI41" s="59">
        <f t="shared" si="23"/>
        <v>663.12036830655143</v>
      </c>
      <c r="FJ41" s="59">
        <f ca="1">AVERAGE(OFFSET($FI$3,0,0,'Données projet'!$E$16+1,1))-AVERAGE(OFFSET($H$3,0,0,'Données projet'!$E$16+1,1))</f>
        <v>383.97627237444709</v>
      </c>
      <c r="FK41" s="59">
        <f t="shared" si="48"/>
        <v>203.35476578922339</v>
      </c>
      <c r="FL41" s="15">
        <f>IF(ISNA(VLOOKUP(A41,'Données projet'!$A$217:$I$237,3,0)),0,VLOOKUP(A41,'Données projet'!$A$217:$I$237,3,0))</f>
        <v>0</v>
      </c>
      <c r="FM41" s="15">
        <f>IF(ISNA(VLOOKUP(A41,'Données projet'!$A$217:$I$237,4,0)),0,VLOOKUP(A41,'Données projet'!$A$217:$I$237,4,0))</f>
        <v>0</v>
      </c>
      <c r="FN41" s="16">
        <f>IF(ISNA(VLOOKUP(A41,'Données projet'!$A$217:$I$237,5,0)),0%,VLOOKUP(A41,'Données projet'!$A$217:$I$237,5,0)*VLOOKUP('Données projet'!$B$16,Paramètres!$A$1:$I$89,7,0))</f>
        <v>0</v>
      </c>
      <c r="FO41" s="16">
        <f>IF(ISNA(VLOOKUP(A41,'Données projet'!$A$217:$I$237,6,0)),0%,VLOOKUP(A41,'Données projet'!$A$217:$I$237,6,0)*VLOOKUP('Données projet'!$B$16,Paramètres!$A$1:$I$89,7,0))</f>
        <v>0</v>
      </c>
      <c r="FP41" s="16">
        <f>IF(ISNA(VLOOKUP(A41,'Données projet'!$A$217:$I$237,7,0)),0%,VLOOKUP(A41,'Données projet'!$A$217:$I$237,7,0))</f>
        <v>0</v>
      </c>
      <c r="FQ41" s="21">
        <f>EXP(-LN(2)/35)*FQ40+(1-EXP(-LN(2)/35))/(LN(2)/35)*FM41*FN41*VLOOKUP('Données projet'!$B$16,Paramètres!$A$1:$I$89,3,0)*0.475*44/12</f>
        <v>4.3977169867172448</v>
      </c>
      <c r="FR41" s="21">
        <f>EXP(-LN(2)/25)*FR40+(1-EXP(-LN(2)/25))/(LN(2)/25)*Calculateur!FM41*Calculateur!FO41*VLOOKUP('Données projet'!$B$16,Paramètres!$A$1:$I$89,3,0)*0.475*44/12</f>
        <v>4.719388100891309</v>
      </c>
      <c r="FS41" s="21">
        <f>EXP(-LN(2)/2)*FS40+(1-EXP(-LN(2)/2))/(LN(2)/2)*FM41*FP41*VLOOKUP('Données projet'!$B$16,Paramètres!$A$1:$I$89,3,0)*0.475*44/12</f>
        <v>1.0403932207368682</v>
      </c>
      <c r="FT41" s="22">
        <f t="shared" si="24"/>
        <v>10.157498308345422</v>
      </c>
      <c r="FU41" s="75">
        <f>('Scénario référence'!$F$8+'Scénario référence'!$F$9+'Scénario référence'!$B$17+'Scénario référence'!$B$9+'Scénario référence'!$B$10)*70+IF((45+25*(1-EXP(-0.0175*A41)))&lt;70,'Scénario référence'!$B$16*(45+25*(1-EXP(-0.0175*A41))),70*'Scénario référence'!$B$16)+IF((32+38*(1-EXP(-0.0175*A41)))&lt;70,'Scénario référence'!$B$18*(32+38*(1-EXP(-0.0175*A41))),70*'Scénario référence'!$B$18)</f>
        <v>70</v>
      </c>
      <c r="FV41" s="12">
        <f>IF(A41&gt;30,10,('Scénario référence'!$B$16+'Scénario référence'!$B$17+'Scénario référence'!$B$18+'Scénario référence'!$B$9+'Scénario référence'!$B$10)*A41*10/30+('Scénario référence'!$F$8+'Scénario référence'!$F$9)*10)</f>
        <v>10</v>
      </c>
      <c r="FW41" s="12" t="e">
        <f>VLOOKUP(A41,'Données projet'!$A$243:$I$263,2,0)</f>
        <v>#N/A</v>
      </c>
      <c r="FX41" s="12" t="e">
        <f>VLOOKUP(A41,'Données projet'!$A$243:$I$263,9,0)</f>
        <v>#N/A</v>
      </c>
      <c r="FY41" s="12">
        <f t="array" ref="FY41">INDEX(FX:FX,MIN(IF(ISNUMBER(FX41:FX237),ROW(FX41:FX237),"")))</f>
        <v>9.3141025641025674</v>
      </c>
      <c r="FZ41" s="12">
        <f>IF('Données projet'!$A$244&gt;35,FZ40+FY41-GH40,IF(A41&lt;'Données projet'!$A$244,$FW$205^A41,IF(A41='Données projet'!$A$244,'Données projet'!$B$244,FZ40+FY41-GH40)))</f>
        <v>129.50641025641025</v>
      </c>
      <c r="GA41" s="17">
        <f>FZ41*VLOOKUP('Données projet'!$B$17,Paramètres!$A$1:$I$89,3,0)*VLOOKUP('Données projet'!$B$17,Paramètres!$A$1:$I$89,5,0)</f>
        <v>139.40069999999997</v>
      </c>
      <c r="GB41" s="13">
        <f t="shared" si="49"/>
        <v>36.159680021644213</v>
      </c>
      <c r="GC41" s="20">
        <f t="shared" si="25"/>
        <v>305.76766187103027</v>
      </c>
      <c r="GD41" s="59">
        <f t="shared" si="26"/>
        <v>599.10099520436358</v>
      </c>
      <c r="GE41" s="59">
        <f ca="1">AVERAGE(OFFSET($GD$3,0,0,'Données projet'!$E$17+1,1))-AVERAGE(OFFSET($H$3,0,0,'Données projet'!$E$17+1,1))</f>
        <v>286.77702855541287</v>
      </c>
      <c r="GF41" s="59">
        <f t="shared" si="50"/>
        <v>227.12211541860779</v>
      </c>
      <c r="GG41" s="15">
        <f>IF(ISNA(VLOOKUP(A41,'Données projet'!$A$243:$I$263,3,0)),0,VLOOKUP(A41,'Données projet'!$A$243:$I$263,3,0))</f>
        <v>0</v>
      </c>
      <c r="GH41" s="15">
        <f>IF(ISNA(VLOOKUP(A41,'Données projet'!$A$243:$I$263,4,0)),0,VLOOKUP(A41,'Données projet'!$A$243:$I$263,4,0))</f>
        <v>0</v>
      </c>
      <c r="GI41" s="16">
        <f>IF(ISNA(VLOOKUP(A41,'Données projet'!$A$243:$I$263,5,0)),0%,VLOOKUP(A41,'Données projet'!$A$243:$I$263,5,0)*VLOOKUP('Données projet'!$B$17,Paramètres!$A$1:$I$89,7,0))</f>
        <v>0</v>
      </c>
      <c r="GJ41" s="16">
        <f>IF(ISNA(VLOOKUP(A41,'Données projet'!$A$243:$I$263,6,0)),0%,VLOOKUP(A41,'Données projet'!$A$243:$I$263,6,0)*VLOOKUP('Données projet'!$B$17,Paramètres!$A$1:$I$89,7,0))</f>
        <v>0</v>
      </c>
      <c r="GK41" s="16">
        <f>IF(ISNA(VLOOKUP(A41,'Données projet'!$A$243:$I$263,7,0)),0%,VLOOKUP(A41,'Données projet'!$A$243:$I$263,7,0))</f>
        <v>0</v>
      </c>
      <c r="GL41" s="21">
        <f>EXP(-LN(2)/35)*GL40+(1-EXP(-LN(2)/35))/(LN(2)/35)*GH41*GI41*VLOOKUP('Données projet'!$B$17,Paramètres!$A$1:$I$89,3,0)*0.475*44/12</f>
        <v>0</v>
      </c>
      <c r="GM41" s="21">
        <f>EXP(-LN(2)/25)*GM40+(1-EXP(-LN(2)/25))/(LN(2)/25)*Calculateur!GH41*Calculateur!GJ41*VLOOKUP('Données projet'!$B$17,Paramètres!$A$1:$I$89,3,0)*0.475*44/12</f>
        <v>0</v>
      </c>
      <c r="GN41" s="21">
        <f>EXP(-LN(2)/2)*GN40+(1-EXP(-LN(2)/2))/(LN(2)/2)*GH41*GK41*VLOOKUP('Données projet'!$B$17,Paramètres!$A$1:$I$89,3,0)*0.475*44/12</f>
        <v>0</v>
      </c>
      <c r="GO41" s="21">
        <f t="shared" si="27"/>
        <v>0</v>
      </c>
      <c r="GP41" s="75">
        <f>('Scénario référence'!$F$8+'Scénario référence'!$F$9+'Scénario référence'!$B$17+'Scénario référence'!$B$9+'Scénario référence'!$B$10)*70+IF((45+25*(1-EXP(-0.0175*A41)))&lt;70,'Scénario référence'!$B$16*(45+25*(1-EXP(-0.0175*A41))),70*'Scénario référence'!$B$16)+IF((32+38*(1-EXP(-0.0175*A41)))&lt;70,'Scénario référence'!$B$18*(32+38*(1-EXP(-0.0175*A41))),70*'Scénario référence'!$B$18)</f>
        <v>70</v>
      </c>
      <c r="GQ41" s="12">
        <f>IF(A41&gt;30,10,('Scénario référence'!$B$16+'Scénario référence'!$B$17+'Scénario référence'!$B$18+'Scénario référence'!$B$9+'Scénario référence'!$B$10)*A41*10/30+('Scénario référence'!$F$8+'Scénario référence'!$F$9)*10)</f>
        <v>10</v>
      </c>
      <c r="GR41" s="12" t="e">
        <f>VLOOKUP(A41,'Données projet'!$A$269:$I$289,2,0)</f>
        <v>#N/A</v>
      </c>
      <c r="GS41" s="12" t="e">
        <f>VLOOKUP(A41,'Données projet'!$A$269:$I$289,9,0)</f>
        <v>#N/A</v>
      </c>
      <c r="GT41" s="12">
        <f t="array" ref="GT41">INDEX(GS:GS,MIN(IF(ISNUMBER(GS41:GS237),ROW(GS41:GS237),"")))</f>
        <v>9.3141025641025674</v>
      </c>
      <c r="GU41" s="12">
        <f>IF('Données projet'!$A$270&gt;35,GU40+GT41-HC40,IF(A41&lt;'Données projet'!$A$270,$GR$205^A41,IF(A41='Données projet'!$A$270,'Données projet'!$B$270,GU40+GT41-HC40)))</f>
        <v>129.50641025641025</v>
      </c>
      <c r="GV41" s="17">
        <f>GU41*VLOOKUP('Données projet'!$B$18,Paramètres!$A$1:$I$89,3,0)*VLOOKUP('Données projet'!$B$18,Paramètres!$A$1:$I$89,5,0)</f>
        <v>139.40069999999997</v>
      </c>
      <c r="GW41" s="13">
        <f t="shared" si="51"/>
        <v>36.159680021644213</v>
      </c>
      <c r="GX41" s="20">
        <f t="shared" si="28"/>
        <v>305.76766187103027</v>
      </c>
      <c r="GY41" s="59">
        <f t="shared" si="29"/>
        <v>599.10099520436358</v>
      </c>
      <c r="GZ41" s="59">
        <f ca="1">AVERAGE(OFFSET($GY$3,0,0,'Données projet'!$E$18+1,1))-AVERAGE(OFFSET($H$3,0,0,'Données projet'!$E$18+1,1))</f>
        <v>286.77702855541287</v>
      </c>
      <c r="HA41" s="59">
        <f t="shared" si="52"/>
        <v>227.12211541860779</v>
      </c>
      <c r="HB41" s="15">
        <f>IF(ISNA(VLOOKUP(A41,'Données projet'!$A$269:$I$289,3,0)),0,VLOOKUP(A41,'Données projet'!$A$269:$I$289,3,0))</f>
        <v>0</v>
      </c>
      <c r="HC41" s="15">
        <f>IF(ISNA(VLOOKUP(A41,'Données projet'!$A$269:$I$289,4,0)),0,VLOOKUP(A41,'Données projet'!$A$269:$I$289,4,0))</f>
        <v>0</v>
      </c>
      <c r="HD41" s="16">
        <f>IF(ISNA(VLOOKUP(A41,'Données projet'!$A$269:$I$289,5,0)),0%,VLOOKUP(A41,'Données projet'!$A$269:$I$289,5,0)*VLOOKUP('Données projet'!$B$18,Paramètres!$A$1:$I$89,7,0))</f>
        <v>0</v>
      </c>
      <c r="HE41" s="16">
        <f>IF(ISNA(VLOOKUP(A41,'Données projet'!$A$269:$I$289,6,0)),0%,VLOOKUP(A41,'Données projet'!$A$269:$I$289,6,0)*VLOOKUP('Données projet'!$B$18,Paramètres!$A$1:$I$89,7,0))</f>
        <v>0</v>
      </c>
      <c r="HF41" s="16">
        <f>IF(ISNA(VLOOKUP(A41,'Données projet'!$A$269:$I$289,7,0)),0%,VLOOKUP(A41,'Données projet'!$A$269:$I$289,7,0))</f>
        <v>0</v>
      </c>
      <c r="HG41" s="21">
        <f>EXP(-LN(2)/35)*HG40+(1-EXP(-LN(2)/35))/(LN(2)/35)*HC41*HD41*VLOOKUP('Données projet'!$B$18,Paramètres!$A$1:$I$89,3,0)*0.475*44/12</f>
        <v>0</v>
      </c>
      <c r="HH41" s="21">
        <f>EXP(-LN(2)/25)*HH40+(1-EXP(-LN(2)/25))/(LN(2)/25)*Calculateur!HC41*Calculateur!HE41*VLOOKUP('Données projet'!$B$18,Paramètres!$A$1:$I$89,3,0)*0.475*44/12</f>
        <v>0</v>
      </c>
      <c r="HI41" s="21">
        <f>EXP(-LN(2)/2)*HI40+(1-EXP(-LN(2)/2))/(LN(2)/2)*HC41*HF41*VLOOKUP('Données projet'!$B$18,Paramètres!$A$1:$I$89,3,0)*0.475*44/12</f>
        <v>0</v>
      </c>
      <c r="HJ41" s="22">
        <f t="shared" si="30"/>
        <v>0</v>
      </c>
    </row>
    <row r="42" spans="1:218" x14ac:dyDescent="0.25">
      <c r="A42" s="10">
        <f t="shared" si="31"/>
        <v>39</v>
      </c>
      <c r="B42" s="73">
        <f>'Scénario référence'!$B$16*5+'Scénario référence'!$B$17*0+'Scénario référence'!$B$18*5</f>
        <v>0</v>
      </c>
      <c r="C42" s="19">
        <f>Calculateur!C41+'Scénario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34.678799999999995</v>
      </c>
      <c r="D42" s="11">
        <f t="shared" si="32"/>
        <v>10.576760473435781</v>
      </c>
      <c r="E4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42" s="11">
        <f>IF(OR('Scénario référence'!$F$8&gt;0,'Scénario référence'!$F$9&gt;0),('Scénario référence'!$F$8+'Scénario référence'!$F$9)*10,0)</f>
        <v>10</v>
      </c>
      <c r="G42" s="11">
        <f>'Scénario référence'!$B$8*B42*44/12+'Scénario référence'!$B$9*(C42+D42)/0.475*44/12+'Scénario référence'!$B$10*(C42+D42)/0.475*44/12+'Scénario référence'!$F$8*(C42+D42)/0.475*44/12+'Scénario référence'!$F$9*(C42+D42)/0.475*44/12</f>
        <v>349.34116856687268</v>
      </c>
      <c r="H42" s="67">
        <f t="shared" si="1"/>
        <v>372.15343449123395</v>
      </c>
      <c r="I42" s="70">
        <f>('Scénario référence'!$F$8+'Scénario référence'!$F$9+'Scénario référence'!$B$17+'Scénario référence'!$B$9+'Scénario référence'!$B$10)*70+IF((45+25*(1-EXP(-0.0175*A42)))&lt;70,'Scénario référence'!$B$16*(45+25*(1-EXP(-0.0175*A42))),70*'Scénario référence'!$B$16)+IF((32+38*(1-EXP(-0.0175*A42)))&lt;70,'Scénario référence'!$B$18*(32+38*(1-EXP(-0.0175*A42))),70*'Scénario référence'!$B$18)</f>
        <v>70</v>
      </c>
      <c r="J42" s="13">
        <f>IF(A42&gt;30,10,('Scénario référence'!$B$16+'Scénario référence'!$B$17+'Scénario référence'!$B$18+'Scénario référence'!$B$9+'Scénario référence'!$B$10)*A42*10/30+('Scénario référence'!$F$8+'Scénario référence'!$F$9)*10)</f>
        <v>10</v>
      </c>
      <c r="K42" s="12" t="e">
        <f>VLOOKUP(A42,'Données projet'!$A$35:$I$55,2,0)</f>
        <v>#N/A</v>
      </c>
      <c r="L42" s="12" t="e">
        <f>VLOOKUP(A42,'Données projet'!$A$35:$I$55,9,0)</f>
        <v>#N/A</v>
      </c>
      <c r="M42" s="12">
        <f t="array" ref="M42">INDEX(L:L,MIN(IF(ISNUMBER(L42:L238),ROW(L42:L238),"")))</f>
        <v>22.419230769230779</v>
      </c>
      <c r="N42" s="13">
        <f>IF('Données projet'!$A$36&gt;35,N41+M42-V41,IF(A42&lt;'Données projet'!$A$36,$K$205^A42,IF(A42='Données projet'!$A$36,'Données projet'!$B$36,N41+M42-V41)))</f>
        <v>401.46538461538432</v>
      </c>
      <c r="O42" s="13">
        <f>N42*VLOOKUP('Données projet'!$B$9,Paramètres!$A$1:$I$89,3,0)*VLOOKUP('Données projet'!$B$9,Paramètres!$A$1:$I$89,5,0)</f>
        <v>224.41914999999986</v>
      </c>
      <c r="P42" s="13">
        <f t="shared" si="33"/>
        <v>55.074251579267411</v>
      </c>
      <c r="Q42" s="20">
        <f t="shared" si="53"/>
        <v>486.78434108389047</v>
      </c>
      <c r="R42" s="59">
        <f t="shared" si="0"/>
        <v>780.11767441722372</v>
      </c>
      <c r="S42" s="59">
        <f ca="1">AVERAGE(OFFSET($R$3,0,0,'Données projet'!$E$9+1,1))-AVERAGE(OFFSET($H$3,0,0,'Données projet'!$E$9+1,1))</f>
        <v>255.5374979188561</v>
      </c>
      <c r="T42" s="59">
        <f t="shared" si="34"/>
        <v>343.10418468620901</v>
      </c>
      <c r="U42" s="15">
        <f>IF(ISNA(VLOOKUP(A42,'Données projet'!$A$35:$I$55,3,0)),0,VLOOKUP(A42,'Données projet'!$A$35:$I$55,3,0))</f>
        <v>0</v>
      </c>
      <c r="V42" s="15">
        <f>IF(ISNA(VLOOKUP(A42,'Données projet'!$A$35:$I$55,4,0)),0,VLOOKUP(A42,'Données projet'!$A$35:$I$55,4,0))</f>
        <v>0</v>
      </c>
      <c r="W42" s="16">
        <f>IF(ISNA(VLOOKUP(A42,'Données projet'!$A$35:$I$55,5,0)),0%,VLOOKUP(A42,'Données projet'!$A$35:$I$55,5,0)*VLOOKUP('Données projet'!$B$9,Paramètres!$A$1:$I$89,7,0))</f>
        <v>0</v>
      </c>
      <c r="X42" s="16">
        <f>IF(ISNA(VLOOKUP(A42,'Données projet'!$A$35:$I$55,6,0)),0%,VLOOKUP(A42,'Données projet'!$A$35:$I$55,6,0)*VLOOKUP('Données projet'!$B$9,Paramètres!$A$1:$I$89,7,0))</f>
        <v>0</v>
      </c>
      <c r="Y42" s="16">
        <f>IF(ISNA(VLOOKUP(A42,'Données projet'!$A$35:$I$55,7,0)),0%,VLOOKUP(A42,'Données projet'!$A$35:$I$55,7,0))</f>
        <v>0</v>
      </c>
      <c r="Z42" s="21">
        <f>EXP(-LN(2)/35)*Z41+(1-EXP(-LN(2)/35))/(LN(2)/35)*V42*W42*VLOOKUP('Données projet'!$B$9,Paramètres!$A$1:$I$89,3,0)*0.475*44/12</f>
        <v>2.5855712327682125</v>
      </c>
      <c r="AA42" s="21">
        <f>EXP(-LN(2)/25)*AA41+(1-EXP(-LN(2)/25))/(LN(2)/25)*Calculateur!V42*Calculateur!X42*VLOOKUP('Données projet'!$B$9,Paramètres!$A$1:$I$89,3,0)*0.475*44/12</f>
        <v>12.435668596507927</v>
      </c>
      <c r="AB42" s="21">
        <f>EXP(-LN(2)/2)*AB41+(1-EXP(-LN(2)/2))/(LN(2)/2)*V42*Y42*VLOOKUP('Données projet'!$B$9,Paramètres!$A$1:$I$89,3,0)*0.475*44/12</f>
        <v>7.4805360223217557E-2</v>
      </c>
      <c r="AC42" s="22">
        <f t="shared" si="3"/>
        <v>15.096045189499359</v>
      </c>
      <c r="AD42" s="13">
        <f>('Scénario référence'!$F$8+'Scénario référence'!$F$9+'Scénario référence'!$B$17+'Scénario référence'!$B$9+'Scénario référence'!$B$10)*70+IF((45+25*(1-EXP(-0.0175*A42)))&lt;70,'Scénario référence'!$B$16*(45+25*(1-EXP(-0.0175*A42))),70*'Scénario référence'!$B$16)+IF((32+38*(1-EXP(-0.0175*A42)))&lt;70,'Scénario référence'!$B$18*(32+38*(1-EXP(-0.0175*A42))),70*'Scénario référence'!$B$18)</f>
        <v>70</v>
      </c>
      <c r="AE42" s="13">
        <f>IF(A42&gt;30,10,('Scénario référence'!$B$16+'Scénario référence'!$B$17+'Scénario référence'!$B$18+'Scénario référence'!$B$9+'Scénario référence'!$B$10)*A42*10/30+('Scénario référence'!$F$8+'Scénario référence'!$F$9)*10)</f>
        <v>10</v>
      </c>
      <c r="AF42" s="12" t="e">
        <f>VLOOKUP(A42,'Données projet'!$A$61:$I$81,2,0)</f>
        <v>#N/A</v>
      </c>
      <c r="AG42" s="12" t="e">
        <f>VLOOKUP(A42,'Données projet'!$A$61:$I$81,9,0)</f>
        <v>#N/A</v>
      </c>
      <c r="AH42" s="12">
        <f t="array" ref="AH42">INDEX(AG:AG,MIN(IF(ISNUMBER(AG42:AG238),ROW(AG42:AG238),"")))</f>
        <v>15.1</v>
      </c>
      <c r="AI42" s="13">
        <f>IF('Données projet'!$A$62&gt;35,AI41+AH42-AQ41,IF(A42&lt;'Données projet'!$A$62,$AF$205^A42,IF(A42='Données projet'!$A$62,'Données projet'!$B$62,AI41+AH42-AQ41)))</f>
        <v>314.90000000000009</v>
      </c>
      <c r="AJ42" s="13">
        <f>AI42*VLOOKUP('Données projet'!$B$10,Paramètres!$A$1:$I$89,3,0)*VLOOKUP('Données projet'!$B$10,Paramètres!$A$1:$I$89,5,0)</f>
        <v>196.49760000000006</v>
      </c>
      <c r="AK42" s="13">
        <f t="shared" si="35"/>
        <v>48.973656553237205</v>
      </c>
      <c r="AL42" s="20">
        <f t="shared" si="4"/>
        <v>427.5291051635549</v>
      </c>
      <c r="AM42" s="59">
        <f t="shared" si="5"/>
        <v>720.86243849688822</v>
      </c>
      <c r="AN42" s="59">
        <f ca="1">AVERAGE(OFFSET($AM$3,0,0,'Données projet'!$E$10+1,1))-AVERAGE(OFFSET($H$3,0,0,'Données projet'!$E$10+1,1))</f>
        <v>261.78489480911571</v>
      </c>
      <c r="AO42" s="59">
        <f t="shared" si="36"/>
        <v>297.50513563712764</v>
      </c>
      <c r="AP42" s="15">
        <f>IF(ISNA(VLOOKUP(A42,'Données projet'!$A$61:$I$81,3,0)),0,VLOOKUP(A42,'Données projet'!$A$61:$I$81,3,0))</f>
        <v>0</v>
      </c>
      <c r="AQ42" s="15">
        <f>IF(ISNA(VLOOKUP(A42,'Données projet'!$A$61:$I$81,4,0)),0,VLOOKUP(A42,'Données projet'!$A$61:$I$81,4,0))</f>
        <v>0</v>
      </c>
      <c r="AR42" s="16">
        <f>IF(ISNA(VLOOKUP(A42,'Données projet'!$A$61:$I$81,5,0)),0%,VLOOKUP(A42,'Données projet'!$A$61:$I$81,5,0)*VLOOKUP('Données projet'!$B$10,Paramètres!$A$1:$I$89,7,0))</f>
        <v>0</v>
      </c>
      <c r="AS42" s="16">
        <f>IF(ISNA(VLOOKUP(A42,'Données projet'!$A$61:$I$81,6,0)),0%,VLOOKUP(A42,'Données projet'!$A$61:$I$81,6,0)*VLOOKUP('Données projet'!$B$10,Paramètres!$A$1:$I$89,7,0))</f>
        <v>0</v>
      </c>
      <c r="AT42" s="16">
        <f>IF(ISNA(VLOOKUP(A42,'Données projet'!$A$61:$I$81,7,0)),0%,VLOOKUP(A42,'Données projet'!$A$61:$I$81,7,0))</f>
        <v>0</v>
      </c>
      <c r="AU42" s="21">
        <f>EXP(-LN(2)/35)*AU41+(1-EXP(-LN(2)/35))/(LN(2)/35)*AQ42*AR42*VLOOKUP('Données projet'!$B$10,Paramètres!$A$1:$I$89,3,0)*0.475*44/12</f>
        <v>6.9817736537896478</v>
      </c>
      <c r="AV42" s="21">
        <f>EXP(-LN(2)/25)*AV41+(1-EXP(-LN(2)/25))/(LN(2)/25)*Calculateur!AQ42*Calculateur!AS42*VLOOKUP('Données projet'!$B$10,Paramètres!$A$1:$I$89,3,0)*0.475*44/12</f>
        <v>21.715213759346341</v>
      </c>
      <c r="AW42" s="21">
        <f>EXP(-LN(2)/2)*AW41+(1-EXP(-LN(2)/2))/(LN(2)/2)*AQ42*AT42*VLOOKUP('Données projet'!$B$10,Paramètres!$A$1:$I$89,3,0)*0.475*44/12</f>
        <v>1.078390482621217</v>
      </c>
      <c r="AX42" s="21">
        <f t="shared" si="6"/>
        <v>29.775377895757206</v>
      </c>
      <c r="AY42" s="74">
        <f>('Scénario référence'!$F$8+'Scénario référence'!$F$9+'Scénario référence'!$B$17+'Scénario référence'!$B$9+'Scénario référence'!$B$10)*70+IF((45+25*(1-EXP(-0.0175*A42)))&lt;70,'Scénario référence'!$B$16*(45+25*(1-EXP(-0.0175*A42))),70*'Scénario référence'!$B$16)+IF((32+38*(1-EXP(-0.0175*A42)))&lt;70,'Scénario référence'!$B$18*(32+38*(1-EXP(-0.0175*A42))),70*'Scénario référence'!$B$18)</f>
        <v>70</v>
      </c>
      <c r="AZ42" s="12">
        <f>IF(A42&gt;30,10,('Scénario référence'!$B$16+'Scénario référence'!$B$17+'Scénario référence'!$B$18+'Scénario référence'!$B$9+'Scénario référence'!$B$10)*A42*10/30+('Scénario référence'!$F$8+'Scénario référence'!$F$9)*10)</f>
        <v>10</v>
      </c>
      <c r="BA42" s="12" t="e">
        <f>VLOOKUP(A42,'Données projet'!$A$87:$I$107,2,0)</f>
        <v>#N/A</v>
      </c>
      <c r="BB42" s="12" t="e">
        <f>VLOOKUP(A42,'Données projet'!$A$87:$I$107,9,0)</f>
        <v>#N/A</v>
      </c>
      <c r="BC42" s="12">
        <f t="array" ref="BC42">INDEX(BB:BB,MIN(IF(ISNUMBER(BB42:BB238),ROW(BB42:BB238),"")))</f>
        <v>18.2</v>
      </c>
      <c r="BD42" s="12">
        <f>IF('Données projet'!$A$88&gt;35,BD41+BC42-BL41,IF(A42&lt;'Données projet'!$A$88,$BA$205^A42,IF(A42='Données projet'!$A$88,'Données projet'!$B$88,BD41+BC42-BL41)))</f>
        <v>322.79999999999995</v>
      </c>
      <c r="BE42" s="13">
        <f>BD42*VLOOKUP('Données projet'!$B$11,Paramètres!$A$1:$I$89,3,0)*VLOOKUP('Données projet'!$B$11,Paramètres!$A$1:$I$89,5,0)</f>
        <v>193.03440000000001</v>
      </c>
      <c r="BF42" s="13">
        <f t="shared" si="37"/>
        <v>48.210195726438577</v>
      </c>
      <c r="BG42" s="20">
        <f t="shared" si="7"/>
        <v>420.16767089021386</v>
      </c>
      <c r="BH42" s="59">
        <f t="shared" si="8"/>
        <v>713.50100422354717</v>
      </c>
      <c r="BI42" s="59">
        <f ca="1">AVERAGE(OFFSET($BH$3,0,0,'Données projet'!$E$11+1,1))-AVERAGE(OFFSET($H$3,0,0,'Données projet'!$E$11+1,1))</f>
        <v>316.58509520829671</v>
      </c>
      <c r="BJ42" s="59">
        <f t="shared" si="38"/>
        <v>240.71332110643596</v>
      </c>
      <c r="BK42" s="15">
        <f>IF(ISNA(VLOOKUP(A42,'Données projet'!$A$87:$I$107,3,0)),0,VLOOKUP(A42,'Données projet'!$A$87:$I$107,3,0))</f>
        <v>0</v>
      </c>
      <c r="BL42" s="15">
        <f>IF(ISNA(VLOOKUP(A42,'Données projet'!$A$87:$I$107,4,0)),0,VLOOKUP(A42,'Données projet'!$A$87:$I$107,4,0))</f>
        <v>0</v>
      </c>
      <c r="BM42" s="16">
        <f>IF(ISNA(VLOOKUP(A42,'Données projet'!$A$87:$I$107,5,0)),0%,VLOOKUP(A42,'Données projet'!$A$87:$I$107,5,0)*VLOOKUP('Données projet'!$B$11,Paramètres!$A$1:$I$89,7,0))</f>
        <v>0</v>
      </c>
      <c r="BN42" s="16">
        <f>IF(ISNA(VLOOKUP(A42,'Données projet'!$A$87:$I$107,6,0)),0%,VLOOKUP(A42,'Données projet'!$A$87:$I$107,6,0)*VLOOKUP('Données projet'!$B$11,Paramètres!$A$1:$I$89,7,0))</f>
        <v>0</v>
      </c>
      <c r="BO42" s="16">
        <f>IF(ISNA(VLOOKUP(A42,'Données projet'!$A$87:$I$107,7,0)),0%,VLOOKUP(A42,'Données projet'!$A$87:$I$107,7,0))</f>
        <v>0</v>
      </c>
      <c r="BP42" s="21">
        <f>EXP(-LN(2)/35)*BP41+(1-EXP(-LN(2)/35))/(LN(2)/35)*BL42*BM42*VLOOKUP('Données projet'!$B$11,Paramètres!$A$1:$I$89,3,0)*0.475*44/12</f>
        <v>2.1207656950592453</v>
      </c>
      <c r="BQ42" s="21">
        <f>EXP(-LN(2)/25)*BQ41+(1-EXP(-LN(2)/25))/(LN(2)/25)*Calculateur!BL42*Calculateur!BN42*VLOOKUP('Données projet'!$B$11,Paramètres!$A$1:$I$89,3,0)*0.475*44/12</f>
        <v>11.896227705540129</v>
      </c>
      <c r="BR42" s="21">
        <f>EXP(-LN(2)/2)*BR41+(1-EXP(-LN(2)/2))/(LN(2)/2)*BL42*BO42*VLOOKUP('Données projet'!$B$11,Paramètres!$A$1:$I$89,3,0)*0.475*44/12</f>
        <v>0.9695911412296655</v>
      </c>
      <c r="BS42" s="22">
        <f t="shared" si="9"/>
        <v>14.986584541829041</v>
      </c>
      <c r="BT42" s="75">
        <f>('Scénario référence'!$F$8+'Scénario référence'!$F$9+'Scénario référence'!$B$17+'Scénario référence'!$B$9+'Scénario référence'!$B$10)*70+IF((45+25*(1-EXP(-0.0175*A42)))&lt;70,'Scénario référence'!$B$16*(45+25*(1-EXP(-0.0175*A42))),70*'Scénario référence'!$B$16)+IF((32+38*(1-EXP(-0.0175*A42)))&lt;70,'Scénario référence'!$B$18*(32+38*(1-EXP(-0.0175*A42))),70*'Scénario référence'!$B$18)</f>
        <v>70</v>
      </c>
      <c r="BU42" s="12">
        <f>IF(A42&gt;30,10,('Scénario référence'!$B$16+'Scénario référence'!$B$17+'Scénario référence'!$B$18+'Scénario référence'!$B$9+'Scénario référence'!$B$10)*A42*10/30+('Scénario référence'!$F$8+'Scénario référence'!$F$9)*10)</f>
        <v>10</v>
      </c>
      <c r="BV42" s="12" t="e">
        <f>VLOOKUP(A42,'Données projet'!$A$113:$I$133,2,0)</f>
        <v>#N/A</v>
      </c>
      <c r="BW42" s="12" t="e">
        <f>VLOOKUP(A42,'Données projet'!$A$113:$I$133,9,0)</f>
        <v>#N/A</v>
      </c>
      <c r="BX42" s="12">
        <f t="array" ref="BX42">INDEX(BW:BW,MIN(IF(ISNUMBER(BW42:BW238),ROW(BW42:BW238),"")))</f>
        <v>13.6</v>
      </c>
      <c r="BY42" s="12">
        <f>IF('Données projet'!$A$114&gt;35,BY41+BX42-CG41,IF(A42&lt;'Données projet'!$A$114,$BV$205^A42,IF(A42='Données projet'!$A$114,'Données projet'!$B$114,BY41+BX42-CG41)))</f>
        <v>267.39999999999986</v>
      </c>
      <c r="BZ42" s="13">
        <f>BY42*VLOOKUP('Données projet'!$B$12,Paramètres!$A$1:$I$89,3,0)*VLOOKUP('Données projet'!$B$12,Paramètres!$A$1:$I$89,5,0)</f>
        <v>152.95279999999991</v>
      </c>
      <c r="CA42" s="13">
        <f t="shared" si="39"/>
        <v>39.248856795505397</v>
      </c>
      <c r="CB42" s="20">
        <f t="shared" si="10"/>
        <v>334.75121891883833</v>
      </c>
      <c r="CC42" s="59">
        <f t="shared" si="11"/>
        <v>628.08455225217165</v>
      </c>
      <c r="CD42" s="59">
        <f ca="1">AVERAGE(OFFSET($CC$3,0,0,'Données projet'!$E$12+1,1))-AVERAGE(OFFSET($H$3,0,0,'Données projet'!$E$12+1,1))</f>
        <v>188.64374818906128</v>
      </c>
      <c r="CE42" s="59">
        <f t="shared" si="40"/>
        <v>211.95157880548652</v>
      </c>
      <c r="CF42" s="15">
        <f>IF(ISNA(VLOOKUP(A42,'Données projet'!$A$113:$I$133,3,0)),0,VLOOKUP(A42,'Données projet'!$A$113:$I$133,3,0))</f>
        <v>0</v>
      </c>
      <c r="CG42" s="15">
        <f>IF(ISNA(VLOOKUP(A42,'Données projet'!$A$113:$I$133,4,0)),0,VLOOKUP(A42,'Données projet'!$A$113:$I$133,4,0))</f>
        <v>0</v>
      </c>
      <c r="CH42" s="16">
        <f>IF(ISNA(VLOOKUP(A42,'Données projet'!$A$113:$I$133,5,0)),0%,VLOOKUP(A42,'Données projet'!$A$113:$I$133,5,0)*VLOOKUP('Données projet'!$B$12,Paramètres!$A$1:$I$89,7,0))</f>
        <v>0</v>
      </c>
      <c r="CI42" s="16">
        <f>IF(ISNA(VLOOKUP(A42,'Données projet'!$A$113:$I$133,6,0)),0%,VLOOKUP(A42,'Données projet'!$A$113:$I$133,6,0)*VLOOKUP('Données projet'!$B$12,Paramètres!$A$1:$I$89,7,0))</f>
        <v>0</v>
      </c>
      <c r="CJ42" s="16">
        <f>IF(ISNA(VLOOKUP(A42,'Données projet'!$A$113:$I$133,7,0)),0%,VLOOKUP(A42,'Données projet'!$A$113:$I$133,7,0))</f>
        <v>0</v>
      </c>
      <c r="CK42" s="21">
        <f>EXP(-LN(2)/35)*CK41+(1-EXP(-LN(2)/35))/(LN(2)/35)*CG42*CH42*VLOOKUP('Données projet'!$B$12,Paramètres!$A$1:$I$89,3,0)*0.475*44/12</f>
        <v>2.0571297372773074</v>
      </c>
      <c r="CL42" s="21">
        <f>EXP(-LN(2)/25)*CL41+(1-EXP(-LN(2)/25))/(LN(2)/25)*Calculateur!CG42*Calculateur!CI42*VLOOKUP('Données projet'!$B$12,Paramètres!$A$1:$I$89,3,0)*0.475*44/12</f>
        <v>11.196998868019403</v>
      </c>
      <c r="CM42" s="21">
        <f>EXP(-LN(2)/2)*CM41+(1-EXP(-LN(2)/2))/(LN(2)/2)*CG42*CJ42*VLOOKUP('Données projet'!$B$12,Paramètres!$A$1:$I$89,3,0)*0.475*44/12</f>
        <v>0.9389731583433838</v>
      </c>
      <c r="CN42" s="22">
        <f t="shared" si="12"/>
        <v>14.193101763640094</v>
      </c>
      <c r="CO42" s="75">
        <f>('Scénario référence'!$F$8+'Scénario référence'!$F$9+'Scénario référence'!$B$17+'Scénario référence'!$B$9+'Scénario référence'!$B$10)*70+IF((45+25*(1-EXP(-0.0175*A42)))&lt;70,'Scénario référence'!$B$16*(45+25*(1-EXP(-0.0175*A42))),70*'Scénario référence'!$B$16)+IF((32+38*(1-EXP(-0.0175*A42)))&lt;70,'Scénario référence'!$B$18*(32+38*(1-EXP(-0.0175*A42))),70*'Scénario référence'!$B$18)</f>
        <v>70</v>
      </c>
      <c r="CP42" s="12">
        <f>IF(A42&gt;30,10,('Scénario référence'!$B$16+'Scénario référence'!$B$17+'Scénario référence'!$B$18+'Scénario référence'!$B$9+'Scénario référence'!$B$10)*A42*10/30+('Scénario référence'!$F$8+'Scénario référence'!$F$9)*10)</f>
        <v>10</v>
      </c>
      <c r="CQ42" s="12" t="e">
        <f>VLOOKUP(A42,'Données projet'!$A$139:$I$159,2,0)</f>
        <v>#N/A</v>
      </c>
      <c r="CR42" s="12" t="e">
        <f>VLOOKUP(A42,'Données projet'!$A$139:$I$159,9,0)</f>
        <v>#N/A</v>
      </c>
      <c r="CS42" s="12">
        <f t="array" ref="CS42">INDEX(CR:CR,MIN(IF(ISNUMBER(CR42:CR238),ROW(CR42:CR238),"")))</f>
        <v>0</v>
      </c>
      <c r="CT42" s="12">
        <f>IF('Données projet'!$A$140&gt;35,CT41+CS42-DB41,IF(A42&lt;'Données projet'!$A$140,$CQ$205^A42,IF(A42='Données projet'!$A$140,'Données projet'!$B$140,CT41+CS42-DB41)))</f>
        <v>0</v>
      </c>
      <c r="CU42" s="17" t="e">
        <f>CT42*VLOOKUP('Données projet'!$B$13,Paramètres!$A$1:$I$89,3,0)*VLOOKUP('Données projet'!$B$13,Paramètres!$A$1:$I$89,5,0)</f>
        <v>#N/A</v>
      </c>
      <c r="CV42" s="13" t="e">
        <f t="shared" si="41"/>
        <v>#N/A</v>
      </c>
      <c r="CW42" s="20" t="e">
        <f t="shared" si="13"/>
        <v>#N/A</v>
      </c>
      <c r="CX42" s="59" t="e">
        <f t="shared" si="14"/>
        <v>#N/A</v>
      </c>
      <c r="CY42" s="59" t="e">
        <f ca="1">AVERAGE(OFFSET($CX$3,0,0,'Données projet'!$E$13+1,1))-AVERAGE(OFFSET($H$3,0,0,'Données projet'!$E$13+1,1))</f>
        <v>#N/A</v>
      </c>
      <c r="CZ42" s="59" t="e">
        <f t="shared" si="42"/>
        <v>#N/A</v>
      </c>
      <c r="DA42" s="15">
        <f>IF(ISNA(VLOOKUP(A42,'Données projet'!$A$139:$I$159,3,0)),0,VLOOKUP(A42,'Données projet'!$A$139:$I$159,3,0))</f>
        <v>0</v>
      </c>
      <c r="DB42" s="15">
        <f>IF(ISNA(VLOOKUP(A42,'Données projet'!$A$139:$I$159,4,0)),0,VLOOKUP(A42,'Données projet'!$A$139:$I$159,4,0))</f>
        <v>0</v>
      </c>
      <c r="DC42" s="16">
        <f>IF(ISNA(VLOOKUP(A42,'Données projet'!$A$139:$I$159,5,0)),0%,VLOOKUP(A42,'Données projet'!$A$139:$I$159,5,0)*VLOOKUP('Données projet'!$B$13,Paramètres!$A$1:$I$89,7,0))</f>
        <v>0</v>
      </c>
      <c r="DD42" s="16">
        <f>IF(ISNA(VLOOKUP(A42,'Données projet'!$A$139:$I$159,6,0)),0%,VLOOKUP(A42,'Données projet'!$A$139:$I$159,6,0)*VLOOKUP('Données projet'!$B$13,Paramètres!$A$1:$I$89,7,0))</f>
        <v>0</v>
      </c>
      <c r="DE42" s="16">
        <f>IF(ISNA(VLOOKUP(A42,'Données projet'!$A$139:$I$159,7,0)),0%,VLOOKUP(A42,'Données projet'!$A$139:$I$159,7,0))</f>
        <v>0</v>
      </c>
      <c r="DF42" s="21" t="e">
        <f>EXP(-LN(2)/35)*DF41+(1-EXP(-LN(2)/35))/(LN(2)/35)*DB42*DC42*VLOOKUP('Données projet'!$B$13,Paramètres!$A$1:$I$89,3,0)*0.475*44/12</f>
        <v>#N/A</v>
      </c>
      <c r="DG42" s="21" t="e">
        <f>EXP(-LN(2)/25)*DG41+(1-EXP(-LN(2)/25))/(LN(2)/25)*Calculateur!DB42*Calculateur!DD42*VLOOKUP('Données projet'!$B$13,Paramètres!$A$1:$I$89,3,0)*0.475*44/12</f>
        <v>#N/A</v>
      </c>
      <c r="DH42" s="21" t="e">
        <f>EXP(-LN(2)/2)*DH41+(1-EXP(-LN(2)/2))/(LN(2)/2)*DB42*DE42*VLOOKUP('Données projet'!$B$13,Paramètres!$A$1:$I$89,3,0)*0.475*44/12</f>
        <v>#N/A</v>
      </c>
      <c r="DI42" s="22" t="e">
        <f t="shared" si="15"/>
        <v>#N/A</v>
      </c>
      <c r="DJ42" s="75">
        <f>('Scénario référence'!$F$8+'Scénario référence'!$F$9+'Scénario référence'!$B$17+'Scénario référence'!$B$9+'Scénario référence'!$B$10)*70+IF((45+25*(1-EXP(-0.0175*A42)))&lt;70,'Scénario référence'!$B$16*(45+25*(1-EXP(-0.0175*A42))),70*'Scénario référence'!$B$16)+IF((32+38*(1-EXP(-0.0175*A42)))&lt;70,'Scénario référence'!$B$18*(32+38*(1-EXP(-0.0175*A42))),70*'Scénario référence'!$B$18)</f>
        <v>70</v>
      </c>
      <c r="DK42" s="12">
        <f>IF(A42&gt;30,10,('Scénario référence'!$B$16+'Scénario référence'!$B$17+'Scénario référence'!$B$18+'Scénario référence'!$B$9+'Scénario référence'!$B$10)*A42*10/30+('Scénario référence'!$F$8+'Scénario référence'!$F$9)*10)</f>
        <v>10</v>
      </c>
      <c r="DL42" s="12" t="e">
        <f>VLOOKUP(A42,'Données projet'!$A$165:$I$185,2,0)</f>
        <v>#N/A</v>
      </c>
      <c r="DM42" s="12" t="e">
        <f>VLOOKUP(A42,'Données projet'!$A$165:$I$185,9,0)</f>
        <v>#N/A</v>
      </c>
      <c r="DN42" s="12">
        <f t="array" ref="DN42">INDEX(DM:DM,MIN(IF(ISNUMBER(DM42:DM238),ROW(DM42:DM238),"")))</f>
        <v>9.1999999999999993</v>
      </c>
      <c r="DO42" s="12">
        <f>IF('Données projet'!$A$166&gt;35,DO41+DN42-DW41,IF(A42&lt;'Données projet'!$A$166,$DL$205^A42,IF(A42='Données projet'!$A$166,'Données projet'!$B$166,DO41+DN42-DW41)))</f>
        <v>242.7999999999999</v>
      </c>
      <c r="DP42" s="17">
        <f>DO42*VLOOKUP('Données projet'!$B$14,Paramètres!$A$1:$I$89,3,0)*VLOOKUP('Données projet'!$B$14,Paramètres!$A$1:$I$89,5,0)</f>
        <v>159.08255999999994</v>
      </c>
      <c r="DQ42" s="13">
        <f t="shared" si="43"/>
        <v>40.635515049195867</v>
      </c>
      <c r="DR42" s="20">
        <f t="shared" si="16"/>
        <v>347.84231404401606</v>
      </c>
      <c r="DS42" s="59">
        <f t="shared" si="17"/>
        <v>641.17564737734938</v>
      </c>
      <c r="DT42" s="59">
        <f ca="1">AVERAGE(OFFSET($DS$3,0,0,'Données projet'!$E$14+1,1))-AVERAGE(OFFSET($H$3,0,0,'Données projet'!$E$14+1,1))</f>
        <v>188.68915783955595</v>
      </c>
      <c r="DU42" s="59">
        <f t="shared" si="44"/>
        <v>240.82467772396944</v>
      </c>
      <c r="DV42" s="15">
        <f>IF(ISNA(VLOOKUP(A42,'Données projet'!$A$165:$I$185,3,0)),0,VLOOKUP(A42,'Données projet'!$A$165:$I$185,3,0))</f>
        <v>0</v>
      </c>
      <c r="DW42" s="15">
        <f>IF(ISNA(VLOOKUP(A42,'Données projet'!$A$165:$I$185,4,0)),0,VLOOKUP(A42,'Données projet'!$A$165:$I$185,4,0))</f>
        <v>0</v>
      </c>
      <c r="DX42" s="16">
        <f>IF(ISNA(VLOOKUP(A42,'Données projet'!$A$165:$I$185,5,0)),0%,VLOOKUP(A42,'Données projet'!$A$165:$I$185,5,0)*VLOOKUP('Données projet'!$B$14,Paramètres!$A$1:$I$89,7,0))</f>
        <v>0</v>
      </c>
      <c r="DY42" s="16">
        <f>IF(ISNA(VLOOKUP(A42,'Données projet'!$A$165:$I$185,6,0)),0%,VLOOKUP(A42,'Données projet'!$A$165:$I$185,6,0)*VLOOKUP('Données projet'!$B$14,Paramètres!$A$1:$I$89,7,0))</f>
        <v>0</v>
      </c>
      <c r="DZ42" s="16">
        <f>IF(ISNA(VLOOKUP(A42,'Données projet'!$A$165:$I$185,7,0)),0%,VLOOKUP(A42,'Données projet'!$A$165:$I$185,7,0))</f>
        <v>0</v>
      </c>
      <c r="EA42" s="21">
        <f>EXP(-LN(2)/35)*EA41+(1-EXP(-LN(2)/35))/(LN(2)/35)*DW42*DX42*VLOOKUP('Données projet'!$B$14,Paramètres!$A$1:$I$89,3,0)*0.475*44/12</f>
        <v>1.303021992677756</v>
      </c>
      <c r="EB42" s="21">
        <f>EXP(-LN(2)/25)*EB41+(1-EXP(-LN(2)/25))/(LN(2)/25)*Calculateur!DW42*Calculateur!DY42*VLOOKUP('Données projet'!$B$14,Paramètres!$A$1:$I$89,3,0)*0.475*44/12</f>
        <v>6.2629476762303478</v>
      </c>
      <c r="EC42" s="21">
        <f>EXP(-LN(2)/2)*EC41+(1-EXP(-LN(2)/2))/(LN(2)/2)*DW42*DZ42*VLOOKUP('Données projet'!$B$14,Paramètres!$A$1:$I$89,3,0)*0.475*44/12</f>
        <v>0.61855968745628631</v>
      </c>
      <c r="ED42" s="22">
        <f t="shared" si="18"/>
        <v>8.1845293563643899</v>
      </c>
      <c r="EE42" s="75">
        <f>('Scénario référence'!$F$8+'Scénario référence'!$F$9+'Scénario référence'!$B$17+'Scénario référence'!$B$9+'Scénario référence'!$B$10)*70+IF((45+25*(1-EXP(-0.0175*A42)))&lt;70,'Scénario référence'!$B$16*(45+25*(1-EXP(-0.0175*A42))),70*'Scénario référence'!$B$16)+IF((32+38*(1-EXP(-0.0175*A42)))&lt;70,'Scénario référence'!$B$18*(32+38*(1-EXP(-0.0175*A42))),70*'Scénario référence'!$B$18)</f>
        <v>70</v>
      </c>
      <c r="EF42" s="12">
        <f>IF(A42&gt;30,10,('Scénario référence'!$B$16+'Scénario référence'!$B$17+'Scénario référence'!$B$18+'Scénario référence'!$B$9+'Scénario référence'!$B$10)*A42*10/30+('Scénario référence'!$F$8+'Scénario référence'!$F$9)*10)</f>
        <v>10</v>
      </c>
      <c r="EG42" s="12" t="e">
        <f>VLOOKUP(A42,'Données projet'!$A$191:$I$211,2,0)</f>
        <v>#N/A</v>
      </c>
      <c r="EH42" s="12" t="e">
        <f>VLOOKUP(A42,'Données projet'!$A$191:$I$211,9,0)</f>
        <v>#N/A</v>
      </c>
      <c r="EI42" s="12">
        <f t="array" ref="EI42">INDEX(EH:EH,MIN(IF(ISNUMBER(EH42:EH238),ROW(EH42:EH238),"")))</f>
        <v>7.2</v>
      </c>
      <c r="EJ42" s="12">
        <f>IF('Données projet'!$A$192&gt;35,EJ41+EI42-ER41,IF(A42&lt;'Données projet'!$A$192,$EG$205^A42,IF(A42='Données projet'!$A$192,'Données projet'!$B$192,EJ41+EI42-ER41)))</f>
        <v>173.79999999999993</v>
      </c>
      <c r="EK42" s="17">
        <f>EJ42*VLOOKUP('Données projet'!$B$15,Paramètres!$A$1:$I$89,3,0)*VLOOKUP('Données projet'!$B$15,Paramètres!$A$1:$I$89,5,0)</f>
        <v>140.98655999999994</v>
      </c>
      <c r="EL42" s="13">
        <f t="shared" si="45"/>
        <v>36.522920087836972</v>
      </c>
      <c r="EM42" s="20">
        <f t="shared" si="19"/>
        <v>309.16234448631593</v>
      </c>
      <c r="EN42" s="59">
        <f t="shared" si="20"/>
        <v>602.49567781964925</v>
      </c>
      <c r="EO42" s="59">
        <f ca="1">AVERAGE(OFFSET($EN$3,0,0,'Données projet'!$E$15+1,1))-AVERAGE(OFFSET($H$3,0,0,'Données projet'!$E$15+1,1))</f>
        <v>205.5272583787887</v>
      </c>
      <c r="EP42" s="59">
        <f t="shared" si="46"/>
        <v>180.54762778843178</v>
      </c>
      <c r="EQ42" s="15">
        <f>IF(ISNA(VLOOKUP(A42,'Données projet'!$A$191:$I$211,3,0)),0,VLOOKUP(A42,'Données projet'!$A$191:$I$211,3,0))</f>
        <v>0</v>
      </c>
      <c r="ER42" s="15">
        <f>IF(ISNA(VLOOKUP(A42,'Données projet'!$A$191:$I$211,4,0)),0,VLOOKUP(A42,'Données projet'!$A$191:$I$211,4,0))</f>
        <v>0</v>
      </c>
      <c r="ES42" s="16">
        <f>IF(ISNA(VLOOKUP(A42,'Données projet'!$A$191:$I$211,5,0)),0%,VLOOKUP(A42,'Données projet'!$A$191:$I$211,5,0)*VLOOKUP('Données projet'!$B$15,Paramètres!$A$1:$I$89,7,0))</f>
        <v>0</v>
      </c>
      <c r="ET42" s="16">
        <f>IF(ISNA(VLOOKUP(A42,'Données projet'!$A$191:$I$211,6,0)),0%,VLOOKUP(A42,'Données projet'!$A$191:$I$211,6,0)*VLOOKUP('Données projet'!$B$15,Paramètres!$A$1:$I$89,7,0))</f>
        <v>0</v>
      </c>
      <c r="EU42" s="16">
        <f>IF(ISNA(VLOOKUP(A42,'Données projet'!$A$191:$I$211,7,0)),0%,VLOOKUP(A42,'Données projet'!$A$191:$I$211,7,0))</f>
        <v>0</v>
      </c>
      <c r="EV42" s="21">
        <f>EXP(-LN(2)/35)*EV41+(1-EXP(-LN(2)/35))/(LN(2)/35)*ER42*ES42*VLOOKUP('Données projet'!$B$15,Paramètres!$A$1:$I$89,3,0)*0.475*44/12</f>
        <v>0.83889796861920285</v>
      </c>
      <c r="EW42" s="21">
        <f>EXP(-LN(2)/25)*EW41+(1-EXP(-LN(2)/25))/(LN(2)/25)*Calculateur!ER42*Calculateur!ET42*VLOOKUP('Données projet'!$B$15,Paramètres!$A$1:$I$89,3,0)*0.475*44/12</f>
        <v>4.5220382147990561</v>
      </c>
      <c r="EX42" s="21">
        <f>EXP(-LN(2)/2)*EX41+(1-EXP(-LN(2)/2))/(LN(2)/2)*ER42*EU42*VLOOKUP('Données projet'!$B$15,Paramètres!$A$1:$I$89,3,0)*0.475*44/12</f>
        <v>0.40051785500718817</v>
      </c>
      <c r="EY42" s="22">
        <f t="shared" si="21"/>
        <v>5.7614540384254473</v>
      </c>
      <c r="EZ42" s="75">
        <f>('Scénario référence'!$F$8+'Scénario référence'!$F$9+'Scénario référence'!$B$17+'Scénario référence'!$B$9+'Scénario référence'!$B$10)*70+IF((45+25*(1-EXP(-0.0175*A42)))&lt;70,'Scénario référence'!$B$16*(45+25*(1-EXP(-0.0175*A42))),70*'Scénario référence'!$B$16)+IF((32+38*(1-EXP(-0.0175*A42)))&lt;70,'Scénario référence'!$B$18*(32+38*(1-EXP(-0.0175*A42))),70*'Scénario référence'!$B$18)</f>
        <v>70</v>
      </c>
      <c r="FA42" s="12">
        <f>IF(A42&gt;30,10,('Scénario référence'!$B$16+'Scénario référence'!$B$17+'Scénario référence'!$B$18+'Scénario référence'!$B$9+'Scénario référence'!$B$10)*A42*10/30+('Scénario référence'!$F$8+'Scénario référence'!$F$9)*10)</f>
        <v>10</v>
      </c>
      <c r="FB42" s="12" t="e">
        <f>VLOOKUP(A42,'Données projet'!$A$217:$I$237,2,0)</f>
        <v>#N/A</v>
      </c>
      <c r="FC42" s="12" t="e">
        <f>VLOOKUP(A42,'Données projet'!$A$217:$I$237,9,0)</f>
        <v>#N/A</v>
      </c>
      <c r="FD42" s="12">
        <f t="array" ref="FD42">INDEX(FC:FC,MIN(IF(ISNUMBER(FC42:FC238),ROW(FC42:FC238),"")))</f>
        <v>12.3</v>
      </c>
      <c r="FE42" s="12">
        <f>IF('Données projet'!$A$218&gt;35,FE41+FD42-FM41,IF(A42&lt;'Données projet'!$A$218,$FB$205^A42,IF(A42='Données projet'!$A$218,'Données projet'!$B$218,FE41+FD42-FM41)))</f>
        <v>209.70000000000005</v>
      </c>
      <c r="FF42" s="17">
        <f>FE42*VLOOKUP('Données projet'!$B$16,Paramètres!$A$1:$I$89,3,0)*VLOOKUP('Données projet'!$B$16,Paramètres!$A$1:$I$89,5,0)</f>
        <v>179.92260000000007</v>
      </c>
      <c r="FG42" s="13">
        <f t="shared" si="47"/>
        <v>45.304965661555862</v>
      </c>
      <c r="FH42" s="20">
        <f t="shared" si="22"/>
        <v>392.27134352720986</v>
      </c>
      <c r="FI42" s="59">
        <f t="shared" si="23"/>
        <v>685.60467686054312</v>
      </c>
      <c r="FJ42" s="59">
        <f ca="1">AVERAGE(OFFSET($FI$3,0,0,'Données projet'!$E$16+1,1))-AVERAGE(OFFSET($H$3,0,0,'Données projet'!$E$16+1,1))</f>
        <v>383.97627237444709</v>
      </c>
      <c r="FK42" s="59">
        <f t="shared" si="48"/>
        <v>203.35476578922339</v>
      </c>
      <c r="FL42" s="15">
        <f>IF(ISNA(VLOOKUP(A42,'Données projet'!$A$217:$I$237,3,0)),0,VLOOKUP(A42,'Données projet'!$A$217:$I$237,3,0))</f>
        <v>0</v>
      </c>
      <c r="FM42" s="15">
        <f>IF(ISNA(VLOOKUP(A42,'Données projet'!$A$217:$I$237,4,0)),0,VLOOKUP(A42,'Données projet'!$A$217:$I$237,4,0))</f>
        <v>0</v>
      </c>
      <c r="FN42" s="16">
        <f>IF(ISNA(VLOOKUP(A42,'Données projet'!$A$217:$I$237,5,0)),0%,VLOOKUP(A42,'Données projet'!$A$217:$I$237,5,0)*VLOOKUP('Données projet'!$B$16,Paramètres!$A$1:$I$89,7,0))</f>
        <v>0</v>
      </c>
      <c r="FO42" s="16">
        <f>IF(ISNA(VLOOKUP(A42,'Données projet'!$A$217:$I$237,6,0)),0%,VLOOKUP(A42,'Données projet'!$A$217:$I$237,6,0)*VLOOKUP('Données projet'!$B$16,Paramètres!$A$1:$I$89,7,0))</f>
        <v>0</v>
      </c>
      <c r="FP42" s="16">
        <f>IF(ISNA(VLOOKUP(A42,'Données projet'!$A$217:$I$237,7,0)),0%,VLOOKUP(A42,'Données projet'!$A$217:$I$237,7,0))</f>
        <v>0</v>
      </c>
      <c r="FQ42" s="21">
        <f>EXP(-LN(2)/35)*FQ41+(1-EXP(-LN(2)/35))/(LN(2)/35)*FM42*FN42*VLOOKUP('Données projet'!$B$16,Paramètres!$A$1:$I$89,3,0)*0.475*44/12</f>
        <v>4.3114804389502224</v>
      </c>
      <c r="FR42" s="21">
        <f>EXP(-LN(2)/25)*FR41+(1-EXP(-LN(2)/25))/(LN(2)/25)*Calculateur!FM42*Calculateur!FO42*VLOOKUP('Données projet'!$B$16,Paramètres!$A$1:$I$89,3,0)*0.475*44/12</f>
        <v>4.5903361850906022</v>
      </c>
      <c r="FS42" s="21">
        <f>EXP(-LN(2)/2)*FS41+(1-EXP(-LN(2)/2))/(LN(2)/2)*FM42*FP42*VLOOKUP('Données projet'!$B$16,Paramètres!$A$1:$I$89,3,0)*0.475*44/12</f>
        <v>0.73566910148355213</v>
      </c>
      <c r="FT42" s="22">
        <f t="shared" si="24"/>
        <v>9.6374857255243764</v>
      </c>
      <c r="FU42" s="75">
        <f>('Scénario référence'!$F$8+'Scénario référence'!$F$9+'Scénario référence'!$B$17+'Scénario référence'!$B$9+'Scénario référence'!$B$10)*70+IF((45+25*(1-EXP(-0.0175*A42)))&lt;70,'Scénario référence'!$B$16*(45+25*(1-EXP(-0.0175*A42))),70*'Scénario référence'!$B$16)+IF((32+38*(1-EXP(-0.0175*A42)))&lt;70,'Scénario référence'!$B$18*(32+38*(1-EXP(-0.0175*A42))),70*'Scénario référence'!$B$18)</f>
        <v>70</v>
      </c>
      <c r="FV42" s="12">
        <f>IF(A42&gt;30,10,('Scénario référence'!$B$16+'Scénario référence'!$B$17+'Scénario référence'!$B$18+'Scénario référence'!$B$9+'Scénario référence'!$B$10)*A42*10/30+('Scénario référence'!$F$8+'Scénario référence'!$F$9)*10)</f>
        <v>10</v>
      </c>
      <c r="FW42" s="12" t="e">
        <f>VLOOKUP(A42,'Données projet'!$A$243:$I$263,2,0)</f>
        <v>#N/A</v>
      </c>
      <c r="FX42" s="12" t="e">
        <f>VLOOKUP(A42,'Données projet'!$A$243:$I$263,9,0)</f>
        <v>#N/A</v>
      </c>
      <c r="FY42" s="12">
        <f t="array" ref="FY42">INDEX(FX:FX,MIN(IF(ISNUMBER(FX42:FX238),ROW(FX42:FX238),"")))</f>
        <v>9.3141025641025674</v>
      </c>
      <c r="FZ42" s="12">
        <f>IF('Données projet'!$A$244&gt;35,FZ41+FY42-GH41,IF(A42&lt;'Données projet'!$A$244,$FW$205^A42,IF(A42='Données projet'!$A$244,'Données projet'!$B$244,FZ41+FY42-GH41)))</f>
        <v>138.82051282051282</v>
      </c>
      <c r="GA42" s="17">
        <f>FZ42*VLOOKUP('Données projet'!$B$17,Paramètres!$A$1:$I$89,3,0)*VLOOKUP('Données projet'!$B$17,Paramètres!$A$1:$I$89,5,0)</f>
        <v>149.4264</v>
      </c>
      <c r="GB42" s="13">
        <f t="shared" si="49"/>
        <v>38.448203910330356</v>
      </c>
      <c r="GC42" s="20">
        <f t="shared" si="25"/>
        <v>327.21493514382536</v>
      </c>
      <c r="GD42" s="59">
        <f t="shared" si="26"/>
        <v>620.54826847715867</v>
      </c>
      <c r="GE42" s="59">
        <f ca="1">AVERAGE(OFFSET($GD$3,0,0,'Données projet'!$E$17+1,1))-AVERAGE(OFFSET($H$3,0,0,'Données projet'!$E$17+1,1))</f>
        <v>286.77702855541287</v>
      </c>
      <c r="GF42" s="59">
        <f t="shared" si="50"/>
        <v>227.12211541860779</v>
      </c>
      <c r="GG42" s="15">
        <f>IF(ISNA(VLOOKUP(A42,'Données projet'!$A$243:$I$263,3,0)),0,VLOOKUP(A42,'Données projet'!$A$243:$I$263,3,0))</f>
        <v>0</v>
      </c>
      <c r="GH42" s="15">
        <f>IF(ISNA(VLOOKUP(A42,'Données projet'!$A$243:$I$263,4,0)),0,VLOOKUP(A42,'Données projet'!$A$243:$I$263,4,0))</f>
        <v>0</v>
      </c>
      <c r="GI42" s="16">
        <f>IF(ISNA(VLOOKUP(A42,'Données projet'!$A$243:$I$263,5,0)),0%,VLOOKUP(A42,'Données projet'!$A$243:$I$263,5,0)*VLOOKUP('Données projet'!$B$17,Paramètres!$A$1:$I$89,7,0))</f>
        <v>0</v>
      </c>
      <c r="GJ42" s="16">
        <f>IF(ISNA(VLOOKUP(A42,'Données projet'!$A$243:$I$263,6,0)),0%,VLOOKUP(A42,'Données projet'!$A$243:$I$263,6,0)*VLOOKUP('Données projet'!$B$17,Paramètres!$A$1:$I$89,7,0))</f>
        <v>0</v>
      </c>
      <c r="GK42" s="16">
        <f>IF(ISNA(VLOOKUP(A42,'Données projet'!$A$243:$I$263,7,0)),0%,VLOOKUP(A42,'Données projet'!$A$243:$I$263,7,0))</f>
        <v>0</v>
      </c>
      <c r="GL42" s="21">
        <f>EXP(-LN(2)/35)*GL41+(1-EXP(-LN(2)/35))/(LN(2)/35)*GH42*GI42*VLOOKUP('Données projet'!$B$17,Paramètres!$A$1:$I$89,3,0)*0.475*44/12</f>
        <v>0</v>
      </c>
      <c r="GM42" s="21">
        <f>EXP(-LN(2)/25)*GM41+(1-EXP(-LN(2)/25))/(LN(2)/25)*Calculateur!GH42*Calculateur!GJ42*VLOOKUP('Données projet'!$B$17,Paramètres!$A$1:$I$89,3,0)*0.475*44/12</f>
        <v>0</v>
      </c>
      <c r="GN42" s="21">
        <f>EXP(-LN(2)/2)*GN41+(1-EXP(-LN(2)/2))/(LN(2)/2)*GH42*GK42*VLOOKUP('Données projet'!$B$17,Paramètres!$A$1:$I$89,3,0)*0.475*44/12</f>
        <v>0</v>
      </c>
      <c r="GO42" s="21">
        <f t="shared" si="27"/>
        <v>0</v>
      </c>
      <c r="GP42" s="75">
        <f>('Scénario référence'!$F$8+'Scénario référence'!$F$9+'Scénario référence'!$B$17+'Scénario référence'!$B$9+'Scénario référence'!$B$10)*70+IF((45+25*(1-EXP(-0.0175*A42)))&lt;70,'Scénario référence'!$B$16*(45+25*(1-EXP(-0.0175*A42))),70*'Scénario référence'!$B$16)+IF((32+38*(1-EXP(-0.0175*A42)))&lt;70,'Scénario référence'!$B$18*(32+38*(1-EXP(-0.0175*A42))),70*'Scénario référence'!$B$18)</f>
        <v>70</v>
      </c>
      <c r="GQ42" s="12">
        <f>IF(A42&gt;30,10,('Scénario référence'!$B$16+'Scénario référence'!$B$17+'Scénario référence'!$B$18+'Scénario référence'!$B$9+'Scénario référence'!$B$10)*A42*10/30+('Scénario référence'!$F$8+'Scénario référence'!$F$9)*10)</f>
        <v>10</v>
      </c>
      <c r="GR42" s="12" t="e">
        <f>VLOOKUP(A42,'Données projet'!$A$269:$I$289,2,0)</f>
        <v>#N/A</v>
      </c>
      <c r="GS42" s="12" t="e">
        <f>VLOOKUP(A42,'Données projet'!$A$269:$I$289,9,0)</f>
        <v>#N/A</v>
      </c>
      <c r="GT42" s="12">
        <f t="array" ref="GT42">INDEX(GS:GS,MIN(IF(ISNUMBER(GS42:GS238),ROW(GS42:GS238),"")))</f>
        <v>9.3141025641025674</v>
      </c>
      <c r="GU42" s="12">
        <f>IF('Données projet'!$A$270&gt;35,GU41+GT42-HC41,IF(A42&lt;'Données projet'!$A$270,$GR$205^A42,IF(A42='Données projet'!$A$270,'Données projet'!$B$270,GU41+GT42-HC41)))</f>
        <v>138.82051282051282</v>
      </c>
      <c r="GV42" s="17">
        <f>GU42*VLOOKUP('Données projet'!$B$18,Paramètres!$A$1:$I$89,3,0)*VLOOKUP('Données projet'!$B$18,Paramètres!$A$1:$I$89,5,0)</f>
        <v>149.4264</v>
      </c>
      <c r="GW42" s="13">
        <f t="shared" si="51"/>
        <v>38.448203910330356</v>
      </c>
      <c r="GX42" s="20">
        <f t="shared" si="28"/>
        <v>327.21493514382536</v>
      </c>
      <c r="GY42" s="59">
        <f t="shared" si="29"/>
        <v>620.54826847715867</v>
      </c>
      <c r="GZ42" s="59">
        <f ca="1">AVERAGE(OFFSET($GY$3,0,0,'Données projet'!$E$18+1,1))-AVERAGE(OFFSET($H$3,0,0,'Données projet'!$E$18+1,1))</f>
        <v>286.77702855541287</v>
      </c>
      <c r="HA42" s="59">
        <f t="shared" si="52"/>
        <v>227.12211541860779</v>
      </c>
      <c r="HB42" s="15">
        <f>IF(ISNA(VLOOKUP(A42,'Données projet'!$A$269:$I$289,3,0)),0,VLOOKUP(A42,'Données projet'!$A$269:$I$289,3,0))</f>
        <v>0</v>
      </c>
      <c r="HC42" s="15">
        <f>IF(ISNA(VLOOKUP(A42,'Données projet'!$A$269:$I$289,4,0)),0,VLOOKUP(A42,'Données projet'!$A$269:$I$289,4,0))</f>
        <v>0</v>
      </c>
      <c r="HD42" s="16">
        <f>IF(ISNA(VLOOKUP(A42,'Données projet'!$A$269:$I$289,5,0)),0%,VLOOKUP(A42,'Données projet'!$A$269:$I$289,5,0)*VLOOKUP('Données projet'!$B$18,Paramètres!$A$1:$I$89,7,0))</f>
        <v>0</v>
      </c>
      <c r="HE42" s="16">
        <f>IF(ISNA(VLOOKUP(A42,'Données projet'!$A$269:$I$289,6,0)),0%,VLOOKUP(A42,'Données projet'!$A$269:$I$289,6,0)*VLOOKUP('Données projet'!$B$18,Paramètres!$A$1:$I$89,7,0))</f>
        <v>0</v>
      </c>
      <c r="HF42" s="16">
        <f>IF(ISNA(VLOOKUP(A42,'Données projet'!$A$269:$I$289,7,0)),0%,VLOOKUP(A42,'Données projet'!$A$269:$I$289,7,0))</f>
        <v>0</v>
      </c>
      <c r="HG42" s="21">
        <f>EXP(-LN(2)/35)*HG41+(1-EXP(-LN(2)/35))/(LN(2)/35)*HC42*HD42*VLOOKUP('Données projet'!$B$18,Paramètres!$A$1:$I$89,3,0)*0.475*44/12</f>
        <v>0</v>
      </c>
      <c r="HH42" s="21">
        <f>EXP(-LN(2)/25)*HH41+(1-EXP(-LN(2)/25))/(LN(2)/25)*Calculateur!HC42*Calculateur!HE42*VLOOKUP('Données projet'!$B$18,Paramètres!$A$1:$I$89,3,0)*0.475*44/12</f>
        <v>0</v>
      </c>
      <c r="HI42" s="21">
        <f>EXP(-LN(2)/2)*HI41+(1-EXP(-LN(2)/2))/(LN(2)/2)*HC42*HF42*VLOOKUP('Données projet'!$B$18,Paramètres!$A$1:$I$89,3,0)*0.475*44/12</f>
        <v>0</v>
      </c>
      <c r="HJ42" s="22">
        <f t="shared" si="30"/>
        <v>0</v>
      </c>
    </row>
    <row r="43" spans="1:218" x14ac:dyDescent="0.25">
      <c r="A43" s="10">
        <f t="shared" si="31"/>
        <v>40</v>
      </c>
      <c r="B43" s="73">
        <f>'Scénario référence'!$B$16*5+'Scénario référence'!$B$17*0+'Scénario référence'!$B$18*5</f>
        <v>0</v>
      </c>
      <c r="C43" s="19">
        <f>Calculateur!C42+'Scénario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35.567999999999998</v>
      </c>
      <c r="D43" s="11">
        <f t="shared" si="32"/>
        <v>10.816037660735208</v>
      </c>
      <c r="E4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43" s="11">
        <f>IF(OR('Scénario référence'!$F$8&gt;0,'Scénario référence'!$F$9&gt;0),('Scénario référence'!$F$8+'Scénario référence'!$F$9)*10,0)</f>
        <v>10</v>
      </c>
      <c r="G43" s="11">
        <f>'Scénario référence'!$B$8*B43*44/12+'Scénario référence'!$B$9*(C43+D43)/0.475*44/12+'Scénario référence'!$B$10*(C43+D43)/0.475*44/12+'Scénario référence'!$F$8*(C43+D43)/0.475*44/12+'Scénario référence'!$F$9*(C43+D43)/0.475*44/12</f>
        <v>358.0522205390086</v>
      </c>
      <c r="H43" s="67">
        <f t="shared" si="1"/>
        <v>374.11886559244715</v>
      </c>
      <c r="I43" s="70">
        <f>('Scénario référence'!$F$8+'Scénario référence'!$F$9+'Scénario référence'!$B$17+'Scénario référence'!$B$9+'Scénario référence'!$B$10)*70+IF((45+25*(1-EXP(-0.0175*A43)))&lt;70,'Scénario référence'!$B$16*(45+25*(1-EXP(-0.0175*A43))),70*'Scénario référence'!$B$16)+IF((32+38*(1-EXP(-0.0175*A43)))&lt;70,'Scénario référence'!$B$18*(32+38*(1-EXP(-0.0175*A43))),70*'Scénario référence'!$B$18)</f>
        <v>70</v>
      </c>
      <c r="J43" s="13">
        <f>IF(A43&gt;30,10,('Scénario référence'!$B$16+'Scénario référence'!$B$17+'Scénario référence'!$B$18+'Scénario référence'!$B$9+'Scénario référence'!$B$10)*A43*10/30+('Scénario référence'!$F$8+'Scénario référence'!$F$9)*10)</f>
        <v>10</v>
      </c>
      <c r="K43" s="12" t="e">
        <f>VLOOKUP(A43,'Données projet'!$A$35:$I$55,2,0)</f>
        <v>#N/A</v>
      </c>
      <c r="L43" s="12" t="e">
        <f>VLOOKUP(A43,'Données projet'!$A$35:$I$55,9,0)</f>
        <v>#N/A</v>
      </c>
      <c r="M43" s="12">
        <f t="array" ref="M43">INDEX(L:L,MIN(IF(ISNUMBER(L43:L239),ROW(L43:L239),"")))</f>
        <v>22.419230769230779</v>
      </c>
      <c r="N43" s="13">
        <f>IF('Données projet'!$A$36&gt;35,N42+M43-V42,IF(A43&lt;'Données projet'!$A$36,$K$205^A43,IF(A43='Données projet'!$A$36,'Données projet'!$B$36,N42+M43-V42)))</f>
        <v>423.88461538461513</v>
      </c>
      <c r="O43" s="13">
        <f>N43*VLOOKUP('Données projet'!$B$9,Paramètres!$A$1:$I$89,3,0)*VLOOKUP('Données projet'!$B$9,Paramètres!$A$1:$I$89,5,0)</f>
        <v>236.95149999999987</v>
      </c>
      <c r="P43" s="13">
        <f t="shared" si="33"/>
        <v>57.783143668102703</v>
      </c>
      <c r="Q43" s="20">
        <f t="shared" si="53"/>
        <v>513.32950438861201</v>
      </c>
      <c r="R43" s="59">
        <f t="shared" si="0"/>
        <v>806.66283772194538</v>
      </c>
      <c r="S43" s="59">
        <f ca="1">AVERAGE(OFFSET($R$3,0,0,'Données projet'!$E$9+1,1))-AVERAGE(OFFSET($H$3,0,0,'Données projet'!$E$9+1,1))</f>
        <v>255.5374979188561</v>
      </c>
      <c r="T43" s="59">
        <f t="shared" si="34"/>
        <v>343.10418468620901</v>
      </c>
      <c r="U43" s="15">
        <f>IF(ISNA(VLOOKUP(A43,'Données projet'!$A$35:$I$55,3,0)),0,VLOOKUP(A43,'Données projet'!$A$35:$I$55,3,0))</f>
        <v>0</v>
      </c>
      <c r="V43" s="15">
        <f>IF(ISNA(VLOOKUP(A43,'Données projet'!$A$35:$I$55,4,0)),0,VLOOKUP(A43,'Données projet'!$A$35:$I$55,4,0))</f>
        <v>0</v>
      </c>
      <c r="W43" s="16">
        <f>IF(ISNA(VLOOKUP(A43,'Données projet'!$A$35:$I$55,5,0)),0%,VLOOKUP(A43,'Données projet'!$A$35:$I$55,5,0)*VLOOKUP('Données projet'!$B$9,Paramètres!$A$1:$I$89,7,0))</f>
        <v>0</v>
      </c>
      <c r="X43" s="16">
        <f>IF(ISNA(VLOOKUP(A43,'Données projet'!$A$35:$I$55,6,0)),0%,VLOOKUP(A43,'Données projet'!$A$35:$I$55,6,0)*VLOOKUP('Données projet'!$B$9,Paramètres!$A$1:$I$89,7,0))</f>
        <v>0</v>
      </c>
      <c r="Y43" s="16">
        <f>IF(ISNA(VLOOKUP(A43,'Données projet'!$A$35:$I$55,7,0)),0%,VLOOKUP(A43,'Données projet'!$A$35:$I$55,7,0))</f>
        <v>0</v>
      </c>
      <c r="Z43" s="21">
        <f>EXP(-LN(2)/35)*Z42+(1-EXP(-LN(2)/35))/(LN(2)/35)*V43*W43*VLOOKUP('Données projet'!$B$9,Paramètres!$A$1:$I$89,3,0)*0.475*44/12</f>
        <v>2.5348697579363599</v>
      </c>
      <c r="AA43" s="21">
        <f>EXP(-LN(2)/25)*AA42+(1-EXP(-LN(2)/25))/(LN(2)/25)*Calculateur!V43*Calculateur!X43*VLOOKUP('Données projet'!$B$9,Paramètres!$A$1:$I$89,3,0)*0.475*44/12</f>
        <v>12.095614584773029</v>
      </c>
      <c r="AB43" s="21">
        <f>EXP(-LN(2)/2)*AB42+(1-EXP(-LN(2)/2))/(LN(2)/2)*V43*Y43*VLOOKUP('Données projet'!$B$9,Paramètres!$A$1:$I$89,3,0)*0.475*44/12</f>
        <v>5.2895377482939564E-2</v>
      </c>
      <c r="AC43" s="22">
        <f t="shared" si="3"/>
        <v>14.683379720192329</v>
      </c>
      <c r="AD43" s="13">
        <f>('Scénario référence'!$F$8+'Scénario référence'!$F$9+'Scénario référence'!$B$17+'Scénario référence'!$B$9+'Scénario référence'!$B$10)*70+IF((45+25*(1-EXP(-0.0175*A43)))&lt;70,'Scénario référence'!$B$16*(45+25*(1-EXP(-0.0175*A43))),70*'Scénario référence'!$B$16)+IF((32+38*(1-EXP(-0.0175*A43)))&lt;70,'Scénario référence'!$B$18*(32+38*(1-EXP(-0.0175*A43))),70*'Scénario référence'!$B$18)</f>
        <v>70</v>
      </c>
      <c r="AE43" s="13">
        <f>IF(A43&gt;30,10,('Scénario référence'!$B$16+'Scénario référence'!$B$17+'Scénario référence'!$B$18+'Scénario référence'!$B$9+'Scénario référence'!$B$10)*A43*10/30+('Scénario référence'!$F$8+'Scénario référence'!$F$9)*10)</f>
        <v>10</v>
      </c>
      <c r="AF43" s="12">
        <f>VLOOKUP(A43,'Données projet'!$A$61:$I$81,2,0)</f>
        <v>330</v>
      </c>
      <c r="AG43" s="12">
        <f>VLOOKUP(A43,'Données projet'!$A$61:$I$81,9,0)</f>
        <v>15.1</v>
      </c>
      <c r="AH43" s="12">
        <f t="array" ref="AH43">INDEX(AG:AG,MIN(IF(ISNUMBER(AG43:AG239),ROW(AG43:AG239),"")))</f>
        <v>15.1</v>
      </c>
      <c r="AI43" s="13">
        <f>IF('Données projet'!$A$62&gt;35,AI42+AH43-AQ42,IF(A43&lt;'Données projet'!$A$62,$AF$205^A43,IF(A43='Données projet'!$A$62,'Données projet'!$B$62,AI42+AH43-AQ42)))</f>
        <v>330.00000000000011</v>
      </c>
      <c r="AJ43" s="13">
        <f>AI43*VLOOKUP('Données projet'!$B$10,Paramètres!$A$1:$I$89,3,0)*VLOOKUP('Données projet'!$B$10,Paramètres!$A$1:$I$89,5,0)</f>
        <v>205.9200000000001</v>
      </c>
      <c r="AK43" s="13">
        <f t="shared" si="35"/>
        <v>51.042987531485686</v>
      </c>
      <c r="AL43" s="20">
        <f t="shared" si="4"/>
        <v>447.54386995067108</v>
      </c>
      <c r="AM43" s="59">
        <f t="shared" si="5"/>
        <v>740.87720328400439</v>
      </c>
      <c r="AN43" s="59">
        <f ca="1">AVERAGE(OFFSET($AM$3,0,0,'Données projet'!$E$10+1,1))-AVERAGE(OFFSET($H$3,0,0,'Données projet'!$E$10+1,1))</f>
        <v>261.78489480911571</v>
      </c>
      <c r="AO43" s="59">
        <f t="shared" si="36"/>
        <v>297.50513563712764</v>
      </c>
      <c r="AP43" s="15">
        <f>IF(ISNA(VLOOKUP(A43,'Données projet'!$A$61:$I$81,3,0)),0,VLOOKUP(A43,'Données projet'!$A$61:$I$81,3,0))</f>
        <v>3</v>
      </c>
      <c r="AQ43" s="15">
        <f>IF(ISNA(VLOOKUP(A43,'Données projet'!$A$61:$I$81,4,0)),0,VLOOKUP(A43,'Données projet'!$A$61:$I$81,4,0))</f>
        <v>82</v>
      </c>
      <c r="AR43" s="16">
        <f>IF(ISNA(VLOOKUP(A43,'Données projet'!$A$61:$I$81,5,0)),0%,VLOOKUP(A43,'Données projet'!$A$61:$I$81,5,0)*VLOOKUP('Données projet'!$B$10,Paramètres!$A$1:$I$89,7,0))</f>
        <v>0</v>
      </c>
      <c r="AS43" s="16">
        <f>IF(ISNA(VLOOKUP(A43,'Données projet'!$A$61:$I$81,6,0)),0%,VLOOKUP(A43,'Données projet'!$A$61:$I$81,6,0)*VLOOKUP('Données projet'!$B$10,Paramètres!$A$1:$I$89,7,0))</f>
        <v>0</v>
      </c>
      <c r="AT43" s="16">
        <f>IF(ISNA(VLOOKUP(A43,'Données projet'!$A$61:$I$81,7,0)),0%,VLOOKUP(A43,'Données projet'!$A$61:$I$81,7,0))</f>
        <v>0</v>
      </c>
      <c r="AU43" s="21">
        <f>EXP(-LN(2)/35)*AU42+(1-EXP(-LN(2)/35))/(LN(2)/35)*AQ43*AR43*VLOOKUP('Données projet'!$B$10,Paramètres!$A$1:$I$89,3,0)*0.475*44/12</f>
        <v>6.8448653309002738</v>
      </c>
      <c r="AV43" s="21">
        <f>EXP(-LN(2)/25)*AV42+(1-EXP(-LN(2)/25))/(LN(2)/25)*Calculateur!AQ43*Calculateur!AS43*VLOOKUP('Données projet'!$B$10,Paramètres!$A$1:$I$89,3,0)*0.475*44/12</f>
        <v>21.121410097143553</v>
      </c>
      <c r="AW43" s="21">
        <f>EXP(-LN(2)/2)*AW42+(1-EXP(-LN(2)/2))/(LN(2)/2)*AQ43*AT43*VLOOKUP('Données projet'!$B$10,Paramètres!$A$1:$I$89,3,0)*0.475*44/12</f>
        <v>0.76253722302849625</v>
      </c>
      <c r="AX43" s="21">
        <f t="shared" si="6"/>
        <v>28.728812651072321</v>
      </c>
      <c r="AY43" s="74">
        <f>('Scénario référence'!$F$8+'Scénario référence'!$F$9+'Scénario référence'!$B$17+'Scénario référence'!$B$9+'Scénario référence'!$B$10)*70+IF((45+25*(1-EXP(-0.0175*A43)))&lt;70,'Scénario référence'!$B$16*(45+25*(1-EXP(-0.0175*A43))),70*'Scénario référence'!$B$16)+IF((32+38*(1-EXP(-0.0175*A43)))&lt;70,'Scénario référence'!$B$18*(32+38*(1-EXP(-0.0175*A43))),70*'Scénario référence'!$B$18)</f>
        <v>70</v>
      </c>
      <c r="AZ43" s="12">
        <f>IF(A43&gt;30,10,('Scénario référence'!$B$16+'Scénario référence'!$B$17+'Scénario référence'!$B$18+'Scénario référence'!$B$9+'Scénario référence'!$B$10)*A43*10/30+('Scénario référence'!$F$8+'Scénario référence'!$F$9)*10)</f>
        <v>10</v>
      </c>
      <c r="BA43" s="12">
        <f>VLOOKUP(A43,'Données projet'!$A$87:$I$107,2,0)</f>
        <v>341</v>
      </c>
      <c r="BB43" s="12">
        <f>VLOOKUP(A43,'Données projet'!$A$87:$I$107,9,0)</f>
        <v>18.2</v>
      </c>
      <c r="BC43" s="12">
        <f t="array" ref="BC43">INDEX(BB:BB,MIN(IF(ISNUMBER(BB43:BB239),ROW(BB43:BB239),"")))</f>
        <v>18.2</v>
      </c>
      <c r="BD43" s="12">
        <f>IF('Données projet'!$A$88&gt;35,BD42+BC43-BL42,IF(A43&lt;'Données projet'!$A$88,$BA$205^A43,IF(A43='Données projet'!$A$88,'Données projet'!$B$88,BD42+BC43-BL42)))</f>
        <v>340.99999999999994</v>
      </c>
      <c r="BE43" s="13">
        <f>BD43*VLOOKUP('Données projet'!$B$11,Paramètres!$A$1:$I$89,3,0)*VLOOKUP('Données projet'!$B$11,Paramètres!$A$1:$I$89,5,0)</f>
        <v>203.91799999999998</v>
      </c>
      <c r="BF43" s="13">
        <f t="shared" si="37"/>
        <v>50.604250898161411</v>
      </c>
      <c r="BG43" s="20">
        <f t="shared" si="7"/>
        <v>443.29292031429776</v>
      </c>
      <c r="BH43" s="59">
        <f t="shared" si="8"/>
        <v>736.62625364763107</v>
      </c>
      <c r="BI43" s="59">
        <f ca="1">AVERAGE(OFFSET($BH$3,0,0,'Données projet'!$E$11+1,1))-AVERAGE(OFFSET($H$3,0,0,'Données projet'!$E$11+1,1))</f>
        <v>316.58509520829671</v>
      </c>
      <c r="BJ43" s="59">
        <f t="shared" si="38"/>
        <v>240.71332110643596</v>
      </c>
      <c r="BK43" s="15">
        <f>IF(ISNA(VLOOKUP(A43,'Données projet'!$A$87:$I$107,3,0)),0,VLOOKUP(A43,'Données projet'!$A$87:$I$107,3,0))</f>
        <v>3</v>
      </c>
      <c r="BL43" s="15">
        <f>IF(ISNA(VLOOKUP(A43,'Données projet'!$A$87:$I$107,4,0)),0,VLOOKUP(A43,'Données projet'!$A$87:$I$107,4,0))</f>
        <v>95</v>
      </c>
      <c r="BM43" s="16">
        <f>IF(ISNA(VLOOKUP(A43,'Données projet'!$A$87:$I$107,5,0)),0%,VLOOKUP(A43,'Données projet'!$A$87:$I$107,5,0)*VLOOKUP('Données projet'!$B$11,Paramètres!$A$1:$I$89,7,0))</f>
        <v>0</v>
      </c>
      <c r="BN43" s="16">
        <f>IF(ISNA(VLOOKUP(A43,'Données projet'!$A$87:$I$107,6,0)),0%,VLOOKUP(A43,'Données projet'!$A$87:$I$107,6,0)*VLOOKUP('Données projet'!$B$11,Paramètres!$A$1:$I$89,7,0))</f>
        <v>0</v>
      </c>
      <c r="BO43" s="16">
        <f>IF(ISNA(VLOOKUP(A43,'Données projet'!$A$87:$I$107,7,0)),0%,VLOOKUP(A43,'Données projet'!$A$87:$I$107,7,0))</f>
        <v>0</v>
      </c>
      <c r="BP43" s="21">
        <f>EXP(-LN(2)/35)*BP42+(1-EXP(-LN(2)/35))/(LN(2)/35)*BL43*BM43*VLOOKUP('Données projet'!$B$11,Paramètres!$A$1:$I$89,3,0)*0.475*44/12</f>
        <v>2.079178773318481</v>
      </c>
      <c r="BQ43" s="21">
        <f>EXP(-LN(2)/25)*BQ42+(1-EXP(-LN(2)/25))/(LN(2)/25)*Calculateur!BL43*Calculateur!BN43*VLOOKUP('Données projet'!$B$11,Paramètres!$A$1:$I$89,3,0)*0.475*44/12</f>
        <v>11.570924733336708</v>
      </c>
      <c r="BR43" s="21">
        <f>EXP(-LN(2)/2)*BR42+(1-EXP(-LN(2)/2))/(LN(2)/2)*BL43*BO43*VLOOKUP('Données projet'!$B$11,Paramètres!$A$1:$I$89,3,0)*0.475*44/12</f>
        <v>0.68560447094190002</v>
      </c>
      <c r="BS43" s="22">
        <f t="shared" si="9"/>
        <v>14.335707977597089</v>
      </c>
      <c r="BT43" s="75">
        <f>('Scénario référence'!$F$8+'Scénario référence'!$F$9+'Scénario référence'!$B$17+'Scénario référence'!$B$9+'Scénario référence'!$B$10)*70+IF((45+25*(1-EXP(-0.0175*A43)))&lt;70,'Scénario référence'!$B$16*(45+25*(1-EXP(-0.0175*A43))),70*'Scénario référence'!$B$16)+IF((32+38*(1-EXP(-0.0175*A43)))&lt;70,'Scénario référence'!$B$18*(32+38*(1-EXP(-0.0175*A43))),70*'Scénario référence'!$B$18)</f>
        <v>70</v>
      </c>
      <c r="BU43" s="12">
        <f>IF(A43&gt;30,10,('Scénario référence'!$B$16+'Scénario référence'!$B$17+'Scénario référence'!$B$18+'Scénario référence'!$B$9+'Scénario référence'!$B$10)*A43*10/30+('Scénario référence'!$F$8+'Scénario référence'!$F$9)*10)</f>
        <v>10</v>
      </c>
      <c r="BV43" s="12">
        <f>VLOOKUP(A43,'Données projet'!$A$113:$I$133,2,0)</f>
        <v>281</v>
      </c>
      <c r="BW43" s="12">
        <f>VLOOKUP(A43,'Données projet'!$A$113:$I$133,9,0)</f>
        <v>13.6</v>
      </c>
      <c r="BX43" s="12">
        <f t="array" ref="BX43">INDEX(BW:BW,MIN(IF(ISNUMBER(BW43:BW239),ROW(BW43:BW239),"")))</f>
        <v>13.6</v>
      </c>
      <c r="BY43" s="12">
        <f>IF('Données projet'!$A$114&gt;35,BY42+BX43-CG42,IF(A43&lt;'Données projet'!$A$114,$BV$205^A43,IF(A43='Données projet'!$A$114,'Données projet'!$B$114,BY42+BX43-CG42)))</f>
        <v>280.99999999999989</v>
      </c>
      <c r="BZ43" s="13">
        <f>BY43*VLOOKUP('Données projet'!$B$12,Paramètres!$A$1:$I$89,3,0)*VLOOKUP('Données projet'!$B$12,Paramètres!$A$1:$I$89,5,0)</f>
        <v>160.73199999999994</v>
      </c>
      <c r="CA43" s="13">
        <f t="shared" si="39"/>
        <v>41.007576163028482</v>
      </c>
      <c r="CB43" s="20">
        <f t="shared" si="10"/>
        <v>351.36309515060788</v>
      </c>
      <c r="CC43" s="59">
        <f t="shared" si="11"/>
        <v>644.69642848394119</v>
      </c>
      <c r="CD43" s="59">
        <f ca="1">AVERAGE(OFFSET($CC$3,0,0,'Données projet'!$E$12+1,1))-AVERAGE(OFFSET($H$3,0,0,'Données projet'!$E$12+1,1))</f>
        <v>188.64374818906128</v>
      </c>
      <c r="CE43" s="59">
        <f t="shared" si="40"/>
        <v>211.95157880548652</v>
      </c>
      <c r="CF43" s="15">
        <f>IF(ISNA(VLOOKUP(A43,'Données projet'!$A$113:$I$133,3,0)),0,VLOOKUP(A43,'Données projet'!$A$113:$I$133,3,0))</f>
        <v>3</v>
      </c>
      <c r="CG43" s="15">
        <f>IF(ISNA(VLOOKUP(A43,'Données projet'!$A$113:$I$133,4,0)),0,VLOOKUP(A43,'Données projet'!$A$113:$I$133,4,0))</f>
        <v>80</v>
      </c>
      <c r="CH43" s="16">
        <f>IF(ISNA(VLOOKUP(A43,'Données projet'!$A$113:$I$133,5,0)),0%,VLOOKUP(A43,'Données projet'!$A$113:$I$133,5,0)*VLOOKUP('Données projet'!$B$12,Paramètres!$A$1:$I$89,7,0))</f>
        <v>0</v>
      </c>
      <c r="CI43" s="16">
        <f>IF(ISNA(VLOOKUP(A43,'Données projet'!$A$113:$I$133,6,0)),0%,VLOOKUP(A43,'Données projet'!$A$113:$I$133,6,0)*VLOOKUP('Données projet'!$B$12,Paramètres!$A$1:$I$89,7,0))</f>
        <v>0</v>
      </c>
      <c r="CJ43" s="16">
        <f>IF(ISNA(VLOOKUP(A43,'Données projet'!$A$113:$I$133,7,0)),0%,VLOOKUP(A43,'Données projet'!$A$113:$I$133,7,0))</f>
        <v>0</v>
      </c>
      <c r="CK43" s="21">
        <f>EXP(-LN(2)/35)*CK42+(1-EXP(-LN(2)/35))/(LN(2)/35)*CG43*CH43*VLOOKUP('Données projet'!$B$12,Paramètres!$A$1:$I$89,3,0)*0.475*44/12</f>
        <v>2.0167906778545452</v>
      </c>
      <c r="CL43" s="21">
        <f>EXP(-LN(2)/25)*CL42+(1-EXP(-LN(2)/25))/(LN(2)/25)*Calculateur!CG43*Calculateur!CI43*VLOOKUP('Données projet'!$B$12,Paramètres!$A$1:$I$89,3,0)*0.475*44/12</f>
        <v>10.890816345148833</v>
      </c>
      <c r="CM43" s="21">
        <f>EXP(-LN(2)/2)*CM42+(1-EXP(-LN(2)/2))/(LN(2)/2)*CG43*CJ43*VLOOKUP('Données projet'!$B$12,Paramètres!$A$1:$I$89,3,0)*0.475*44/12</f>
        <v>0.66395428761675657</v>
      </c>
      <c r="CN43" s="22">
        <f t="shared" si="12"/>
        <v>13.571561310620137</v>
      </c>
      <c r="CO43" s="75">
        <f>('Scénario référence'!$F$8+'Scénario référence'!$F$9+'Scénario référence'!$B$17+'Scénario référence'!$B$9+'Scénario référence'!$B$10)*70+IF((45+25*(1-EXP(-0.0175*A43)))&lt;70,'Scénario référence'!$B$16*(45+25*(1-EXP(-0.0175*A43))),70*'Scénario référence'!$B$16)+IF((32+38*(1-EXP(-0.0175*A43)))&lt;70,'Scénario référence'!$B$18*(32+38*(1-EXP(-0.0175*A43))),70*'Scénario référence'!$B$18)</f>
        <v>70</v>
      </c>
      <c r="CP43" s="12">
        <f>IF(A43&gt;30,10,('Scénario référence'!$B$16+'Scénario référence'!$B$17+'Scénario référence'!$B$18+'Scénario référence'!$B$9+'Scénario référence'!$B$10)*A43*10/30+('Scénario référence'!$F$8+'Scénario référence'!$F$9)*10)</f>
        <v>10</v>
      </c>
      <c r="CQ43" s="12" t="e">
        <f>VLOOKUP(A43,'Données projet'!$A$139:$I$159,2,0)</f>
        <v>#N/A</v>
      </c>
      <c r="CR43" s="12" t="e">
        <f>VLOOKUP(A43,'Données projet'!$A$139:$I$159,9,0)</f>
        <v>#N/A</v>
      </c>
      <c r="CS43" s="12">
        <f t="array" ref="CS43">INDEX(CR:CR,MIN(IF(ISNUMBER(CR43:CR239),ROW(CR43:CR239),"")))</f>
        <v>0</v>
      </c>
      <c r="CT43" s="12">
        <f>IF('Données projet'!$A$140&gt;35,CT42+CS43-DB42,IF(A43&lt;'Données projet'!$A$140,$CQ$205^A43,IF(A43='Données projet'!$A$140,'Données projet'!$B$140,CT42+CS43-DB42)))</f>
        <v>0</v>
      </c>
      <c r="CU43" s="17" t="e">
        <f>CT43*VLOOKUP('Données projet'!$B$13,Paramètres!$A$1:$I$89,3,0)*VLOOKUP('Données projet'!$B$13,Paramètres!$A$1:$I$89,5,0)</f>
        <v>#N/A</v>
      </c>
      <c r="CV43" s="13" t="e">
        <f t="shared" si="41"/>
        <v>#N/A</v>
      </c>
      <c r="CW43" s="20" t="e">
        <f t="shared" si="13"/>
        <v>#N/A</v>
      </c>
      <c r="CX43" s="59" t="e">
        <f t="shared" si="14"/>
        <v>#N/A</v>
      </c>
      <c r="CY43" s="59" t="e">
        <f ca="1">AVERAGE(OFFSET($CX$3,0,0,'Données projet'!$E$13+1,1))-AVERAGE(OFFSET($H$3,0,0,'Données projet'!$E$13+1,1))</f>
        <v>#N/A</v>
      </c>
      <c r="CZ43" s="59" t="e">
        <f t="shared" si="42"/>
        <v>#N/A</v>
      </c>
      <c r="DA43" s="15">
        <f>IF(ISNA(VLOOKUP(A43,'Données projet'!$A$139:$I$159,3,0)),0,VLOOKUP(A43,'Données projet'!$A$139:$I$159,3,0))</f>
        <v>0</v>
      </c>
      <c r="DB43" s="15">
        <f>IF(ISNA(VLOOKUP(A43,'Données projet'!$A$139:$I$159,4,0)),0,VLOOKUP(A43,'Données projet'!$A$139:$I$159,4,0))</f>
        <v>0</v>
      </c>
      <c r="DC43" s="16">
        <f>IF(ISNA(VLOOKUP(A43,'Données projet'!$A$139:$I$159,5,0)),0%,VLOOKUP(A43,'Données projet'!$A$139:$I$159,5,0)*VLOOKUP('Données projet'!$B$13,Paramètres!$A$1:$I$89,7,0))</f>
        <v>0</v>
      </c>
      <c r="DD43" s="16">
        <f>IF(ISNA(VLOOKUP(A43,'Données projet'!$A$139:$I$159,6,0)),0%,VLOOKUP(A43,'Données projet'!$A$139:$I$159,6,0)*VLOOKUP('Données projet'!$B$13,Paramètres!$A$1:$I$89,7,0))</f>
        <v>0</v>
      </c>
      <c r="DE43" s="16">
        <f>IF(ISNA(VLOOKUP(A43,'Données projet'!$A$139:$I$159,7,0)),0%,VLOOKUP(A43,'Données projet'!$A$139:$I$159,7,0))</f>
        <v>0</v>
      </c>
      <c r="DF43" s="21" t="e">
        <f>EXP(-LN(2)/35)*DF42+(1-EXP(-LN(2)/35))/(LN(2)/35)*DB43*DC43*VLOOKUP('Données projet'!$B$13,Paramètres!$A$1:$I$89,3,0)*0.475*44/12</f>
        <v>#N/A</v>
      </c>
      <c r="DG43" s="21" t="e">
        <f>EXP(-LN(2)/25)*DG42+(1-EXP(-LN(2)/25))/(LN(2)/25)*Calculateur!DB43*Calculateur!DD43*VLOOKUP('Données projet'!$B$13,Paramètres!$A$1:$I$89,3,0)*0.475*44/12</f>
        <v>#N/A</v>
      </c>
      <c r="DH43" s="21" t="e">
        <f>EXP(-LN(2)/2)*DH42+(1-EXP(-LN(2)/2))/(LN(2)/2)*DB43*DE43*VLOOKUP('Données projet'!$B$13,Paramètres!$A$1:$I$89,3,0)*0.475*44/12</f>
        <v>#N/A</v>
      </c>
      <c r="DI43" s="22" t="e">
        <f t="shared" si="15"/>
        <v>#N/A</v>
      </c>
      <c r="DJ43" s="75">
        <f>('Scénario référence'!$F$8+'Scénario référence'!$F$9+'Scénario référence'!$B$17+'Scénario référence'!$B$9+'Scénario référence'!$B$10)*70+IF((45+25*(1-EXP(-0.0175*A43)))&lt;70,'Scénario référence'!$B$16*(45+25*(1-EXP(-0.0175*A43))),70*'Scénario référence'!$B$16)+IF((32+38*(1-EXP(-0.0175*A43)))&lt;70,'Scénario référence'!$B$18*(32+38*(1-EXP(-0.0175*A43))),70*'Scénario référence'!$B$18)</f>
        <v>70</v>
      </c>
      <c r="DK43" s="12">
        <f>IF(A43&gt;30,10,('Scénario référence'!$B$16+'Scénario référence'!$B$17+'Scénario référence'!$B$18+'Scénario référence'!$B$9+'Scénario référence'!$B$10)*A43*10/30+('Scénario référence'!$F$8+'Scénario référence'!$F$9)*10)</f>
        <v>10</v>
      </c>
      <c r="DL43" s="12">
        <f>VLOOKUP(A43,'Données projet'!$A$165:$I$185,2,0)</f>
        <v>252</v>
      </c>
      <c r="DM43" s="12">
        <f>VLOOKUP(A43,'Données projet'!$A$165:$I$185,9,0)</f>
        <v>9.1999999999999993</v>
      </c>
      <c r="DN43" s="12">
        <f t="array" ref="DN43">INDEX(DM:DM,MIN(IF(ISNUMBER(DM43:DM239),ROW(DM43:DM239),"")))</f>
        <v>9.1999999999999993</v>
      </c>
      <c r="DO43" s="12">
        <f>IF('Données projet'!$A$166&gt;35,DO42+DN43-DW42,IF(A43&lt;'Données projet'!$A$166,$DL$205^A43,IF(A43='Données projet'!$A$166,'Données projet'!$B$166,DO42+DN43-DW42)))</f>
        <v>251.99999999999989</v>
      </c>
      <c r="DP43" s="17">
        <f>DO43*VLOOKUP('Données projet'!$B$14,Paramètres!$A$1:$I$89,3,0)*VLOOKUP('Données projet'!$B$14,Paramètres!$A$1:$I$89,5,0)</f>
        <v>165.11039999999991</v>
      </c>
      <c r="DQ43" s="13">
        <f t="shared" si="43"/>
        <v>41.993062739333446</v>
      </c>
      <c r="DR43" s="20">
        <f t="shared" si="16"/>
        <v>360.70519760433893</v>
      </c>
      <c r="DS43" s="59">
        <f t="shared" si="17"/>
        <v>654.03853093767225</v>
      </c>
      <c r="DT43" s="59">
        <f ca="1">AVERAGE(OFFSET($DS$3,0,0,'Données projet'!$E$14+1,1))-AVERAGE(OFFSET($H$3,0,0,'Données projet'!$E$14+1,1))</f>
        <v>188.68915783955595</v>
      </c>
      <c r="DU43" s="59">
        <f t="shared" si="44"/>
        <v>240.82467772396944</v>
      </c>
      <c r="DV43" s="15">
        <f>IF(ISNA(VLOOKUP(A43,'Données projet'!$A$165:$I$185,3,0)),0,VLOOKUP(A43,'Données projet'!$A$165:$I$185,3,0))</f>
        <v>3</v>
      </c>
      <c r="DW43" s="15">
        <f>IF(ISNA(VLOOKUP(A43,'Données projet'!$A$165:$I$185,4,0)),0,VLOOKUP(A43,'Données projet'!$A$165:$I$185,4,0))</f>
        <v>56</v>
      </c>
      <c r="DX43" s="16">
        <f>IF(ISNA(VLOOKUP(A43,'Données projet'!$A$165:$I$185,5,0)),0%,VLOOKUP(A43,'Données projet'!$A$165:$I$185,5,0)*VLOOKUP('Données projet'!$B$14,Paramètres!$A$1:$I$89,7,0))</f>
        <v>0</v>
      </c>
      <c r="DY43" s="16">
        <f>IF(ISNA(VLOOKUP(A43,'Données projet'!$A$165:$I$185,6,0)),0%,VLOOKUP(A43,'Données projet'!$A$165:$I$185,6,0)*VLOOKUP('Données projet'!$B$14,Paramètres!$A$1:$I$89,7,0))</f>
        <v>0</v>
      </c>
      <c r="DZ43" s="16">
        <f>IF(ISNA(VLOOKUP(A43,'Données projet'!$A$165:$I$185,7,0)),0%,VLOOKUP(A43,'Données projet'!$A$165:$I$185,7,0))</f>
        <v>0</v>
      </c>
      <c r="EA43" s="21">
        <f>EXP(-LN(2)/35)*EA42+(1-EXP(-LN(2)/35))/(LN(2)/35)*DW43*DX43*VLOOKUP('Données projet'!$B$14,Paramètres!$A$1:$I$89,3,0)*0.475*44/12</f>
        <v>1.2774705261662842</v>
      </c>
      <c r="EB43" s="21">
        <f>EXP(-LN(2)/25)*EB42+(1-EXP(-LN(2)/25))/(LN(2)/25)*Calculateur!DW43*Calculateur!DY43*VLOOKUP('Données projet'!$B$14,Paramètres!$A$1:$I$89,3,0)*0.475*44/12</f>
        <v>6.0916870426697249</v>
      </c>
      <c r="EC43" s="21">
        <f>EXP(-LN(2)/2)*EC42+(1-EXP(-LN(2)/2))/(LN(2)/2)*DW43*DZ43*VLOOKUP('Données projet'!$B$14,Paramètres!$A$1:$I$89,3,0)*0.475*44/12</f>
        <v>0.43738774956897147</v>
      </c>
      <c r="ED43" s="22">
        <f t="shared" si="18"/>
        <v>7.8065453184049804</v>
      </c>
      <c r="EE43" s="75">
        <f>('Scénario référence'!$F$8+'Scénario référence'!$F$9+'Scénario référence'!$B$17+'Scénario référence'!$B$9+'Scénario référence'!$B$10)*70+IF((45+25*(1-EXP(-0.0175*A43)))&lt;70,'Scénario référence'!$B$16*(45+25*(1-EXP(-0.0175*A43))),70*'Scénario référence'!$B$16)+IF((32+38*(1-EXP(-0.0175*A43)))&lt;70,'Scénario référence'!$B$18*(32+38*(1-EXP(-0.0175*A43))),70*'Scénario référence'!$B$18)</f>
        <v>70</v>
      </c>
      <c r="EF43" s="12">
        <f>IF(A43&gt;30,10,('Scénario référence'!$B$16+'Scénario référence'!$B$17+'Scénario référence'!$B$18+'Scénario référence'!$B$9+'Scénario référence'!$B$10)*A43*10/30+('Scénario référence'!$F$8+'Scénario référence'!$F$9)*10)</f>
        <v>10</v>
      </c>
      <c r="EG43" s="12">
        <f>VLOOKUP(A43,'Données projet'!$A$191:$I$211,2,0)</f>
        <v>181</v>
      </c>
      <c r="EH43" s="12">
        <f>VLOOKUP(A43,'Données projet'!$A$191:$I$211,9,0)</f>
        <v>7.2</v>
      </c>
      <c r="EI43" s="12">
        <f t="array" ref="EI43">INDEX(EH:EH,MIN(IF(ISNUMBER(EH43:EH239),ROW(EH43:EH239),"")))</f>
        <v>7.2</v>
      </c>
      <c r="EJ43" s="12">
        <f>IF('Données projet'!$A$192&gt;35,EJ42+EI43-ER42,IF(A43&lt;'Données projet'!$A$192,$EG$205^A43,IF(A43='Données projet'!$A$192,'Données projet'!$B$192,EJ42+EI43-ER42)))</f>
        <v>180.99999999999991</v>
      </c>
      <c r="EK43" s="17">
        <f>EJ43*VLOOKUP('Données projet'!$B$15,Paramètres!$A$1:$I$89,3,0)*VLOOKUP('Données projet'!$B$15,Paramètres!$A$1:$I$89,5,0)</f>
        <v>146.82719999999995</v>
      </c>
      <c r="EL43" s="13">
        <f t="shared" si="45"/>
        <v>37.856660748046949</v>
      </c>
      <c r="EM43" s="20">
        <f t="shared" si="19"/>
        <v>321.65772413618168</v>
      </c>
      <c r="EN43" s="59">
        <f t="shared" si="20"/>
        <v>614.991057469515</v>
      </c>
      <c r="EO43" s="59">
        <f ca="1">AVERAGE(OFFSET($EN$3,0,0,'Données projet'!$E$15+1,1))-AVERAGE(OFFSET($H$3,0,0,'Données projet'!$E$15+1,1))</f>
        <v>205.5272583787887</v>
      </c>
      <c r="EP43" s="59">
        <f t="shared" si="46"/>
        <v>180.54762778843178</v>
      </c>
      <c r="EQ43" s="15">
        <f>IF(ISNA(VLOOKUP(A43,'Données projet'!$A$191:$I$211,3,0)),0,VLOOKUP(A43,'Données projet'!$A$191:$I$211,3,0))</f>
        <v>3</v>
      </c>
      <c r="ER43" s="15">
        <f>IF(ISNA(VLOOKUP(A43,'Données projet'!$A$191:$I$211,4,0)),0,VLOOKUP(A43,'Données projet'!$A$191:$I$211,4,0))</f>
        <v>31</v>
      </c>
      <c r="ES43" s="16">
        <f>IF(ISNA(VLOOKUP(A43,'Données projet'!$A$191:$I$211,5,0)),0%,VLOOKUP(A43,'Données projet'!$A$191:$I$211,5,0)*VLOOKUP('Données projet'!$B$15,Paramètres!$A$1:$I$89,7,0))</f>
        <v>0</v>
      </c>
      <c r="ET43" s="16">
        <f>IF(ISNA(VLOOKUP(A43,'Données projet'!$A$191:$I$211,6,0)),0%,VLOOKUP(A43,'Données projet'!$A$191:$I$211,6,0)*VLOOKUP('Données projet'!$B$15,Paramètres!$A$1:$I$89,7,0))</f>
        <v>0</v>
      </c>
      <c r="EU43" s="16">
        <f>IF(ISNA(VLOOKUP(A43,'Données projet'!$A$191:$I$211,7,0)),0%,VLOOKUP(A43,'Données projet'!$A$191:$I$211,7,0))</f>
        <v>0</v>
      </c>
      <c r="EV43" s="21">
        <f>EXP(-LN(2)/35)*EV42+(1-EXP(-LN(2)/35))/(LN(2)/35)*ER43*ES43*VLOOKUP('Données projet'!$B$15,Paramètres!$A$1:$I$89,3,0)*0.475*44/12</f>
        <v>0.82244769113181726</v>
      </c>
      <c r="EW43" s="21">
        <f>EXP(-LN(2)/25)*EW42+(1-EXP(-LN(2)/25))/(LN(2)/25)*Calculateur!ER43*Calculateur!ET43*VLOOKUP('Données projet'!$B$15,Paramètres!$A$1:$I$89,3,0)*0.475*44/12</f>
        <v>4.3983828420117215</v>
      </c>
      <c r="EX43" s="21">
        <f>EXP(-LN(2)/2)*EX42+(1-EXP(-LN(2)/2))/(LN(2)/2)*ER43*EU43*VLOOKUP('Données projet'!$B$15,Paramètres!$A$1:$I$89,3,0)*0.475*44/12</f>
        <v>0.28320889126187321</v>
      </c>
      <c r="EY43" s="22">
        <f t="shared" si="21"/>
        <v>5.5040394244054118</v>
      </c>
      <c r="EZ43" s="75">
        <f>('Scénario référence'!$F$8+'Scénario référence'!$F$9+'Scénario référence'!$B$17+'Scénario référence'!$B$9+'Scénario référence'!$B$10)*70+IF((45+25*(1-EXP(-0.0175*A43)))&lt;70,'Scénario référence'!$B$16*(45+25*(1-EXP(-0.0175*A43))),70*'Scénario référence'!$B$16)+IF((32+38*(1-EXP(-0.0175*A43)))&lt;70,'Scénario référence'!$B$18*(32+38*(1-EXP(-0.0175*A43))),70*'Scénario référence'!$B$18)</f>
        <v>70</v>
      </c>
      <c r="FA43" s="12">
        <f>IF(A43&gt;30,10,('Scénario référence'!$B$16+'Scénario référence'!$B$17+'Scénario référence'!$B$18+'Scénario référence'!$B$9+'Scénario référence'!$B$10)*A43*10/30+('Scénario référence'!$F$8+'Scénario référence'!$F$9)*10)</f>
        <v>10</v>
      </c>
      <c r="FB43" s="12">
        <f>VLOOKUP(A43,'Données projet'!$A$217:$I$237,2,0)</f>
        <v>222</v>
      </c>
      <c r="FC43" s="12">
        <f>VLOOKUP(A43,'Données projet'!$A$217:$I$237,9,0)</f>
        <v>12.3</v>
      </c>
      <c r="FD43" s="12">
        <f t="array" ref="FD43">INDEX(FC:FC,MIN(IF(ISNUMBER(FC43:FC239),ROW(FC43:FC239),"")))</f>
        <v>12.3</v>
      </c>
      <c r="FE43" s="12">
        <f>IF('Données projet'!$A$218&gt;35,FE42+FD43-FM42,IF(A43&lt;'Données projet'!$A$218,$FB$205^A43,IF(A43='Données projet'!$A$218,'Données projet'!$B$218,FE42+FD43-FM42)))</f>
        <v>222.00000000000006</v>
      </c>
      <c r="FF43" s="17">
        <f>FE43*VLOOKUP('Données projet'!$B$16,Paramètres!$A$1:$I$89,3,0)*VLOOKUP('Données projet'!$B$16,Paramètres!$A$1:$I$89,5,0)</f>
        <v>190.47600000000006</v>
      </c>
      <c r="FG43" s="13">
        <f t="shared" si="47"/>
        <v>47.645174362968355</v>
      </c>
      <c r="FH43" s="20">
        <f t="shared" si="22"/>
        <v>414.7277120155033</v>
      </c>
      <c r="FI43" s="59">
        <f t="shared" si="23"/>
        <v>708.06104534883661</v>
      </c>
      <c r="FJ43" s="59">
        <f ca="1">AVERAGE(OFFSET($FI$3,0,0,'Données projet'!$E$16+1,1))-AVERAGE(OFFSET($H$3,0,0,'Données projet'!$E$16+1,1))</f>
        <v>383.97627237444709</v>
      </c>
      <c r="FK43" s="59">
        <f t="shared" si="48"/>
        <v>203.35476578922339</v>
      </c>
      <c r="FL43" s="15">
        <f>IF(ISNA(VLOOKUP(A43,'Données projet'!$A$217:$I$237,3,0)),0,VLOOKUP(A43,'Données projet'!$A$217:$I$237,3,0))</f>
        <v>3</v>
      </c>
      <c r="FM43" s="15">
        <f>IF(ISNA(VLOOKUP(A43,'Données projet'!$A$217:$I$237,4,0)),0,VLOOKUP(A43,'Données projet'!$A$217:$I$237,4,0))</f>
        <v>72</v>
      </c>
      <c r="FN43" s="16">
        <f>IF(ISNA(VLOOKUP(A43,'Données projet'!$A$217:$I$237,5,0)),0%,VLOOKUP(A43,'Données projet'!$A$217:$I$237,5,0)*VLOOKUP('Données projet'!$B$16,Paramètres!$A$1:$I$89,7,0))</f>
        <v>0</v>
      </c>
      <c r="FO43" s="16">
        <f>IF(ISNA(VLOOKUP(A43,'Données projet'!$A$217:$I$237,6,0)),0%,VLOOKUP(A43,'Données projet'!$A$217:$I$237,6,0)*VLOOKUP('Données projet'!$B$16,Paramètres!$A$1:$I$89,7,0))</f>
        <v>0</v>
      </c>
      <c r="FP43" s="16">
        <f>IF(ISNA(VLOOKUP(A43,'Données projet'!$A$217:$I$237,7,0)),0%,VLOOKUP(A43,'Données projet'!$A$217:$I$237,7,0))</f>
        <v>0</v>
      </c>
      <c r="FQ43" s="21">
        <f>EXP(-LN(2)/35)*FQ42+(1-EXP(-LN(2)/35))/(LN(2)/35)*FM43*FN43*VLOOKUP('Données projet'!$B$16,Paramètres!$A$1:$I$89,3,0)*0.475*44/12</f>
        <v>4.2269349372858107</v>
      </c>
      <c r="FR43" s="21">
        <f>EXP(-LN(2)/25)*FR42+(1-EXP(-LN(2)/25))/(LN(2)/25)*Calculateur!FM43*Calculateur!FO43*VLOOKUP('Données projet'!$B$16,Paramètres!$A$1:$I$89,3,0)*0.475*44/12</f>
        <v>4.4648132007140111</v>
      </c>
      <c r="FS43" s="21">
        <f>EXP(-LN(2)/2)*FS42+(1-EXP(-LN(2)/2))/(LN(2)/2)*FM43*FP43*VLOOKUP('Données projet'!$B$16,Paramètres!$A$1:$I$89,3,0)*0.475*44/12</f>
        <v>0.52019661036843412</v>
      </c>
      <c r="FT43" s="22">
        <f t="shared" si="24"/>
        <v>9.2119447483682553</v>
      </c>
      <c r="FU43" s="75">
        <f>('Scénario référence'!$F$8+'Scénario référence'!$F$9+'Scénario référence'!$B$17+'Scénario référence'!$B$9+'Scénario référence'!$B$10)*70+IF((45+25*(1-EXP(-0.0175*A43)))&lt;70,'Scénario référence'!$B$16*(45+25*(1-EXP(-0.0175*A43))),70*'Scénario référence'!$B$16)+IF((32+38*(1-EXP(-0.0175*A43)))&lt;70,'Scénario référence'!$B$18*(32+38*(1-EXP(-0.0175*A43))),70*'Scénario référence'!$B$18)</f>
        <v>70</v>
      </c>
      <c r="FV43" s="12">
        <f>IF(A43&gt;30,10,('Scénario référence'!$B$16+'Scénario référence'!$B$17+'Scénario référence'!$B$18+'Scénario référence'!$B$9+'Scénario référence'!$B$10)*A43*10/30+('Scénario référence'!$F$8+'Scénario référence'!$F$9)*10)</f>
        <v>10</v>
      </c>
      <c r="FW43" s="12" t="e">
        <f>VLOOKUP(A43,'Données projet'!$A$243:$I$263,2,0)</f>
        <v>#N/A</v>
      </c>
      <c r="FX43" s="12" t="e">
        <f>VLOOKUP(A43,'Données projet'!$A$243:$I$263,9,0)</f>
        <v>#N/A</v>
      </c>
      <c r="FY43" s="12">
        <f t="array" ref="FY43">INDEX(FX:FX,MIN(IF(ISNUMBER(FX43:FX239),ROW(FX43:FX239),"")))</f>
        <v>9.3141025641025674</v>
      </c>
      <c r="FZ43" s="12">
        <f>IF('Données projet'!$A$244&gt;35,FZ42+FY43-GH42,IF(A43&lt;'Données projet'!$A$244,$FW$205^A43,IF(A43='Données projet'!$A$244,'Données projet'!$B$244,FZ42+FY43-GH42)))</f>
        <v>148.13461538461539</v>
      </c>
      <c r="GA43" s="17">
        <f>FZ43*VLOOKUP('Données projet'!$B$17,Paramètres!$A$1:$I$89,3,0)*VLOOKUP('Données projet'!$B$17,Paramètres!$A$1:$I$89,5,0)</f>
        <v>159.4521</v>
      </c>
      <c r="GB43" s="13">
        <f t="shared" si="49"/>
        <v>40.718910371482714</v>
      </c>
      <c r="GC43" s="20">
        <f t="shared" si="25"/>
        <v>348.63117639699902</v>
      </c>
      <c r="GD43" s="59">
        <f t="shared" si="26"/>
        <v>641.96450973033234</v>
      </c>
      <c r="GE43" s="59">
        <f ca="1">AVERAGE(OFFSET($GD$3,0,0,'Données projet'!$E$17+1,1))-AVERAGE(OFFSET($H$3,0,0,'Données projet'!$E$17+1,1))</f>
        <v>286.77702855541287</v>
      </c>
      <c r="GF43" s="59">
        <f t="shared" si="50"/>
        <v>227.12211541860779</v>
      </c>
      <c r="GG43" s="15">
        <f>IF(ISNA(VLOOKUP(A43,'Données projet'!$A$243:$I$263,3,0)),0,VLOOKUP(A43,'Données projet'!$A$243:$I$263,3,0))</f>
        <v>0</v>
      </c>
      <c r="GH43" s="15">
        <f>IF(ISNA(VLOOKUP(A43,'Données projet'!$A$243:$I$263,4,0)),0,VLOOKUP(A43,'Données projet'!$A$243:$I$263,4,0))</f>
        <v>0</v>
      </c>
      <c r="GI43" s="16">
        <f>IF(ISNA(VLOOKUP(A43,'Données projet'!$A$243:$I$263,5,0)),0%,VLOOKUP(A43,'Données projet'!$A$243:$I$263,5,0)*VLOOKUP('Données projet'!$B$17,Paramètres!$A$1:$I$89,7,0))</f>
        <v>0</v>
      </c>
      <c r="GJ43" s="16">
        <f>IF(ISNA(VLOOKUP(A43,'Données projet'!$A$243:$I$263,6,0)),0%,VLOOKUP(A43,'Données projet'!$A$243:$I$263,6,0)*VLOOKUP('Données projet'!$B$17,Paramètres!$A$1:$I$89,7,0))</f>
        <v>0</v>
      </c>
      <c r="GK43" s="16">
        <f>IF(ISNA(VLOOKUP(A43,'Données projet'!$A$243:$I$263,7,0)),0%,VLOOKUP(A43,'Données projet'!$A$243:$I$263,7,0))</f>
        <v>0</v>
      </c>
      <c r="GL43" s="21">
        <f>EXP(-LN(2)/35)*GL42+(1-EXP(-LN(2)/35))/(LN(2)/35)*GH43*GI43*VLOOKUP('Données projet'!$B$17,Paramètres!$A$1:$I$89,3,0)*0.475*44/12</f>
        <v>0</v>
      </c>
      <c r="GM43" s="21">
        <f>EXP(-LN(2)/25)*GM42+(1-EXP(-LN(2)/25))/(LN(2)/25)*Calculateur!GH43*Calculateur!GJ43*VLOOKUP('Données projet'!$B$17,Paramètres!$A$1:$I$89,3,0)*0.475*44/12</f>
        <v>0</v>
      </c>
      <c r="GN43" s="21">
        <f>EXP(-LN(2)/2)*GN42+(1-EXP(-LN(2)/2))/(LN(2)/2)*GH43*GK43*VLOOKUP('Données projet'!$B$17,Paramètres!$A$1:$I$89,3,0)*0.475*44/12</f>
        <v>0</v>
      </c>
      <c r="GO43" s="21">
        <f t="shared" si="27"/>
        <v>0</v>
      </c>
      <c r="GP43" s="75">
        <f>('Scénario référence'!$F$8+'Scénario référence'!$F$9+'Scénario référence'!$B$17+'Scénario référence'!$B$9+'Scénario référence'!$B$10)*70+IF((45+25*(1-EXP(-0.0175*A43)))&lt;70,'Scénario référence'!$B$16*(45+25*(1-EXP(-0.0175*A43))),70*'Scénario référence'!$B$16)+IF((32+38*(1-EXP(-0.0175*A43)))&lt;70,'Scénario référence'!$B$18*(32+38*(1-EXP(-0.0175*A43))),70*'Scénario référence'!$B$18)</f>
        <v>70</v>
      </c>
      <c r="GQ43" s="12">
        <f>IF(A43&gt;30,10,('Scénario référence'!$B$16+'Scénario référence'!$B$17+'Scénario référence'!$B$18+'Scénario référence'!$B$9+'Scénario référence'!$B$10)*A43*10/30+('Scénario référence'!$F$8+'Scénario référence'!$F$9)*10)</f>
        <v>10</v>
      </c>
      <c r="GR43" s="12" t="e">
        <f>VLOOKUP(A43,'Données projet'!$A$269:$I$289,2,0)</f>
        <v>#N/A</v>
      </c>
      <c r="GS43" s="12" t="e">
        <f>VLOOKUP(A43,'Données projet'!$A$269:$I$289,9,0)</f>
        <v>#N/A</v>
      </c>
      <c r="GT43" s="12">
        <f t="array" ref="GT43">INDEX(GS:GS,MIN(IF(ISNUMBER(GS43:GS239),ROW(GS43:GS239),"")))</f>
        <v>9.3141025641025674</v>
      </c>
      <c r="GU43" s="12">
        <f>IF('Données projet'!$A$270&gt;35,GU42+GT43-HC42,IF(A43&lt;'Données projet'!$A$270,$GR$205^A43,IF(A43='Données projet'!$A$270,'Données projet'!$B$270,GU42+GT43-HC42)))</f>
        <v>148.13461538461539</v>
      </c>
      <c r="GV43" s="17">
        <f>GU43*VLOOKUP('Données projet'!$B$18,Paramètres!$A$1:$I$89,3,0)*VLOOKUP('Données projet'!$B$18,Paramètres!$A$1:$I$89,5,0)</f>
        <v>159.4521</v>
      </c>
      <c r="GW43" s="13">
        <f t="shared" si="51"/>
        <v>40.718910371482714</v>
      </c>
      <c r="GX43" s="20">
        <f t="shared" si="28"/>
        <v>348.63117639699902</v>
      </c>
      <c r="GY43" s="59">
        <f t="shared" si="29"/>
        <v>641.96450973033234</v>
      </c>
      <c r="GZ43" s="59">
        <f ca="1">AVERAGE(OFFSET($GY$3,0,0,'Données projet'!$E$18+1,1))-AVERAGE(OFFSET($H$3,0,0,'Données projet'!$E$18+1,1))</f>
        <v>286.77702855541287</v>
      </c>
      <c r="HA43" s="59">
        <f t="shared" si="52"/>
        <v>227.12211541860779</v>
      </c>
      <c r="HB43" s="15">
        <f>IF(ISNA(VLOOKUP(A43,'Données projet'!$A$269:$I$289,3,0)),0,VLOOKUP(A43,'Données projet'!$A$269:$I$289,3,0))</f>
        <v>0</v>
      </c>
      <c r="HC43" s="15">
        <f>IF(ISNA(VLOOKUP(A43,'Données projet'!$A$269:$I$289,4,0)),0,VLOOKUP(A43,'Données projet'!$A$269:$I$289,4,0))</f>
        <v>0</v>
      </c>
      <c r="HD43" s="16">
        <f>IF(ISNA(VLOOKUP(A43,'Données projet'!$A$269:$I$289,5,0)),0%,VLOOKUP(A43,'Données projet'!$A$269:$I$289,5,0)*VLOOKUP('Données projet'!$B$18,Paramètres!$A$1:$I$89,7,0))</f>
        <v>0</v>
      </c>
      <c r="HE43" s="16">
        <f>IF(ISNA(VLOOKUP(A43,'Données projet'!$A$269:$I$289,6,0)),0%,VLOOKUP(A43,'Données projet'!$A$269:$I$289,6,0)*VLOOKUP('Données projet'!$B$18,Paramètres!$A$1:$I$89,7,0))</f>
        <v>0</v>
      </c>
      <c r="HF43" s="16">
        <f>IF(ISNA(VLOOKUP(A43,'Données projet'!$A$269:$I$289,7,0)),0%,VLOOKUP(A43,'Données projet'!$A$269:$I$289,7,0))</f>
        <v>0</v>
      </c>
      <c r="HG43" s="21">
        <f>EXP(-LN(2)/35)*HG42+(1-EXP(-LN(2)/35))/(LN(2)/35)*HC43*HD43*VLOOKUP('Données projet'!$B$18,Paramètres!$A$1:$I$89,3,0)*0.475*44/12</f>
        <v>0</v>
      </c>
      <c r="HH43" s="21">
        <f>EXP(-LN(2)/25)*HH42+(1-EXP(-LN(2)/25))/(LN(2)/25)*Calculateur!HC43*Calculateur!HE43*VLOOKUP('Données projet'!$B$18,Paramètres!$A$1:$I$89,3,0)*0.475*44/12</f>
        <v>0</v>
      </c>
      <c r="HI43" s="21">
        <f>EXP(-LN(2)/2)*HI42+(1-EXP(-LN(2)/2))/(LN(2)/2)*HC43*HF43*VLOOKUP('Données projet'!$B$18,Paramètres!$A$1:$I$89,3,0)*0.475*44/12</f>
        <v>0</v>
      </c>
      <c r="HJ43" s="22">
        <f t="shared" si="30"/>
        <v>0</v>
      </c>
    </row>
    <row r="44" spans="1:218" x14ac:dyDescent="0.25">
      <c r="A44" s="10">
        <f t="shared" si="31"/>
        <v>41</v>
      </c>
      <c r="B44" s="73">
        <f>'Scénario référence'!$B$16*5+'Scénario référence'!$B$17*0+'Scénario référence'!$B$18*5</f>
        <v>0</v>
      </c>
      <c r="C44" s="19">
        <f>Calculateur!C43+'Scénario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36.4572</v>
      </c>
      <c r="D44" s="11">
        <f t="shared" si="32"/>
        <v>11.054619486999963</v>
      </c>
      <c r="E4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44" s="11">
        <f>IF(OR('Scénario référence'!$F$8&gt;0,'Scénario référence'!$F$9&gt;0),('Scénario référence'!$F$8+'Scénario référence'!$F$9)*10,0)</f>
        <v>10</v>
      </c>
      <c r="G44" s="11">
        <f>'Scénario référence'!$B$8*B44*44/12+'Scénario référence'!$B$9*(C44+D44)/0.475*44/12+'Scénario référence'!$B$10*(C44+D44)/0.475*44/12+'Scénario référence'!$F$8*(C44+D44)/0.475*44/12+'Scénario référence'!$F$9*(C44+D44)/0.475*44/12</f>
        <v>366.75790481192956</v>
      </c>
      <c r="H44" s="67">
        <f t="shared" si="1"/>
        <v>376.08308560652495</v>
      </c>
      <c r="I44" s="70">
        <f>('Scénario référence'!$F$8+'Scénario référence'!$F$9+'Scénario référence'!$B$17+'Scénario référence'!$B$9+'Scénario référence'!$B$10)*70+IF((45+25*(1-EXP(-0.0175*A44)))&lt;70,'Scénario référence'!$B$16*(45+25*(1-EXP(-0.0175*A44))),70*'Scénario référence'!$B$16)+IF((32+38*(1-EXP(-0.0175*A44)))&lt;70,'Scénario référence'!$B$18*(32+38*(1-EXP(-0.0175*A44))),70*'Scénario référence'!$B$18)</f>
        <v>70</v>
      </c>
      <c r="J44" s="13">
        <f>IF(A44&gt;30,10,('Scénario référence'!$B$16+'Scénario référence'!$B$17+'Scénario référence'!$B$18+'Scénario référence'!$B$9+'Scénario référence'!$B$10)*A44*10/30+('Scénario référence'!$F$8+'Scénario référence'!$F$9)*10)</f>
        <v>10</v>
      </c>
      <c r="K44" s="12" t="e">
        <f>VLOOKUP(A44,'Données projet'!$A$35:$I$55,2,0)</f>
        <v>#N/A</v>
      </c>
      <c r="L44" s="12" t="e">
        <f>VLOOKUP(A44,'Données projet'!$A$35:$I$55,9,0)</f>
        <v>#N/A</v>
      </c>
      <c r="M44" s="12">
        <f t="array" ref="M44">INDEX(L:L,MIN(IF(ISNUMBER(L44:L240),ROW(L44:L240),"")))</f>
        <v>22.419230769230779</v>
      </c>
      <c r="N44" s="13">
        <f>IF('Données projet'!$A$36&gt;35,N43+M44-V43,IF(A44&lt;'Données projet'!$A$36,$K$205^A44,IF(A44='Données projet'!$A$36,'Données projet'!$B$36,N43+M44-V43)))</f>
        <v>446.30384615384594</v>
      </c>
      <c r="O44" s="13">
        <f>N44*VLOOKUP('Données projet'!$B$9,Paramètres!$A$1:$I$89,3,0)*VLOOKUP('Données projet'!$B$9,Paramètres!$A$1:$I$89,5,0)</f>
        <v>249.4838499999999</v>
      </c>
      <c r="P44" s="13">
        <f t="shared" si="33"/>
        <v>60.475401807280001</v>
      </c>
      <c r="Q44" s="20">
        <f t="shared" si="53"/>
        <v>539.84569689767909</v>
      </c>
      <c r="R44" s="59">
        <f t="shared" si="0"/>
        <v>833.17903023101235</v>
      </c>
      <c r="S44" s="59">
        <f ca="1">AVERAGE(OFFSET($R$3,0,0,'Données projet'!$E$9+1,1))-AVERAGE(OFFSET($H$3,0,0,'Données projet'!$E$9+1,1))</f>
        <v>255.5374979188561</v>
      </c>
      <c r="T44" s="59">
        <f t="shared" si="34"/>
        <v>343.10418468620901</v>
      </c>
      <c r="U44" s="15">
        <f>IF(ISNA(VLOOKUP(A44,'Données projet'!$A$35:$I$55,3,0)),0,VLOOKUP(A44,'Données projet'!$A$35:$I$55,3,0))</f>
        <v>0</v>
      </c>
      <c r="V44" s="15">
        <f>IF(ISNA(VLOOKUP(A44,'Données projet'!$A$35:$I$55,4,0)),0,VLOOKUP(A44,'Données projet'!$A$35:$I$55,4,0))</f>
        <v>0</v>
      </c>
      <c r="W44" s="16">
        <f>IF(ISNA(VLOOKUP(A44,'Données projet'!$A$35:$I$55,5,0)),0%,VLOOKUP(A44,'Données projet'!$A$35:$I$55,5,0)*VLOOKUP('Données projet'!$B$9,Paramètres!$A$1:$I$89,7,0))</f>
        <v>0</v>
      </c>
      <c r="X44" s="16">
        <f>IF(ISNA(VLOOKUP(A44,'Données projet'!$A$35:$I$55,6,0)),0%,VLOOKUP(A44,'Données projet'!$A$35:$I$55,6,0)*VLOOKUP('Données projet'!$B$9,Paramètres!$A$1:$I$89,7,0))</f>
        <v>0</v>
      </c>
      <c r="Y44" s="16">
        <f>IF(ISNA(VLOOKUP(A44,'Données projet'!$A$35:$I$55,7,0)),0%,VLOOKUP(A44,'Données projet'!$A$35:$I$55,7,0))</f>
        <v>0</v>
      </c>
      <c r="Z44" s="21">
        <f>EXP(-LN(2)/35)*Z43+(1-EXP(-LN(2)/35))/(LN(2)/35)*V44*W44*VLOOKUP('Données projet'!$B$9,Paramètres!$A$1:$I$89,3,0)*0.475*44/12</f>
        <v>2.4851625081011139</v>
      </c>
      <c r="AA44" s="21">
        <f>EXP(-LN(2)/25)*AA43+(1-EXP(-LN(2)/25))/(LN(2)/25)*Calculateur!V44*Calculateur!X44*VLOOKUP('Données projet'!$B$9,Paramètres!$A$1:$I$89,3,0)*0.475*44/12</f>
        <v>11.764859367871685</v>
      </c>
      <c r="AB44" s="21">
        <f>EXP(-LN(2)/2)*AB43+(1-EXP(-LN(2)/2))/(LN(2)/2)*V44*Y44*VLOOKUP('Données projet'!$B$9,Paramètres!$A$1:$I$89,3,0)*0.475*44/12</f>
        <v>3.7402680111608778E-2</v>
      </c>
      <c r="AC44" s="22">
        <f t="shared" si="3"/>
        <v>14.287424556084407</v>
      </c>
      <c r="AD44" s="13">
        <f>('Scénario référence'!$F$8+'Scénario référence'!$F$9+'Scénario référence'!$B$17+'Scénario référence'!$B$9+'Scénario référence'!$B$10)*70+IF((45+25*(1-EXP(-0.0175*A44)))&lt;70,'Scénario référence'!$B$16*(45+25*(1-EXP(-0.0175*A44))),70*'Scénario référence'!$B$16)+IF((32+38*(1-EXP(-0.0175*A44)))&lt;70,'Scénario référence'!$B$18*(32+38*(1-EXP(-0.0175*A44))),70*'Scénario référence'!$B$18)</f>
        <v>70</v>
      </c>
      <c r="AE44" s="13">
        <f>IF(A44&gt;30,10,('Scénario référence'!$B$16+'Scénario référence'!$B$17+'Scénario référence'!$B$18+'Scénario référence'!$B$9+'Scénario référence'!$B$10)*A44*10/30+('Scénario référence'!$F$8+'Scénario référence'!$F$9)*10)</f>
        <v>10</v>
      </c>
      <c r="AF44" s="12" t="e">
        <f>VLOOKUP(A44,'Données projet'!$A$61:$I$81,2,0)</f>
        <v>#N/A</v>
      </c>
      <c r="AG44" s="12" t="e">
        <f>VLOOKUP(A44,'Données projet'!$A$61:$I$81,9,0)</f>
        <v>#N/A</v>
      </c>
      <c r="AH44" s="12">
        <f t="array" ref="AH44">INDEX(AG:AG,MIN(IF(ISNUMBER(AG44:AG240),ROW(AG44:AG240),"")))</f>
        <v>12.4</v>
      </c>
      <c r="AI44" s="13">
        <f>IF('Données projet'!$A$62&gt;35,AI43+AH44-AQ43,IF(A44&lt;'Données projet'!$A$62,$AF$205^A44,IF(A44='Données projet'!$A$62,'Données projet'!$B$62,AI43+AH44-AQ43)))</f>
        <v>260.40000000000009</v>
      </c>
      <c r="AJ44" s="13">
        <f>AI44*VLOOKUP('Données projet'!$B$10,Paramètres!$A$1:$I$89,3,0)*VLOOKUP('Données projet'!$B$10,Paramètres!$A$1:$I$89,5,0)</f>
        <v>162.48960000000005</v>
      </c>
      <c r="AK44" s="13">
        <f t="shared" si="35"/>
        <v>41.403546033820696</v>
      </c>
      <c r="AL44" s="20">
        <f t="shared" si="4"/>
        <v>355.11389600890448</v>
      </c>
      <c r="AM44" s="59">
        <f t="shared" si="5"/>
        <v>648.44722934223773</v>
      </c>
      <c r="AN44" s="59">
        <f ca="1">AVERAGE(OFFSET($AM$3,0,0,'Données projet'!$E$10+1,1))-AVERAGE(OFFSET($H$3,0,0,'Données projet'!$E$10+1,1))</f>
        <v>261.78489480911571</v>
      </c>
      <c r="AO44" s="59">
        <f t="shared" si="36"/>
        <v>297.50513563712764</v>
      </c>
      <c r="AP44" s="15">
        <f>IF(ISNA(VLOOKUP(A44,'Données projet'!$A$61:$I$81,3,0)),0,VLOOKUP(A44,'Données projet'!$A$61:$I$81,3,0))</f>
        <v>0</v>
      </c>
      <c r="AQ44" s="15">
        <f>IF(ISNA(VLOOKUP(A44,'Données projet'!$A$61:$I$81,4,0)),0,VLOOKUP(A44,'Données projet'!$A$61:$I$81,4,0))</f>
        <v>0</v>
      </c>
      <c r="AR44" s="16">
        <f>IF(ISNA(VLOOKUP(A44,'Données projet'!$A$61:$I$81,5,0)),0%,VLOOKUP(A44,'Données projet'!$A$61:$I$81,5,0)*VLOOKUP('Données projet'!$B$10,Paramètres!$A$1:$I$89,7,0))</f>
        <v>0</v>
      </c>
      <c r="AS44" s="16">
        <f>IF(ISNA(VLOOKUP(A44,'Données projet'!$A$61:$I$81,6,0)),0%,VLOOKUP(A44,'Données projet'!$A$61:$I$81,6,0)*VLOOKUP('Données projet'!$B$10,Paramètres!$A$1:$I$89,7,0))</f>
        <v>0</v>
      </c>
      <c r="AT44" s="16">
        <f>IF(ISNA(VLOOKUP(A44,'Données projet'!$A$61:$I$81,7,0)),0%,VLOOKUP(A44,'Données projet'!$A$61:$I$81,7,0))</f>
        <v>0</v>
      </c>
      <c r="AU44" s="21">
        <f>EXP(-LN(2)/35)*AU43+(1-EXP(-LN(2)/35))/(LN(2)/35)*AQ44*AR44*VLOOKUP('Données projet'!$B$10,Paramètres!$A$1:$I$89,3,0)*0.475*44/12</f>
        <v>6.7106416967169285</v>
      </c>
      <c r="AV44" s="21">
        <f>EXP(-LN(2)/25)*AV43+(1-EXP(-LN(2)/25))/(LN(2)/25)*Calculateur!AQ44*Calculateur!AS44*VLOOKUP('Données projet'!$B$10,Paramètres!$A$1:$I$89,3,0)*0.475*44/12</f>
        <v>20.543844027310477</v>
      </c>
      <c r="AW44" s="21">
        <f>EXP(-LN(2)/2)*AW43+(1-EXP(-LN(2)/2))/(LN(2)/2)*AQ44*AT44*VLOOKUP('Données projet'!$B$10,Paramètres!$A$1:$I$89,3,0)*0.475*44/12</f>
        <v>0.53919524131060848</v>
      </c>
      <c r="AX44" s="21">
        <f t="shared" si="6"/>
        <v>27.793680965338012</v>
      </c>
      <c r="AY44" s="74">
        <f>('Scénario référence'!$F$8+'Scénario référence'!$F$9+'Scénario référence'!$B$17+'Scénario référence'!$B$9+'Scénario référence'!$B$10)*70+IF((45+25*(1-EXP(-0.0175*A44)))&lt;70,'Scénario référence'!$B$16*(45+25*(1-EXP(-0.0175*A44))),70*'Scénario référence'!$B$16)+IF((32+38*(1-EXP(-0.0175*A44)))&lt;70,'Scénario référence'!$B$18*(32+38*(1-EXP(-0.0175*A44))),70*'Scénario référence'!$B$18)</f>
        <v>70</v>
      </c>
      <c r="AZ44" s="12">
        <f>IF(A44&gt;30,10,('Scénario référence'!$B$16+'Scénario référence'!$B$17+'Scénario référence'!$B$18+'Scénario référence'!$B$9+'Scénario référence'!$B$10)*A44*10/30+('Scénario référence'!$F$8+'Scénario référence'!$F$9)*10)</f>
        <v>10</v>
      </c>
      <c r="BA44" s="12" t="e">
        <f>VLOOKUP(A44,'Données projet'!$A$87:$I$107,2,0)</f>
        <v>#N/A</v>
      </c>
      <c r="BB44" s="12" t="e">
        <f>VLOOKUP(A44,'Données projet'!$A$87:$I$107,9,0)</f>
        <v>#N/A</v>
      </c>
      <c r="BC44" s="12">
        <f t="array" ref="BC44">INDEX(BB:BB,MIN(IF(ISNUMBER(BB44:BB240),ROW(BB44:BB240),"")))</f>
        <v>18.899999999999999</v>
      </c>
      <c r="BD44" s="12">
        <f>IF('Données projet'!$A$88&gt;35,BD43+BC44-BL43,IF(A44&lt;'Données projet'!$A$88,$BA$205^A44,IF(A44='Données projet'!$A$88,'Données projet'!$B$88,BD43+BC44-BL43)))</f>
        <v>264.89999999999992</v>
      </c>
      <c r="BE44" s="13">
        <f>BD44*VLOOKUP('Données projet'!$B$11,Paramètres!$A$1:$I$89,3,0)*VLOOKUP('Données projet'!$B$11,Paramètres!$A$1:$I$89,5,0)</f>
        <v>158.41019999999997</v>
      </c>
      <c r="BF44" s="13">
        <f t="shared" si="37"/>
        <v>40.483723442869469</v>
      </c>
      <c r="BG44" s="20">
        <f t="shared" si="7"/>
        <v>346.40691666299762</v>
      </c>
      <c r="BH44" s="59">
        <f t="shared" si="8"/>
        <v>639.74024999633093</v>
      </c>
      <c r="BI44" s="59">
        <f ca="1">AVERAGE(OFFSET($BH$3,0,0,'Données projet'!$E$11+1,1))-AVERAGE(OFFSET($H$3,0,0,'Données projet'!$E$11+1,1))</f>
        <v>316.58509520829671</v>
      </c>
      <c r="BJ44" s="59">
        <f t="shared" si="38"/>
        <v>240.71332110643596</v>
      </c>
      <c r="BK44" s="15">
        <f>IF(ISNA(VLOOKUP(A44,'Données projet'!$A$87:$I$107,3,0)),0,VLOOKUP(A44,'Données projet'!$A$87:$I$107,3,0))</f>
        <v>0</v>
      </c>
      <c r="BL44" s="15">
        <f>IF(ISNA(VLOOKUP(A44,'Données projet'!$A$87:$I$107,4,0)),0,VLOOKUP(A44,'Données projet'!$A$87:$I$107,4,0))</f>
        <v>0</v>
      </c>
      <c r="BM44" s="16">
        <f>IF(ISNA(VLOOKUP(A44,'Données projet'!$A$87:$I$107,5,0)),0%,VLOOKUP(A44,'Données projet'!$A$87:$I$107,5,0)*VLOOKUP('Données projet'!$B$11,Paramètres!$A$1:$I$89,7,0))</f>
        <v>0</v>
      </c>
      <c r="BN44" s="16">
        <f>IF(ISNA(VLOOKUP(A44,'Données projet'!$A$87:$I$107,6,0)),0%,VLOOKUP(A44,'Données projet'!$A$87:$I$107,6,0)*VLOOKUP('Données projet'!$B$11,Paramètres!$A$1:$I$89,7,0))</f>
        <v>0</v>
      </c>
      <c r="BO44" s="16">
        <f>IF(ISNA(VLOOKUP(A44,'Données projet'!$A$87:$I$107,7,0)),0%,VLOOKUP(A44,'Données projet'!$A$87:$I$107,7,0))</f>
        <v>0</v>
      </c>
      <c r="BP44" s="21">
        <f>EXP(-LN(2)/35)*BP43+(1-EXP(-LN(2)/35))/(LN(2)/35)*BL44*BM44*VLOOKUP('Données projet'!$B$11,Paramètres!$A$1:$I$89,3,0)*0.475*44/12</f>
        <v>2.0384073457475353</v>
      </c>
      <c r="BQ44" s="21">
        <f>EXP(-LN(2)/25)*BQ43+(1-EXP(-LN(2)/25))/(LN(2)/25)*Calculateur!BL44*Calculateur!BN44*VLOOKUP('Données projet'!$B$11,Paramètres!$A$1:$I$89,3,0)*0.475*44/12</f>
        <v>11.25451718801513</v>
      </c>
      <c r="BR44" s="21">
        <f>EXP(-LN(2)/2)*BR43+(1-EXP(-LN(2)/2))/(LN(2)/2)*BL44*BO44*VLOOKUP('Données projet'!$B$11,Paramètres!$A$1:$I$89,3,0)*0.475*44/12</f>
        <v>0.4847955706148328</v>
      </c>
      <c r="BS44" s="22">
        <f t="shared" si="9"/>
        <v>13.777720104377497</v>
      </c>
      <c r="BT44" s="75">
        <f>('Scénario référence'!$F$8+'Scénario référence'!$F$9+'Scénario référence'!$B$17+'Scénario référence'!$B$9+'Scénario référence'!$B$10)*70+IF((45+25*(1-EXP(-0.0175*A44)))&lt;70,'Scénario référence'!$B$16*(45+25*(1-EXP(-0.0175*A44))),70*'Scénario référence'!$B$16)+IF((32+38*(1-EXP(-0.0175*A44)))&lt;70,'Scénario référence'!$B$18*(32+38*(1-EXP(-0.0175*A44))),70*'Scénario référence'!$B$18)</f>
        <v>70</v>
      </c>
      <c r="BU44" s="12">
        <f>IF(A44&gt;30,10,('Scénario référence'!$B$16+'Scénario référence'!$B$17+'Scénario référence'!$B$18+'Scénario référence'!$B$9+'Scénario référence'!$B$10)*A44*10/30+('Scénario référence'!$F$8+'Scénario référence'!$F$9)*10)</f>
        <v>10</v>
      </c>
      <c r="BV44" s="12" t="e">
        <f>VLOOKUP(A44,'Données projet'!$A$113:$I$133,2,0)</f>
        <v>#N/A</v>
      </c>
      <c r="BW44" s="12" t="e">
        <f>VLOOKUP(A44,'Données projet'!$A$113:$I$133,9,0)</f>
        <v>#N/A</v>
      </c>
      <c r="BX44" s="12">
        <f t="array" ref="BX44">INDEX(BW:BW,MIN(IF(ISNUMBER(BW44:BW240),ROW(BW44:BW240),"")))</f>
        <v>11.9</v>
      </c>
      <c r="BY44" s="12">
        <f>IF('Données projet'!$A$114&gt;35,BY43+BX44-CG43,IF(A44&lt;'Données projet'!$A$114,$BV$205^A44,IF(A44='Données projet'!$A$114,'Données projet'!$B$114,BY43+BX44-CG43)))</f>
        <v>212.89999999999986</v>
      </c>
      <c r="BZ44" s="13">
        <f>BY44*VLOOKUP('Données projet'!$B$12,Paramètres!$A$1:$I$89,3,0)*VLOOKUP('Données projet'!$B$12,Paramètres!$A$1:$I$89,5,0)</f>
        <v>121.77879999999993</v>
      </c>
      <c r="CA44" s="13">
        <f t="shared" si="39"/>
        <v>32.089519221053799</v>
      </c>
      <c r="CB44" s="20">
        <f t="shared" si="10"/>
        <v>267.98732264333523</v>
      </c>
      <c r="CC44" s="59">
        <f t="shared" si="11"/>
        <v>561.3206559766686</v>
      </c>
      <c r="CD44" s="59">
        <f ca="1">AVERAGE(OFFSET($CC$3,0,0,'Données projet'!$E$12+1,1))-AVERAGE(OFFSET($H$3,0,0,'Données projet'!$E$12+1,1))</f>
        <v>188.64374818906128</v>
      </c>
      <c r="CE44" s="59">
        <f t="shared" si="40"/>
        <v>211.95157880548652</v>
      </c>
      <c r="CF44" s="15">
        <f>IF(ISNA(VLOOKUP(A44,'Données projet'!$A$113:$I$133,3,0)),0,VLOOKUP(A44,'Données projet'!$A$113:$I$133,3,0))</f>
        <v>0</v>
      </c>
      <c r="CG44" s="15">
        <f>IF(ISNA(VLOOKUP(A44,'Données projet'!$A$113:$I$133,4,0)),0,VLOOKUP(A44,'Données projet'!$A$113:$I$133,4,0))</f>
        <v>0</v>
      </c>
      <c r="CH44" s="16">
        <f>IF(ISNA(VLOOKUP(A44,'Données projet'!$A$113:$I$133,5,0)),0%,VLOOKUP(A44,'Données projet'!$A$113:$I$133,5,0)*VLOOKUP('Données projet'!$B$12,Paramètres!$A$1:$I$89,7,0))</f>
        <v>0</v>
      </c>
      <c r="CI44" s="16">
        <f>IF(ISNA(VLOOKUP(A44,'Données projet'!$A$113:$I$133,6,0)),0%,VLOOKUP(A44,'Données projet'!$A$113:$I$133,6,0)*VLOOKUP('Données projet'!$B$12,Paramètres!$A$1:$I$89,7,0))</f>
        <v>0</v>
      </c>
      <c r="CJ44" s="16">
        <f>IF(ISNA(VLOOKUP(A44,'Données projet'!$A$113:$I$133,7,0)),0%,VLOOKUP(A44,'Données projet'!$A$113:$I$133,7,0))</f>
        <v>0</v>
      </c>
      <c r="CK44" s="21">
        <f>EXP(-LN(2)/35)*CK43+(1-EXP(-LN(2)/35))/(LN(2)/35)*CG44*CH44*VLOOKUP('Données projet'!$B$12,Paramètres!$A$1:$I$89,3,0)*0.475*44/12</f>
        <v>1.9772426427826668</v>
      </c>
      <c r="CL44" s="21">
        <f>EXP(-LN(2)/25)*CL43+(1-EXP(-LN(2)/25))/(LN(2)/25)*Calculateur!CG44*Calculateur!CI44*VLOOKUP('Données projet'!$B$12,Paramètres!$A$1:$I$89,3,0)*0.475*44/12</f>
        <v>10.593006399467598</v>
      </c>
      <c r="CM44" s="21">
        <f>EXP(-LN(2)/2)*CM43+(1-EXP(-LN(2)/2))/(LN(2)/2)*CG44*CJ44*VLOOKUP('Données projet'!$B$12,Paramètres!$A$1:$I$89,3,0)*0.475*44/12</f>
        <v>0.46948657917169195</v>
      </c>
      <c r="CN44" s="22">
        <f t="shared" si="12"/>
        <v>13.039735621421956</v>
      </c>
      <c r="CO44" s="75">
        <f>('Scénario référence'!$F$8+'Scénario référence'!$F$9+'Scénario référence'!$B$17+'Scénario référence'!$B$9+'Scénario référence'!$B$10)*70+IF((45+25*(1-EXP(-0.0175*A44)))&lt;70,'Scénario référence'!$B$16*(45+25*(1-EXP(-0.0175*A44))),70*'Scénario référence'!$B$16)+IF((32+38*(1-EXP(-0.0175*A44)))&lt;70,'Scénario référence'!$B$18*(32+38*(1-EXP(-0.0175*A44))),70*'Scénario référence'!$B$18)</f>
        <v>70</v>
      </c>
      <c r="CP44" s="12">
        <f>IF(A44&gt;30,10,('Scénario référence'!$B$16+'Scénario référence'!$B$17+'Scénario référence'!$B$18+'Scénario référence'!$B$9+'Scénario référence'!$B$10)*A44*10/30+('Scénario référence'!$F$8+'Scénario référence'!$F$9)*10)</f>
        <v>10</v>
      </c>
      <c r="CQ44" s="12" t="e">
        <f>VLOOKUP(A44,'Données projet'!$A$139:$I$159,2,0)</f>
        <v>#N/A</v>
      </c>
      <c r="CR44" s="12" t="e">
        <f>VLOOKUP(A44,'Données projet'!$A$139:$I$159,9,0)</f>
        <v>#N/A</v>
      </c>
      <c r="CS44" s="12">
        <f t="array" ref="CS44">INDEX(CR:CR,MIN(IF(ISNUMBER(CR44:CR240),ROW(CR44:CR240),"")))</f>
        <v>0</v>
      </c>
      <c r="CT44" s="12">
        <f>IF('Données projet'!$A$140&gt;35,CT43+CS44-DB43,IF(A44&lt;'Données projet'!$A$140,$CQ$205^A44,IF(A44='Données projet'!$A$140,'Données projet'!$B$140,CT43+CS44-DB43)))</f>
        <v>0</v>
      </c>
      <c r="CU44" s="17" t="e">
        <f>CT44*VLOOKUP('Données projet'!$B$13,Paramètres!$A$1:$I$89,3,0)*VLOOKUP('Données projet'!$B$13,Paramètres!$A$1:$I$89,5,0)</f>
        <v>#N/A</v>
      </c>
      <c r="CV44" s="13" t="e">
        <f t="shared" si="41"/>
        <v>#N/A</v>
      </c>
      <c r="CW44" s="20" t="e">
        <f t="shared" si="13"/>
        <v>#N/A</v>
      </c>
      <c r="CX44" s="59" t="e">
        <f t="shared" si="14"/>
        <v>#N/A</v>
      </c>
      <c r="CY44" s="59" t="e">
        <f ca="1">AVERAGE(OFFSET($CX$3,0,0,'Données projet'!$E$13+1,1))-AVERAGE(OFFSET($H$3,0,0,'Données projet'!$E$13+1,1))</f>
        <v>#N/A</v>
      </c>
      <c r="CZ44" s="59" t="e">
        <f t="shared" si="42"/>
        <v>#N/A</v>
      </c>
      <c r="DA44" s="15">
        <f>IF(ISNA(VLOOKUP(A44,'Données projet'!$A$139:$I$159,3,0)),0,VLOOKUP(A44,'Données projet'!$A$139:$I$159,3,0))</f>
        <v>0</v>
      </c>
      <c r="DB44" s="15">
        <f>IF(ISNA(VLOOKUP(A44,'Données projet'!$A$139:$I$159,4,0)),0,VLOOKUP(A44,'Données projet'!$A$139:$I$159,4,0))</f>
        <v>0</v>
      </c>
      <c r="DC44" s="16">
        <f>IF(ISNA(VLOOKUP(A44,'Données projet'!$A$139:$I$159,5,0)),0%,VLOOKUP(A44,'Données projet'!$A$139:$I$159,5,0)*VLOOKUP('Données projet'!$B$13,Paramètres!$A$1:$I$89,7,0))</f>
        <v>0</v>
      </c>
      <c r="DD44" s="16">
        <f>IF(ISNA(VLOOKUP(A44,'Données projet'!$A$139:$I$159,6,0)),0%,VLOOKUP(A44,'Données projet'!$A$139:$I$159,6,0)*VLOOKUP('Données projet'!$B$13,Paramètres!$A$1:$I$89,7,0))</f>
        <v>0</v>
      </c>
      <c r="DE44" s="16">
        <f>IF(ISNA(VLOOKUP(A44,'Données projet'!$A$139:$I$159,7,0)),0%,VLOOKUP(A44,'Données projet'!$A$139:$I$159,7,0))</f>
        <v>0</v>
      </c>
      <c r="DF44" s="21" t="e">
        <f>EXP(-LN(2)/35)*DF43+(1-EXP(-LN(2)/35))/(LN(2)/35)*DB44*DC44*VLOOKUP('Données projet'!$B$13,Paramètres!$A$1:$I$89,3,0)*0.475*44/12</f>
        <v>#N/A</v>
      </c>
      <c r="DG44" s="21" t="e">
        <f>EXP(-LN(2)/25)*DG43+(1-EXP(-LN(2)/25))/(LN(2)/25)*Calculateur!DB44*Calculateur!DD44*VLOOKUP('Données projet'!$B$13,Paramètres!$A$1:$I$89,3,0)*0.475*44/12</f>
        <v>#N/A</v>
      </c>
      <c r="DH44" s="21" t="e">
        <f>EXP(-LN(2)/2)*DH43+(1-EXP(-LN(2)/2))/(LN(2)/2)*DB44*DE44*VLOOKUP('Données projet'!$B$13,Paramètres!$A$1:$I$89,3,0)*0.475*44/12</f>
        <v>#N/A</v>
      </c>
      <c r="DI44" s="22" t="e">
        <f t="shared" si="15"/>
        <v>#N/A</v>
      </c>
      <c r="DJ44" s="75">
        <f>('Scénario référence'!$F$8+'Scénario référence'!$F$9+'Scénario référence'!$B$17+'Scénario référence'!$B$9+'Scénario référence'!$B$10)*70+IF((45+25*(1-EXP(-0.0175*A44)))&lt;70,'Scénario référence'!$B$16*(45+25*(1-EXP(-0.0175*A44))),70*'Scénario référence'!$B$16)+IF((32+38*(1-EXP(-0.0175*A44)))&lt;70,'Scénario référence'!$B$18*(32+38*(1-EXP(-0.0175*A44))),70*'Scénario référence'!$B$18)</f>
        <v>70</v>
      </c>
      <c r="DK44" s="12">
        <f>IF(A44&gt;30,10,('Scénario référence'!$B$16+'Scénario référence'!$B$17+'Scénario référence'!$B$18+'Scénario référence'!$B$9+'Scénario référence'!$B$10)*A44*10/30+('Scénario référence'!$F$8+'Scénario référence'!$F$9)*10)</f>
        <v>10</v>
      </c>
      <c r="DL44" s="12" t="e">
        <f>VLOOKUP(A44,'Données projet'!$A$165:$I$185,2,0)</f>
        <v>#N/A</v>
      </c>
      <c r="DM44" s="12" t="e">
        <f>VLOOKUP(A44,'Données projet'!$A$165:$I$185,9,0)</f>
        <v>#N/A</v>
      </c>
      <c r="DN44" s="12">
        <f t="array" ref="DN44">INDEX(DM:DM,MIN(IF(ISNUMBER(DM44:DM240),ROW(DM44:DM240),"")))</f>
        <v>7.8</v>
      </c>
      <c r="DO44" s="12">
        <f>IF('Données projet'!$A$166&gt;35,DO43+DN44-DW43,IF(A44&lt;'Données projet'!$A$166,$DL$205^A44,IF(A44='Données projet'!$A$166,'Données projet'!$B$166,DO43+DN44-DW43)))</f>
        <v>203.7999999999999</v>
      </c>
      <c r="DP44" s="17">
        <f>DO44*VLOOKUP('Données projet'!$B$14,Paramètres!$A$1:$I$89,3,0)*VLOOKUP('Données projet'!$B$14,Paramètres!$A$1:$I$89,5,0)</f>
        <v>133.52975999999992</v>
      </c>
      <c r="DQ44" s="13">
        <f t="shared" si="43"/>
        <v>34.810707184454202</v>
      </c>
      <c r="DR44" s="20">
        <f t="shared" si="16"/>
        <v>293.19298034625757</v>
      </c>
      <c r="DS44" s="59">
        <f t="shared" si="17"/>
        <v>586.52631367959088</v>
      </c>
      <c r="DT44" s="59">
        <f ca="1">AVERAGE(OFFSET($DS$3,0,0,'Données projet'!$E$14+1,1))-AVERAGE(OFFSET($H$3,0,0,'Données projet'!$E$14+1,1))</f>
        <v>188.68915783955595</v>
      </c>
      <c r="DU44" s="59">
        <f t="shared" si="44"/>
        <v>240.82467772396944</v>
      </c>
      <c r="DV44" s="15">
        <f>IF(ISNA(VLOOKUP(A44,'Données projet'!$A$165:$I$185,3,0)),0,VLOOKUP(A44,'Données projet'!$A$165:$I$185,3,0))</f>
        <v>0</v>
      </c>
      <c r="DW44" s="15">
        <f>IF(ISNA(VLOOKUP(A44,'Données projet'!$A$165:$I$185,4,0)),0,VLOOKUP(A44,'Données projet'!$A$165:$I$185,4,0))</f>
        <v>0</v>
      </c>
      <c r="DX44" s="16">
        <f>IF(ISNA(VLOOKUP(A44,'Données projet'!$A$165:$I$185,5,0)),0%,VLOOKUP(A44,'Données projet'!$A$165:$I$185,5,0)*VLOOKUP('Données projet'!$B$14,Paramètres!$A$1:$I$89,7,0))</f>
        <v>0</v>
      </c>
      <c r="DY44" s="16">
        <f>IF(ISNA(VLOOKUP(A44,'Données projet'!$A$165:$I$185,6,0)),0%,VLOOKUP(A44,'Données projet'!$A$165:$I$185,6,0)*VLOOKUP('Données projet'!$B$14,Paramètres!$A$1:$I$89,7,0))</f>
        <v>0</v>
      </c>
      <c r="DZ44" s="16">
        <f>IF(ISNA(VLOOKUP(A44,'Données projet'!$A$165:$I$185,7,0)),0%,VLOOKUP(A44,'Données projet'!$A$165:$I$185,7,0))</f>
        <v>0</v>
      </c>
      <c r="EA44" s="21">
        <f>EXP(-LN(2)/35)*EA43+(1-EXP(-LN(2)/35))/(LN(2)/35)*DW44*DX44*VLOOKUP('Données projet'!$B$14,Paramètres!$A$1:$I$89,3,0)*0.475*44/12</f>
        <v>1.2524201083282467</v>
      </c>
      <c r="EB44" s="21">
        <f>EXP(-LN(2)/25)*EB43+(1-EXP(-LN(2)/25))/(LN(2)/25)*Calculateur!DW44*Calculateur!DY44*VLOOKUP('Données projet'!$B$14,Paramètres!$A$1:$I$89,3,0)*0.475*44/12</f>
        <v>5.9251095401400224</v>
      </c>
      <c r="EC44" s="21">
        <f>EXP(-LN(2)/2)*EC43+(1-EXP(-LN(2)/2))/(LN(2)/2)*DW44*DZ44*VLOOKUP('Données projet'!$B$14,Paramètres!$A$1:$I$89,3,0)*0.475*44/12</f>
        <v>0.30927984372814316</v>
      </c>
      <c r="ED44" s="22">
        <f t="shared" si="18"/>
        <v>7.4868094921964126</v>
      </c>
      <c r="EE44" s="75">
        <f>('Scénario référence'!$F$8+'Scénario référence'!$F$9+'Scénario référence'!$B$17+'Scénario référence'!$B$9+'Scénario référence'!$B$10)*70+IF((45+25*(1-EXP(-0.0175*A44)))&lt;70,'Scénario référence'!$B$16*(45+25*(1-EXP(-0.0175*A44))),70*'Scénario référence'!$B$16)+IF((32+38*(1-EXP(-0.0175*A44)))&lt;70,'Scénario référence'!$B$18*(32+38*(1-EXP(-0.0175*A44))),70*'Scénario référence'!$B$18)</f>
        <v>70</v>
      </c>
      <c r="EF44" s="12">
        <f>IF(A44&gt;30,10,('Scénario référence'!$B$16+'Scénario référence'!$B$17+'Scénario référence'!$B$18+'Scénario référence'!$B$9+'Scénario référence'!$B$10)*A44*10/30+('Scénario référence'!$F$8+'Scénario référence'!$F$9)*10)</f>
        <v>10</v>
      </c>
      <c r="EG44" s="12" t="e">
        <f>VLOOKUP(A44,'Données projet'!$A$191:$I$211,2,0)</f>
        <v>#N/A</v>
      </c>
      <c r="EH44" s="12" t="e">
        <f>VLOOKUP(A44,'Données projet'!$A$191:$I$211,9,0)</f>
        <v>#N/A</v>
      </c>
      <c r="EI44" s="12">
        <f t="array" ref="EI44">INDEX(EH:EH,MIN(IF(ISNUMBER(EH44:EH240),ROW(EH44:EH240),"")))</f>
        <v>7</v>
      </c>
      <c r="EJ44" s="12">
        <f>IF('Données projet'!$A$192&gt;35,EJ43+EI44-ER43,IF(A44&lt;'Données projet'!$A$192,$EG$205^A44,IF(A44='Données projet'!$A$192,'Données projet'!$B$192,EJ43+EI44-ER43)))</f>
        <v>156.99999999999991</v>
      </c>
      <c r="EK44" s="17">
        <f>EJ44*VLOOKUP('Données projet'!$B$15,Paramètres!$A$1:$I$89,3,0)*VLOOKUP('Données projet'!$B$15,Paramètres!$A$1:$I$89,5,0)</f>
        <v>127.35839999999993</v>
      </c>
      <c r="EL44" s="13">
        <f t="shared" si="45"/>
        <v>33.385235744403289</v>
      </c>
      <c r="EM44" s="20">
        <f t="shared" si="19"/>
        <v>279.9618322548356</v>
      </c>
      <c r="EN44" s="59">
        <f t="shared" si="20"/>
        <v>573.29516558816886</v>
      </c>
      <c r="EO44" s="59">
        <f ca="1">AVERAGE(OFFSET($EN$3,0,0,'Données projet'!$E$15+1,1))-AVERAGE(OFFSET($H$3,0,0,'Données projet'!$E$15+1,1))</f>
        <v>205.5272583787887</v>
      </c>
      <c r="EP44" s="59">
        <f t="shared" si="46"/>
        <v>180.54762778843178</v>
      </c>
      <c r="EQ44" s="15">
        <f>IF(ISNA(VLOOKUP(A44,'Données projet'!$A$191:$I$211,3,0)),0,VLOOKUP(A44,'Données projet'!$A$191:$I$211,3,0))</f>
        <v>0</v>
      </c>
      <c r="ER44" s="15">
        <f>IF(ISNA(VLOOKUP(A44,'Données projet'!$A$191:$I$211,4,0)),0,VLOOKUP(A44,'Données projet'!$A$191:$I$211,4,0))</f>
        <v>0</v>
      </c>
      <c r="ES44" s="16">
        <f>IF(ISNA(VLOOKUP(A44,'Données projet'!$A$191:$I$211,5,0)),0%,VLOOKUP(A44,'Données projet'!$A$191:$I$211,5,0)*VLOOKUP('Données projet'!$B$15,Paramètres!$A$1:$I$89,7,0))</f>
        <v>0</v>
      </c>
      <c r="ET44" s="16">
        <f>IF(ISNA(VLOOKUP(A44,'Données projet'!$A$191:$I$211,6,0)),0%,VLOOKUP(A44,'Données projet'!$A$191:$I$211,6,0)*VLOOKUP('Données projet'!$B$15,Paramètres!$A$1:$I$89,7,0))</f>
        <v>0</v>
      </c>
      <c r="EU44" s="16">
        <f>IF(ISNA(VLOOKUP(A44,'Données projet'!$A$191:$I$211,7,0)),0%,VLOOKUP(A44,'Données projet'!$A$191:$I$211,7,0))</f>
        <v>0</v>
      </c>
      <c r="EV44" s="21">
        <f>EXP(-LN(2)/35)*EV43+(1-EXP(-LN(2)/35))/(LN(2)/35)*ER44*ES44*VLOOKUP('Données projet'!$B$15,Paramètres!$A$1:$I$89,3,0)*0.475*44/12</f>
        <v>0.80631999355228068</v>
      </c>
      <c r="EW44" s="21">
        <f>EXP(-LN(2)/25)*EW43+(1-EXP(-LN(2)/25))/(LN(2)/25)*Calculateur!ER44*Calculateur!ET44*VLOOKUP('Données projet'!$B$15,Paramètres!$A$1:$I$89,3,0)*0.475*44/12</f>
        <v>4.2781088318960103</v>
      </c>
      <c r="EX44" s="21">
        <f>EXP(-LN(2)/2)*EX43+(1-EXP(-LN(2)/2))/(LN(2)/2)*ER44*EU44*VLOOKUP('Données projet'!$B$15,Paramètres!$A$1:$I$89,3,0)*0.475*44/12</f>
        <v>0.20025892750359411</v>
      </c>
      <c r="EY44" s="22">
        <f t="shared" si="21"/>
        <v>5.2846877529518848</v>
      </c>
      <c r="EZ44" s="75">
        <f>('Scénario référence'!$F$8+'Scénario référence'!$F$9+'Scénario référence'!$B$17+'Scénario référence'!$B$9+'Scénario référence'!$B$10)*70+IF((45+25*(1-EXP(-0.0175*A44)))&lt;70,'Scénario référence'!$B$16*(45+25*(1-EXP(-0.0175*A44))),70*'Scénario référence'!$B$16)+IF((32+38*(1-EXP(-0.0175*A44)))&lt;70,'Scénario référence'!$B$18*(32+38*(1-EXP(-0.0175*A44))),70*'Scénario référence'!$B$18)</f>
        <v>70</v>
      </c>
      <c r="FA44" s="12">
        <f>IF(A44&gt;30,10,('Scénario référence'!$B$16+'Scénario référence'!$B$17+'Scénario référence'!$B$18+'Scénario référence'!$B$9+'Scénario référence'!$B$10)*A44*10/30+('Scénario référence'!$F$8+'Scénario référence'!$F$9)*10)</f>
        <v>10</v>
      </c>
      <c r="FB44" s="12" t="e">
        <f>VLOOKUP(A44,'Données projet'!$A$217:$I$237,2,0)</f>
        <v>#N/A</v>
      </c>
      <c r="FC44" s="12" t="e">
        <f>VLOOKUP(A44,'Données projet'!$A$217:$I$237,9,0)</f>
        <v>#N/A</v>
      </c>
      <c r="FD44" s="12">
        <f t="array" ref="FD44">INDEX(FC:FC,MIN(IF(ISNUMBER(FC44:FC240),ROW(FC44:FC240),"")))</f>
        <v>13.4</v>
      </c>
      <c r="FE44" s="12">
        <f>IF('Données projet'!$A$218&gt;35,FE43+FD44-FM43,IF(A44&lt;'Données projet'!$A$218,$FB$205^A44,IF(A44='Données projet'!$A$218,'Données projet'!$B$218,FE43+FD44-FM43)))</f>
        <v>163.40000000000006</v>
      </c>
      <c r="FF44" s="17">
        <f>FE44*VLOOKUP('Données projet'!$B$16,Paramètres!$A$1:$I$89,3,0)*VLOOKUP('Données projet'!$B$16,Paramètres!$A$1:$I$89,5,0)</f>
        <v>140.19720000000007</v>
      </c>
      <c r="FG44" s="13">
        <f t="shared" si="47"/>
        <v>36.342177544317998</v>
      </c>
      <c r="FH44" s="20">
        <f t="shared" si="22"/>
        <v>307.47274922302063</v>
      </c>
      <c r="FI44" s="59">
        <f t="shared" si="23"/>
        <v>600.80608255635389</v>
      </c>
      <c r="FJ44" s="59">
        <f ca="1">AVERAGE(OFFSET($FI$3,0,0,'Données projet'!$E$16+1,1))-AVERAGE(OFFSET($H$3,0,0,'Données projet'!$E$16+1,1))</f>
        <v>383.97627237444709</v>
      </c>
      <c r="FK44" s="59">
        <f t="shared" si="48"/>
        <v>203.35476578922339</v>
      </c>
      <c r="FL44" s="15">
        <f>IF(ISNA(VLOOKUP(A44,'Données projet'!$A$217:$I$237,3,0)),0,VLOOKUP(A44,'Données projet'!$A$217:$I$237,3,0))</f>
        <v>0</v>
      </c>
      <c r="FM44" s="15">
        <f>IF(ISNA(VLOOKUP(A44,'Données projet'!$A$217:$I$237,4,0)),0,VLOOKUP(A44,'Données projet'!$A$217:$I$237,4,0))</f>
        <v>0</v>
      </c>
      <c r="FN44" s="16">
        <f>IF(ISNA(VLOOKUP(A44,'Données projet'!$A$217:$I$237,5,0)),0%,VLOOKUP(A44,'Données projet'!$A$217:$I$237,5,0)*VLOOKUP('Données projet'!$B$16,Paramètres!$A$1:$I$89,7,0))</f>
        <v>0</v>
      </c>
      <c r="FO44" s="16">
        <f>IF(ISNA(VLOOKUP(A44,'Données projet'!$A$217:$I$237,6,0)),0%,VLOOKUP(A44,'Données projet'!$A$217:$I$237,6,0)*VLOOKUP('Données projet'!$B$16,Paramètres!$A$1:$I$89,7,0))</f>
        <v>0</v>
      </c>
      <c r="FP44" s="16">
        <f>IF(ISNA(VLOOKUP(A44,'Données projet'!$A$217:$I$237,7,0)),0%,VLOOKUP(A44,'Données projet'!$A$217:$I$237,7,0))</f>
        <v>0</v>
      </c>
      <c r="FQ44" s="21">
        <f>EXP(-LN(2)/35)*FQ43+(1-EXP(-LN(2)/35))/(LN(2)/35)*FM44*FN44*VLOOKUP('Données projet'!$B$16,Paramètres!$A$1:$I$89,3,0)*0.475*44/12</f>
        <v>4.1440473213413744</v>
      </c>
      <c r="FR44" s="21">
        <f>EXP(-LN(2)/25)*FR43+(1-EXP(-LN(2)/25))/(LN(2)/25)*Calculateur!FM44*Calculateur!FO44*VLOOKUP('Données projet'!$B$16,Paramètres!$A$1:$I$89,3,0)*0.475*44/12</f>
        <v>4.3427226489461646</v>
      </c>
      <c r="FS44" s="21">
        <f>EXP(-LN(2)/2)*FS43+(1-EXP(-LN(2)/2))/(LN(2)/2)*FM44*FP44*VLOOKUP('Données projet'!$B$16,Paramètres!$A$1:$I$89,3,0)*0.475*44/12</f>
        <v>0.36783455074177607</v>
      </c>
      <c r="FT44" s="22">
        <f t="shared" si="24"/>
        <v>8.8546045210293158</v>
      </c>
      <c r="FU44" s="75">
        <f>('Scénario référence'!$F$8+'Scénario référence'!$F$9+'Scénario référence'!$B$17+'Scénario référence'!$B$9+'Scénario référence'!$B$10)*70+IF((45+25*(1-EXP(-0.0175*A44)))&lt;70,'Scénario référence'!$B$16*(45+25*(1-EXP(-0.0175*A44))),70*'Scénario référence'!$B$16)+IF((32+38*(1-EXP(-0.0175*A44)))&lt;70,'Scénario référence'!$B$18*(32+38*(1-EXP(-0.0175*A44))),70*'Scénario référence'!$B$18)</f>
        <v>70</v>
      </c>
      <c r="FV44" s="12">
        <f>IF(A44&gt;30,10,('Scénario référence'!$B$16+'Scénario référence'!$B$17+'Scénario référence'!$B$18+'Scénario référence'!$B$9+'Scénario référence'!$B$10)*A44*10/30+('Scénario référence'!$F$8+'Scénario référence'!$F$9)*10)</f>
        <v>10</v>
      </c>
      <c r="FW44" s="12">
        <f>VLOOKUP(A44,'Données projet'!$A$243:$I$263,2,0)</f>
        <v>157.44871794871796</v>
      </c>
      <c r="FX44" s="12">
        <f>VLOOKUP(A44,'Données projet'!$A$243:$I$263,9,0)</f>
        <v>9.3141025641025674</v>
      </c>
      <c r="FY44" s="12">
        <f t="array" ref="FY44">INDEX(FX:FX,MIN(IF(ISNUMBER(FX44:FX240),ROW(FX44:FX240),"")))</f>
        <v>9.3141025641025674</v>
      </c>
      <c r="FZ44" s="12">
        <f>IF('Données projet'!$A$244&gt;35,FZ43+FY44-GH43,IF(A44&lt;'Données projet'!$A$244,$FW$205^A44,IF(A44='Données projet'!$A$244,'Données projet'!$B$244,FZ43+FY44-GH43)))</f>
        <v>157.44871794871796</v>
      </c>
      <c r="GA44" s="17">
        <f>FZ44*VLOOKUP('Données projet'!$B$17,Paramètres!$A$1:$I$89,3,0)*VLOOKUP('Données projet'!$B$17,Paramètres!$A$1:$I$89,5,0)</f>
        <v>169.4778</v>
      </c>
      <c r="GB44" s="13">
        <f t="shared" si="49"/>
        <v>42.973047223786786</v>
      </c>
      <c r="GC44" s="20">
        <f t="shared" si="25"/>
        <v>370.01855891476197</v>
      </c>
      <c r="GD44" s="59">
        <f t="shared" si="26"/>
        <v>663.35189224809528</v>
      </c>
      <c r="GE44" s="59">
        <f ca="1">AVERAGE(OFFSET($GD$3,0,0,'Données projet'!$E$17+1,1))-AVERAGE(OFFSET($H$3,0,0,'Données projet'!$E$17+1,1))</f>
        <v>286.77702855541287</v>
      </c>
      <c r="GF44" s="59">
        <f t="shared" si="50"/>
        <v>227.12211541860779</v>
      </c>
      <c r="GG44" s="15">
        <f>IF(ISNA(VLOOKUP(A44,'Données projet'!$A$243:$I$263,3,0)),0,VLOOKUP(A44,'Données projet'!$A$243:$I$263,3,0))</f>
        <v>2</v>
      </c>
      <c r="GH44" s="15">
        <f>IF(ISNA(VLOOKUP(A44,'Données projet'!$A$243:$I$263,4,0)),0,VLOOKUP(A44,'Données projet'!$A$243:$I$263,4,0))</f>
        <v>38.512820512820511</v>
      </c>
      <c r="GI44" s="16">
        <f>IF(ISNA(VLOOKUP(A44,'Données projet'!$A$243:$I$263,5,0)),0%,VLOOKUP(A44,'Données projet'!$A$243:$I$263,5,0)*VLOOKUP('Données projet'!$B$17,Paramètres!$A$1:$I$89,7,0))</f>
        <v>0</v>
      </c>
      <c r="GJ44" s="16">
        <f>IF(ISNA(VLOOKUP(A44,'Données projet'!$A$243:$I$263,6,0)),0%,VLOOKUP(A44,'Données projet'!$A$243:$I$263,6,0)*VLOOKUP('Données projet'!$B$17,Paramètres!$A$1:$I$89,7,0))</f>
        <v>0</v>
      </c>
      <c r="GK44" s="16">
        <f>IF(ISNA(VLOOKUP(A44,'Données projet'!$A$243:$I$263,7,0)),0%,VLOOKUP(A44,'Données projet'!$A$243:$I$263,7,0))</f>
        <v>0</v>
      </c>
      <c r="GL44" s="21">
        <f>EXP(-LN(2)/35)*GL43+(1-EXP(-LN(2)/35))/(LN(2)/35)*GH44*GI44*VLOOKUP('Données projet'!$B$17,Paramètres!$A$1:$I$89,3,0)*0.475*44/12</f>
        <v>0</v>
      </c>
      <c r="GM44" s="21">
        <f>EXP(-LN(2)/25)*GM43+(1-EXP(-LN(2)/25))/(LN(2)/25)*Calculateur!GH44*Calculateur!GJ44*VLOOKUP('Données projet'!$B$17,Paramètres!$A$1:$I$89,3,0)*0.475*44/12</f>
        <v>0</v>
      </c>
      <c r="GN44" s="21">
        <f>EXP(-LN(2)/2)*GN43+(1-EXP(-LN(2)/2))/(LN(2)/2)*GH44*GK44*VLOOKUP('Données projet'!$B$17,Paramètres!$A$1:$I$89,3,0)*0.475*44/12</f>
        <v>0</v>
      </c>
      <c r="GO44" s="21">
        <f t="shared" si="27"/>
        <v>0</v>
      </c>
      <c r="GP44" s="75">
        <f>('Scénario référence'!$F$8+'Scénario référence'!$F$9+'Scénario référence'!$B$17+'Scénario référence'!$B$9+'Scénario référence'!$B$10)*70+IF((45+25*(1-EXP(-0.0175*A44)))&lt;70,'Scénario référence'!$B$16*(45+25*(1-EXP(-0.0175*A44))),70*'Scénario référence'!$B$16)+IF((32+38*(1-EXP(-0.0175*A44)))&lt;70,'Scénario référence'!$B$18*(32+38*(1-EXP(-0.0175*A44))),70*'Scénario référence'!$B$18)</f>
        <v>70</v>
      </c>
      <c r="GQ44" s="12">
        <f>IF(A44&gt;30,10,('Scénario référence'!$B$16+'Scénario référence'!$B$17+'Scénario référence'!$B$18+'Scénario référence'!$B$9+'Scénario référence'!$B$10)*A44*10/30+('Scénario référence'!$F$8+'Scénario référence'!$F$9)*10)</f>
        <v>10</v>
      </c>
      <c r="GR44" s="12">
        <f>VLOOKUP(A44,'Données projet'!$A$269:$I$289,2,0)</f>
        <v>157.44871794871796</v>
      </c>
      <c r="GS44" s="12">
        <f>VLOOKUP(A44,'Données projet'!$A$269:$I$289,9,0)</f>
        <v>9.3141025641025674</v>
      </c>
      <c r="GT44" s="12">
        <f t="array" ref="GT44">INDEX(GS:GS,MIN(IF(ISNUMBER(GS44:GS240),ROW(GS44:GS240),"")))</f>
        <v>9.3141025641025674</v>
      </c>
      <c r="GU44" s="12">
        <f>IF('Données projet'!$A$270&gt;35,GU43+GT44-HC43,IF(A44&lt;'Données projet'!$A$270,$GR$205^A44,IF(A44='Données projet'!$A$270,'Données projet'!$B$270,GU43+GT44-HC43)))</f>
        <v>157.44871794871796</v>
      </c>
      <c r="GV44" s="17">
        <f>GU44*VLOOKUP('Données projet'!$B$18,Paramètres!$A$1:$I$89,3,0)*VLOOKUP('Données projet'!$B$18,Paramètres!$A$1:$I$89,5,0)</f>
        <v>169.4778</v>
      </c>
      <c r="GW44" s="13">
        <f t="shared" si="51"/>
        <v>42.973047223786786</v>
      </c>
      <c r="GX44" s="20">
        <f t="shared" si="28"/>
        <v>370.01855891476197</v>
      </c>
      <c r="GY44" s="59">
        <f t="shared" si="29"/>
        <v>663.35189224809528</v>
      </c>
      <c r="GZ44" s="59">
        <f ca="1">AVERAGE(OFFSET($GY$3,0,0,'Données projet'!$E$18+1,1))-AVERAGE(OFFSET($H$3,0,0,'Données projet'!$E$18+1,1))</f>
        <v>286.77702855541287</v>
      </c>
      <c r="HA44" s="59">
        <f t="shared" si="52"/>
        <v>227.12211541860779</v>
      </c>
      <c r="HB44" s="15">
        <f>IF(ISNA(VLOOKUP(A44,'Données projet'!$A$269:$I$289,3,0)),0,VLOOKUP(A44,'Données projet'!$A$269:$I$289,3,0))</f>
        <v>2</v>
      </c>
      <c r="HC44" s="15">
        <f>IF(ISNA(VLOOKUP(A44,'Données projet'!$A$269:$I$289,4,0)),0,VLOOKUP(A44,'Données projet'!$A$269:$I$289,4,0))</f>
        <v>38.512820512820511</v>
      </c>
      <c r="HD44" s="16">
        <f>IF(ISNA(VLOOKUP(A44,'Données projet'!$A$269:$I$289,5,0)),0%,VLOOKUP(A44,'Données projet'!$A$269:$I$289,5,0)*VLOOKUP('Données projet'!$B$18,Paramètres!$A$1:$I$89,7,0))</f>
        <v>0</v>
      </c>
      <c r="HE44" s="16">
        <f>IF(ISNA(VLOOKUP(A44,'Données projet'!$A$269:$I$289,6,0)),0%,VLOOKUP(A44,'Données projet'!$A$269:$I$289,6,0)*VLOOKUP('Données projet'!$B$18,Paramètres!$A$1:$I$89,7,0))</f>
        <v>0</v>
      </c>
      <c r="HF44" s="16">
        <f>IF(ISNA(VLOOKUP(A44,'Données projet'!$A$269:$I$289,7,0)),0%,VLOOKUP(A44,'Données projet'!$A$269:$I$289,7,0))</f>
        <v>0</v>
      </c>
      <c r="HG44" s="21">
        <f>EXP(-LN(2)/35)*HG43+(1-EXP(-LN(2)/35))/(LN(2)/35)*HC44*HD44*VLOOKUP('Données projet'!$B$18,Paramètres!$A$1:$I$89,3,0)*0.475*44/12</f>
        <v>0</v>
      </c>
      <c r="HH44" s="21">
        <f>EXP(-LN(2)/25)*HH43+(1-EXP(-LN(2)/25))/(LN(2)/25)*Calculateur!HC44*Calculateur!HE44*VLOOKUP('Données projet'!$B$18,Paramètres!$A$1:$I$89,3,0)*0.475*44/12</f>
        <v>0</v>
      </c>
      <c r="HI44" s="21">
        <f>EXP(-LN(2)/2)*HI43+(1-EXP(-LN(2)/2))/(LN(2)/2)*HC44*HF44*VLOOKUP('Données projet'!$B$18,Paramètres!$A$1:$I$89,3,0)*0.475*44/12</f>
        <v>0</v>
      </c>
      <c r="HJ44" s="22">
        <f t="shared" si="30"/>
        <v>0</v>
      </c>
    </row>
    <row r="45" spans="1:218" x14ac:dyDescent="0.25">
      <c r="A45" s="10">
        <f t="shared" si="31"/>
        <v>42</v>
      </c>
      <c r="B45" s="73">
        <f>'Scénario référence'!$B$16*5+'Scénario référence'!$B$17*0+'Scénario référence'!$B$18*5</f>
        <v>0</v>
      </c>
      <c r="C45" s="19">
        <f>Calculateur!C44+'Scénario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37.346400000000003</v>
      </c>
      <c r="D45" s="11">
        <f t="shared" si="32"/>
        <v>11.292524863342397</v>
      </c>
      <c r="E4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45" s="11">
        <f>IF(OR('Scénario référence'!$F$8&gt;0,'Scénario référence'!$F$9&gt;0),('Scénario référence'!$F$8+'Scénario référence'!$F$9)*10,0)</f>
        <v>10</v>
      </c>
      <c r="G45" s="11">
        <f>'Scénario référence'!$B$8*B45*44/12+'Scénario référence'!$B$9*(C45+D45)/0.475*44/12+'Scénario référence'!$B$10*(C45+D45)/0.475*44/12+'Scénario référence'!$F$8*(C45+D45)/0.475*44/12+'Scénario référence'!$F$9*(C45+D45)/0.475*44/12</f>
        <v>375.45836736615183</v>
      </c>
      <c r="H45" s="67">
        <f t="shared" si="1"/>
        <v>378.04612747032132</v>
      </c>
      <c r="I45" s="70">
        <f>('Scénario référence'!$F$8+'Scénario référence'!$F$9+'Scénario référence'!$B$17+'Scénario référence'!$B$9+'Scénario référence'!$B$10)*70+IF((45+25*(1-EXP(-0.0175*A45)))&lt;70,'Scénario référence'!$B$16*(45+25*(1-EXP(-0.0175*A45))),70*'Scénario référence'!$B$16)+IF((32+38*(1-EXP(-0.0175*A45)))&lt;70,'Scénario référence'!$B$18*(32+38*(1-EXP(-0.0175*A45))),70*'Scénario référence'!$B$18)</f>
        <v>70</v>
      </c>
      <c r="J45" s="13">
        <f>IF(A45&gt;30,10,('Scénario référence'!$B$16+'Scénario référence'!$B$17+'Scénario référence'!$B$18+'Scénario référence'!$B$9+'Scénario référence'!$B$10)*A45*10/30+('Scénario référence'!$F$8+'Scénario référence'!$F$9)*10)</f>
        <v>10</v>
      </c>
      <c r="K45" s="12">
        <f>VLOOKUP(A45,'Données projet'!$A$35:$I$55,2,0)</f>
        <v>468.72307692307692</v>
      </c>
      <c r="L45" s="12">
        <f>VLOOKUP(A45,'Données projet'!$A$35:$I$55,9,0)</f>
        <v>22.419230769230779</v>
      </c>
      <c r="M45" s="12">
        <f t="array" ref="M45">INDEX(L:L,MIN(IF(ISNUMBER(L45:L241),ROW(L45:L241),"")))</f>
        <v>22.419230769230779</v>
      </c>
      <c r="N45" s="13">
        <f>IF('Données projet'!$A$36&gt;35,N44+M45-V44,IF(A45&lt;'Données projet'!$A$36,$K$205^A45,IF(A45='Données projet'!$A$36,'Données projet'!$B$36,N44+M45-V44)))</f>
        <v>468.72307692307675</v>
      </c>
      <c r="O45" s="13">
        <f>N45*VLOOKUP('Données projet'!$B$9,Paramètres!$A$1:$I$89,3,0)*VLOOKUP('Données projet'!$B$9,Paramètres!$A$1:$I$89,5,0)</f>
        <v>262.01619999999991</v>
      </c>
      <c r="P45" s="13">
        <f t="shared" si="33"/>
        <v>63.151956912854573</v>
      </c>
      <c r="Q45" s="20">
        <f t="shared" si="53"/>
        <v>566.33453995655486</v>
      </c>
      <c r="R45" s="59">
        <f t="shared" si="0"/>
        <v>859.66787328988812</v>
      </c>
      <c r="S45" s="59">
        <f ca="1">AVERAGE(OFFSET($R$3,0,0,'Données projet'!$E$9+1,1))-AVERAGE(OFFSET($H$3,0,0,'Données projet'!$E$9+1,1))</f>
        <v>255.5374979188561</v>
      </c>
      <c r="T45" s="59">
        <f t="shared" si="34"/>
        <v>343.10418468620901</v>
      </c>
      <c r="U45" s="15">
        <f>IF(ISNA(VLOOKUP(A45,'Données projet'!$A$35:$I$55,3,0)),0,VLOOKUP(A45,'Données projet'!$A$35:$I$55,3,0))</f>
        <v>5</v>
      </c>
      <c r="V45" s="15">
        <f>IF(ISNA(VLOOKUP(A45,'Données projet'!$A$35:$I$55,4,0)),0,VLOOKUP(A45,'Données projet'!$A$35:$I$55,4,0))</f>
        <v>73.392307692307682</v>
      </c>
      <c r="W45" s="16">
        <f>IF(ISNA(VLOOKUP(A45,'Données projet'!$A$35:$I$55,5,0)),0%,VLOOKUP(A45,'Données projet'!$A$35:$I$55,5,0)*VLOOKUP('Données projet'!$B$9,Paramètres!$A$1:$I$89,7,0))</f>
        <v>0</v>
      </c>
      <c r="X45" s="16">
        <f>IF(ISNA(VLOOKUP(A45,'Données projet'!$A$35:$I$55,6,0)),0%,VLOOKUP(A45,'Données projet'!$A$35:$I$55,6,0)*VLOOKUP('Données projet'!$B$9,Paramètres!$A$1:$I$89,7,0))</f>
        <v>0</v>
      </c>
      <c r="Y45" s="16">
        <f>IF(ISNA(VLOOKUP(A45,'Données projet'!$A$35:$I$55,7,0)),0%,VLOOKUP(A45,'Données projet'!$A$35:$I$55,7,0))</f>
        <v>0</v>
      </c>
      <c r="Z45" s="21">
        <f>EXP(-LN(2)/35)*Z44+(1-EXP(-LN(2)/35))/(LN(2)/35)*V45*W45*VLOOKUP('Données projet'!$B$9,Paramètres!$A$1:$I$89,3,0)*0.475*44/12</f>
        <v>2.4364299871167083</v>
      </c>
      <c r="AA45" s="21">
        <f>EXP(-LN(2)/25)*AA44+(1-EXP(-LN(2)/25))/(LN(2)/25)*Calculateur!V45*Calculateur!X45*VLOOKUP('Données projet'!$B$9,Paramètres!$A$1:$I$89,3,0)*0.475*44/12</f>
        <v>11.443148669770169</v>
      </c>
      <c r="AB45" s="21">
        <f>EXP(-LN(2)/2)*AB44+(1-EXP(-LN(2)/2))/(LN(2)/2)*V45*Y45*VLOOKUP('Données projet'!$B$9,Paramètres!$A$1:$I$89,3,0)*0.475*44/12</f>
        <v>2.6447688741469782E-2</v>
      </c>
      <c r="AC45" s="22">
        <f t="shared" si="3"/>
        <v>13.906026345628348</v>
      </c>
      <c r="AD45" s="13">
        <f>('Scénario référence'!$F$8+'Scénario référence'!$F$9+'Scénario référence'!$B$17+'Scénario référence'!$B$9+'Scénario référence'!$B$10)*70+IF((45+25*(1-EXP(-0.0175*A45)))&lt;70,'Scénario référence'!$B$16*(45+25*(1-EXP(-0.0175*A45))),70*'Scénario référence'!$B$16)+IF((32+38*(1-EXP(-0.0175*A45)))&lt;70,'Scénario référence'!$B$18*(32+38*(1-EXP(-0.0175*A45))),70*'Scénario référence'!$B$18)</f>
        <v>70</v>
      </c>
      <c r="AE45" s="13">
        <f>IF(A45&gt;30,10,('Scénario référence'!$B$16+'Scénario référence'!$B$17+'Scénario référence'!$B$18+'Scénario référence'!$B$9+'Scénario référence'!$B$10)*A45*10/30+('Scénario référence'!$F$8+'Scénario référence'!$F$9)*10)</f>
        <v>10</v>
      </c>
      <c r="AF45" s="12" t="e">
        <f>VLOOKUP(A45,'Données projet'!$A$61:$I$81,2,0)</f>
        <v>#N/A</v>
      </c>
      <c r="AG45" s="12" t="e">
        <f>VLOOKUP(A45,'Données projet'!$A$61:$I$81,9,0)</f>
        <v>#N/A</v>
      </c>
      <c r="AH45" s="12">
        <f t="array" ref="AH45">INDEX(AG:AG,MIN(IF(ISNUMBER(AG45:AG241),ROW(AG45:AG241),"")))</f>
        <v>12.4</v>
      </c>
      <c r="AI45" s="13">
        <f>IF('Données projet'!$A$62&gt;35,AI44+AH45-AQ44,IF(A45&lt;'Données projet'!$A$62,$AF$205^A45,IF(A45='Données projet'!$A$62,'Données projet'!$B$62,AI44+AH45-AQ44)))</f>
        <v>272.80000000000007</v>
      </c>
      <c r="AJ45" s="13">
        <f>AI45*VLOOKUP('Données projet'!$B$10,Paramètres!$A$1:$I$89,3,0)*VLOOKUP('Données projet'!$B$10,Paramètres!$A$1:$I$89,5,0)</f>
        <v>170.22720000000004</v>
      </c>
      <c r="AK45" s="13">
        <f t="shared" si="35"/>
        <v>43.140904871338378</v>
      </c>
      <c r="AL45" s="20">
        <f t="shared" si="4"/>
        <v>371.6161159842477</v>
      </c>
      <c r="AM45" s="59">
        <f t="shared" si="5"/>
        <v>664.94944931758096</v>
      </c>
      <c r="AN45" s="59">
        <f ca="1">AVERAGE(OFFSET($AM$3,0,0,'Données projet'!$E$10+1,1))-AVERAGE(OFFSET($H$3,0,0,'Données projet'!$E$10+1,1))</f>
        <v>261.78489480911571</v>
      </c>
      <c r="AO45" s="59">
        <f t="shared" si="36"/>
        <v>297.50513563712764</v>
      </c>
      <c r="AP45" s="15">
        <f>IF(ISNA(VLOOKUP(A45,'Données projet'!$A$61:$I$81,3,0)),0,VLOOKUP(A45,'Données projet'!$A$61:$I$81,3,0))</f>
        <v>0</v>
      </c>
      <c r="AQ45" s="15">
        <f>IF(ISNA(VLOOKUP(A45,'Données projet'!$A$61:$I$81,4,0)),0,VLOOKUP(A45,'Données projet'!$A$61:$I$81,4,0))</f>
        <v>0</v>
      </c>
      <c r="AR45" s="16">
        <f>IF(ISNA(VLOOKUP(A45,'Données projet'!$A$61:$I$81,5,0)),0%,VLOOKUP(A45,'Données projet'!$A$61:$I$81,5,0)*VLOOKUP('Données projet'!$B$10,Paramètres!$A$1:$I$89,7,0))</f>
        <v>0</v>
      </c>
      <c r="AS45" s="16">
        <f>IF(ISNA(VLOOKUP(A45,'Données projet'!$A$61:$I$81,6,0)),0%,VLOOKUP(A45,'Données projet'!$A$61:$I$81,6,0)*VLOOKUP('Données projet'!$B$10,Paramètres!$A$1:$I$89,7,0))</f>
        <v>0</v>
      </c>
      <c r="AT45" s="16">
        <f>IF(ISNA(VLOOKUP(A45,'Données projet'!$A$61:$I$81,7,0)),0%,VLOOKUP(A45,'Données projet'!$A$61:$I$81,7,0))</f>
        <v>0</v>
      </c>
      <c r="AU45" s="21">
        <f>EXP(-LN(2)/35)*AU44+(1-EXP(-LN(2)/35))/(LN(2)/35)*AQ45*AR45*VLOOKUP('Données projet'!$B$10,Paramètres!$A$1:$I$89,3,0)*0.475*44/12</f>
        <v>6.5790501061315858</v>
      </c>
      <c r="AV45" s="21">
        <f>EXP(-LN(2)/25)*AV44+(1-EXP(-LN(2)/25))/(LN(2)/25)*Calculateur!AQ45*Calculateur!AS45*VLOOKUP('Données projet'!$B$10,Paramètres!$A$1:$I$89,3,0)*0.475*44/12</f>
        <v>19.98207153202987</v>
      </c>
      <c r="AW45" s="21">
        <f>EXP(-LN(2)/2)*AW44+(1-EXP(-LN(2)/2))/(LN(2)/2)*AQ45*AT45*VLOOKUP('Données projet'!$B$10,Paramètres!$A$1:$I$89,3,0)*0.475*44/12</f>
        <v>0.38126861151424812</v>
      </c>
      <c r="AX45" s="21">
        <f t="shared" si="6"/>
        <v>26.942390249675704</v>
      </c>
      <c r="AY45" s="74">
        <f>('Scénario référence'!$F$8+'Scénario référence'!$F$9+'Scénario référence'!$B$17+'Scénario référence'!$B$9+'Scénario référence'!$B$10)*70+IF((45+25*(1-EXP(-0.0175*A45)))&lt;70,'Scénario référence'!$B$16*(45+25*(1-EXP(-0.0175*A45))),70*'Scénario référence'!$B$16)+IF((32+38*(1-EXP(-0.0175*A45)))&lt;70,'Scénario référence'!$B$18*(32+38*(1-EXP(-0.0175*A45))),70*'Scénario référence'!$B$18)</f>
        <v>70</v>
      </c>
      <c r="AZ45" s="12">
        <f>IF(A45&gt;30,10,('Scénario référence'!$B$16+'Scénario référence'!$B$17+'Scénario référence'!$B$18+'Scénario référence'!$B$9+'Scénario référence'!$B$10)*A45*10/30+('Scénario référence'!$F$8+'Scénario référence'!$F$9)*10)</f>
        <v>10</v>
      </c>
      <c r="BA45" s="12" t="e">
        <f>VLOOKUP(A45,'Données projet'!$A$87:$I$107,2,0)</f>
        <v>#N/A</v>
      </c>
      <c r="BB45" s="12" t="e">
        <f>VLOOKUP(A45,'Données projet'!$A$87:$I$107,9,0)</f>
        <v>#N/A</v>
      </c>
      <c r="BC45" s="12">
        <f t="array" ref="BC45">INDEX(BB:BB,MIN(IF(ISNUMBER(BB45:BB241),ROW(BB45:BB241),"")))</f>
        <v>18.899999999999999</v>
      </c>
      <c r="BD45" s="12">
        <f>IF('Données projet'!$A$88&gt;35,BD44+BC45-BL44,IF(A45&lt;'Données projet'!$A$88,$BA$205^A45,IF(A45='Données projet'!$A$88,'Données projet'!$B$88,BD44+BC45-BL44)))</f>
        <v>283.7999999999999</v>
      </c>
      <c r="BE45" s="13">
        <f>BD45*VLOOKUP('Données projet'!$B$11,Paramètres!$A$1:$I$89,3,0)*VLOOKUP('Données projet'!$B$11,Paramètres!$A$1:$I$89,5,0)</f>
        <v>169.71239999999995</v>
      </c>
      <c r="BF45" s="13">
        <f t="shared" si="37"/>
        <v>43.025604406382911</v>
      </c>
      <c r="BG45" s="20">
        <f t="shared" si="7"/>
        <v>370.51869100778345</v>
      </c>
      <c r="BH45" s="59">
        <f t="shared" si="8"/>
        <v>663.8520243411167</v>
      </c>
      <c r="BI45" s="59">
        <f ca="1">AVERAGE(OFFSET($BH$3,0,0,'Données projet'!$E$11+1,1))-AVERAGE(OFFSET($H$3,0,0,'Données projet'!$E$11+1,1))</f>
        <v>316.58509520829671</v>
      </c>
      <c r="BJ45" s="59">
        <f t="shared" si="38"/>
        <v>240.71332110643596</v>
      </c>
      <c r="BK45" s="15">
        <f>IF(ISNA(VLOOKUP(A45,'Données projet'!$A$87:$I$107,3,0)),0,VLOOKUP(A45,'Données projet'!$A$87:$I$107,3,0))</f>
        <v>0</v>
      </c>
      <c r="BL45" s="15">
        <f>IF(ISNA(VLOOKUP(A45,'Données projet'!$A$87:$I$107,4,0)),0,VLOOKUP(A45,'Données projet'!$A$87:$I$107,4,0))</f>
        <v>0</v>
      </c>
      <c r="BM45" s="16">
        <f>IF(ISNA(VLOOKUP(A45,'Données projet'!$A$87:$I$107,5,0)),0%,VLOOKUP(A45,'Données projet'!$A$87:$I$107,5,0)*VLOOKUP('Données projet'!$B$11,Paramètres!$A$1:$I$89,7,0))</f>
        <v>0</v>
      </c>
      <c r="BN45" s="16">
        <f>IF(ISNA(VLOOKUP(A45,'Données projet'!$A$87:$I$107,6,0)),0%,VLOOKUP(A45,'Données projet'!$A$87:$I$107,6,0)*VLOOKUP('Données projet'!$B$11,Paramètres!$A$1:$I$89,7,0))</f>
        <v>0</v>
      </c>
      <c r="BO45" s="16">
        <f>IF(ISNA(VLOOKUP(A45,'Données projet'!$A$87:$I$107,7,0)),0%,VLOOKUP(A45,'Données projet'!$A$87:$I$107,7,0))</f>
        <v>0</v>
      </c>
      <c r="BP45" s="21">
        <f>EXP(-LN(2)/35)*BP44+(1-EXP(-LN(2)/35))/(LN(2)/35)*BL45*BM45*VLOOKUP('Données projet'!$B$11,Paramètres!$A$1:$I$89,3,0)*0.475*44/12</f>
        <v>1.9984354210031408</v>
      </c>
      <c r="BQ45" s="21">
        <f>EXP(-LN(2)/25)*BQ44+(1-EXP(-LN(2)/25))/(LN(2)/25)*Calculateur!BL45*Calculateur!BN45*VLOOKUP('Données projet'!$B$11,Paramètres!$A$1:$I$89,3,0)*0.475*44/12</f>
        <v>10.94676182365952</v>
      </c>
      <c r="BR45" s="21">
        <f>EXP(-LN(2)/2)*BR44+(1-EXP(-LN(2)/2))/(LN(2)/2)*BL45*BO45*VLOOKUP('Données projet'!$B$11,Paramètres!$A$1:$I$89,3,0)*0.475*44/12</f>
        <v>0.34280223547095007</v>
      </c>
      <c r="BS45" s="22">
        <f t="shared" si="9"/>
        <v>13.28799948013361</v>
      </c>
      <c r="BT45" s="75">
        <f>('Scénario référence'!$F$8+'Scénario référence'!$F$9+'Scénario référence'!$B$17+'Scénario référence'!$B$9+'Scénario référence'!$B$10)*70+IF((45+25*(1-EXP(-0.0175*A45)))&lt;70,'Scénario référence'!$B$16*(45+25*(1-EXP(-0.0175*A45))),70*'Scénario référence'!$B$16)+IF((32+38*(1-EXP(-0.0175*A45)))&lt;70,'Scénario référence'!$B$18*(32+38*(1-EXP(-0.0175*A45))),70*'Scénario référence'!$B$18)</f>
        <v>70</v>
      </c>
      <c r="BU45" s="12">
        <f>IF(A45&gt;30,10,('Scénario référence'!$B$16+'Scénario référence'!$B$17+'Scénario référence'!$B$18+'Scénario référence'!$B$9+'Scénario référence'!$B$10)*A45*10/30+('Scénario référence'!$F$8+'Scénario référence'!$F$9)*10)</f>
        <v>10</v>
      </c>
      <c r="BV45" s="12" t="e">
        <f>VLOOKUP(A45,'Données projet'!$A$113:$I$133,2,0)</f>
        <v>#N/A</v>
      </c>
      <c r="BW45" s="12" t="e">
        <f>VLOOKUP(A45,'Données projet'!$A$113:$I$133,9,0)</f>
        <v>#N/A</v>
      </c>
      <c r="BX45" s="12">
        <f t="array" ref="BX45">INDEX(BW:BW,MIN(IF(ISNUMBER(BW45:BW241),ROW(BW45:BW241),"")))</f>
        <v>11.9</v>
      </c>
      <c r="BY45" s="12">
        <f>IF('Données projet'!$A$114&gt;35,BY44+BX45-CG44,IF(A45&lt;'Données projet'!$A$114,$BV$205^A45,IF(A45='Données projet'!$A$114,'Données projet'!$B$114,BY44+BX45-CG44)))</f>
        <v>224.79999999999987</v>
      </c>
      <c r="BZ45" s="13">
        <f>BY45*VLOOKUP('Données projet'!$B$12,Paramètres!$A$1:$I$89,3,0)*VLOOKUP('Données projet'!$B$12,Paramètres!$A$1:$I$89,5,0)</f>
        <v>128.58559999999994</v>
      </c>
      <c r="CA45" s="13">
        <f t="shared" si="39"/>
        <v>33.669325225741161</v>
      </c>
      <c r="CB45" s="20">
        <f t="shared" si="10"/>
        <v>282.59399476816571</v>
      </c>
      <c r="CC45" s="59">
        <f t="shared" si="11"/>
        <v>575.92732810149903</v>
      </c>
      <c r="CD45" s="59">
        <f ca="1">AVERAGE(OFFSET($CC$3,0,0,'Données projet'!$E$12+1,1))-AVERAGE(OFFSET($H$3,0,0,'Données projet'!$E$12+1,1))</f>
        <v>188.64374818906128</v>
      </c>
      <c r="CE45" s="59">
        <f t="shared" si="40"/>
        <v>211.95157880548652</v>
      </c>
      <c r="CF45" s="15">
        <f>IF(ISNA(VLOOKUP(A45,'Données projet'!$A$113:$I$133,3,0)),0,VLOOKUP(A45,'Données projet'!$A$113:$I$133,3,0))</f>
        <v>0</v>
      </c>
      <c r="CG45" s="15">
        <f>IF(ISNA(VLOOKUP(A45,'Données projet'!$A$113:$I$133,4,0)),0,VLOOKUP(A45,'Données projet'!$A$113:$I$133,4,0))</f>
        <v>0</v>
      </c>
      <c r="CH45" s="16">
        <f>IF(ISNA(VLOOKUP(A45,'Données projet'!$A$113:$I$133,5,0)),0%,VLOOKUP(A45,'Données projet'!$A$113:$I$133,5,0)*VLOOKUP('Données projet'!$B$12,Paramètres!$A$1:$I$89,7,0))</f>
        <v>0</v>
      </c>
      <c r="CI45" s="16">
        <f>IF(ISNA(VLOOKUP(A45,'Données projet'!$A$113:$I$133,6,0)),0%,VLOOKUP(A45,'Données projet'!$A$113:$I$133,6,0)*VLOOKUP('Données projet'!$B$12,Paramètres!$A$1:$I$89,7,0))</f>
        <v>0</v>
      </c>
      <c r="CJ45" s="16">
        <f>IF(ISNA(VLOOKUP(A45,'Données projet'!$A$113:$I$133,7,0)),0%,VLOOKUP(A45,'Données projet'!$A$113:$I$133,7,0))</f>
        <v>0</v>
      </c>
      <c r="CK45" s="21">
        <f>EXP(-LN(2)/35)*CK44+(1-EXP(-LN(2)/35))/(LN(2)/35)*CG45*CH45*VLOOKUP('Données projet'!$B$12,Paramètres!$A$1:$I$89,3,0)*0.475*44/12</f>
        <v>1.9384701205566284</v>
      </c>
      <c r="CL45" s="21">
        <f>EXP(-LN(2)/25)*CL44+(1-EXP(-LN(2)/25))/(LN(2)/25)*Calculateur!CG45*Calculateur!CI45*VLOOKUP('Données projet'!$B$12,Paramètres!$A$1:$I$89,3,0)*0.475*44/12</f>
        <v>10.303340082412161</v>
      </c>
      <c r="CM45" s="21">
        <f>EXP(-LN(2)/2)*CM44+(1-EXP(-LN(2)/2))/(LN(2)/2)*CG45*CJ45*VLOOKUP('Données projet'!$B$12,Paramètres!$A$1:$I$89,3,0)*0.475*44/12</f>
        <v>0.33197714380837834</v>
      </c>
      <c r="CN45" s="22">
        <f t="shared" si="12"/>
        <v>12.573787346777168</v>
      </c>
      <c r="CO45" s="75">
        <f>('Scénario référence'!$F$8+'Scénario référence'!$F$9+'Scénario référence'!$B$17+'Scénario référence'!$B$9+'Scénario référence'!$B$10)*70+IF((45+25*(1-EXP(-0.0175*A45)))&lt;70,'Scénario référence'!$B$16*(45+25*(1-EXP(-0.0175*A45))),70*'Scénario référence'!$B$16)+IF((32+38*(1-EXP(-0.0175*A45)))&lt;70,'Scénario référence'!$B$18*(32+38*(1-EXP(-0.0175*A45))),70*'Scénario référence'!$B$18)</f>
        <v>70</v>
      </c>
      <c r="CP45" s="12">
        <f>IF(A45&gt;30,10,('Scénario référence'!$B$16+'Scénario référence'!$B$17+'Scénario référence'!$B$18+'Scénario référence'!$B$9+'Scénario référence'!$B$10)*A45*10/30+('Scénario référence'!$F$8+'Scénario référence'!$F$9)*10)</f>
        <v>10</v>
      </c>
      <c r="CQ45" s="12" t="e">
        <f>VLOOKUP(A45,'Données projet'!$A$139:$I$159,2,0)</f>
        <v>#N/A</v>
      </c>
      <c r="CR45" s="12" t="e">
        <f>VLOOKUP(A45,'Données projet'!$A$139:$I$159,9,0)</f>
        <v>#N/A</v>
      </c>
      <c r="CS45" s="12">
        <f t="array" ref="CS45">INDEX(CR:CR,MIN(IF(ISNUMBER(CR45:CR241),ROW(CR45:CR241),"")))</f>
        <v>0</v>
      </c>
      <c r="CT45" s="12">
        <f>IF('Données projet'!$A$140&gt;35,CT44+CS45-DB44,IF(A45&lt;'Données projet'!$A$140,$CQ$205^A45,IF(A45='Données projet'!$A$140,'Données projet'!$B$140,CT44+CS45-DB44)))</f>
        <v>0</v>
      </c>
      <c r="CU45" s="17" t="e">
        <f>CT45*VLOOKUP('Données projet'!$B$13,Paramètres!$A$1:$I$89,3,0)*VLOOKUP('Données projet'!$B$13,Paramètres!$A$1:$I$89,5,0)</f>
        <v>#N/A</v>
      </c>
      <c r="CV45" s="13" t="e">
        <f t="shared" si="41"/>
        <v>#N/A</v>
      </c>
      <c r="CW45" s="20" t="e">
        <f t="shared" si="13"/>
        <v>#N/A</v>
      </c>
      <c r="CX45" s="59" t="e">
        <f t="shared" si="14"/>
        <v>#N/A</v>
      </c>
      <c r="CY45" s="59" t="e">
        <f ca="1">AVERAGE(OFFSET($CX$3,0,0,'Données projet'!$E$13+1,1))-AVERAGE(OFFSET($H$3,0,0,'Données projet'!$E$13+1,1))</f>
        <v>#N/A</v>
      </c>
      <c r="CZ45" s="59" t="e">
        <f t="shared" si="42"/>
        <v>#N/A</v>
      </c>
      <c r="DA45" s="15">
        <f>IF(ISNA(VLOOKUP(A45,'Données projet'!$A$139:$I$159,3,0)),0,VLOOKUP(A45,'Données projet'!$A$139:$I$159,3,0))</f>
        <v>0</v>
      </c>
      <c r="DB45" s="15">
        <f>IF(ISNA(VLOOKUP(A45,'Données projet'!$A$139:$I$159,4,0)),0,VLOOKUP(A45,'Données projet'!$A$139:$I$159,4,0))</f>
        <v>0</v>
      </c>
      <c r="DC45" s="16">
        <f>IF(ISNA(VLOOKUP(A45,'Données projet'!$A$139:$I$159,5,0)),0%,VLOOKUP(A45,'Données projet'!$A$139:$I$159,5,0)*VLOOKUP('Données projet'!$B$13,Paramètres!$A$1:$I$89,7,0))</f>
        <v>0</v>
      </c>
      <c r="DD45" s="16">
        <f>IF(ISNA(VLOOKUP(A45,'Données projet'!$A$139:$I$159,6,0)),0%,VLOOKUP(A45,'Données projet'!$A$139:$I$159,6,0)*VLOOKUP('Données projet'!$B$13,Paramètres!$A$1:$I$89,7,0))</f>
        <v>0</v>
      </c>
      <c r="DE45" s="16">
        <f>IF(ISNA(VLOOKUP(A45,'Données projet'!$A$139:$I$159,7,0)),0%,VLOOKUP(A45,'Données projet'!$A$139:$I$159,7,0))</f>
        <v>0</v>
      </c>
      <c r="DF45" s="21" t="e">
        <f>EXP(-LN(2)/35)*DF44+(1-EXP(-LN(2)/35))/(LN(2)/35)*DB45*DC45*VLOOKUP('Données projet'!$B$13,Paramètres!$A$1:$I$89,3,0)*0.475*44/12</f>
        <v>#N/A</v>
      </c>
      <c r="DG45" s="21" t="e">
        <f>EXP(-LN(2)/25)*DG44+(1-EXP(-LN(2)/25))/(LN(2)/25)*Calculateur!DB45*Calculateur!DD45*VLOOKUP('Données projet'!$B$13,Paramètres!$A$1:$I$89,3,0)*0.475*44/12</f>
        <v>#N/A</v>
      </c>
      <c r="DH45" s="21" t="e">
        <f>EXP(-LN(2)/2)*DH44+(1-EXP(-LN(2)/2))/(LN(2)/2)*DB45*DE45*VLOOKUP('Données projet'!$B$13,Paramètres!$A$1:$I$89,3,0)*0.475*44/12</f>
        <v>#N/A</v>
      </c>
      <c r="DI45" s="22" t="e">
        <f t="shared" si="15"/>
        <v>#N/A</v>
      </c>
      <c r="DJ45" s="75">
        <f>('Scénario référence'!$F$8+'Scénario référence'!$F$9+'Scénario référence'!$B$17+'Scénario référence'!$B$9+'Scénario référence'!$B$10)*70+IF((45+25*(1-EXP(-0.0175*A45)))&lt;70,'Scénario référence'!$B$16*(45+25*(1-EXP(-0.0175*A45))),70*'Scénario référence'!$B$16)+IF((32+38*(1-EXP(-0.0175*A45)))&lt;70,'Scénario référence'!$B$18*(32+38*(1-EXP(-0.0175*A45))),70*'Scénario référence'!$B$18)</f>
        <v>70</v>
      </c>
      <c r="DK45" s="12">
        <f>IF(A45&gt;30,10,('Scénario référence'!$B$16+'Scénario référence'!$B$17+'Scénario référence'!$B$18+'Scénario référence'!$B$9+'Scénario référence'!$B$10)*A45*10/30+('Scénario référence'!$F$8+'Scénario référence'!$F$9)*10)</f>
        <v>10</v>
      </c>
      <c r="DL45" s="12" t="e">
        <f>VLOOKUP(A45,'Données projet'!$A$165:$I$185,2,0)</f>
        <v>#N/A</v>
      </c>
      <c r="DM45" s="12" t="e">
        <f>VLOOKUP(A45,'Données projet'!$A$165:$I$185,9,0)</f>
        <v>#N/A</v>
      </c>
      <c r="DN45" s="12">
        <f t="array" ref="DN45">INDEX(DM:DM,MIN(IF(ISNUMBER(DM45:DM241),ROW(DM45:DM241),"")))</f>
        <v>7.8</v>
      </c>
      <c r="DO45" s="12">
        <f>IF('Données projet'!$A$166&gt;35,DO44+DN45-DW44,IF(A45&lt;'Données projet'!$A$166,$DL$205^A45,IF(A45='Données projet'!$A$166,'Données projet'!$B$166,DO44+DN45-DW44)))</f>
        <v>211.59999999999991</v>
      </c>
      <c r="DP45" s="17">
        <f>DO45*VLOOKUP('Données projet'!$B$14,Paramètres!$A$1:$I$89,3,0)*VLOOKUP('Données projet'!$B$14,Paramètres!$A$1:$I$89,5,0)</f>
        <v>138.64031999999995</v>
      </c>
      <c r="DQ45" s="13">
        <f t="shared" si="43"/>
        <v>35.985345198165781</v>
      </c>
      <c r="DR45" s="20">
        <f t="shared" si="16"/>
        <v>304.13970022013865</v>
      </c>
      <c r="DS45" s="59">
        <f t="shared" si="17"/>
        <v>597.47303355347196</v>
      </c>
      <c r="DT45" s="59">
        <f ca="1">AVERAGE(OFFSET($DS$3,0,0,'Données projet'!$E$14+1,1))-AVERAGE(OFFSET($H$3,0,0,'Données projet'!$E$14+1,1))</f>
        <v>188.68915783955595</v>
      </c>
      <c r="DU45" s="59">
        <f t="shared" si="44"/>
        <v>240.82467772396944</v>
      </c>
      <c r="DV45" s="15">
        <f>IF(ISNA(VLOOKUP(A45,'Données projet'!$A$165:$I$185,3,0)),0,VLOOKUP(A45,'Données projet'!$A$165:$I$185,3,0))</f>
        <v>0</v>
      </c>
      <c r="DW45" s="15">
        <f>IF(ISNA(VLOOKUP(A45,'Données projet'!$A$165:$I$185,4,0)),0,VLOOKUP(A45,'Données projet'!$A$165:$I$185,4,0))</f>
        <v>0</v>
      </c>
      <c r="DX45" s="16">
        <f>IF(ISNA(VLOOKUP(A45,'Données projet'!$A$165:$I$185,5,0)),0%,VLOOKUP(A45,'Données projet'!$A$165:$I$185,5,0)*VLOOKUP('Données projet'!$B$14,Paramètres!$A$1:$I$89,7,0))</f>
        <v>0</v>
      </c>
      <c r="DY45" s="16">
        <f>IF(ISNA(VLOOKUP(A45,'Données projet'!$A$165:$I$185,6,0)),0%,VLOOKUP(A45,'Données projet'!$A$165:$I$185,6,0)*VLOOKUP('Données projet'!$B$14,Paramètres!$A$1:$I$89,7,0))</f>
        <v>0</v>
      </c>
      <c r="DZ45" s="16">
        <f>IF(ISNA(VLOOKUP(A45,'Données projet'!$A$165:$I$185,7,0)),0%,VLOOKUP(A45,'Données projet'!$A$165:$I$185,7,0))</f>
        <v>0</v>
      </c>
      <c r="EA45" s="21">
        <f>EXP(-LN(2)/35)*EA44+(1-EXP(-LN(2)/35))/(LN(2)/35)*DW45*DX45*VLOOKUP('Données projet'!$B$14,Paramètres!$A$1:$I$89,3,0)*0.475*44/12</f>
        <v>1.2278609139047669</v>
      </c>
      <c r="EB45" s="21">
        <f>EXP(-LN(2)/25)*EB44+(1-EXP(-LN(2)/25))/(LN(2)/25)*Calculateur!DW45*Calculateur!DY45*VLOOKUP('Données projet'!$B$14,Paramètres!$A$1:$I$89,3,0)*0.475*44/12</f>
        <v>5.7630871081769248</v>
      </c>
      <c r="EC45" s="21">
        <f>EXP(-LN(2)/2)*EC44+(1-EXP(-LN(2)/2))/(LN(2)/2)*DW45*DZ45*VLOOKUP('Données projet'!$B$14,Paramètres!$A$1:$I$89,3,0)*0.475*44/12</f>
        <v>0.21869387478448574</v>
      </c>
      <c r="ED45" s="22">
        <f t="shared" si="18"/>
        <v>7.2096418968661773</v>
      </c>
      <c r="EE45" s="75">
        <f>('Scénario référence'!$F$8+'Scénario référence'!$F$9+'Scénario référence'!$B$17+'Scénario référence'!$B$9+'Scénario référence'!$B$10)*70+IF((45+25*(1-EXP(-0.0175*A45)))&lt;70,'Scénario référence'!$B$16*(45+25*(1-EXP(-0.0175*A45))),70*'Scénario référence'!$B$16)+IF((32+38*(1-EXP(-0.0175*A45)))&lt;70,'Scénario référence'!$B$18*(32+38*(1-EXP(-0.0175*A45))),70*'Scénario référence'!$B$18)</f>
        <v>70</v>
      </c>
      <c r="EF45" s="12">
        <f>IF(A45&gt;30,10,('Scénario référence'!$B$16+'Scénario référence'!$B$17+'Scénario référence'!$B$18+'Scénario référence'!$B$9+'Scénario référence'!$B$10)*A45*10/30+('Scénario référence'!$F$8+'Scénario référence'!$F$9)*10)</f>
        <v>10</v>
      </c>
      <c r="EG45" s="12" t="e">
        <f>VLOOKUP(A45,'Données projet'!$A$191:$I$211,2,0)</f>
        <v>#N/A</v>
      </c>
      <c r="EH45" s="12" t="e">
        <f>VLOOKUP(A45,'Données projet'!$A$191:$I$211,9,0)</f>
        <v>#N/A</v>
      </c>
      <c r="EI45" s="12">
        <f t="array" ref="EI45">INDEX(EH:EH,MIN(IF(ISNUMBER(EH45:EH241),ROW(EH45:EH241),"")))</f>
        <v>7</v>
      </c>
      <c r="EJ45" s="12">
        <f>IF('Données projet'!$A$192&gt;35,EJ44+EI45-ER44,IF(A45&lt;'Données projet'!$A$192,$EG$205^A45,IF(A45='Données projet'!$A$192,'Données projet'!$B$192,EJ44+EI45-ER44)))</f>
        <v>163.99999999999991</v>
      </c>
      <c r="EK45" s="17">
        <f>EJ45*VLOOKUP('Données projet'!$B$15,Paramètres!$A$1:$I$89,3,0)*VLOOKUP('Données projet'!$B$15,Paramètres!$A$1:$I$89,5,0)</f>
        <v>133.03679999999994</v>
      </c>
      <c r="EL45" s="13">
        <f t="shared" si="45"/>
        <v>34.697128823525233</v>
      </c>
      <c r="EM45" s="20">
        <f t="shared" si="19"/>
        <v>292.13659270097298</v>
      </c>
      <c r="EN45" s="59">
        <f t="shared" si="20"/>
        <v>585.46992603430635</v>
      </c>
      <c r="EO45" s="59">
        <f ca="1">AVERAGE(OFFSET($EN$3,0,0,'Données projet'!$E$15+1,1))-AVERAGE(OFFSET($H$3,0,0,'Données projet'!$E$15+1,1))</f>
        <v>205.5272583787887</v>
      </c>
      <c r="EP45" s="59">
        <f t="shared" si="46"/>
        <v>180.54762778843178</v>
      </c>
      <c r="EQ45" s="15">
        <f>IF(ISNA(VLOOKUP(A45,'Données projet'!$A$191:$I$211,3,0)),0,VLOOKUP(A45,'Données projet'!$A$191:$I$211,3,0))</f>
        <v>0</v>
      </c>
      <c r="ER45" s="15">
        <f>IF(ISNA(VLOOKUP(A45,'Données projet'!$A$191:$I$211,4,0)),0,VLOOKUP(A45,'Données projet'!$A$191:$I$211,4,0))</f>
        <v>0</v>
      </c>
      <c r="ES45" s="16">
        <f>IF(ISNA(VLOOKUP(A45,'Données projet'!$A$191:$I$211,5,0)),0%,VLOOKUP(A45,'Données projet'!$A$191:$I$211,5,0)*VLOOKUP('Données projet'!$B$15,Paramètres!$A$1:$I$89,7,0))</f>
        <v>0</v>
      </c>
      <c r="ET45" s="16">
        <f>IF(ISNA(VLOOKUP(A45,'Données projet'!$A$191:$I$211,6,0)),0%,VLOOKUP(A45,'Données projet'!$A$191:$I$211,6,0)*VLOOKUP('Données projet'!$B$15,Paramètres!$A$1:$I$89,7,0))</f>
        <v>0</v>
      </c>
      <c r="EU45" s="16">
        <f>IF(ISNA(VLOOKUP(A45,'Données projet'!$A$191:$I$211,7,0)),0%,VLOOKUP(A45,'Données projet'!$A$191:$I$211,7,0))</f>
        <v>0</v>
      </c>
      <c r="EV45" s="21">
        <f>EXP(-LN(2)/35)*EV44+(1-EXP(-LN(2)/35))/(LN(2)/35)*ER45*ES45*VLOOKUP('Données projet'!$B$15,Paramètres!$A$1:$I$89,3,0)*0.475*44/12</f>
        <v>0.79050855028535461</v>
      </c>
      <c r="EW45" s="21">
        <f>EXP(-LN(2)/25)*EW44+(1-EXP(-LN(2)/25))/(LN(2)/25)*Calculateur!ER45*Calculateur!ET45*VLOOKUP('Données projet'!$B$15,Paramètres!$A$1:$I$89,3,0)*0.475*44/12</f>
        <v>4.1611237209118483</v>
      </c>
      <c r="EX45" s="21">
        <f>EXP(-LN(2)/2)*EX44+(1-EXP(-LN(2)/2))/(LN(2)/2)*ER45*EU45*VLOOKUP('Données projet'!$B$15,Paramètres!$A$1:$I$89,3,0)*0.475*44/12</f>
        <v>0.1416044456309366</v>
      </c>
      <c r="EY45" s="22">
        <f t="shared" si="21"/>
        <v>5.0932367168281401</v>
      </c>
      <c r="EZ45" s="75">
        <f>('Scénario référence'!$F$8+'Scénario référence'!$F$9+'Scénario référence'!$B$17+'Scénario référence'!$B$9+'Scénario référence'!$B$10)*70+IF((45+25*(1-EXP(-0.0175*A45)))&lt;70,'Scénario référence'!$B$16*(45+25*(1-EXP(-0.0175*A45))),70*'Scénario référence'!$B$16)+IF((32+38*(1-EXP(-0.0175*A45)))&lt;70,'Scénario référence'!$B$18*(32+38*(1-EXP(-0.0175*A45))),70*'Scénario référence'!$B$18)</f>
        <v>70</v>
      </c>
      <c r="FA45" s="12">
        <f>IF(A45&gt;30,10,('Scénario référence'!$B$16+'Scénario référence'!$B$17+'Scénario référence'!$B$18+'Scénario référence'!$B$9+'Scénario référence'!$B$10)*A45*10/30+('Scénario référence'!$F$8+'Scénario référence'!$F$9)*10)</f>
        <v>10</v>
      </c>
      <c r="FB45" s="12" t="e">
        <f>VLOOKUP(A45,'Données projet'!$A$217:$I$237,2,0)</f>
        <v>#N/A</v>
      </c>
      <c r="FC45" s="12" t="e">
        <f>VLOOKUP(A45,'Données projet'!$A$217:$I$237,9,0)</f>
        <v>#N/A</v>
      </c>
      <c r="FD45" s="12">
        <f t="array" ref="FD45">INDEX(FC:FC,MIN(IF(ISNUMBER(FC45:FC241),ROW(FC45:FC241),"")))</f>
        <v>13.4</v>
      </c>
      <c r="FE45" s="12">
        <f>IF('Données projet'!$A$218&gt;35,FE44+FD45-FM44,IF(A45&lt;'Données projet'!$A$218,$FB$205^A45,IF(A45='Données projet'!$A$218,'Données projet'!$B$218,FE44+FD45-FM44)))</f>
        <v>176.80000000000007</v>
      </c>
      <c r="FF45" s="17">
        <f>FE45*VLOOKUP('Données projet'!$B$16,Paramètres!$A$1:$I$89,3,0)*VLOOKUP('Données projet'!$B$16,Paramètres!$A$1:$I$89,5,0)</f>
        <v>151.69440000000009</v>
      </c>
      <c r="FG45" s="13">
        <f t="shared" si="47"/>
        <v>38.963392010880654</v>
      </c>
      <c r="FH45" s="20">
        <f t="shared" si="22"/>
        <v>332.06232108561727</v>
      </c>
      <c r="FI45" s="59">
        <f t="shared" si="23"/>
        <v>625.39565441895058</v>
      </c>
      <c r="FJ45" s="59">
        <f ca="1">AVERAGE(OFFSET($FI$3,0,0,'Données projet'!$E$16+1,1))-AVERAGE(OFFSET($H$3,0,0,'Données projet'!$E$16+1,1))</f>
        <v>383.97627237444709</v>
      </c>
      <c r="FK45" s="59">
        <f t="shared" si="48"/>
        <v>203.35476578922339</v>
      </c>
      <c r="FL45" s="15">
        <f>IF(ISNA(VLOOKUP(A45,'Données projet'!$A$217:$I$237,3,0)),0,VLOOKUP(A45,'Données projet'!$A$217:$I$237,3,0))</f>
        <v>0</v>
      </c>
      <c r="FM45" s="15">
        <f>IF(ISNA(VLOOKUP(A45,'Données projet'!$A$217:$I$237,4,0)),0,VLOOKUP(A45,'Données projet'!$A$217:$I$237,4,0))</f>
        <v>0</v>
      </c>
      <c r="FN45" s="16">
        <f>IF(ISNA(VLOOKUP(A45,'Données projet'!$A$217:$I$237,5,0)),0%,VLOOKUP(A45,'Données projet'!$A$217:$I$237,5,0)*VLOOKUP('Données projet'!$B$16,Paramètres!$A$1:$I$89,7,0))</f>
        <v>0</v>
      </c>
      <c r="FO45" s="16">
        <f>IF(ISNA(VLOOKUP(A45,'Données projet'!$A$217:$I$237,6,0)),0%,VLOOKUP(A45,'Données projet'!$A$217:$I$237,6,0)*VLOOKUP('Données projet'!$B$16,Paramètres!$A$1:$I$89,7,0))</f>
        <v>0</v>
      </c>
      <c r="FP45" s="16">
        <f>IF(ISNA(VLOOKUP(A45,'Données projet'!$A$217:$I$237,7,0)),0%,VLOOKUP(A45,'Données projet'!$A$217:$I$237,7,0))</f>
        <v>0</v>
      </c>
      <c r="FQ45" s="21">
        <f>EXP(-LN(2)/35)*FQ44+(1-EXP(-LN(2)/35))/(LN(2)/35)*FM45*FN45*VLOOKUP('Données projet'!$B$16,Paramètres!$A$1:$I$89,3,0)*0.475*44/12</f>
        <v>4.0627850809891548</v>
      </c>
      <c r="FR45" s="21">
        <f>EXP(-LN(2)/25)*FR44+(1-EXP(-LN(2)/25))/(LN(2)/25)*Calculateur!FM45*Calculateur!FO45*VLOOKUP('Données projet'!$B$16,Paramètres!$A$1:$I$89,3,0)*0.475*44/12</f>
        <v>4.2239706697368726</v>
      </c>
      <c r="FS45" s="21">
        <f>EXP(-LN(2)/2)*FS44+(1-EXP(-LN(2)/2))/(LN(2)/2)*FM45*FP45*VLOOKUP('Données projet'!$B$16,Paramètres!$A$1:$I$89,3,0)*0.475*44/12</f>
        <v>0.26009830518421706</v>
      </c>
      <c r="FT45" s="22">
        <f t="shared" si="24"/>
        <v>8.5468540559102433</v>
      </c>
      <c r="FU45" s="75">
        <f>('Scénario référence'!$F$8+'Scénario référence'!$F$9+'Scénario référence'!$B$17+'Scénario référence'!$B$9+'Scénario référence'!$B$10)*70+IF((45+25*(1-EXP(-0.0175*A45)))&lt;70,'Scénario référence'!$B$16*(45+25*(1-EXP(-0.0175*A45))),70*'Scénario référence'!$B$16)+IF((32+38*(1-EXP(-0.0175*A45)))&lt;70,'Scénario référence'!$B$18*(32+38*(1-EXP(-0.0175*A45))),70*'Scénario référence'!$B$18)</f>
        <v>70</v>
      </c>
      <c r="FV45" s="12">
        <f>IF(A45&gt;30,10,('Scénario référence'!$B$16+'Scénario référence'!$B$17+'Scénario référence'!$B$18+'Scénario référence'!$B$9+'Scénario référence'!$B$10)*A45*10/30+('Scénario référence'!$F$8+'Scénario référence'!$F$9)*10)</f>
        <v>10</v>
      </c>
      <c r="FW45" s="12" t="e">
        <f>VLOOKUP(A45,'Données projet'!$A$243:$I$263,2,0)</f>
        <v>#N/A</v>
      </c>
      <c r="FX45" s="12" t="e">
        <f>VLOOKUP(A45,'Données projet'!$A$243:$I$263,9,0)</f>
        <v>#N/A</v>
      </c>
      <c r="FY45" s="12">
        <f t="array" ref="FY45">INDEX(FX:FX,MIN(IF(ISNUMBER(FX45:FX241),ROW(FX45:FX241),"")))</f>
        <v>9.3452380952380913</v>
      </c>
      <c r="FZ45" s="12">
        <f>IF('Données projet'!$A$244&gt;35,FZ44+FY45-GH44,IF(A45&lt;'Données projet'!$A$244,$FW$205^A45,IF(A45='Données projet'!$A$244,'Données projet'!$B$244,FZ44+FY45-GH44)))</f>
        <v>128.28113553113553</v>
      </c>
      <c r="GA45" s="17">
        <f>FZ45*VLOOKUP('Données projet'!$B$17,Paramètres!$A$1:$I$89,3,0)*VLOOKUP('Données projet'!$B$17,Paramètres!$A$1:$I$89,5,0)</f>
        <v>138.08181428571427</v>
      </c>
      <c r="GB45" s="13">
        <f t="shared" si="49"/>
        <v>35.857223875642859</v>
      </c>
      <c r="GC45" s="20">
        <f t="shared" si="25"/>
        <v>302.943824797697</v>
      </c>
      <c r="GD45" s="59">
        <f t="shared" si="26"/>
        <v>596.27715813103032</v>
      </c>
      <c r="GE45" s="59">
        <f ca="1">AVERAGE(OFFSET($GD$3,0,0,'Données projet'!$E$17+1,1))-AVERAGE(OFFSET($H$3,0,0,'Données projet'!$E$17+1,1))</f>
        <v>286.77702855541287</v>
      </c>
      <c r="GF45" s="59">
        <f t="shared" si="50"/>
        <v>227.12211541860779</v>
      </c>
      <c r="GG45" s="15">
        <f>IF(ISNA(VLOOKUP(A45,'Données projet'!$A$243:$I$263,3,0)),0,VLOOKUP(A45,'Données projet'!$A$243:$I$263,3,0))</f>
        <v>0</v>
      </c>
      <c r="GH45" s="15">
        <f>IF(ISNA(VLOOKUP(A45,'Données projet'!$A$243:$I$263,4,0)),0,VLOOKUP(A45,'Données projet'!$A$243:$I$263,4,0))</f>
        <v>0</v>
      </c>
      <c r="GI45" s="16">
        <f>IF(ISNA(VLOOKUP(A45,'Données projet'!$A$243:$I$263,5,0)),0%,VLOOKUP(A45,'Données projet'!$A$243:$I$263,5,0)*VLOOKUP('Données projet'!$B$17,Paramètres!$A$1:$I$89,7,0))</f>
        <v>0</v>
      </c>
      <c r="GJ45" s="16">
        <f>IF(ISNA(VLOOKUP(A45,'Données projet'!$A$243:$I$263,6,0)),0%,VLOOKUP(A45,'Données projet'!$A$243:$I$263,6,0)*VLOOKUP('Données projet'!$B$17,Paramètres!$A$1:$I$89,7,0))</f>
        <v>0</v>
      </c>
      <c r="GK45" s="16">
        <f>IF(ISNA(VLOOKUP(A45,'Données projet'!$A$243:$I$263,7,0)),0%,VLOOKUP(A45,'Données projet'!$A$243:$I$263,7,0))</f>
        <v>0</v>
      </c>
      <c r="GL45" s="21">
        <f>EXP(-LN(2)/35)*GL44+(1-EXP(-LN(2)/35))/(LN(2)/35)*GH45*GI45*VLOOKUP('Données projet'!$B$17,Paramètres!$A$1:$I$89,3,0)*0.475*44/12</f>
        <v>0</v>
      </c>
      <c r="GM45" s="21">
        <f>EXP(-LN(2)/25)*GM44+(1-EXP(-LN(2)/25))/(LN(2)/25)*Calculateur!GH45*Calculateur!GJ45*VLOOKUP('Données projet'!$B$17,Paramètres!$A$1:$I$89,3,0)*0.475*44/12</f>
        <v>0</v>
      </c>
      <c r="GN45" s="21">
        <f>EXP(-LN(2)/2)*GN44+(1-EXP(-LN(2)/2))/(LN(2)/2)*GH45*GK45*VLOOKUP('Données projet'!$B$17,Paramètres!$A$1:$I$89,3,0)*0.475*44/12</f>
        <v>0</v>
      </c>
      <c r="GO45" s="21">
        <f t="shared" si="27"/>
        <v>0</v>
      </c>
      <c r="GP45" s="75">
        <f>('Scénario référence'!$F$8+'Scénario référence'!$F$9+'Scénario référence'!$B$17+'Scénario référence'!$B$9+'Scénario référence'!$B$10)*70+IF((45+25*(1-EXP(-0.0175*A45)))&lt;70,'Scénario référence'!$B$16*(45+25*(1-EXP(-0.0175*A45))),70*'Scénario référence'!$B$16)+IF((32+38*(1-EXP(-0.0175*A45)))&lt;70,'Scénario référence'!$B$18*(32+38*(1-EXP(-0.0175*A45))),70*'Scénario référence'!$B$18)</f>
        <v>70</v>
      </c>
      <c r="GQ45" s="12">
        <f>IF(A45&gt;30,10,('Scénario référence'!$B$16+'Scénario référence'!$B$17+'Scénario référence'!$B$18+'Scénario référence'!$B$9+'Scénario référence'!$B$10)*A45*10/30+('Scénario référence'!$F$8+'Scénario référence'!$F$9)*10)</f>
        <v>10</v>
      </c>
      <c r="GR45" s="12" t="e">
        <f>VLOOKUP(A45,'Données projet'!$A$269:$I$289,2,0)</f>
        <v>#N/A</v>
      </c>
      <c r="GS45" s="12" t="e">
        <f>VLOOKUP(A45,'Données projet'!$A$269:$I$289,9,0)</f>
        <v>#N/A</v>
      </c>
      <c r="GT45" s="12">
        <f t="array" ref="GT45">INDEX(GS:GS,MIN(IF(ISNUMBER(GS45:GS241),ROW(GS45:GS241),"")))</f>
        <v>9.3452380952380913</v>
      </c>
      <c r="GU45" s="12">
        <f>IF('Données projet'!$A$270&gt;35,GU44+GT45-HC44,IF(A45&lt;'Données projet'!$A$270,$GR$205^A45,IF(A45='Données projet'!$A$270,'Données projet'!$B$270,GU44+GT45-HC44)))</f>
        <v>128.28113553113553</v>
      </c>
      <c r="GV45" s="17">
        <f>GU45*VLOOKUP('Données projet'!$B$18,Paramètres!$A$1:$I$89,3,0)*VLOOKUP('Données projet'!$B$18,Paramètres!$A$1:$I$89,5,0)</f>
        <v>138.08181428571427</v>
      </c>
      <c r="GW45" s="13">
        <f t="shared" si="51"/>
        <v>35.857223875642859</v>
      </c>
      <c r="GX45" s="20">
        <f t="shared" si="28"/>
        <v>302.943824797697</v>
      </c>
      <c r="GY45" s="59">
        <f t="shared" si="29"/>
        <v>596.27715813103032</v>
      </c>
      <c r="GZ45" s="59">
        <f ca="1">AVERAGE(OFFSET($GY$3,0,0,'Données projet'!$E$18+1,1))-AVERAGE(OFFSET($H$3,0,0,'Données projet'!$E$18+1,1))</f>
        <v>286.77702855541287</v>
      </c>
      <c r="HA45" s="59">
        <f t="shared" si="52"/>
        <v>227.12211541860779</v>
      </c>
      <c r="HB45" s="15">
        <f>IF(ISNA(VLOOKUP(A45,'Données projet'!$A$269:$I$289,3,0)),0,VLOOKUP(A45,'Données projet'!$A$269:$I$289,3,0))</f>
        <v>0</v>
      </c>
      <c r="HC45" s="15">
        <f>IF(ISNA(VLOOKUP(A45,'Données projet'!$A$269:$I$289,4,0)),0,VLOOKUP(A45,'Données projet'!$A$269:$I$289,4,0))</f>
        <v>0</v>
      </c>
      <c r="HD45" s="16">
        <f>IF(ISNA(VLOOKUP(A45,'Données projet'!$A$269:$I$289,5,0)),0%,VLOOKUP(A45,'Données projet'!$A$269:$I$289,5,0)*VLOOKUP('Données projet'!$B$18,Paramètres!$A$1:$I$89,7,0))</f>
        <v>0</v>
      </c>
      <c r="HE45" s="16">
        <f>IF(ISNA(VLOOKUP(A45,'Données projet'!$A$269:$I$289,6,0)),0%,VLOOKUP(A45,'Données projet'!$A$269:$I$289,6,0)*VLOOKUP('Données projet'!$B$18,Paramètres!$A$1:$I$89,7,0))</f>
        <v>0</v>
      </c>
      <c r="HF45" s="16">
        <f>IF(ISNA(VLOOKUP(A45,'Données projet'!$A$269:$I$289,7,0)),0%,VLOOKUP(A45,'Données projet'!$A$269:$I$289,7,0))</f>
        <v>0</v>
      </c>
      <c r="HG45" s="21">
        <f>EXP(-LN(2)/35)*HG44+(1-EXP(-LN(2)/35))/(LN(2)/35)*HC45*HD45*VLOOKUP('Données projet'!$B$18,Paramètres!$A$1:$I$89,3,0)*0.475*44/12</f>
        <v>0</v>
      </c>
      <c r="HH45" s="21">
        <f>EXP(-LN(2)/25)*HH44+(1-EXP(-LN(2)/25))/(LN(2)/25)*Calculateur!HC45*Calculateur!HE45*VLOOKUP('Données projet'!$B$18,Paramètres!$A$1:$I$89,3,0)*0.475*44/12</f>
        <v>0</v>
      </c>
      <c r="HI45" s="21">
        <f>EXP(-LN(2)/2)*HI44+(1-EXP(-LN(2)/2))/(LN(2)/2)*HC45*HF45*VLOOKUP('Données projet'!$B$18,Paramètres!$A$1:$I$89,3,0)*0.475*44/12</f>
        <v>0</v>
      </c>
      <c r="HJ45" s="22">
        <f t="shared" si="30"/>
        <v>0</v>
      </c>
    </row>
    <row r="46" spans="1:218" x14ac:dyDescent="0.25">
      <c r="A46" s="10">
        <f t="shared" si="31"/>
        <v>43</v>
      </c>
      <c r="B46" s="73">
        <f>'Scénario référence'!$B$16*5+'Scénario référence'!$B$17*0+'Scénario référence'!$B$18*5</f>
        <v>0</v>
      </c>
      <c r="C46" s="19">
        <f>Calculateur!C45+'Scénario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38.235600000000005</v>
      </c>
      <c r="D46" s="11">
        <f t="shared" si="32"/>
        <v>11.529771748983352</v>
      </c>
      <c r="E4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46" s="11">
        <f>IF(OR('Scénario référence'!$F$8&gt;0,'Scénario référence'!$F$9&gt;0),('Scénario référence'!$F$8+'Scénario référence'!$F$9)*10,0)</f>
        <v>10</v>
      </c>
      <c r="G46" s="11">
        <f>'Scénario référence'!$B$8*B46*44/12+'Scénario référence'!$B$9*(C46+D46)/0.475*44/12+'Scénario référence'!$B$10*(C46+D46)/0.475*44/12+'Scénario référence'!$F$8*(C46+D46)/0.475*44/12+'Scénario référence'!$F$9*(C46+D46)/0.475*44/12</f>
        <v>384.15374683425745</v>
      </c>
      <c r="H46" s="67">
        <f t="shared" si="1"/>
        <v>380.00802246281268</v>
      </c>
      <c r="I46" s="70">
        <f>('Scénario référence'!$F$8+'Scénario référence'!$F$9+'Scénario référence'!$B$17+'Scénario référence'!$B$9+'Scénario référence'!$B$10)*70+IF((45+25*(1-EXP(-0.0175*A46)))&lt;70,'Scénario référence'!$B$16*(45+25*(1-EXP(-0.0175*A46))),70*'Scénario référence'!$B$16)+IF((32+38*(1-EXP(-0.0175*A46)))&lt;70,'Scénario référence'!$B$18*(32+38*(1-EXP(-0.0175*A46))),70*'Scénario référence'!$B$18)</f>
        <v>70</v>
      </c>
      <c r="J46" s="13">
        <f>IF(A46&gt;30,10,('Scénario référence'!$B$16+'Scénario référence'!$B$17+'Scénario référence'!$B$18+'Scénario référence'!$B$9+'Scénario référence'!$B$10)*A46*10/30+('Scénario référence'!$F$8+'Scénario référence'!$F$9)*10)</f>
        <v>10</v>
      </c>
      <c r="K46" s="12" t="e">
        <f>VLOOKUP(A46,'Données projet'!$A$35:$I$55,2,0)</f>
        <v>#N/A</v>
      </c>
      <c r="L46" s="12" t="e">
        <f>VLOOKUP(A46,'Données projet'!$A$35:$I$55,9,0)</f>
        <v>#N/A</v>
      </c>
      <c r="M46" s="12">
        <f t="array" ref="M46">INDEX(L:L,MIN(IF(ISNUMBER(L46:L242),ROW(L46:L242),"")))</f>
        <v>21.625641025641027</v>
      </c>
      <c r="N46" s="13">
        <f>IF('Données projet'!$A$36&gt;35,N45+M46-V45,IF(A46&lt;'Données projet'!$A$36,$K$205^A46,IF(A46='Données projet'!$A$36,'Données projet'!$B$36,N45+M46-V45)))</f>
        <v>416.95641025641009</v>
      </c>
      <c r="O46" s="13">
        <f>N46*VLOOKUP('Données projet'!$B$9,Paramètres!$A$1:$I$89,3,0)*VLOOKUP('Données projet'!$B$9,Paramètres!$A$1:$I$89,5,0)</f>
        <v>233.07863333333327</v>
      </c>
      <c r="P46" s="13">
        <f t="shared" si="33"/>
        <v>56.947838023653489</v>
      </c>
      <c r="Q46" s="20">
        <f t="shared" si="53"/>
        <v>505.12943761341859</v>
      </c>
      <c r="R46" s="59">
        <f t="shared" si="0"/>
        <v>798.4627709467519</v>
      </c>
      <c r="S46" s="59">
        <f ca="1">AVERAGE(OFFSET($R$3,0,0,'Données projet'!$E$9+1,1))-AVERAGE(OFFSET($H$3,0,0,'Données projet'!$E$9+1,1))</f>
        <v>255.5374979188561</v>
      </c>
      <c r="T46" s="59">
        <f t="shared" si="34"/>
        <v>343.10418468620901</v>
      </c>
      <c r="U46" s="15">
        <f>IF(ISNA(VLOOKUP(A46,'Données projet'!$A$35:$I$55,3,0)),0,VLOOKUP(A46,'Données projet'!$A$35:$I$55,3,0))</f>
        <v>0</v>
      </c>
      <c r="V46" s="15">
        <f>IF(ISNA(VLOOKUP(A46,'Données projet'!$A$35:$I$55,4,0)),0,VLOOKUP(A46,'Données projet'!$A$35:$I$55,4,0))</f>
        <v>0</v>
      </c>
      <c r="W46" s="16">
        <f>IF(ISNA(VLOOKUP(A46,'Données projet'!$A$35:$I$55,5,0)),0%,VLOOKUP(A46,'Données projet'!$A$35:$I$55,5,0)*VLOOKUP('Données projet'!$B$9,Paramètres!$A$1:$I$89,7,0))</f>
        <v>0</v>
      </c>
      <c r="X46" s="16">
        <f>IF(ISNA(VLOOKUP(A46,'Données projet'!$A$35:$I$55,6,0)),0%,VLOOKUP(A46,'Données projet'!$A$35:$I$55,6,0)*VLOOKUP('Données projet'!$B$9,Paramètres!$A$1:$I$89,7,0))</f>
        <v>0</v>
      </c>
      <c r="Y46" s="16">
        <f>IF(ISNA(VLOOKUP(A46,'Données projet'!$A$35:$I$55,7,0)),0%,VLOOKUP(A46,'Données projet'!$A$35:$I$55,7,0))</f>
        <v>0</v>
      </c>
      <c r="Z46" s="21">
        <f>EXP(-LN(2)/35)*Z45+(1-EXP(-LN(2)/35))/(LN(2)/35)*V46*W46*VLOOKUP('Données projet'!$B$9,Paramètres!$A$1:$I$89,3,0)*0.475*44/12</f>
        <v>2.3886530811449043</v>
      </c>
      <c r="AA46" s="21">
        <f>EXP(-LN(2)/25)*AA45+(1-EXP(-LN(2)/25))/(LN(2)/25)*Calculateur!V46*Calculateur!X46*VLOOKUP('Données projet'!$B$9,Paramètres!$A$1:$I$89,3,0)*0.475*44/12</f>
        <v>11.130235167626269</v>
      </c>
      <c r="AB46" s="21">
        <f>EXP(-LN(2)/2)*AB45+(1-EXP(-LN(2)/2))/(LN(2)/2)*V46*Y46*VLOOKUP('Données projet'!$B$9,Paramètres!$A$1:$I$89,3,0)*0.475*44/12</f>
        <v>1.8701340055804389E-2</v>
      </c>
      <c r="AC46" s="22">
        <f t="shared" si="3"/>
        <v>13.537589588826977</v>
      </c>
      <c r="AD46" s="13">
        <f>('Scénario référence'!$F$8+'Scénario référence'!$F$9+'Scénario référence'!$B$17+'Scénario référence'!$B$9+'Scénario référence'!$B$10)*70+IF((45+25*(1-EXP(-0.0175*A46)))&lt;70,'Scénario référence'!$B$16*(45+25*(1-EXP(-0.0175*A46))),70*'Scénario référence'!$B$16)+IF((32+38*(1-EXP(-0.0175*A46)))&lt;70,'Scénario référence'!$B$18*(32+38*(1-EXP(-0.0175*A46))),70*'Scénario référence'!$B$18)</f>
        <v>70</v>
      </c>
      <c r="AE46" s="13">
        <f>IF(A46&gt;30,10,('Scénario référence'!$B$16+'Scénario référence'!$B$17+'Scénario référence'!$B$18+'Scénario référence'!$B$9+'Scénario référence'!$B$10)*A46*10/30+('Scénario référence'!$F$8+'Scénario référence'!$F$9)*10)</f>
        <v>10</v>
      </c>
      <c r="AF46" s="12" t="e">
        <f>VLOOKUP(A46,'Données projet'!$A$61:$I$81,2,0)</f>
        <v>#N/A</v>
      </c>
      <c r="AG46" s="12" t="e">
        <f>VLOOKUP(A46,'Données projet'!$A$61:$I$81,9,0)</f>
        <v>#N/A</v>
      </c>
      <c r="AH46" s="12">
        <f t="array" ref="AH46">INDEX(AG:AG,MIN(IF(ISNUMBER(AG46:AG242),ROW(AG46:AG242),"")))</f>
        <v>12.4</v>
      </c>
      <c r="AI46" s="13">
        <f>IF('Données projet'!$A$62&gt;35,AI45+AH46-AQ45,IF(A46&lt;'Données projet'!$A$62,$AF$205^A46,IF(A46='Données projet'!$A$62,'Données projet'!$B$62,AI45+AH46-AQ45)))</f>
        <v>285.20000000000005</v>
      </c>
      <c r="AJ46" s="13">
        <f>AI46*VLOOKUP('Données projet'!$B$10,Paramètres!$A$1:$I$89,3,0)*VLOOKUP('Données projet'!$B$10,Paramètres!$A$1:$I$89,5,0)</f>
        <v>177.96480000000003</v>
      </c>
      <c r="AK46" s="13">
        <f t="shared" si="35"/>
        <v>44.869092441133326</v>
      </c>
      <c r="AL46" s="20">
        <f t="shared" si="4"/>
        <v>388.10236266830719</v>
      </c>
      <c r="AM46" s="59">
        <f t="shared" si="5"/>
        <v>681.43569600164051</v>
      </c>
      <c r="AN46" s="59">
        <f ca="1">AVERAGE(OFFSET($AM$3,0,0,'Données projet'!$E$10+1,1))-AVERAGE(OFFSET($H$3,0,0,'Données projet'!$E$10+1,1))</f>
        <v>261.78489480911571</v>
      </c>
      <c r="AO46" s="59">
        <f t="shared" si="36"/>
        <v>297.50513563712764</v>
      </c>
      <c r="AP46" s="15">
        <f>IF(ISNA(VLOOKUP(A46,'Données projet'!$A$61:$I$81,3,0)),0,VLOOKUP(A46,'Données projet'!$A$61:$I$81,3,0))</f>
        <v>0</v>
      </c>
      <c r="AQ46" s="15">
        <f>IF(ISNA(VLOOKUP(A46,'Données projet'!$A$61:$I$81,4,0)),0,VLOOKUP(A46,'Données projet'!$A$61:$I$81,4,0))</f>
        <v>0</v>
      </c>
      <c r="AR46" s="16">
        <f>IF(ISNA(VLOOKUP(A46,'Données projet'!$A$61:$I$81,5,0)),0%,VLOOKUP(A46,'Données projet'!$A$61:$I$81,5,0)*VLOOKUP('Données projet'!$B$10,Paramètres!$A$1:$I$89,7,0))</f>
        <v>0</v>
      </c>
      <c r="AS46" s="16">
        <f>IF(ISNA(VLOOKUP(A46,'Données projet'!$A$61:$I$81,6,0)),0%,VLOOKUP(A46,'Données projet'!$A$61:$I$81,6,0)*VLOOKUP('Données projet'!$B$10,Paramètres!$A$1:$I$89,7,0))</f>
        <v>0</v>
      </c>
      <c r="AT46" s="16">
        <f>IF(ISNA(VLOOKUP(A46,'Données projet'!$A$61:$I$81,7,0)),0%,VLOOKUP(A46,'Données projet'!$A$61:$I$81,7,0))</f>
        <v>0</v>
      </c>
      <c r="AU46" s="21">
        <f>EXP(-LN(2)/35)*AU45+(1-EXP(-LN(2)/35))/(LN(2)/35)*AQ46*AR46*VLOOKUP('Données projet'!$B$10,Paramètres!$A$1:$I$89,3,0)*0.475*44/12</f>
        <v>6.4500389463746766</v>
      </c>
      <c r="AV46" s="21">
        <f>EXP(-LN(2)/25)*AV45+(1-EXP(-LN(2)/25))/(LN(2)/25)*Calculateur!AQ46*Calculateur!AS46*VLOOKUP('Données projet'!$B$10,Paramètres!$A$1:$I$89,3,0)*0.475*44/12</f>
        <v>19.435660735175041</v>
      </c>
      <c r="AW46" s="21">
        <f>EXP(-LN(2)/2)*AW45+(1-EXP(-LN(2)/2))/(LN(2)/2)*AQ46*AT46*VLOOKUP('Données projet'!$B$10,Paramètres!$A$1:$I$89,3,0)*0.475*44/12</f>
        <v>0.26959762065530424</v>
      </c>
      <c r="AX46" s="21">
        <f t="shared" si="6"/>
        <v>26.155297302205021</v>
      </c>
      <c r="AY46" s="74">
        <f>('Scénario référence'!$F$8+'Scénario référence'!$F$9+'Scénario référence'!$B$17+'Scénario référence'!$B$9+'Scénario référence'!$B$10)*70+IF((45+25*(1-EXP(-0.0175*A46)))&lt;70,'Scénario référence'!$B$16*(45+25*(1-EXP(-0.0175*A46))),70*'Scénario référence'!$B$16)+IF((32+38*(1-EXP(-0.0175*A46)))&lt;70,'Scénario référence'!$B$18*(32+38*(1-EXP(-0.0175*A46))),70*'Scénario référence'!$B$18)</f>
        <v>70</v>
      </c>
      <c r="AZ46" s="12">
        <f>IF(A46&gt;30,10,('Scénario référence'!$B$16+'Scénario référence'!$B$17+'Scénario référence'!$B$18+'Scénario référence'!$B$9+'Scénario référence'!$B$10)*A46*10/30+('Scénario référence'!$F$8+'Scénario référence'!$F$9)*10)</f>
        <v>10</v>
      </c>
      <c r="BA46" s="12" t="e">
        <f>VLOOKUP(A46,'Données projet'!$A$87:$I$107,2,0)</f>
        <v>#N/A</v>
      </c>
      <c r="BB46" s="12" t="e">
        <f>VLOOKUP(A46,'Données projet'!$A$87:$I$107,9,0)</f>
        <v>#N/A</v>
      </c>
      <c r="BC46" s="12">
        <f t="array" ref="BC46">INDEX(BB:BB,MIN(IF(ISNUMBER(BB46:BB242),ROW(BB46:BB242),"")))</f>
        <v>18.899999999999999</v>
      </c>
      <c r="BD46" s="12">
        <f>IF('Données projet'!$A$88&gt;35,BD45+BC46-BL45,IF(A46&lt;'Données projet'!$A$88,$BA$205^A46,IF(A46='Données projet'!$A$88,'Données projet'!$B$88,BD45+BC46-BL45)))</f>
        <v>302.69999999999987</v>
      </c>
      <c r="BE46" s="13">
        <f>BD46*VLOOKUP('Données projet'!$B$11,Paramètres!$A$1:$I$89,3,0)*VLOOKUP('Données projet'!$B$11,Paramètres!$A$1:$I$89,5,0)</f>
        <v>181.01459999999994</v>
      </c>
      <c r="BF46" s="13">
        <f t="shared" si="37"/>
        <v>45.547842076970326</v>
      </c>
      <c r="BG46" s="20">
        <f t="shared" si="7"/>
        <v>394.59625328405656</v>
      </c>
      <c r="BH46" s="59">
        <f t="shared" si="8"/>
        <v>687.92958661738987</v>
      </c>
      <c r="BI46" s="59">
        <f ca="1">AVERAGE(OFFSET($BH$3,0,0,'Données projet'!$E$11+1,1))-AVERAGE(OFFSET($H$3,0,0,'Données projet'!$E$11+1,1))</f>
        <v>316.58509520829671</v>
      </c>
      <c r="BJ46" s="59">
        <f t="shared" si="38"/>
        <v>240.71332110643596</v>
      </c>
      <c r="BK46" s="15">
        <f>IF(ISNA(VLOOKUP(A46,'Données projet'!$A$87:$I$107,3,0)),0,VLOOKUP(A46,'Données projet'!$A$87:$I$107,3,0))</f>
        <v>0</v>
      </c>
      <c r="BL46" s="15">
        <f>IF(ISNA(VLOOKUP(A46,'Données projet'!$A$87:$I$107,4,0)),0,VLOOKUP(A46,'Données projet'!$A$87:$I$107,4,0))</f>
        <v>0</v>
      </c>
      <c r="BM46" s="16">
        <f>IF(ISNA(VLOOKUP(A46,'Données projet'!$A$87:$I$107,5,0)),0%,VLOOKUP(A46,'Données projet'!$A$87:$I$107,5,0)*VLOOKUP('Données projet'!$B$11,Paramètres!$A$1:$I$89,7,0))</f>
        <v>0</v>
      </c>
      <c r="BN46" s="16">
        <f>IF(ISNA(VLOOKUP(A46,'Données projet'!$A$87:$I$107,6,0)),0%,VLOOKUP(A46,'Données projet'!$A$87:$I$107,6,0)*VLOOKUP('Données projet'!$B$11,Paramètres!$A$1:$I$89,7,0))</f>
        <v>0</v>
      </c>
      <c r="BO46" s="16">
        <f>IF(ISNA(VLOOKUP(A46,'Données projet'!$A$87:$I$107,7,0)),0%,VLOOKUP(A46,'Données projet'!$A$87:$I$107,7,0))</f>
        <v>0</v>
      </c>
      <c r="BP46" s="21">
        <f>EXP(-LN(2)/35)*BP45+(1-EXP(-LN(2)/35))/(LN(2)/35)*BL46*BM46*VLOOKUP('Données projet'!$B$11,Paramètres!$A$1:$I$89,3,0)*0.475*44/12</f>
        <v>1.959247321322517</v>
      </c>
      <c r="BQ46" s="21">
        <f>EXP(-LN(2)/25)*BQ45+(1-EXP(-LN(2)/25))/(LN(2)/25)*Calculateur!BL46*Calculateur!BN46*VLOOKUP('Données projet'!$B$11,Paramètres!$A$1:$I$89,3,0)*0.475*44/12</f>
        <v>10.647422045926366</v>
      </c>
      <c r="BR46" s="21">
        <f>EXP(-LN(2)/2)*BR45+(1-EXP(-LN(2)/2))/(LN(2)/2)*BL46*BO46*VLOOKUP('Données projet'!$B$11,Paramètres!$A$1:$I$89,3,0)*0.475*44/12</f>
        <v>0.24239778530741646</v>
      </c>
      <c r="BS46" s="22">
        <f t="shared" si="9"/>
        <v>12.849067152556298</v>
      </c>
      <c r="BT46" s="75">
        <f>('Scénario référence'!$F$8+'Scénario référence'!$F$9+'Scénario référence'!$B$17+'Scénario référence'!$B$9+'Scénario référence'!$B$10)*70+IF((45+25*(1-EXP(-0.0175*A46)))&lt;70,'Scénario référence'!$B$16*(45+25*(1-EXP(-0.0175*A46))),70*'Scénario référence'!$B$16)+IF((32+38*(1-EXP(-0.0175*A46)))&lt;70,'Scénario référence'!$B$18*(32+38*(1-EXP(-0.0175*A46))),70*'Scénario référence'!$B$18)</f>
        <v>70</v>
      </c>
      <c r="BU46" s="12">
        <f>IF(A46&gt;30,10,('Scénario référence'!$B$16+'Scénario référence'!$B$17+'Scénario référence'!$B$18+'Scénario référence'!$B$9+'Scénario référence'!$B$10)*A46*10/30+('Scénario référence'!$F$8+'Scénario référence'!$F$9)*10)</f>
        <v>10</v>
      </c>
      <c r="BV46" s="12" t="e">
        <f>VLOOKUP(A46,'Données projet'!$A$113:$I$133,2,0)</f>
        <v>#N/A</v>
      </c>
      <c r="BW46" s="12" t="e">
        <f>VLOOKUP(A46,'Données projet'!$A$113:$I$133,9,0)</f>
        <v>#N/A</v>
      </c>
      <c r="BX46" s="12">
        <f t="array" ref="BX46">INDEX(BW:BW,MIN(IF(ISNUMBER(BW46:BW242),ROW(BW46:BW242),"")))</f>
        <v>11.9</v>
      </c>
      <c r="BY46" s="12">
        <f>IF('Données projet'!$A$114&gt;35,BY45+BX46-CG45,IF(A46&lt;'Données projet'!$A$114,$BV$205^A46,IF(A46='Données projet'!$A$114,'Données projet'!$B$114,BY45+BX46-CG45)))</f>
        <v>236.69999999999987</v>
      </c>
      <c r="BZ46" s="13">
        <f>BY46*VLOOKUP('Données projet'!$B$12,Paramètres!$A$1:$I$89,3,0)*VLOOKUP('Données projet'!$B$12,Paramètres!$A$1:$I$89,5,0)</f>
        <v>135.39239999999992</v>
      </c>
      <c r="CA46" s="13">
        <f t="shared" si="39"/>
        <v>35.239422012483239</v>
      </c>
      <c r="CB46" s="20">
        <f t="shared" si="10"/>
        <v>297.18375667174149</v>
      </c>
      <c r="CC46" s="59">
        <f t="shared" si="11"/>
        <v>590.51709000507481</v>
      </c>
      <c r="CD46" s="59">
        <f ca="1">AVERAGE(OFFSET($CC$3,0,0,'Données projet'!$E$12+1,1))-AVERAGE(OFFSET($H$3,0,0,'Données projet'!$E$12+1,1))</f>
        <v>188.64374818906128</v>
      </c>
      <c r="CE46" s="59">
        <f t="shared" si="40"/>
        <v>211.95157880548652</v>
      </c>
      <c r="CF46" s="15">
        <f>IF(ISNA(VLOOKUP(A46,'Données projet'!$A$113:$I$133,3,0)),0,VLOOKUP(A46,'Données projet'!$A$113:$I$133,3,0))</f>
        <v>0</v>
      </c>
      <c r="CG46" s="15">
        <f>IF(ISNA(VLOOKUP(A46,'Données projet'!$A$113:$I$133,4,0)),0,VLOOKUP(A46,'Données projet'!$A$113:$I$133,4,0))</f>
        <v>0</v>
      </c>
      <c r="CH46" s="16">
        <f>IF(ISNA(VLOOKUP(A46,'Données projet'!$A$113:$I$133,5,0)),0%,VLOOKUP(A46,'Données projet'!$A$113:$I$133,5,0)*VLOOKUP('Données projet'!$B$12,Paramètres!$A$1:$I$89,7,0))</f>
        <v>0</v>
      </c>
      <c r="CI46" s="16">
        <f>IF(ISNA(VLOOKUP(A46,'Données projet'!$A$113:$I$133,6,0)),0%,VLOOKUP(A46,'Données projet'!$A$113:$I$133,6,0)*VLOOKUP('Données projet'!$B$12,Paramètres!$A$1:$I$89,7,0))</f>
        <v>0</v>
      </c>
      <c r="CJ46" s="16">
        <f>IF(ISNA(VLOOKUP(A46,'Données projet'!$A$113:$I$133,7,0)),0%,VLOOKUP(A46,'Données projet'!$A$113:$I$133,7,0))</f>
        <v>0</v>
      </c>
      <c r="CK46" s="21">
        <f>EXP(-LN(2)/35)*CK45+(1-EXP(-LN(2)/35))/(LN(2)/35)*CG46*CH46*VLOOKUP('Données projet'!$B$12,Paramètres!$A$1:$I$89,3,0)*0.475*44/12</f>
        <v>1.9004579038425391</v>
      </c>
      <c r="CL46" s="21">
        <f>EXP(-LN(2)/25)*CL45+(1-EXP(-LN(2)/25))/(LN(2)/25)*Calculateur!CG46*Calculateur!CI46*VLOOKUP('Données projet'!$B$12,Paramètres!$A$1:$I$89,3,0)*0.475*44/12</f>
        <v>10.021594706029495</v>
      </c>
      <c r="CM46" s="21">
        <f>EXP(-LN(2)/2)*CM45+(1-EXP(-LN(2)/2))/(LN(2)/2)*CG46*CJ46*VLOOKUP('Données projet'!$B$12,Paramètres!$A$1:$I$89,3,0)*0.475*44/12</f>
        <v>0.23474328958584603</v>
      </c>
      <c r="CN46" s="22">
        <f t="shared" si="12"/>
        <v>12.156795899457881</v>
      </c>
      <c r="CO46" s="75">
        <f>('Scénario référence'!$F$8+'Scénario référence'!$F$9+'Scénario référence'!$B$17+'Scénario référence'!$B$9+'Scénario référence'!$B$10)*70+IF((45+25*(1-EXP(-0.0175*A46)))&lt;70,'Scénario référence'!$B$16*(45+25*(1-EXP(-0.0175*A46))),70*'Scénario référence'!$B$16)+IF((32+38*(1-EXP(-0.0175*A46)))&lt;70,'Scénario référence'!$B$18*(32+38*(1-EXP(-0.0175*A46))),70*'Scénario référence'!$B$18)</f>
        <v>70</v>
      </c>
      <c r="CP46" s="12">
        <f>IF(A46&gt;30,10,('Scénario référence'!$B$16+'Scénario référence'!$B$17+'Scénario référence'!$B$18+'Scénario référence'!$B$9+'Scénario référence'!$B$10)*A46*10/30+('Scénario référence'!$F$8+'Scénario référence'!$F$9)*10)</f>
        <v>10</v>
      </c>
      <c r="CQ46" s="12" t="e">
        <f>VLOOKUP(A46,'Données projet'!$A$139:$I$159,2,0)</f>
        <v>#N/A</v>
      </c>
      <c r="CR46" s="12" t="e">
        <f>VLOOKUP(A46,'Données projet'!$A$139:$I$159,9,0)</f>
        <v>#N/A</v>
      </c>
      <c r="CS46" s="12">
        <f t="array" ref="CS46">INDEX(CR:CR,MIN(IF(ISNUMBER(CR46:CR242),ROW(CR46:CR242),"")))</f>
        <v>0</v>
      </c>
      <c r="CT46" s="12">
        <f>IF('Données projet'!$A$140&gt;35,CT45+CS46-DB45,IF(A46&lt;'Données projet'!$A$140,$CQ$205^A46,IF(A46='Données projet'!$A$140,'Données projet'!$B$140,CT45+CS46-DB45)))</f>
        <v>0</v>
      </c>
      <c r="CU46" s="17" t="e">
        <f>CT46*VLOOKUP('Données projet'!$B$13,Paramètres!$A$1:$I$89,3,0)*VLOOKUP('Données projet'!$B$13,Paramètres!$A$1:$I$89,5,0)</f>
        <v>#N/A</v>
      </c>
      <c r="CV46" s="13" t="e">
        <f t="shared" si="41"/>
        <v>#N/A</v>
      </c>
      <c r="CW46" s="20" t="e">
        <f t="shared" si="13"/>
        <v>#N/A</v>
      </c>
      <c r="CX46" s="59" t="e">
        <f t="shared" si="14"/>
        <v>#N/A</v>
      </c>
      <c r="CY46" s="59" t="e">
        <f ca="1">AVERAGE(OFFSET($CX$3,0,0,'Données projet'!$E$13+1,1))-AVERAGE(OFFSET($H$3,0,0,'Données projet'!$E$13+1,1))</f>
        <v>#N/A</v>
      </c>
      <c r="CZ46" s="59" t="e">
        <f t="shared" si="42"/>
        <v>#N/A</v>
      </c>
      <c r="DA46" s="15">
        <f>IF(ISNA(VLOOKUP(A46,'Données projet'!$A$139:$I$159,3,0)),0,VLOOKUP(A46,'Données projet'!$A$139:$I$159,3,0))</f>
        <v>0</v>
      </c>
      <c r="DB46" s="15">
        <f>IF(ISNA(VLOOKUP(A46,'Données projet'!$A$139:$I$159,4,0)),0,VLOOKUP(A46,'Données projet'!$A$139:$I$159,4,0))</f>
        <v>0</v>
      </c>
      <c r="DC46" s="16">
        <f>IF(ISNA(VLOOKUP(A46,'Données projet'!$A$139:$I$159,5,0)),0%,VLOOKUP(A46,'Données projet'!$A$139:$I$159,5,0)*VLOOKUP('Données projet'!$B$13,Paramètres!$A$1:$I$89,7,0))</f>
        <v>0</v>
      </c>
      <c r="DD46" s="16">
        <f>IF(ISNA(VLOOKUP(A46,'Données projet'!$A$139:$I$159,6,0)),0%,VLOOKUP(A46,'Données projet'!$A$139:$I$159,6,0)*VLOOKUP('Données projet'!$B$13,Paramètres!$A$1:$I$89,7,0))</f>
        <v>0</v>
      </c>
      <c r="DE46" s="16">
        <f>IF(ISNA(VLOOKUP(A46,'Données projet'!$A$139:$I$159,7,0)),0%,VLOOKUP(A46,'Données projet'!$A$139:$I$159,7,0))</f>
        <v>0</v>
      </c>
      <c r="DF46" s="21" t="e">
        <f>EXP(-LN(2)/35)*DF45+(1-EXP(-LN(2)/35))/(LN(2)/35)*DB46*DC46*VLOOKUP('Données projet'!$B$13,Paramètres!$A$1:$I$89,3,0)*0.475*44/12</f>
        <v>#N/A</v>
      </c>
      <c r="DG46" s="21" t="e">
        <f>EXP(-LN(2)/25)*DG45+(1-EXP(-LN(2)/25))/(LN(2)/25)*Calculateur!DB46*Calculateur!DD46*VLOOKUP('Données projet'!$B$13,Paramètres!$A$1:$I$89,3,0)*0.475*44/12</f>
        <v>#N/A</v>
      </c>
      <c r="DH46" s="21" t="e">
        <f>EXP(-LN(2)/2)*DH45+(1-EXP(-LN(2)/2))/(LN(2)/2)*DB46*DE46*VLOOKUP('Données projet'!$B$13,Paramètres!$A$1:$I$89,3,0)*0.475*44/12</f>
        <v>#N/A</v>
      </c>
      <c r="DI46" s="22" t="e">
        <f t="shared" si="15"/>
        <v>#N/A</v>
      </c>
      <c r="DJ46" s="75">
        <f>('Scénario référence'!$F$8+'Scénario référence'!$F$9+'Scénario référence'!$B$17+'Scénario référence'!$B$9+'Scénario référence'!$B$10)*70+IF((45+25*(1-EXP(-0.0175*A46)))&lt;70,'Scénario référence'!$B$16*(45+25*(1-EXP(-0.0175*A46))),70*'Scénario référence'!$B$16)+IF((32+38*(1-EXP(-0.0175*A46)))&lt;70,'Scénario référence'!$B$18*(32+38*(1-EXP(-0.0175*A46))),70*'Scénario référence'!$B$18)</f>
        <v>70</v>
      </c>
      <c r="DK46" s="12">
        <f>IF(A46&gt;30,10,('Scénario référence'!$B$16+'Scénario référence'!$B$17+'Scénario référence'!$B$18+'Scénario référence'!$B$9+'Scénario référence'!$B$10)*A46*10/30+('Scénario référence'!$F$8+'Scénario référence'!$F$9)*10)</f>
        <v>10</v>
      </c>
      <c r="DL46" s="12" t="e">
        <f>VLOOKUP(A46,'Données projet'!$A$165:$I$185,2,0)</f>
        <v>#N/A</v>
      </c>
      <c r="DM46" s="12" t="e">
        <f>VLOOKUP(A46,'Données projet'!$A$165:$I$185,9,0)</f>
        <v>#N/A</v>
      </c>
      <c r="DN46" s="12">
        <f t="array" ref="DN46">INDEX(DM:DM,MIN(IF(ISNUMBER(DM46:DM242),ROW(DM46:DM242),"")))</f>
        <v>7.8</v>
      </c>
      <c r="DO46" s="12">
        <f>IF('Données projet'!$A$166&gt;35,DO45+DN46-DW45,IF(A46&lt;'Données projet'!$A$166,$DL$205^A46,IF(A46='Données projet'!$A$166,'Données projet'!$B$166,DO45+DN46-DW45)))</f>
        <v>219.39999999999992</v>
      </c>
      <c r="DP46" s="17">
        <f>DO46*VLOOKUP('Données projet'!$B$14,Paramètres!$A$1:$I$89,3,0)*VLOOKUP('Données projet'!$B$14,Paramètres!$A$1:$I$89,5,0)</f>
        <v>143.75087999999997</v>
      </c>
      <c r="DQ46" s="13">
        <f t="shared" si="43"/>
        <v>37.154952742797676</v>
      </c>
      <c r="DR46" s="20">
        <f t="shared" si="16"/>
        <v>315.07765869370593</v>
      </c>
      <c r="DS46" s="59">
        <f t="shared" si="17"/>
        <v>608.41099202703924</v>
      </c>
      <c r="DT46" s="59">
        <f ca="1">AVERAGE(OFFSET($DS$3,0,0,'Données projet'!$E$14+1,1))-AVERAGE(OFFSET($H$3,0,0,'Données projet'!$E$14+1,1))</f>
        <v>188.68915783955595</v>
      </c>
      <c r="DU46" s="59">
        <f t="shared" si="44"/>
        <v>240.82467772396944</v>
      </c>
      <c r="DV46" s="15">
        <f>IF(ISNA(VLOOKUP(A46,'Données projet'!$A$165:$I$185,3,0)),0,VLOOKUP(A46,'Données projet'!$A$165:$I$185,3,0))</f>
        <v>0</v>
      </c>
      <c r="DW46" s="15">
        <f>IF(ISNA(VLOOKUP(A46,'Données projet'!$A$165:$I$185,4,0)),0,VLOOKUP(A46,'Données projet'!$A$165:$I$185,4,0))</f>
        <v>0</v>
      </c>
      <c r="DX46" s="16">
        <f>IF(ISNA(VLOOKUP(A46,'Données projet'!$A$165:$I$185,5,0)),0%,VLOOKUP(A46,'Données projet'!$A$165:$I$185,5,0)*VLOOKUP('Données projet'!$B$14,Paramètres!$A$1:$I$89,7,0))</f>
        <v>0</v>
      </c>
      <c r="DY46" s="16">
        <f>IF(ISNA(VLOOKUP(A46,'Données projet'!$A$165:$I$185,6,0)),0%,VLOOKUP(A46,'Données projet'!$A$165:$I$185,6,0)*VLOOKUP('Données projet'!$B$14,Paramètres!$A$1:$I$89,7,0))</f>
        <v>0</v>
      </c>
      <c r="DZ46" s="16">
        <f>IF(ISNA(VLOOKUP(A46,'Données projet'!$A$165:$I$185,7,0)),0%,VLOOKUP(A46,'Données projet'!$A$165:$I$185,7,0))</f>
        <v>0</v>
      </c>
      <c r="EA46" s="21">
        <f>EXP(-LN(2)/35)*EA45+(1-EXP(-LN(2)/35))/(LN(2)/35)*DW46*DX46*VLOOKUP('Données projet'!$B$14,Paramètres!$A$1:$I$89,3,0)*0.475*44/12</f>
        <v>1.2037833103043021</v>
      </c>
      <c r="EB46" s="21">
        <f>EXP(-LN(2)/25)*EB45+(1-EXP(-LN(2)/25))/(LN(2)/25)*Calculateur!DW46*Calculateur!DY46*VLOOKUP('Données projet'!$B$14,Paramètres!$A$1:$I$89,3,0)*0.475*44/12</f>
        <v>5.6054951881362474</v>
      </c>
      <c r="EC46" s="21">
        <f>EXP(-LN(2)/2)*EC45+(1-EXP(-LN(2)/2))/(LN(2)/2)*DW46*DZ46*VLOOKUP('Données projet'!$B$14,Paramètres!$A$1:$I$89,3,0)*0.475*44/12</f>
        <v>0.15463992186407158</v>
      </c>
      <c r="ED46" s="22">
        <f t="shared" si="18"/>
        <v>6.9639184203046209</v>
      </c>
      <c r="EE46" s="75">
        <f>('Scénario référence'!$F$8+'Scénario référence'!$F$9+'Scénario référence'!$B$17+'Scénario référence'!$B$9+'Scénario référence'!$B$10)*70+IF((45+25*(1-EXP(-0.0175*A46)))&lt;70,'Scénario référence'!$B$16*(45+25*(1-EXP(-0.0175*A46))),70*'Scénario référence'!$B$16)+IF((32+38*(1-EXP(-0.0175*A46)))&lt;70,'Scénario référence'!$B$18*(32+38*(1-EXP(-0.0175*A46))),70*'Scénario référence'!$B$18)</f>
        <v>70</v>
      </c>
      <c r="EF46" s="12">
        <f>IF(A46&gt;30,10,('Scénario référence'!$B$16+'Scénario référence'!$B$17+'Scénario référence'!$B$18+'Scénario référence'!$B$9+'Scénario référence'!$B$10)*A46*10/30+('Scénario référence'!$F$8+'Scénario référence'!$F$9)*10)</f>
        <v>10</v>
      </c>
      <c r="EG46" s="12" t="e">
        <f>VLOOKUP(A46,'Données projet'!$A$191:$I$211,2,0)</f>
        <v>#N/A</v>
      </c>
      <c r="EH46" s="12" t="e">
        <f>VLOOKUP(A46,'Données projet'!$A$191:$I$211,9,0)</f>
        <v>#N/A</v>
      </c>
      <c r="EI46" s="12">
        <f t="array" ref="EI46">INDEX(EH:EH,MIN(IF(ISNUMBER(EH46:EH242),ROW(EH46:EH242),"")))</f>
        <v>7</v>
      </c>
      <c r="EJ46" s="12">
        <f>IF('Données projet'!$A$192&gt;35,EJ45+EI46-ER45,IF(A46&lt;'Données projet'!$A$192,$EG$205^A46,IF(A46='Données projet'!$A$192,'Données projet'!$B$192,EJ45+EI46-ER45)))</f>
        <v>170.99999999999991</v>
      </c>
      <c r="EK46" s="17">
        <f>EJ46*VLOOKUP('Données projet'!$B$15,Paramètres!$A$1:$I$89,3,0)*VLOOKUP('Données projet'!$B$15,Paramètres!$A$1:$I$89,5,0)</f>
        <v>138.71519999999995</v>
      </c>
      <c r="EL46" s="13">
        <f t="shared" si="45"/>
        <v>36.00251811294995</v>
      </c>
      <c r="EM46" s="20">
        <f t="shared" si="19"/>
        <v>304.30002571338775</v>
      </c>
      <c r="EN46" s="59">
        <f t="shared" si="20"/>
        <v>597.63335904672113</v>
      </c>
      <c r="EO46" s="59">
        <f ca="1">AVERAGE(OFFSET($EN$3,0,0,'Données projet'!$E$15+1,1))-AVERAGE(OFFSET($H$3,0,0,'Données projet'!$E$15+1,1))</f>
        <v>205.5272583787887</v>
      </c>
      <c r="EP46" s="59">
        <f t="shared" si="46"/>
        <v>180.54762778843178</v>
      </c>
      <c r="EQ46" s="15">
        <f>IF(ISNA(VLOOKUP(A46,'Données projet'!$A$191:$I$211,3,0)),0,VLOOKUP(A46,'Données projet'!$A$191:$I$211,3,0))</f>
        <v>0</v>
      </c>
      <c r="ER46" s="15">
        <f>IF(ISNA(VLOOKUP(A46,'Données projet'!$A$191:$I$211,4,0)),0,VLOOKUP(A46,'Données projet'!$A$191:$I$211,4,0))</f>
        <v>0</v>
      </c>
      <c r="ES46" s="16">
        <f>IF(ISNA(VLOOKUP(A46,'Données projet'!$A$191:$I$211,5,0)),0%,VLOOKUP(A46,'Données projet'!$A$191:$I$211,5,0)*VLOOKUP('Données projet'!$B$15,Paramètres!$A$1:$I$89,7,0))</f>
        <v>0</v>
      </c>
      <c r="ET46" s="16">
        <f>IF(ISNA(VLOOKUP(A46,'Données projet'!$A$191:$I$211,6,0)),0%,VLOOKUP(A46,'Données projet'!$A$191:$I$211,6,0)*VLOOKUP('Données projet'!$B$15,Paramètres!$A$1:$I$89,7,0))</f>
        <v>0</v>
      </c>
      <c r="EU46" s="16">
        <f>IF(ISNA(VLOOKUP(A46,'Données projet'!$A$191:$I$211,7,0)),0%,VLOOKUP(A46,'Données projet'!$A$191:$I$211,7,0))</f>
        <v>0</v>
      </c>
      <c r="EV46" s="21">
        <f>EXP(-LN(2)/35)*EV45+(1-EXP(-LN(2)/35))/(LN(2)/35)*ER46*ES46*VLOOKUP('Données projet'!$B$15,Paramètres!$A$1:$I$89,3,0)*0.475*44/12</f>
        <v>0.77500715977686485</v>
      </c>
      <c r="EW46" s="21">
        <f>EXP(-LN(2)/25)*EW45+(1-EXP(-LN(2)/25))/(LN(2)/25)*Calculateur!ER46*Calculateur!ET46*VLOOKUP('Données projet'!$B$15,Paramètres!$A$1:$I$89,3,0)*0.475*44/12</f>
        <v>4.0473375739395276</v>
      </c>
      <c r="EX46" s="21">
        <f>EXP(-LN(2)/2)*EX45+(1-EXP(-LN(2)/2))/(LN(2)/2)*ER46*EU46*VLOOKUP('Données projet'!$B$15,Paramètres!$A$1:$I$89,3,0)*0.475*44/12</f>
        <v>0.10012946375179706</v>
      </c>
      <c r="EY46" s="22">
        <f t="shared" si="21"/>
        <v>4.9224741974681896</v>
      </c>
      <c r="EZ46" s="75">
        <f>('Scénario référence'!$F$8+'Scénario référence'!$F$9+'Scénario référence'!$B$17+'Scénario référence'!$B$9+'Scénario référence'!$B$10)*70+IF((45+25*(1-EXP(-0.0175*A46)))&lt;70,'Scénario référence'!$B$16*(45+25*(1-EXP(-0.0175*A46))),70*'Scénario référence'!$B$16)+IF((32+38*(1-EXP(-0.0175*A46)))&lt;70,'Scénario référence'!$B$18*(32+38*(1-EXP(-0.0175*A46))),70*'Scénario référence'!$B$18)</f>
        <v>70</v>
      </c>
      <c r="FA46" s="12">
        <f>IF(A46&gt;30,10,('Scénario référence'!$B$16+'Scénario référence'!$B$17+'Scénario référence'!$B$18+'Scénario référence'!$B$9+'Scénario référence'!$B$10)*A46*10/30+('Scénario référence'!$F$8+'Scénario référence'!$F$9)*10)</f>
        <v>10</v>
      </c>
      <c r="FB46" s="12" t="e">
        <f>VLOOKUP(A46,'Données projet'!$A$217:$I$237,2,0)</f>
        <v>#N/A</v>
      </c>
      <c r="FC46" s="12" t="e">
        <f>VLOOKUP(A46,'Données projet'!$A$217:$I$237,9,0)</f>
        <v>#N/A</v>
      </c>
      <c r="FD46" s="12">
        <f t="array" ref="FD46">INDEX(FC:FC,MIN(IF(ISNUMBER(FC46:FC242),ROW(FC46:FC242),"")))</f>
        <v>13.4</v>
      </c>
      <c r="FE46" s="12">
        <f>IF('Données projet'!$A$218&gt;35,FE45+FD46-FM45,IF(A46&lt;'Données projet'!$A$218,$FB$205^A46,IF(A46='Données projet'!$A$218,'Données projet'!$B$218,FE45+FD46-FM45)))</f>
        <v>190.20000000000007</v>
      </c>
      <c r="FF46" s="17">
        <f>FE46*VLOOKUP('Données projet'!$B$16,Paramètres!$A$1:$I$89,3,0)*VLOOKUP('Données projet'!$B$16,Paramètres!$A$1:$I$89,5,0)</f>
        <v>163.19160000000008</v>
      </c>
      <c r="FG46" s="13">
        <f t="shared" si="47"/>
        <v>41.561560100509226</v>
      </c>
      <c r="FH46" s="20">
        <f t="shared" si="22"/>
        <v>356.61175384172037</v>
      </c>
      <c r="FI46" s="59">
        <f t="shared" si="23"/>
        <v>649.94508717505369</v>
      </c>
      <c r="FJ46" s="59">
        <f ca="1">AVERAGE(OFFSET($FI$3,0,0,'Données projet'!$E$16+1,1))-AVERAGE(OFFSET($H$3,0,0,'Données projet'!$E$16+1,1))</f>
        <v>383.97627237444709</v>
      </c>
      <c r="FK46" s="59">
        <f t="shared" si="48"/>
        <v>203.35476578922339</v>
      </c>
      <c r="FL46" s="15">
        <f>IF(ISNA(VLOOKUP(A46,'Données projet'!$A$217:$I$237,3,0)),0,VLOOKUP(A46,'Données projet'!$A$217:$I$237,3,0))</f>
        <v>0</v>
      </c>
      <c r="FM46" s="15">
        <f>IF(ISNA(VLOOKUP(A46,'Données projet'!$A$217:$I$237,4,0)),0,VLOOKUP(A46,'Données projet'!$A$217:$I$237,4,0))</f>
        <v>0</v>
      </c>
      <c r="FN46" s="16">
        <f>IF(ISNA(VLOOKUP(A46,'Données projet'!$A$217:$I$237,5,0)),0%,VLOOKUP(A46,'Données projet'!$A$217:$I$237,5,0)*VLOOKUP('Données projet'!$B$16,Paramètres!$A$1:$I$89,7,0))</f>
        <v>0</v>
      </c>
      <c r="FO46" s="16">
        <f>IF(ISNA(VLOOKUP(A46,'Données projet'!$A$217:$I$237,6,0)),0%,VLOOKUP(A46,'Données projet'!$A$217:$I$237,6,0)*VLOOKUP('Données projet'!$B$16,Paramètres!$A$1:$I$89,7,0))</f>
        <v>0</v>
      </c>
      <c r="FP46" s="16">
        <f>IF(ISNA(VLOOKUP(A46,'Données projet'!$A$217:$I$237,7,0)),0%,VLOOKUP(A46,'Données projet'!$A$217:$I$237,7,0))</f>
        <v>0</v>
      </c>
      <c r="FQ46" s="21">
        <f>EXP(-LN(2)/35)*FQ45+(1-EXP(-LN(2)/35))/(LN(2)/35)*FM46*FN46*VLOOKUP('Données projet'!$B$16,Paramètres!$A$1:$I$89,3,0)*0.475*44/12</f>
        <v>3.9831163436051695</v>
      </c>
      <c r="FR46" s="21">
        <f>EXP(-LN(2)/25)*FR45+(1-EXP(-LN(2)/25))/(LN(2)/25)*Calculateur!FM46*Calculateur!FO46*VLOOKUP('Données projet'!$B$16,Paramètres!$A$1:$I$89,3,0)*0.475*44/12</f>
        <v>4.1084659696439543</v>
      </c>
      <c r="FS46" s="21">
        <f>EXP(-LN(2)/2)*FS45+(1-EXP(-LN(2)/2))/(LN(2)/2)*FM46*FP46*VLOOKUP('Données projet'!$B$16,Paramètres!$A$1:$I$89,3,0)*0.475*44/12</f>
        <v>0.18391727537088803</v>
      </c>
      <c r="FT46" s="22">
        <f t="shared" si="24"/>
        <v>8.2754995886200113</v>
      </c>
      <c r="FU46" s="75">
        <f>('Scénario référence'!$F$8+'Scénario référence'!$F$9+'Scénario référence'!$B$17+'Scénario référence'!$B$9+'Scénario référence'!$B$10)*70+IF((45+25*(1-EXP(-0.0175*A46)))&lt;70,'Scénario référence'!$B$16*(45+25*(1-EXP(-0.0175*A46))),70*'Scénario référence'!$B$16)+IF((32+38*(1-EXP(-0.0175*A46)))&lt;70,'Scénario référence'!$B$18*(32+38*(1-EXP(-0.0175*A46))),70*'Scénario référence'!$B$18)</f>
        <v>70</v>
      </c>
      <c r="FV46" s="12">
        <f>IF(A46&gt;30,10,('Scénario référence'!$B$16+'Scénario référence'!$B$17+'Scénario référence'!$B$18+'Scénario référence'!$B$9+'Scénario référence'!$B$10)*A46*10/30+('Scénario référence'!$F$8+'Scénario référence'!$F$9)*10)</f>
        <v>10</v>
      </c>
      <c r="FW46" s="12" t="e">
        <f>VLOOKUP(A46,'Données projet'!$A$243:$I$263,2,0)</f>
        <v>#N/A</v>
      </c>
      <c r="FX46" s="12" t="e">
        <f>VLOOKUP(A46,'Données projet'!$A$243:$I$263,9,0)</f>
        <v>#N/A</v>
      </c>
      <c r="FY46" s="12">
        <f t="array" ref="FY46">INDEX(FX:FX,MIN(IF(ISNUMBER(FX46:FX242),ROW(FX46:FX242),"")))</f>
        <v>9.3452380952380913</v>
      </c>
      <c r="FZ46" s="12">
        <f>IF('Données projet'!$A$244&gt;35,FZ45+FY46-GH45,IF(A46&lt;'Données projet'!$A$244,$FW$205^A46,IF(A46='Données projet'!$A$244,'Données projet'!$B$244,FZ45+FY46-GH45)))</f>
        <v>137.62637362637363</v>
      </c>
      <c r="GA46" s="17">
        <f>FZ46*VLOOKUP('Données projet'!$B$17,Paramètres!$A$1:$I$89,3,0)*VLOOKUP('Données projet'!$B$17,Paramètres!$A$1:$I$89,5,0)</f>
        <v>148.14102857142859</v>
      </c>
      <c r="GB46" s="13">
        <f t="shared" si="49"/>
        <v>38.155821567621416</v>
      </c>
      <c r="GC46" s="20">
        <f t="shared" si="25"/>
        <v>324.46701399217875</v>
      </c>
      <c r="GD46" s="59">
        <f t="shared" si="26"/>
        <v>617.80034732551212</v>
      </c>
      <c r="GE46" s="59">
        <f ca="1">AVERAGE(OFFSET($GD$3,0,0,'Données projet'!$E$17+1,1))-AVERAGE(OFFSET($H$3,0,0,'Données projet'!$E$17+1,1))</f>
        <v>286.77702855541287</v>
      </c>
      <c r="GF46" s="59">
        <f t="shared" si="50"/>
        <v>227.12211541860779</v>
      </c>
      <c r="GG46" s="15">
        <f>IF(ISNA(VLOOKUP(A46,'Données projet'!$A$243:$I$263,3,0)),0,VLOOKUP(A46,'Données projet'!$A$243:$I$263,3,0))</f>
        <v>0</v>
      </c>
      <c r="GH46" s="15">
        <f>IF(ISNA(VLOOKUP(A46,'Données projet'!$A$243:$I$263,4,0)),0,VLOOKUP(A46,'Données projet'!$A$243:$I$263,4,0))</f>
        <v>0</v>
      </c>
      <c r="GI46" s="16">
        <f>IF(ISNA(VLOOKUP(A46,'Données projet'!$A$243:$I$263,5,0)),0%,VLOOKUP(A46,'Données projet'!$A$243:$I$263,5,0)*VLOOKUP('Données projet'!$B$17,Paramètres!$A$1:$I$89,7,0))</f>
        <v>0</v>
      </c>
      <c r="GJ46" s="16">
        <f>IF(ISNA(VLOOKUP(A46,'Données projet'!$A$243:$I$263,6,0)),0%,VLOOKUP(A46,'Données projet'!$A$243:$I$263,6,0)*VLOOKUP('Données projet'!$B$17,Paramètres!$A$1:$I$89,7,0))</f>
        <v>0</v>
      </c>
      <c r="GK46" s="16">
        <f>IF(ISNA(VLOOKUP(A46,'Données projet'!$A$243:$I$263,7,0)),0%,VLOOKUP(A46,'Données projet'!$A$243:$I$263,7,0))</f>
        <v>0</v>
      </c>
      <c r="GL46" s="21">
        <f>EXP(-LN(2)/35)*GL45+(1-EXP(-LN(2)/35))/(LN(2)/35)*GH46*GI46*VLOOKUP('Données projet'!$B$17,Paramètres!$A$1:$I$89,3,0)*0.475*44/12</f>
        <v>0</v>
      </c>
      <c r="GM46" s="21">
        <f>EXP(-LN(2)/25)*GM45+(1-EXP(-LN(2)/25))/(LN(2)/25)*Calculateur!GH46*Calculateur!GJ46*VLOOKUP('Données projet'!$B$17,Paramètres!$A$1:$I$89,3,0)*0.475*44/12</f>
        <v>0</v>
      </c>
      <c r="GN46" s="21">
        <f>EXP(-LN(2)/2)*GN45+(1-EXP(-LN(2)/2))/(LN(2)/2)*GH46*GK46*VLOOKUP('Données projet'!$B$17,Paramètres!$A$1:$I$89,3,0)*0.475*44/12</f>
        <v>0</v>
      </c>
      <c r="GO46" s="21">
        <f t="shared" si="27"/>
        <v>0</v>
      </c>
      <c r="GP46" s="75">
        <f>('Scénario référence'!$F$8+'Scénario référence'!$F$9+'Scénario référence'!$B$17+'Scénario référence'!$B$9+'Scénario référence'!$B$10)*70+IF((45+25*(1-EXP(-0.0175*A46)))&lt;70,'Scénario référence'!$B$16*(45+25*(1-EXP(-0.0175*A46))),70*'Scénario référence'!$B$16)+IF((32+38*(1-EXP(-0.0175*A46)))&lt;70,'Scénario référence'!$B$18*(32+38*(1-EXP(-0.0175*A46))),70*'Scénario référence'!$B$18)</f>
        <v>70</v>
      </c>
      <c r="GQ46" s="12">
        <f>IF(A46&gt;30,10,('Scénario référence'!$B$16+'Scénario référence'!$B$17+'Scénario référence'!$B$18+'Scénario référence'!$B$9+'Scénario référence'!$B$10)*A46*10/30+('Scénario référence'!$F$8+'Scénario référence'!$F$9)*10)</f>
        <v>10</v>
      </c>
      <c r="GR46" s="12" t="e">
        <f>VLOOKUP(A46,'Données projet'!$A$269:$I$289,2,0)</f>
        <v>#N/A</v>
      </c>
      <c r="GS46" s="12" t="e">
        <f>VLOOKUP(A46,'Données projet'!$A$269:$I$289,9,0)</f>
        <v>#N/A</v>
      </c>
      <c r="GT46" s="12">
        <f t="array" ref="GT46">INDEX(GS:GS,MIN(IF(ISNUMBER(GS46:GS242),ROW(GS46:GS242),"")))</f>
        <v>9.3452380952380913</v>
      </c>
      <c r="GU46" s="12">
        <f>IF('Données projet'!$A$270&gt;35,GU45+GT46-HC45,IF(A46&lt;'Données projet'!$A$270,$GR$205^A46,IF(A46='Données projet'!$A$270,'Données projet'!$B$270,GU45+GT46-HC45)))</f>
        <v>137.62637362637363</v>
      </c>
      <c r="GV46" s="17">
        <f>GU46*VLOOKUP('Données projet'!$B$18,Paramètres!$A$1:$I$89,3,0)*VLOOKUP('Données projet'!$B$18,Paramètres!$A$1:$I$89,5,0)</f>
        <v>148.14102857142859</v>
      </c>
      <c r="GW46" s="13">
        <f t="shared" si="51"/>
        <v>38.155821567621416</v>
      </c>
      <c r="GX46" s="20">
        <f t="shared" si="28"/>
        <v>324.46701399217875</v>
      </c>
      <c r="GY46" s="59">
        <f t="shared" si="29"/>
        <v>617.80034732551212</v>
      </c>
      <c r="GZ46" s="59">
        <f ca="1">AVERAGE(OFFSET($GY$3,0,0,'Données projet'!$E$18+1,1))-AVERAGE(OFFSET($H$3,0,0,'Données projet'!$E$18+1,1))</f>
        <v>286.77702855541287</v>
      </c>
      <c r="HA46" s="59">
        <f t="shared" si="52"/>
        <v>227.12211541860779</v>
      </c>
      <c r="HB46" s="15">
        <f>IF(ISNA(VLOOKUP(A46,'Données projet'!$A$269:$I$289,3,0)),0,VLOOKUP(A46,'Données projet'!$A$269:$I$289,3,0))</f>
        <v>0</v>
      </c>
      <c r="HC46" s="15">
        <f>IF(ISNA(VLOOKUP(A46,'Données projet'!$A$269:$I$289,4,0)),0,VLOOKUP(A46,'Données projet'!$A$269:$I$289,4,0))</f>
        <v>0</v>
      </c>
      <c r="HD46" s="16">
        <f>IF(ISNA(VLOOKUP(A46,'Données projet'!$A$269:$I$289,5,0)),0%,VLOOKUP(A46,'Données projet'!$A$269:$I$289,5,0)*VLOOKUP('Données projet'!$B$18,Paramètres!$A$1:$I$89,7,0))</f>
        <v>0</v>
      </c>
      <c r="HE46" s="16">
        <f>IF(ISNA(VLOOKUP(A46,'Données projet'!$A$269:$I$289,6,0)),0%,VLOOKUP(A46,'Données projet'!$A$269:$I$289,6,0)*VLOOKUP('Données projet'!$B$18,Paramètres!$A$1:$I$89,7,0))</f>
        <v>0</v>
      </c>
      <c r="HF46" s="16">
        <f>IF(ISNA(VLOOKUP(A46,'Données projet'!$A$269:$I$289,7,0)),0%,VLOOKUP(A46,'Données projet'!$A$269:$I$289,7,0))</f>
        <v>0</v>
      </c>
      <c r="HG46" s="21">
        <f>EXP(-LN(2)/35)*HG45+(1-EXP(-LN(2)/35))/(LN(2)/35)*HC46*HD46*VLOOKUP('Données projet'!$B$18,Paramètres!$A$1:$I$89,3,0)*0.475*44/12</f>
        <v>0</v>
      </c>
      <c r="HH46" s="21">
        <f>EXP(-LN(2)/25)*HH45+(1-EXP(-LN(2)/25))/(LN(2)/25)*Calculateur!HC46*Calculateur!HE46*VLOOKUP('Données projet'!$B$18,Paramètres!$A$1:$I$89,3,0)*0.475*44/12</f>
        <v>0</v>
      </c>
      <c r="HI46" s="21">
        <f>EXP(-LN(2)/2)*HI45+(1-EXP(-LN(2)/2))/(LN(2)/2)*HC46*HF46*VLOOKUP('Données projet'!$B$18,Paramètres!$A$1:$I$89,3,0)*0.475*44/12</f>
        <v>0</v>
      </c>
      <c r="HJ46" s="22">
        <f t="shared" si="30"/>
        <v>0</v>
      </c>
    </row>
    <row r="47" spans="1:218" x14ac:dyDescent="0.25">
      <c r="A47" s="10">
        <f t="shared" si="31"/>
        <v>44</v>
      </c>
      <c r="B47" s="73">
        <f>'Scénario référence'!$B$16*5+'Scénario référence'!$B$17*0+'Scénario référence'!$B$18*5</f>
        <v>0</v>
      </c>
      <c r="C47" s="19">
        <f>Calculateur!C46+'Scénario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39.124800000000008</v>
      </c>
      <c r="D47" s="11">
        <f t="shared" si="32"/>
        <v>11.766377220171686</v>
      </c>
      <c r="E4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47" s="11">
        <f>IF(OR('Scénario référence'!$F$8&gt;0,'Scénario référence'!$F$9&gt;0),('Scénario référence'!$F$8+'Scénario référence'!$F$9)*10,0)</f>
        <v>10</v>
      </c>
      <c r="G47" s="11">
        <f>'Scénario référence'!$B$8*B47*44/12+'Scénario référence'!$B$9*(C47+D47)/0.475*44/12+'Scénario référence'!$B$10*(C47+D47)/0.475*44/12+'Scénario référence'!$F$8*(C47+D47)/0.475*44/12+'Scénario référence'!$F$9*(C47+D47)/0.475*44/12</f>
        <v>392.84417503290433</v>
      </c>
      <c r="H47" s="67">
        <f t="shared" si="1"/>
        <v>381.96880032513235</v>
      </c>
      <c r="I47" s="70">
        <f>('Scénario référence'!$F$8+'Scénario référence'!$F$9+'Scénario référence'!$B$17+'Scénario référence'!$B$9+'Scénario référence'!$B$10)*70+IF((45+25*(1-EXP(-0.0175*A47)))&lt;70,'Scénario référence'!$B$16*(45+25*(1-EXP(-0.0175*A47))),70*'Scénario référence'!$B$16)+IF((32+38*(1-EXP(-0.0175*A47)))&lt;70,'Scénario référence'!$B$18*(32+38*(1-EXP(-0.0175*A47))),70*'Scénario référence'!$B$18)</f>
        <v>70</v>
      </c>
      <c r="J47" s="13">
        <f>IF(A47&gt;30,10,('Scénario référence'!$B$16+'Scénario référence'!$B$17+'Scénario référence'!$B$18+'Scénario référence'!$B$9+'Scénario référence'!$B$10)*A47*10/30+('Scénario référence'!$F$8+'Scénario référence'!$F$9)*10)</f>
        <v>10</v>
      </c>
      <c r="K47" s="12" t="e">
        <f>VLOOKUP(A47,'Données projet'!$A$35:$I$55,2,0)</f>
        <v>#N/A</v>
      </c>
      <c r="L47" s="12" t="e">
        <f>VLOOKUP(A47,'Données projet'!$A$35:$I$55,9,0)</f>
        <v>#N/A</v>
      </c>
      <c r="M47" s="12">
        <f t="array" ref="M47">INDEX(L:L,MIN(IF(ISNUMBER(L47:L243),ROW(L47:L243),"")))</f>
        <v>21.625641025641027</v>
      </c>
      <c r="N47" s="13">
        <f>IF('Données projet'!$A$36&gt;35,N46+M47-V46,IF(A47&lt;'Données projet'!$A$36,$K$205^A47,IF(A47='Données projet'!$A$36,'Données projet'!$B$36,N46+M47-V46)))</f>
        <v>438.58205128205111</v>
      </c>
      <c r="O47" s="13">
        <f>N47*VLOOKUP('Données projet'!$B$9,Paramètres!$A$1:$I$89,3,0)*VLOOKUP('Données projet'!$B$9,Paramètres!$A$1:$I$89,5,0)</f>
        <v>245.16736666666657</v>
      </c>
      <c r="P47" s="13">
        <f t="shared" si="33"/>
        <v>59.549932468183236</v>
      </c>
      <c r="Q47" s="20">
        <f t="shared" si="53"/>
        <v>530.71596265986329</v>
      </c>
      <c r="R47" s="59">
        <f t="shared" si="0"/>
        <v>824.04929599319667</v>
      </c>
      <c r="S47" s="59">
        <f ca="1">AVERAGE(OFFSET($R$3,0,0,'Données projet'!$E$9+1,1))-AVERAGE(OFFSET($H$3,0,0,'Données projet'!$E$9+1,1))</f>
        <v>255.5374979188561</v>
      </c>
      <c r="T47" s="59">
        <f t="shared" si="34"/>
        <v>343.10418468620901</v>
      </c>
      <c r="U47" s="15">
        <f>IF(ISNA(VLOOKUP(A47,'Données projet'!$A$35:$I$55,3,0)),0,VLOOKUP(A47,'Données projet'!$A$35:$I$55,3,0))</f>
        <v>0</v>
      </c>
      <c r="V47" s="15">
        <f>IF(ISNA(VLOOKUP(A47,'Données projet'!$A$35:$I$55,4,0)),0,VLOOKUP(A47,'Données projet'!$A$35:$I$55,4,0))</f>
        <v>0</v>
      </c>
      <c r="W47" s="16">
        <f>IF(ISNA(VLOOKUP(A47,'Données projet'!$A$35:$I$55,5,0)),0%,VLOOKUP(A47,'Données projet'!$A$35:$I$55,5,0)*VLOOKUP('Données projet'!$B$9,Paramètres!$A$1:$I$89,7,0))</f>
        <v>0</v>
      </c>
      <c r="X47" s="16">
        <f>IF(ISNA(VLOOKUP(A47,'Données projet'!$A$35:$I$55,6,0)),0%,VLOOKUP(A47,'Données projet'!$A$35:$I$55,6,0)*VLOOKUP('Données projet'!$B$9,Paramètres!$A$1:$I$89,7,0))</f>
        <v>0</v>
      </c>
      <c r="Y47" s="16">
        <f>IF(ISNA(VLOOKUP(A47,'Données projet'!$A$35:$I$55,7,0)),0%,VLOOKUP(A47,'Données projet'!$A$35:$I$55,7,0))</f>
        <v>0</v>
      </c>
      <c r="Z47" s="21">
        <f>EXP(-LN(2)/35)*Z46+(1-EXP(-LN(2)/35))/(LN(2)/35)*V47*W47*VLOOKUP('Données projet'!$B$9,Paramètres!$A$1:$I$89,3,0)*0.475*44/12</f>
        <v>2.3418130511581721</v>
      </c>
      <c r="AA47" s="21">
        <f>EXP(-LN(2)/25)*AA46+(1-EXP(-LN(2)/25))/(LN(2)/25)*Calculateur!V47*Calculateur!X47*VLOOKUP('Données projet'!$B$9,Paramètres!$A$1:$I$89,3,0)*0.475*44/12</f>
        <v>10.8258783016539</v>
      </c>
      <c r="AB47" s="21">
        <f>EXP(-LN(2)/2)*AB46+(1-EXP(-LN(2)/2))/(LN(2)/2)*V47*Y47*VLOOKUP('Données projet'!$B$9,Paramètres!$A$1:$I$89,3,0)*0.475*44/12</f>
        <v>1.3223844370734891E-2</v>
      </c>
      <c r="AC47" s="22">
        <f t="shared" si="3"/>
        <v>13.180915197182806</v>
      </c>
      <c r="AD47" s="13">
        <f>('Scénario référence'!$F$8+'Scénario référence'!$F$9+'Scénario référence'!$B$17+'Scénario référence'!$B$9+'Scénario référence'!$B$10)*70+IF((45+25*(1-EXP(-0.0175*A47)))&lt;70,'Scénario référence'!$B$16*(45+25*(1-EXP(-0.0175*A47))),70*'Scénario référence'!$B$16)+IF((32+38*(1-EXP(-0.0175*A47)))&lt;70,'Scénario référence'!$B$18*(32+38*(1-EXP(-0.0175*A47))),70*'Scénario référence'!$B$18)</f>
        <v>70</v>
      </c>
      <c r="AE47" s="13">
        <f>IF(A47&gt;30,10,('Scénario référence'!$B$16+'Scénario référence'!$B$17+'Scénario référence'!$B$18+'Scénario référence'!$B$9+'Scénario référence'!$B$10)*A47*10/30+('Scénario référence'!$F$8+'Scénario référence'!$F$9)*10)</f>
        <v>10</v>
      </c>
      <c r="AF47" s="12" t="e">
        <f>VLOOKUP(A47,'Données projet'!$A$61:$I$81,2,0)</f>
        <v>#N/A</v>
      </c>
      <c r="AG47" s="12" t="e">
        <f>VLOOKUP(A47,'Données projet'!$A$61:$I$81,9,0)</f>
        <v>#N/A</v>
      </c>
      <c r="AH47" s="12">
        <f t="array" ref="AH47">INDEX(AG:AG,MIN(IF(ISNUMBER(AG47:AG243),ROW(AG47:AG243),"")))</f>
        <v>12.4</v>
      </c>
      <c r="AI47" s="13">
        <f>IF('Données projet'!$A$62&gt;35,AI46+AH47-AQ46,IF(A47&lt;'Données projet'!$A$62,$AF$205^A47,IF(A47='Données projet'!$A$62,'Données projet'!$B$62,AI46+AH47-AQ46)))</f>
        <v>297.60000000000002</v>
      </c>
      <c r="AJ47" s="13">
        <f>AI47*VLOOKUP('Données projet'!$B$10,Paramètres!$A$1:$I$89,3,0)*VLOOKUP('Données projet'!$B$10,Paramètres!$A$1:$I$89,5,0)</f>
        <v>185.70240000000001</v>
      </c>
      <c r="AK47" s="13">
        <f t="shared" si="35"/>
        <v>46.588553069776829</v>
      </c>
      <c r="AL47" s="20">
        <f t="shared" si="4"/>
        <v>404.57340992986133</v>
      </c>
      <c r="AM47" s="59">
        <f t="shared" si="5"/>
        <v>697.90674326319458</v>
      </c>
      <c r="AN47" s="59">
        <f ca="1">AVERAGE(OFFSET($AM$3,0,0,'Données projet'!$E$10+1,1))-AVERAGE(OFFSET($H$3,0,0,'Données projet'!$E$10+1,1))</f>
        <v>261.78489480911571</v>
      </c>
      <c r="AO47" s="59">
        <f t="shared" si="36"/>
        <v>297.50513563712764</v>
      </c>
      <c r="AP47" s="15">
        <f>IF(ISNA(VLOOKUP(A47,'Données projet'!$A$61:$I$81,3,0)),0,VLOOKUP(A47,'Données projet'!$A$61:$I$81,3,0))</f>
        <v>0</v>
      </c>
      <c r="AQ47" s="15">
        <f>IF(ISNA(VLOOKUP(A47,'Données projet'!$A$61:$I$81,4,0)),0,VLOOKUP(A47,'Données projet'!$A$61:$I$81,4,0))</f>
        <v>0</v>
      </c>
      <c r="AR47" s="16">
        <f>IF(ISNA(VLOOKUP(A47,'Données projet'!$A$61:$I$81,5,0)),0%,VLOOKUP(A47,'Données projet'!$A$61:$I$81,5,0)*VLOOKUP('Données projet'!$B$10,Paramètres!$A$1:$I$89,7,0))</f>
        <v>0</v>
      </c>
      <c r="AS47" s="16">
        <f>IF(ISNA(VLOOKUP(A47,'Données projet'!$A$61:$I$81,6,0)),0%,VLOOKUP(A47,'Données projet'!$A$61:$I$81,6,0)*VLOOKUP('Données projet'!$B$10,Paramètres!$A$1:$I$89,7,0))</f>
        <v>0</v>
      </c>
      <c r="AT47" s="16">
        <f>IF(ISNA(VLOOKUP(A47,'Données projet'!$A$61:$I$81,7,0)),0%,VLOOKUP(A47,'Données projet'!$A$61:$I$81,7,0))</f>
        <v>0</v>
      </c>
      <c r="AU47" s="21">
        <f>EXP(-LN(2)/35)*AU46+(1-EXP(-LN(2)/35))/(LN(2)/35)*AQ47*AR47*VLOOKUP('Données projet'!$B$10,Paramètres!$A$1:$I$89,3,0)*0.475*44/12</f>
        <v>6.3235576167715628</v>
      </c>
      <c r="AV47" s="21">
        <f>EXP(-LN(2)/25)*AV46+(1-EXP(-LN(2)/25))/(LN(2)/25)*Calculateur!AQ47*Calculateur!AS47*VLOOKUP('Données projet'!$B$10,Paramètres!$A$1:$I$89,3,0)*0.475*44/12</f>
        <v>18.904191570294703</v>
      </c>
      <c r="AW47" s="21">
        <f>EXP(-LN(2)/2)*AW46+(1-EXP(-LN(2)/2))/(LN(2)/2)*AQ47*AT47*VLOOKUP('Données projet'!$B$10,Paramètres!$A$1:$I$89,3,0)*0.475*44/12</f>
        <v>0.19063430575712406</v>
      </c>
      <c r="AX47" s="21">
        <f t="shared" si="6"/>
        <v>25.418383492823391</v>
      </c>
      <c r="AY47" s="74">
        <f>('Scénario référence'!$F$8+'Scénario référence'!$F$9+'Scénario référence'!$B$17+'Scénario référence'!$B$9+'Scénario référence'!$B$10)*70+IF((45+25*(1-EXP(-0.0175*A47)))&lt;70,'Scénario référence'!$B$16*(45+25*(1-EXP(-0.0175*A47))),70*'Scénario référence'!$B$16)+IF((32+38*(1-EXP(-0.0175*A47)))&lt;70,'Scénario référence'!$B$18*(32+38*(1-EXP(-0.0175*A47))),70*'Scénario référence'!$B$18)</f>
        <v>70</v>
      </c>
      <c r="AZ47" s="12">
        <f>IF(A47&gt;30,10,('Scénario référence'!$B$16+'Scénario référence'!$B$17+'Scénario référence'!$B$18+'Scénario référence'!$B$9+'Scénario référence'!$B$10)*A47*10/30+('Scénario référence'!$F$8+'Scénario référence'!$F$9)*10)</f>
        <v>10</v>
      </c>
      <c r="BA47" s="12" t="e">
        <f>VLOOKUP(A47,'Données projet'!$A$87:$I$107,2,0)</f>
        <v>#N/A</v>
      </c>
      <c r="BB47" s="12" t="e">
        <f>VLOOKUP(A47,'Données projet'!$A$87:$I$107,9,0)</f>
        <v>#N/A</v>
      </c>
      <c r="BC47" s="12">
        <f t="array" ref="BC47">INDEX(BB:BB,MIN(IF(ISNUMBER(BB47:BB243),ROW(BB47:BB243),"")))</f>
        <v>18.899999999999999</v>
      </c>
      <c r="BD47" s="12">
        <f>IF('Données projet'!$A$88&gt;35,BD46+BC47-BL46,IF(A47&lt;'Données projet'!$A$88,$BA$205^A47,IF(A47='Données projet'!$A$88,'Données projet'!$B$88,BD46+BC47-BL46)))</f>
        <v>321.59999999999985</v>
      </c>
      <c r="BE47" s="13">
        <f>BD47*VLOOKUP('Données projet'!$B$11,Paramètres!$A$1:$I$89,3,0)*VLOOKUP('Données projet'!$B$11,Paramètres!$A$1:$I$89,5,0)</f>
        <v>192.31679999999994</v>
      </c>
      <c r="BF47" s="13">
        <f t="shared" si="37"/>
        <v>48.05180257326473</v>
      </c>
      <c r="BG47" s="20">
        <f t="shared" si="7"/>
        <v>418.64198281510261</v>
      </c>
      <c r="BH47" s="59">
        <f t="shared" si="8"/>
        <v>711.97531614843592</v>
      </c>
      <c r="BI47" s="59">
        <f ca="1">AVERAGE(OFFSET($BH$3,0,0,'Données projet'!$E$11+1,1))-AVERAGE(OFFSET($H$3,0,0,'Données projet'!$E$11+1,1))</f>
        <v>316.58509520829671</v>
      </c>
      <c r="BJ47" s="59">
        <f t="shared" si="38"/>
        <v>240.71332110643596</v>
      </c>
      <c r="BK47" s="15">
        <f>IF(ISNA(VLOOKUP(A47,'Données projet'!$A$87:$I$107,3,0)),0,VLOOKUP(A47,'Données projet'!$A$87:$I$107,3,0))</f>
        <v>0</v>
      </c>
      <c r="BL47" s="15">
        <f>IF(ISNA(VLOOKUP(A47,'Données projet'!$A$87:$I$107,4,0)),0,VLOOKUP(A47,'Données projet'!$A$87:$I$107,4,0))</f>
        <v>0</v>
      </c>
      <c r="BM47" s="16">
        <f>IF(ISNA(VLOOKUP(A47,'Données projet'!$A$87:$I$107,5,0)),0%,VLOOKUP(A47,'Données projet'!$A$87:$I$107,5,0)*VLOOKUP('Données projet'!$B$11,Paramètres!$A$1:$I$89,7,0))</f>
        <v>0</v>
      </c>
      <c r="BN47" s="16">
        <f>IF(ISNA(VLOOKUP(A47,'Données projet'!$A$87:$I$107,6,0)),0%,VLOOKUP(A47,'Données projet'!$A$87:$I$107,6,0)*VLOOKUP('Données projet'!$B$11,Paramètres!$A$1:$I$89,7,0))</f>
        <v>0</v>
      </c>
      <c r="BO47" s="16">
        <f>IF(ISNA(VLOOKUP(A47,'Données projet'!$A$87:$I$107,7,0)),0%,VLOOKUP(A47,'Données projet'!$A$87:$I$107,7,0))</f>
        <v>0</v>
      </c>
      <c r="BP47" s="21">
        <f>EXP(-LN(2)/35)*BP46+(1-EXP(-LN(2)/35))/(LN(2)/35)*BL47*BM47*VLOOKUP('Données projet'!$B$11,Paramètres!$A$1:$I$89,3,0)*0.475*44/12</f>
        <v>1.9208276763742498</v>
      </c>
      <c r="BQ47" s="21">
        <f>EXP(-LN(2)/25)*BQ46+(1-EXP(-LN(2)/25))/(LN(2)/25)*Calculateur!BL47*Calculateur!BN47*VLOOKUP('Données projet'!$B$11,Paramètres!$A$1:$I$89,3,0)*0.475*44/12</f>
        <v>10.356267730156919</v>
      </c>
      <c r="BR47" s="21">
        <f>EXP(-LN(2)/2)*BR46+(1-EXP(-LN(2)/2))/(LN(2)/2)*BL47*BO47*VLOOKUP('Données projet'!$B$11,Paramètres!$A$1:$I$89,3,0)*0.475*44/12</f>
        <v>0.17140111773547506</v>
      </c>
      <c r="BS47" s="22">
        <f t="shared" si="9"/>
        <v>12.448496524266645</v>
      </c>
      <c r="BT47" s="75">
        <f>('Scénario référence'!$F$8+'Scénario référence'!$F$9+'Scénario référence'!$B$17+'Scénario référence'!$B$9+'Scénario référence'!$B$10)*70+IF((45+25*(1-EXP(-0.0175*A47)))&lt;70,'Scénario référence'!$B$16*(45+25*(1-EXP(-0.0175*A47))),70*'Scénario référence'!$B$16)+IF((32+38*(1-EXP(-0.0175*A47)))&lt;70,'Scénario référence'!$B$18*(32+38*(1-EXP(-0.0175*A47))),70*'Scénario référence'!$B$18)</f>
        <v>70</v>
      </c>
      <c r="BU47" s="12">
        <f>IF(A47&gt;30,10,('Scénario référence'!$B$16+'Scénario référence'!$B$17+'Scénario référence'!$B$18+'Scénario référence'!$B$9+'Scénario référence'!$B$10)*A47*10/30+('Scénario référence'!$F$8+'Scénario référence'!$F$9)*10)</f>
        <v>10</v>
      </c>
      <c r="BV47" s="12" t="e">
        <f>VLOOKUP(A47,'Données projet'!$A$113:$I$133,2,0)</f>
        <v>#N/A</v>
      </c>
      <c r="BW47" s="12" t="e">
        <f>VLOOKUP(A47,'Données projet'!$A$113:$I$133,9,0)</f>
        <v>#N/A</v>
      </c>
      <c r="BX47" s="12">
        <f t="array" ref="BX47">INDEX(BW:BW,MIN(IF(ISNUMBER(BW47:BW243),ROW(BW47:BW243),"")))</f>
        <v>11.9</v>
      </c>
      <c r="BY47" s="12">
        <f>IF('Données projet'!$A$114&gt;35,BY46+BX47-CG46,IF(A47&lt;'Données projet'!$A$114,$BV$205^A47,IF(A47='Données projet'!$A$114,'Données projet'!$B$114,BY46+BX47-CG46)))</f>
        <v>248.59999999999988</v>
      </c>
      <c r="BZ47" s="13">
        <f>BY47*VLOOKUP('Données projet'!$B$12,Paramètres!$A$1:$I$89,3,0)*VLOOKUP('Données projet'!$B$12,Paramètres!$A$1:$I$89,5,0)</f>
        <v>142.19919999999993</v>
      </c>
      <c r="CA47" s="13">
        <f t="shared" si="39"/>
        <v>36.800353404306449</v>
      </c>
      <c r="CB47" s="20">
        <f t="shared" si="10"/>
        <v>311.75755551250023</v>
      </c>
      <c r="CC47" s="59">
        <f t="shared" si="11"/>
        <v>605.09088884583355</v>
      </c>
      <c r="CD47" s="59">
        <f ca="1">AVERAGE(OFFSET($CC$3,0,0,'Données projet'!$E$12+1,1))-AVERAGE(OFFSET($H$3,0,0,'Données projet'!$E$12+1,1))</f>
        <v>188.64374818906128</v>
      </c>
      <c r="CE47" s="59">
        <f t="shared" si="40"/>
        <v>211.95157880548652</v>
      </c>
      <c r="CF47" s="15">
        <f>IF(ISNA(VLOOKUP(A47,'Données projet'!$A$113:$I$133,3,0)),0,VLOOKUP(A47,'Données projet'!$A$113:$I$133,3,0))</f>
        <v>0</v>
      </c>
      <c r="CG47" s="15">
        <f>IF(ISNA(VLOOKUP(A47,'Données projet'!$A$113:$I$133,4,0)),0,VLOOKUP(A47,'Données projet'!$A$113:$I$133,4,0))</f>
        <v>0</v>
      </c>
      <c r="CH47" s="16">
        <f>IF(ISNA(VLOOKUP(A47,'Données projet'!$A$113:$I$133,5,0)),0%,VLOOKUP(A47,'Données projet'!$A$113:$I$133,5,0)*VLOOKUP('Données projet'!$B$12,Paramètres!$A$1:$I$89,7,0))</f>
        <v>0</v>
      </c>
      <c r="CI47" s="16">
        <f>IF(ISNA(VLOOKUP(A47,'Données projet'!$A$113:$I$133,6,0)),0%,VLOOKUP(A47,'Données projet'!$A$113:$I$133,6,0)*VLOOKUP('Données projet'!$B$12,Paramètres!$A$1:$I$89,7,0))</f>
        <v>0</v>
      </c>
      <c r="CJ47" s="16">
        <f>IF(ISNA(VLOOKUP(A47,'Données projet'!$A$113:$I$133,7,0)),0%,VLOOKUP(A47,'Données projet'!$A$113:$I$133,7,0))</f>
        <v>0</v>
      </c>
      <c r="CK47" s="21">
        <f>EXP(-LN(2)/35)*CK46+(1-EXP(-LN(2)/35))/(LN(2)/35)*CG47*CH47*VLOOKUP('Données projet'!$B$12,Paramètres!$A$1:$I$89,3,0)*0.475*44/12</f>
        <v>1.8631910835130503</v>
      </c>
      <c r="CL47" s="21">
        <f>EXP(-LN(2)/25)*CL46+(1-EXP(-LN(2)/25))/(LN(2)/25)*Calculateur!CG47*Calculateur!CI47*VLOOKUP('Données projet'!$B$12,Paramètres!$A$1:$I$89,3,0)*0.475*44/12</f>
        <v>9.7475536717803575</v>
      </c>
      <c r="CM47" s="21">
        <f>EXP(-LN(2)/2)*CM46+(1-EXP(-LN(2)/2))/(LN(2)/2)*CG47*CJ47*VLOOKUP('Données projet'!$B$12,Paramètres!$A$1:$I$89,3,0)*0.475*44/12</f>
        <v>0.1659885719041892</v>
      </c>
      <c r="CN47" s="22">
        <f t="shared" si="12"/>
        <v>11.776733327197595</v>
      </c>
      <c r="CO47" s="75">
        <f>('Scénario référence'!$F$8+'Scénario référence'!$F$9+'Scénario référence'!$B$17+'Scénario référence'!$B$9+'Scénario référence'!$B$10)*70+IF((45+25*(1-EXP(-0.0175*A47)))&lt;70,'Scénario référence'!$B$16*(45+25*(1-EXP(-0.0175*A47))),70*'Scénario référence'!$B$16)+IF((32+38*(1-EXP(-0.0175*A47)))&lt;70,'Scénario référence'!$B$18*(32+38*(1-EXP(-0.0175*A47))),70*'Scénario référence'!$B$18)</f>
        <v>70</v>
      </c>
      <c r="CP47" s="12">
        <f>IF(A47&gt;30,10,('Scénario référence'!$B$16+'Scénario référence'!$B$17+'Scénario référence'!$B$18+'Scénario référence'!$B$9+'Scénario référence'!$B$10)*A47*10/30+('Scénario référence'!$F$8+'Scénario référence'!$F$9)*10)</f>
        <v>10</v>
      </c>
      <c r="CQ47" s="12" t="e">
        <f>VLOOKUP(A47,'Données projet'!$A$139:$I$159,2,0)</f>
        <v>#N/A</v>
      </c>
      <c r="CR47" s="12" t="e">
        <f>VLOOKUP(A47,'Données projet'!$A$139:$I$159,9,0)</f>
        <v>#N/A</v>
      </c>
      <c r="CS47" s="12">
        <f t="array" ref="CS47">INDEX(CR:CR,MIN(IF(ISNUMBER(CR47:CR243),ROW(CR47:CR243),"")))</f>
        <v>0</v>
      </c>
      <c r="CT47" s="12">
        <f>IF('Données projet'!$A$140&gt;35,CT46+CS47-DB46,IF(A47&lt;'Données projet'!$A$140,$CQ$205^A47,IF(A47='Données projet'!$A$140,'Données projet'!$B$140,CT46+CS47-DB46)))</f>
        <v>0</v>
      </c>
      <c r="CU47" s="17" t="e">
        <f>CT47*VLOOKUP('Données projet'!$B$13,Paramètres!$A$1:$I$89,3,0)*VLOOKUP('Données projet'!$B$13,Paramètres!$A$1:$I$89,5,0)</f>
        <v>#N/A</v>
      </c>
      <c r="CV47" s="13" t="e">
        <f t="shared" si="41"/>
        <v>#N/A</v>
      </c>
      <c r="CW47" s="20" t="e">
        <f t="shared" si="13"/>
        <v>#N/A</v>
      </c>
      <c r="CX47" s="59" t="e">
        <f t="shared" si="14"/>
        <v>#N/A</v>
      </c>
      <c r="CY47" s="59" t="e">
        <f ca="1">AVERAGE(OFFSET($CX$3,0,0,'Données projet'!$E$13+1,1))-AVERAGE(OFFSET($H$3,0,0,'Données projet'!$E$13+1,1))</f>
        <v>#N/A</v>
      </c>
      <c r="CZ47" s="59" t="e">
        <f t="shared" si="42"/>
        <v>#N/A</v>
      </c>
      <c r="DA47" s="15">
        <f>IF(ISNA(VLOOKUP(A47,'Données projet'!$A$139:$I$159,3,0)),0,VLOOKUP(A47,'Données projet'!$A$139:$I$159,3,0))</f>
        <v>0</v>
      </c>
      <c r="DB47" s="15">
        <f>IF(ISNA(VLOOKUP(A47,'Données projet'!$A$139:$I$159,4,0)),0,VLOOKUP(A47,'Données projet'!$A$139:$I$159,4,0))</f>
        <v>0</v>
      </c>
      <c r="DC47" s="16">
        <f>IF(ISNA(VLOOKUP(A47,'Données projet'!$A$139:$I$159,5,0)),0%,VLOOKUP(A47,'Données projet'!$A$139:$I$159,5,0)*VLOOKUP('Données projet'!$B$13,Paramètres!$A$1:$I$89,7,0))</f>
        <v>0</v>
      </c>
      <c r="DD47" s="16">
        <f>IF(ISNA(VLOOKUP(A47,'Données projet'!$A$139:$I$159,6,0)),0%,VLOOKUP(A47,'Données projet'!$A$139:$I$159,6,0)*VLOOKUP('Données projet'!$B$13,Paramètres!$A$1:$I$89,7,0))</f>
        <v>0</v>
      </c>
      <c r="DE47" s="16">
        <f>IF(ISNA(VLOOKUP(A47,'Données projet'!$A$139:$I$159,7,0)),0%,VLOOKUP(A47,'Données projet'!$A$139:$I$159,7,0))</f>
        <v>0</v>
      </c>
      <c r="DF47" s="21" t="e">
        <f>EXP(-LN(2)/35)*DF46+(1-EXP(-LN(2)/35))/(LN(2)/35)*DB47*DC47*VLOOKUP('Données projet'!$B$13,Paramètres!$A$1:$I$89,3,0)*0.475*44/12</f>
        <v>#N/A</v>
      </c>
      <c r="DG47" s="21" t="e">
        <f>EXP(-LN(2)/25)*DG46+(1-EXP(-LN(2)/25))/(LN(2)/25)*Calculateur!DB47*Calculateur!DD47*VLOOKUP('Données projet'!$B$13,Paramètres!$A$1:$I$89,3,0)*0.475*44/12</f>
        <v>#N/A</v>
      </c>
      <c r="DH47" s="21" t="e">
        <f>EXP(-LN(2)/2)*DH46+(1-EXP(-LN(2)/2))/(LN(2)/2)*DB47*DE47*VLOOKUP('Données projet'!$B$13,Paramètres!$A$1:$I$89,3,0)*0.475*44/12</f>
        <v>#N/A</v>
      </c>
      <c r="DI47" s="22" t="e">
        <f t="shared" si="15"/>
        <v>#N/A</v>
      </c>
      <c r="DJ47" s="75">
        <f>('Scénario référence'!$F$8+'Scénario référence'!$F$9+'Scénario référence'!$B$17+'Scénario référence'!$B$9+'Scénario référence'!$B$10)*70+IF((45+25*(1-EXP(-0.0175*A47)))&lt;70,'Scénario référence'!$B$16*(45+25*(1-EXP(-0.0175*A47))),70*'Scénario référence'!$B$16)+IF((32+38*(1-EXP(-0.0175*A47)))&lt;70,'Scénario référence'!$B$18*(32+38*(1-EXP(-0.0175*A47))),70*'Scénario référence'!$B$18)</f>
        <v>70</v>
      </c>
      <c r="DK47" s="12">
        <f>IF(A47&gt;30,10,('Scénario référence'!$B$16+'Scénario référence'!$B$17+'Scénario référence'!$B$18+'Scénario référence'!$B$9+'Scénario référence'!$B$10)*A47*10/30+('Scénario référence'!$F$8+'Scénario référence'!$F$9)*10)</f>
        <v>10</v>
      </c>
      <c r="DL47" s="12" t="e">
        <f>VLOOKUP(A47,'Données projet'!$A$165:$I$185,2,0)</f>
        <v>#N/A</v>
      </c>
      <c r="DM47" s="12" t="e">
        <f>VLOOKUP(A47,'Données projet'!$A$165:$I$185,9,0)</f>
        <v>#N/A</v>
      </c>
      <c r="DN47" s="12">
        <f t="array" ref="DN47">INDEX(DM:DM,MIN(IF(ISNUMBER(DM47:DM243),ROW(DM47:DM243),"")))</f>
        <v>7.8</v>
      </c>
      <c r="DO47" s="12">
        <f>IF('Données projet'!$A$166&gt;35,DO46+DN47-DW46,IF(A47&lt;'Données projet'!$A$166,$DL$205^A47,IF(A47='Données projet'!$A$166,'Données projet'!$B$166,DO46+DN47-DW46)))</f>
        <v>227.19999999999993</v>
      </c>
      <c r="DP47" s="17">
        <f>DO47*VLOOKUP('Données projet'!$B$14,Paramètres!$A$1:$I$89,3,0)*VLOOKUP('Données projet'!$B$14,Paramètres!$A$1:$I$89,5,0)</f>
        <v>148.86143999999996</v>
      </c>
      <c r="DQ47" s="13">
        <f t="shared" si="43"/>
        <v>38.319729148991918</v>
      </c>
      <c r="DR47" s="20">
        <f t="shared" si="16"/>
        <v>326.00720293449416</v>
      </c>
      <c r="DS47" s="59">
        <f t="shared" si="17"/>
        <v>619.34053626782747</v>
      </c>
      <c r="DT47" s="59">
        <f ca="1">AVERAGE(OFFSET($DS$3,0,0,'Données projet'!$E$14+1,1))-AVERAGE(OFFSET($H$3,0,0,'Données projet'!$E$14+1,1))</f>
        <v>188.68915783955595</v>
      </c>
      <c r="DU47" s="59">
        <f t="shared" si="44"/>
        <v>240.82467772396944</v>
      </c>
      <c r="DV47" s="15">
        <f>IF(ISNA(VLOOKUP(A47,'Données projet'!$A$165:$I$185,3,0)),0,VLOOKUP(A47,'Données projet'!$A$165:$I$185,3,0))</f>
        <v>0</v>
      </c>
      <c r="DW47" s="15">
        <f>IF(ISNA(VLOOKUP(A47,'Données projet'!$A$165:$I$185,4,0)),0,VLOOKUP(A47,'Données projet'!$A$165:$I$185,4,0))</f>
        <v>0</v>
      </c>
      <c r="DX47" s="16">
        <f>IF(ISNA(VLOOKUP(A47,'Données projet'!$A$165:$I$185,5,0)),0%,VLOOKUP(A47,'Données projet'!$A$165:$I$185,5,0)*VLOOKUP('Données projet'!$B$14,Paramètres!$A$1:$I$89,7,0))</f>
        <v>0</v>
      </c>
      <c r="DY47" s="16">
        <f>IF(ISNA(VLOOKUP(A47,'Données projet'!$A$165:$I$185,6,0)),0%,VLOOKUP(A47,'Données projet'!$A$165:$I$185,6,0)*VLOOKUP('Données projet'!$B$14,Paramètres!$A$1:$I$89,7,0))</f>
        <v>0</v>
      </c>
      <c r="DZ47" s="16">
        <f>IF(ISNA(VLOOKUP(A47,'Données projet'!$A$165:$I$185,7,0)),0%,VLOOKUP(A47,'Données projet'!$A$165:$I$185,7,0))</f>
        <v>0</v>
      </c>
      <c r="EA47" s="21">
        <f>EXP(-LN(2)/35)*EA46+(1-EXP(-LN(2)/35))/(LN(2)/35)*DW47*DX47*VLOOKUP('Données projet'!$B$14,Paramètres!$A$1:$I$89,3,0)*0.475*44/12</f>
        <v>1.1801778538245542</v>
      </c>
      <c r="EB47" s="21">
        <f>EXP(-LN(2)/25)*EB46+(1-EXP(-LN(2)/25))/(LN(2)/25)*Calculateur!DW47*Calculateur!DY47*VLOOKUP('Données projet'!$B$14,Paramètres!$A$1:$I$89,3,0)*0.475*44/12</f>
        <v>5.4522126274364808</v>
      </c>
      <c r="EC47" s="21">
        <f>EXP(-LN(2)/2)*EC46+(1-EXP(-LN(2)/2))/(LN(2)/2)*DW47*DZ47*VLOOKUP('Données projet'!$B$14,Paramètres!$A$1:$I$89,3,0)*0.475*44/12</f>
        <v>0.10934693739224287</v>
      </c>
      <c r="ED47" s="22">
        <f t="shared" si="18"/>
        <v>6.7417374186532779</v>
      </c>
      <c r="EE47" s="75">
        <f>('Scénario référence'!$F$8+'Scénario référence'!$F$9+'Scénario référence'!$B$17+'Scénario référence'!$B$9+'Scénario référence'!$B$10)*70+IF((45+25*(1-EXP(-0.0175*A47)))&lt;70,'Scénario référence'!$B$16*(45+25*(1-EXP(-0.0175*A47))),70*'Scénario référence'!$B$16)+IF((32+38*(1-EXP(-0.0175*A47)))&lt;70,'Scénario référence'!$B$18*(32+38*(1-EXP(-0.0175*A47))),70*'Scénario référence'!$B$18)</f>
        <v>70</v>
      </c>
      <c r="EF47" s="12">
        <f>IF(A47&gt;30,10,('Scénario référence'!$B$16+'Scénario référence'!$B$17+'Scénario référence'!$B$18+'Scénario référence'!$B$9+'Scénario référence'!$B$10)*A47*10/30+('Scénario référence'!$F$8+'Scénario référence'!$F$9)*10)</f>
        <v>10</v>
      </c>
      <c r="EG47" s="12" t="e">
        <f>VLOOKUP(A47,'Données projet'!$A$191:$I$211,2,0)</f>
        <v>#N/A</v>
      </c>
      <c r="EH47" s="12" t="e">
        <f>VLOOKUP(A47,'Données projet'!$A$191:$I$211,9,0)</f>
        <v>#N/A</v>
      </c>
      <c r="EI47" s="12">
        <f t="array" ref="EI47">INDEX(EH:EH,MIN(IF(ISNUMBER(EH47:EH243),ROW(EH47:EH243),"")))</f>
        <v>7</v>
      </c>
      <c r="EJ47" s="12">
        <f>IF('Données projet'!$A$192&gt;35,EJ46+EI47-ER46,IF(A47&lt;'Données projet'!$A$192,$EG$205^A47,IF(A47='Données projet'!$A$192,'Données projet'!$B$192,EJ46+EI47-ER46)))</f>
        <v>177.99999999999991</v>
      </c>
      <c r="EK47" s="17">
        <f>EJ47*VLOOKUP('Données projet'!$B$15,Paramètres!$A$1:$I$89,3,0)*VLOOKUP('Données projet'!$B$15,Paramètres!$A$1:$I$89,5,0)</f>
        <v>144.39359999999994</v>
      </c>
      <c r="EL47" s="13">
        <f t="shared" si="45"/>
        <v>37.301700301601691</v>
      </c>
      <c r="EM47" s="20">
        <f t="shared" si="19"/>
        <v>316.45264802528953</v>
      </c>
      <c r="EN47" s="59">
        <f t="shared" si="20"/>
        <v>609.78598135862285</v>
      </c>
      <c r="EO47" s="59">
        <f ca="1">AVERAGE(OFFSET($EN$3,0,0,'Données projet'!$E$15+1,1))-AVERAGE(OFFSET($H$3,0,0,'Données projet'!$E$15+1,1))</f>
        <v>205.5272583787887</v>
      </c>
      <c r="EP47" s="59">
        <f t="shared" si="46"/>
        <v>180.54762778843178</v>
      </c>
      <c r="EQ47" s="15">
        <f>IF(ISNA(VLOOKUP(A47,'Données projet'!$A$191:$I$211,3,0)),0,VLOOKUP(A47,'Données projet'!$A$191:$I$211,3,0))</f>
        <v>0</v>
      </c>
      <c r="ER47" s="15">
        <f>IF(ISNA(VLOOKUP(A47,'Données projet'!$A$191:$I$211,4,0)),0,VLOOKUP(A47,'Données projet'!$A$191:$I$211,4,0))</f>
        <v>0</v>
      </c>
      <c r="ES47" s="16">
        <f>IF(ISNA(VLOOKUP(A47,'Données projet'!$A$191:$I$211,5,0)),0%,VLOOKUP(A47,'Données projet'!$A$191:$I$211,5,0)*VLOOKUP('Données projet'!$B$15,Paramètres!$A$1:$I$89,7,0))</f>
        <v>0</v>
      </c>
      <c r="ET47" s="16">
        <f>IF(ISNA(VLOOKUP(A47,'Données projet'!$A$191:$I$211,6,0)),0%,VLOOKUP(A47,'Données projet'!$A$191:$I$211,6,0)*VLOOKUP('Données projet'!$B$15,Paramètres!$A$1:$I$89,7,0))</f>
        <v>0</v>
      </c>
      <c r="EU47" s="16">
        <f>IF(ISNA(VLOOKUP(A47,'Données projet'!$A$191:$I$211,7,0)),0%,VLOOKUP(A47,'Données projet'!$A$191:$I$211,7,0))</f>
        <v>0</v>
      </c>
      <c r="EV47" s="21">
        <f>EXP(-LN(2)/35)*EV46+(1-EXP(-LN(2)/35))/(LN(2)/35)*ER47*ES47*VLOOKUP('Données projet'!$B$15,Paramètres!$A$1:$I$89,3,0)*0.475*44/12</f>
        <v>0.75980974208133201</v>
      </c>
      <c r="EW47" s="21">
        <f>EXP(-LN(2)/25)*EW46+(1-EXP(-LN(2)/25))/(LN(2)/25)*Calculateur!ER47*Calculateur!ET47*VLOOKUP('Données projet'!$B$15,Paramètres!$A$1:$I$89,3,0)*0.475*44/12</f>
        <v>3.9366629151399186</v>
      </c>
      <c r="EX47" s="21">
        <f>EXP(-LN(2)/2)*EX46+(1-EXP(-LN(2)/2))/(LN(2)/2)*ER47*EU47*VLOOKUP('Données projet'!$B$15,Paramètres!$A$1:$I$89,3,0)*0.475*44/12</f>
        <v>7.0802222815468302E-2</v>
      </c>
      <c r="EY47" s="22">
        <f t="shared" si="21"/>
        <v>4.7672748800367186</v>
      </c>
      <c r="EZ47" s="75">
        <f>('Scénario référence'!$F$8+'Scénario référence'!$F$9+'Scénario référence'!$B$17+'Scénario référence'!$B$9+'Scénario référence'!$B$10)*70+IF((45+25*(1-EXP(-0.0175*A47)))&lt;70,'Scénario référence'!$B$16*(45+25*(1-EXP(-0.0175*A47))),70*'Scénario référence'!$B$16)+IF((32+38*(1-EXP(-0.0175*A47)))&lt;70,'Scénario référence'!$B$18*(32+38*(1-EXP(-0.0175*A47))),70*'Scénario référence'!$B$18)</f>
        <v>70</v>
      </c>
      <c r="FA47" s="12">
        <f>IF(A47&gt;30,10,('Scénario référence'!$B$16+'Scénario référence'!$B$17+'Scénario référence'!$B$18+'Scénario référence'!$B$9+'Scénario référence'!$B$10)*A47*10/30+('Scénario référence'!$F$8+'Scénario référence'!$F$9)*10)</f>
        <v>10</v>
      </c>
      <c r="FB47" s="12" t="e">
        <f>VLOOKUP(A47,'Données projet'!$A$217:$I$237,2,0)</f>
        <v>#N/A</v>
      </c>
      <c r="FC47" s="12" t="e">
        <f>VLOOKUP(A47,'Données projet'!$A$217:$I$237,9,0)</f>
        <v>#N/A</v>
      </c>
      <c r="FD47" s="12">
        <f t="array" ref="FD47">INDEX(FC:FC,MIN(IF(ISNUMBER(FC47:FC243),ROW(FC47:FC243),"")))</f>
        <v>13.4</v>
      </c>
      <c r="FE47" s="12">
        <f>IF('Données projet'!$A$218&gt;35,FE46+FD47-FM46,IF(A47&lt;'Données projet'!$A$218,$FB$205^A47,IF(A47='Données projet'!$A$218,'Données projet'!$B$218,FE46+FD47-FM46)))</f>
        <v>203.60000000000008</v>
      </c>
      <c r="FF47" s="17">
        <f>FE47*VLOOKUP('Données projet'!$B$16,Paramètres!$A$1:$I$89,3,0)*VLOOKUP('Données projet'!$B$16,Paramètres!$A$1:$I$89,5,0)</f>
        <v>174.68880000000007</v>
      </c>
      <c r="FG47" s="13">
        <f t="shared" si="47"/>
        <v>44.138490160200021</v>
      </c>
      <c r="FH47" s="20">
        <f t="shared" si="22"/>
        <v>381.12419702901519</v>
      </c>
      <c r="FI47" s="59">
        <f t="shared" si="23"/>
        <v>674.45753036234851</v>
      </c>
      <c r="FJ47" s="59">
        <f ca="1">AVERAGE(OFFSET($FI$3,0,0,'Données projet'!$E$16+1,1))-AVERAGE(OFFSET($H$3,0,0,'Données projet'!$E$16+1,1))</f>
        <v>383.97627237444709</v>
      </c>
      <c r="FK47" s="59">
        <f t="shared" si="48"/>
        <v>203.35476578922339</v>
      </c>
      <c r="FL47" s="15">
        <f>IF(ISNA(VLOOKUP(A47,'Données projet'!$A$217:$I$237,3,0)),0,VLOOKUP(A47,'Données projet'!$A$217:$I$237,3,0))</f>
        <v>0</v>
      </c>
      <c r="FM47" s="15">
        <f>IF(ISNA(VLOOKUP(A47,'Données projet'!$A$217:$I$237,4,0)),0,VLOOKUP(A47,'Données projet'!$A$217:$I$237,4,0))</f>
        <v>0</v>
      </c>
      <c r="FN47" s="16">
        <f>IF(ISNA(VLOOKUP(A47,'Données projet'!$A$217:$I$237,5,0)),0%,VLOOKUP(A47,'Données projet'!$A$217:$I$237,5,0)*VLOOKUP('Données projet'!$B$16,Paramètres!$A$1:$I$89,7,0))</f>
        <v>0</v>
      </c>
      <c r="FO47" s="16">
        <f>IF(ISNA(VLOOKUP(A47,'Données projet'!$A$217:$I$237,6,0)),0%,VLOOKUP(A47,'Données projet'!$A$217:$I$237,6,0)*VLOOKUP('Données projet'!$B$16,Paramètres!$A$1:$I$89,7,0))</f>
        <v>0</v>
      </c>
      <c r="FP47" s="16">
        <f>IF(ISNA(VLOOKUP(A47,'Données projet'!$A$217:$I$237,7,0)),0%,VLOOKUP(A47,'Données projet'!$A$217:$I$237,7,0))</f>
        <v>0</v>
      </c>
      <c r="FQ47" s="21">
        <f>EXP(-LN(2)/35)*FQ46+(1-EXP(-LN(2)/35))/(LN(2)/35)*FM47*FN47*VLOOKUP('Données projet'!$B$16,Paramètres!$A$1:$I$89,3,0)*0.475*44/12</f>
        <v>3.9050098615681526</v>
      </c>
      <c r="FR47" s="21">
        <f>EXP(-LN(2)/25)*FR46+(1-EXP(-LN(2)/25))/(LN(2)/25)*Calculateur!FM47*Calculateur!FO47*VLOOKUP('Données projet'!$B$16,Paramètres!$A$1:$I$89,3,0)*0.475*44/12</f>
        <v>3.9961197516492049</v>
      </c>
      <c r="FS47" s="21">
        <f>EXP(-LN(2)/2)*FS46+(1-EXP(-LN(2)/2))/(LN(2)/2)*FM47*FP47*VLOOKUP('Données projet'!$B$16,Paramètres!$A$1:$I$89,3,0)*0.475*44/12</f>
        <v>0.13004915259210853</v>
      </c>
      <c r="FT47" s="22">
        <f t="shared" si="24"/>
        <v>8.0311787658094662</v>
      </c>
      <c r="FU47" s="75">
        <f>('Scénario référence'!$F$8+'Scénario référence'!$F$9+'Scénario référence'!$B$17+'Scénario référence'!$B$9+'Scénario référence'!$B$10)*70+IF((45+25*(1-EXP(-0.0175*A47)))&lt;70,'Scénario référence'!$B$16*(45+25*(1-EXP(-0.0175*A47))),70*'Scénario référence'!$B$16)+IF((32+38*(1-EXP(-0.0175*A47)))&lt;70,'Scénario référence'!$B$18*(32+38*(1-EXP(-0.0175*A47))),70*'Scénario référence'!$B$18)</f>
        <v>70</v>
      </c>
      <c r="FV47" s="12">
        <f>IF(A47&gt;30,10,('Scénario référence'!$B$16+'Scénario référence'!$B$17+'Scénario référence'!$B$18+'Scénario référence'!$B$9+'Scénario référence'!$B$10)*A47*10/30+('Scénario référence'!$F$8+'Scénario référence'!$F$9)*10)</f>
        <v>10</v>
      </c>
      <c r="FW47" s="12" t="e">
        <f>VLOOKUP(A47,'Données projet'!$A$243:$I$263,2,0)</f>
        <v>#N/A</v>
      </c>
      <c r="FX47" s="12" t="e">
        <f>VLOOKUP(A47,'Données projet'!$A$243:$I$263,9,0)</f>
        <v>#N/A</v>
      </c>
      <c r="FY47" s="12">
        <f t="array" ref="FY47">INDEX(FX:FX,MIN(IF(ISNUMBER(FX47:FX243),ROW(FX47:FX243),"")))</f>
        <v>9.3452380952380913</v>
      </c>
      <c r="FZ47" s="12">
        <f>IF('Données projet'!$A$244&gt;35,FZ46+FY47-GH46,IF(A47&lt;'Données projet'!$A$244,$FW$205^A47,IF(A47='Données projet'!$A$244,'Données projet'!$B$244,FZ46+FY47-GH46)))</f>
        <v>146.97161172161174</v>
      </c>
      <c r="GA47" s="17">
        <f>FZ47*VLOOKUP('Données projet'!$B$17,Paramètres!$A$1:$I$89,3,0)*VLOOKUP('Données projet'!$B$17,Paramètres!$A$1:$I$89,5,0)</f>
        <v>158.20024285714288</v>
      </c>
      <c r="GB47" s="13">
        <f t="shared" si="49"/>
        <v>40.436308286791146</v>
      </c>
      <c r="GC47" s="20">
        <f t="shared" si="25"/>
        <v>345.95865990901842</v>
      </c>
      <c r="GD47" s="59">
        <f t="shared" si="26"/>
        <v>639.29199324235174</v>
      </c>
      <c r="GE47" s="59">
        <f ca="1">AVERAGE(OFFSET($GD$3,0,0,'Données projet'!$E$17+1,1))-AVERAGE(OFFSET($H$3,0,0,'Données projet'!$E$17+1,1))</f>
        <v>286.77702855541287</v>
      </c>
      <c r="GF47" s="59">
        <f t="shared" si="50"/>
        <v>227.12211541860779</v>
      </c>
      <c r="GG47" s="15">
        <f>IF(ISNA(VLOOKUP(A47,'Données projet'!$A$243:$I$263,3,0)),0,VLOOKUP(A47,'Données projet'!$A$243:$I$263,3,0))</f>
        <v>0</v>
      </c>
      <c r="GH47" s="15">
        <f>IF(ISNA(VLOOKUP(A47,'Données projet'!$A$243:$I$263,4,0)),0,VLOOKUP(A47,'Données projet'!$A$243:$I$263,4,0))</f>
        <v>0</v>
      </c>
      <c r="GI47" s="16">
        <f>IF(ISNA(VLOOKUP(A47,'Données projet'!$A$243:$I$263,5,0)),0%,VLOOKUP(A47,'Données projet'!$A$243:$I$263,5,0)*VLOOKUP('Données projet'!$B$17,Paramètres!$A$1:$I$89,7,0))</f>
        <v>0</v>
      </c>
      <c r="GJ47" s="16">
        <f>IF(ISNA(VLOOKUP(A47,'Données projet'!$A$243:$I$263,6,0)),0%,VLOOKUP(A47,'Données projet'!$A$243:$I$263,6,0)*VLOOKUP('Données projet'!$B$17,Paramètres!$A$1:$I$89,7,0))</f>
        <v>0</v>
      </c>
      <c r="GK47" s="16">
        <f>IF(ISNA(VLOOKUP(A47,'Données projet'!$A$243:$I$263,7,0)),0%,VLOOKUP(A47,'Données projet'!$A$243:$I$263,7,0))</f>
        <v>0</v>
      </c>
      <c r="GL47" s="21">
        <f>EXP(-LN(2)/35)*GL46+(1-EXP(-LN(2)/35))/(LN(2)/35)*GH47*GI47*VLOOKUP('Données projet'!$B$17,Paramètres!$A$1:$I$89,3,0)*0.475*44/12</f>
        <v>0</v>
      </c>
      <c r="GM47" s="21">
        <f>EXP(-LN(2)/25)*GM46+(1-EXP(-LN(2)/25))/(LN(2)/25)*Calculateur!GH47*Calculateur!GJ47*VLOOKUP('Données projet'!$B$17,Paramètres!$A$1:$I$89,3,0)*0.475*44/12</f>
        <v>0</v>
      </c>
      <c r="GN47" s="21">
        <f>EXP(-LN(2)/2)*GN46+(1-EXP(-LN(2)/2))/(LN(2)/2)*GH47*GK47*VLOOKUP('Données projet'!$B$17,Paramètres!$A$1:$I$89,3,0)*0.475*44/12</f>
        <v>0</v>
      </c>
      <c r="GO47" s="21">
        <f t="shared" si="27"/>
        <v>0</v>
      </c>
      <c r="GP47" s="75">
        <f>('Scénario référence'!$F$8+'Scénario référence'!$F$9+'Scénario référence'!$B$17+'Scénario référence'!$B$9+'Scénario référence'!$B$10)*70+IF((45+25*(1-EXP(-0.0175*A47)))&lt;70,'Scénario référence'!$B$16*(45+25*(1-EXP(-0.0175*A47))),70*'Scénario référence'!$B$16)+IF((32+38*(1-EXP(-0.0175*A47)))&lt;70,'Scénario référence'!$B$18*(32+38*(1-EXP(-0.0175*A47))),70*'Scénario référence'!$B$18)</f>
        <v>70</v>
      </c>
      <c r="GQ47" s="12">
        <f>IF(A47&gt;30,10,('Scénario référence'!$B$16+'Scénario référence'!$B$17+'Scénario référence'!$B$18+'Scénario référence'!$B$9+'Scénario référence'!$B$10)*A47*10/30+('Scénario référence'!$F$8+'Scénario référence'!$F$9)*10)</f>
        <v>10</v>
      </c>
      <c r="GR47" s="12" t="e">
        <f>VLOOKUP(A47,'Données projet'!$A$269:$I$289,2,0)</f>
        <v>#N/A</v>
      </c>
      <c r="GS47" s="12" t="e">
        <f>VLOOKUP(A47,'Données projet'!$A$269:$I$289,9,0)</f>
        <v>#N/A</v>
      </c>
      <c r="GT47" s="12">
        <f t="array" ref="GT47">INDEX(GS:GS,MIN(IF(ISNUMBER(GS47:GS243),ROW(GS47:GS243),"")))</f>
        <v>9.3452380952380913</v>
      </c>
      <c r="GU47" s="12">
        <f>IF('Données projet'!$A$270&gt;35,GU46+GT47-HC46,IF(A47&lt;'Données projet'!$A$270,$GR$205^A47,IF(A47='Données projet'!$A$270,'Données projet'!$B$270,GU46+GT47-HC46)))</f>
        <v>146.97161172161174</v>
      </c>
      <c r="GV47" s="17">
        <f>GU47*VLOOKUP('Données projet'!$B$18,Paramètres!$A$1:$I$89,3,0)*VLOOKUP('Données projet'!$B$18,Paramètres!$A$1:$I$89,5,0)</f>
        <v>158.20024285714288</v>
      </c>
      <c r="GW47" s="13">
        <f t="shared" si="51"/>
        <v>40.436308286791146</v>
      </c>
      <c r="GX47" s="20">
        <f t="shared" si="28"/>
        <v>345.95865990901842</v>
      </c>
      <c r="GY47" s="59">
        <f t="shared" si="29"/>
        <v>639.29199324235174</v>
      </c>
      <c r="GZ47" s="59">
        <f ca="1">AVERAGE(OFFSET($GY$3,0,0,'Données projet'!$E$18+1,1))-AVERAGE(OFFSET($H$3,0,0,'Données projet'!$E$18+1,1))</f>
        <v>286.77702855541287</v>
      </c>
      <c r="HA47" s="59">
        <f t="shared" si="52"/>
        <v>227.12211541860779</v>
      </c>
      <c r="HB47" s="15">
        <f>IF(ISNA(VLOOKUP(A47,'Données projet'!$A$269:$I$289,3,0)),0,VLOOKUP(A47,'Données projet'!$A$269:$I$289,3,0))</f>
        <v>0</v>
      </c>
      <c r="HC47" s="15">
        <f>IF(ISNA(VLOOKUP(A47,'Données projet'!$A$269:$I$289,4,0)),0,VLOOKUP(A47,'Données projet'!$A$269:$I$289,4,0))</f>
        <v>0</v>
      </c>
      <c r="HD47" s="16">
        <f>IF(ISNA(VLOOKUP(A47,'Données projet'!$A$269:$I$289,5,0)),0%,VLOOKUP(A47,'Données projet'!$A$269:$I$289,5,0)*VLOOKUP('Données projet'!$B$18,Paramètres!$A$1:$I$89,7,0))</f>
        <v>0</v>
      </c>
      <c r="HE47" s="16">
        <f>IF(ISNA(VLOOKUP(A47,'Données projet'!$A$269:$I$289,6,0)),0%,VLOOKUP(A47,'Données projet'!$A$269:$I$289,6,0)*VLOOKUP('Données projet'!$B$18,Paramètres!$A$1:$I$89,7,0))</f>
        <v>0</v>
      </c>
      <c r="HF47" s="16">
        <f>IF(ISNA(VLOOKUP(A47,'Données projet'!$A$269:$I$289,7,0)),0%,VLOOKUP(A47,'Données projet'!$A$269:$I$289,7,0))</f>
        <v>0</v>
      </c>
      <c r="HG47" s="21">
        <f>EXP(-LN(2)/35)*HG46+(1-EXP(-LN(2)/35))/(LN(2)/35)*HC47*HD47*VLOOKUP('Données projet'!$B$18,Paramètres!$A$1:$I$89,3,0)*0.475*44/12</f>
        <v>0</v>
      </c>
      <c r="HH47" s="21">
        <f>EXP(-LN(2)/25)*HH46+(1-EXP(-LN(2)/25))/(LN(2)/25)*Calculateur!HC47*Calculateur!HE47*VLOOKUP('Données projet'!$B$18,Paramètres!$A$1:$I$89,3,0)*0.475*44/12</f>
        <v>0</v>
      </c>
      <c r="HI47" s="21">
        <f>EXP(-LN(2)/2)*HI46+(1-EXP(-LN(2)/2))/(LN(2)/2)*HC47*HF47*VLOOKUP('Données projet'!$B$18,Paramètres!$A$1:$I$89,3,0)*0.475*44/12</f>
        <v>0</v>
      </c>
      <c r="HJ47" s="22">
        <f t="shared" si="30"/>
        <v>0</v>
      </c>
    </row>
    <row r="48" spans="1:218" x14ac:dyDescent="0.25">
      <c r="A48" s="10">
        <f t="shared" si="31"/>
        <v>45</v>
      </c>
      <c r="B48" s="73">
        <f>'Scénario référence'!$B$16*5+'Scénario référence'!$B$17*0+'Scénario référence'!$B$18*5</f>
        <v>0</v>
      </c>
      <c r="C48" s="19">
        <f>Calculateur!C47+'Scénario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40.01400000000001</v>
      </c>
      <c r="D48" s="11">
        <f t="shared" si="32"/>
        <v>12.002357532661732</v>
      </c>
      <c r="E4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48" s="11">
        <f>IF(OR('Scénario référence'!$F$8&gt;0,'Scénario référence'!$F$9&gt;0),('Scénario référence'!$F$8+'Scénario référence'!$F$9)*10,0)</f>
        <v>10</v>
      </c>
      <c r="G48" s="11">
        <f>'Scénario référence'!$B$8*B48*44/12+'Scénario référence'!$B$9*(C48+D48)/0.475*44/12+'Scénario référence'!$B$10*(C48+D48)/0.475*44/12+'Scénario référence'!$F$8*(C48+D48)/0.475*44/12+'Scénario référence'!$F$9*(C48+D48)/0.475*44/12</f>
        <v>401.52977744510821</v>
      </c>
      <c r="H48" s="67">
        <f t="shared" si="1"/>
        <v>383.92848936938583</v>
      </c>
      <c r="I48" s="70">
        <f>('Scénario référence'!$F$8+'Scénario référence'!$F$9+'Scénario référence'!$B$17+'Scénario référence'!$B$9+'Scénario référence'!$B$10)*70+IF((45+25*(1-EXP(-0.0175*A48)))&lt;70,'Scénario référence'!$B$16*(45+25*(1-EXP(-0.0175*A48))),70*'Scénario référence'!$B$16)+IF((32+38*(1-EXP(-0.0175*A48)))&lt;70,'Scénario référence'!$B$18*(32+38*(1-EXP(-0.0175*A48))),70*'Scénario référence'!$B$18)</f>
        <v>70</v>
      </c>
      <c r="J48" s="13">
        <f>IF(A48&gt;30,10,('Scénario référence'!$B$16+'Scénario référence'!$B$17+'Scénario référence'!$B$18+'Scénario référence'!$B$9+'Scénario référence'!$B$10)*A48*10/30+('Scénario référence'!$F$8+'Scénario référence'!$F$9)*10)</f>
        <v>10</v>
      </c>
      <c r="K48" s="12" t="e">
        <f>VLOOKUP(A48,'Données projet'!$A$35:$I$55,2,0)</f>
        <v>#N/A</v>
      </c>
      <c r="L48" s="12" t="e">
        <f>VLOOKUP(A48,'Données projet'!$A$35:$I$55,9,0)</f>
        <v>#N/A</v>
      </c>
      <c r="M48" s="12">
        <f t="array" ref="M48">INDEX(L:L,MIN(IF(ISNUMBER(L48:L244),ROW(L48:L244),"")))</f>
        <v>21.625641025641027</v>
      </c>
      <c r="N48" s="13">
        <f>IF('Données projet'!$A$36&gt;35,N47+M48-V47,IF(A48&lt;'Données projet'!$A$36,$K$205^A48,IF(A48='Données projet'!$A$36,'Données projet'!$B$36,N47+M48-V47)))</f>
        <v>460.20769230769213</v>
      </c>
      <c r="O48" s="13">
        <f>N48*VLOOKUP('Données projet'!$B$9,Paramètres!$A$1:$I$89,3,0)*VLOOKUP('Données projet'!$B$9,Paramètres!$A$1:$I$89,5,0)</f>
        <v>257.25609999999995</v>
      </c>
      <c r="P48" s="13">
        <f t="shared" si="33"/>
        <v>62.137128695600659</v>
      </c>
      <c r="Q48" s="20">
        <f t="shared" si="53"/>
        <v>556.27653997817106</v>
      </c>
      <c r="R48" s="59">
        <f t="shared" si="0"/>
        <v>849.60987331150432</v>
      </c>
      <c r="S48" s="59">
        <f ca="1">AVERAGE(OFFSET($R$3,0,0,'Données projet'!$E$9+1,1))-AVERAGE(OFFSET($H$3,0,0,'Données projet'!$E$9+1,1))</f>
        <v>255.5374979188561</v>
      </c>
      <c r="T48" s="59">
        <f t="shared" si="34"/>
        <v>343.10418468620901</v>
      </c>
      <c r="U48" s="15">
        <f>IF(ISNA(VLOOKUP(A48,'Données projet'!$A$35:$I$55,3,0)),0,VLOOKUP(A48,'Données projet'!$A$35:$I$55,3,0))</f>
        <v>0</v>
      </c>
      <c r="V48" s="15">
        <f>IF(ISNA(VLOOKUP(A48,'Données projet'!$A$35:$I$55,4,0)),0,VLOOKUP(A48,'Données projet'!$A$35:$I$55,4,0))</f>
        <v>0</v>
      </c>
      <c r="W48" s="16">
        <f>IF(ISNA(VLOOKUP(A48,'Données projet'!$A$35:$I$55,5,0)),0%,VLOOKUP(A48,'Données projet'!$A$35:$I$55,5,0)*VLOOKUP('Données projet'!$B$9,Paramètres!$A$1:$I$89,7,0))</f>
        <v>0</v>
      </c>
      <c r="X48" s="16">
        <f>IF(ISNA(VLOOKUP(A48,'Données projet'!$A$35:$I$55,6,0)),0%,VLOOKUP(A48,'Données projet'!$A$35:$I$55,6,0)*VLOOKUP('Données projet'!$B$9,Paramètres!$A$1:$I$89,7,0))</f>
        <v>0</v>
      </c>
      <c r="Y48" s="16">
        <f>IF(ISNA(VLOOKUP(A48,'Données projet'!$A$35:$I$55,7,0)),0%,VLOOKUP(A48,'Données projet'!$A$35:$I$55,7,0))</f>
        <v>0</v>
      </c>
      <c r="Z48" s="21">
        <f>EXP(-LN(2)/35)*Z47+(1-EXP(-LN(2)/35))/(LN(2)/35)*V48*W48*VLOOKUP('Données projet'!$B$9,Paramètres!$A$1:$I$89,3,0)*0.475*44/12</f>
        <v>2.2958915255898824</v>
      </c>
      <c r="AA48" s="21">
        <f>EXP(-LN(2)/25)*AA47+(1-EXP(-LN(2)/25))/(LN(2)/25)*Calculateur!V48*Calculateur!X48*VLOOKUP('Données projet'!$B$9,Paramètres!$A$1:$I$89,3,0)*0.475*44/12</f>
        <v>10.529844090186977</v>
      </c>
      <c r="AB48" s="21">
        <f>EXP(-LN(2)/2)*AB47+(1-EXP(-LN(2)/2))/(LN(2)/2)*V48*Y48*VLOOKUP('Données projet'!$B$9,Paramètres!$A$1:$I$89,3,0)*0.475*44/12</f>
        <v>9.3506700279021946E-3</v>
      </c>
      <c r="AC48" s="22">
        <f t="shared" si="3"/>
        <v>12.835086285804762</v>
      </c>
      <c r="AD48" s="13">
        <f>('Scénario référence'!$F$8+'Scénario référence'!$F$9+'Scénario référence'!$B$17+'Scénario référence'!$B$9+'Scénario référence'!$B$10)*70+IF((45+25*(1-EXP(-0.0175*A48)))&lt;70,'Scénario référence'!$B$16*(45+25*(1-EXP(-0.0175*A48))),70*'Scénario référence'!$B$16)+IF((32+38*(1-EXP(-0.0175*A48)))&lt;70,'Scénario référence'!$B$18*(32+38*(1-EXP(-0.0175*A48))),70*'Scénario référence'!$B$18)</f>
        <v>70</v>
      </c>
      <c r="AE48" s="13">
        <f>IF(A48&gt;30,10,('Scénario référence'!$B$16+'Scénario référence'!$B$17+'Scénario référence'!$B$18+'Scénario référence'!$B$9+'Scénario référence'!$B$10)*A48*10/30+('Scénario référence'!$F$8+'Scénario référence'!$F$9)*10)</f>
        <v>10</v>
      </c>
      <c r="AF48" s="12" t="e">
        <f>VLOOKUP(A48,'Données projet'!$A$61:$I$81,2,0)</f>
        <v>#N/A</v>
      </c>
      <c r="AG48" s="12" t="e">
        <f>VLOOKUP(A48,'Données projet'!$A$61:$I$81,9,0)</f>
        <v>#N/A</v>
      </c>
      <c r="AH48" s="12">
        <f t="array" ref="AH48">INDEX(AG:AG,MIN(IF(ISNUMBER(AG48:AG244),ROW(AG48:AG244),"")))</f>
        <v>12.4</v>
      </c>
      <c r="AI48" s="13">
        <f>IF('Données projet'!$A$62&gt;35,AI47+AH48-AQ47,IF(A48&lt;'Données projet'!$A$62,$AF$205^A48,IF(A48='Données projet'!$A$62,'Données projet'!$B$62,AI47+AH48-AQ47)))</f>
        <v>310</v>
      </c>
      <c r="AJ48" s="13">
        <f>AI48*VLOOKUP('Données projet'!$B$10,Paramètres!$A$1:$I$89,3,0)*VLOOKUP('Données projet'!$B$10,Paramètres!$A$1:$I$89,5,0)</f>
        <v>193.44</v>
      </c>
      <c r="AK48" s="13">
        <f t="shared" si="35"/>
        <v>48.299691961776745</v>
      </c>
      <c r="AL48" s="20">
        <f t="shared" si="4"/>
        <v>421.02996350009448</v>
      </c>
      <c r="AM48" s="59">
        <f t="shared" si="5"/>
        <v>714.36329683342774</v>
      </c>
      <c r="AN48" s="59">
        <f ca="1">AVERAGE(OFFSET($AM$3,0,0,'Données projet'!$E$10+1,1))-AVERAGE(OFFSET($H$3,0,0,'Données projet'!$E$10+1,1))</f>
        <v>261.78489480911571</v>
      </c>
      <c r="AO48" s="59">
        <f t="shared" si="36"/>
        <v>297.50513563712764</v>
      </c>
      <c r="AP48" s="15">
        <f>IF(ISNA(VLOOKUP(A48,'Données projet'!$A$61:$I$81,3,0)),0,VLOOKUP(A48,'Données projet'!$A$61:$I$81,3,0))</f>
        <v>0</v>
      </c>
      <c r="AQ48" s="15">
        <f>IF(ISNA(VLOOKUP(A48,'Données projet'!$A$61:$I$81,4,0)),0,VLOOKUP(A48,'Données projet'!$A$61:$I$81,4,0))</f>
        <v>0</v>
      </c>
      <c r="AR48" s="16">
        <f>IF(ISNA(VLOOKUP(A48,'Données projet'!$A$61:$I$81,5,0)),0%,VLOOKUP(A48,'Données projet'!$A$61:$I$81,5,0)*VLOOKUP('Données projet'!$B$10,Paramètres!$A$1:$I$89,7,0))</f>
        <v>0</v>
      </c>
      <c r="AS48" s="16">
        <f>IF(ISNA(VLOOKUP(A48,'Données projet'!$A$61:$I$81,6,0)),0%,VLOOKUP(A48,'Données projet'!$A$61:$I$81,6,0)*VLOOKUP('Données projet'!$B$10,Paramètres!$A$1:$I$89,7,0))</f>
        <v>0</v>
      </c>
      <c r="AT48" s="16">
        <f>IF(ISNA(VLOOKUP(A48,'Données projet'!$A$61:$I$81,7,0)),0%,VLOOKUP(A48,'Données projet'!$A$61:$I$81,7,0))</f>
        <v>0</v>
      </c>
      <c r="AU48" s="21">
        <f>EXP(-LN(2)/35)*AU47+(1-EXP(-LN(2)/35))/(LN(2)/35)*AQ48*AR48*VLOOKUP('Données projet'!$B$10,Paramètres!$A$1:$I$89,3,0)*0.475*44/12</f>
        <v>6.1995565088959728</v>
      </c>
      <c r="AV48" s="21">
        <f>EXP(-LN(2)/25)*AV47+(1-EXP(-LN(2)/25))/(LN(2)/25)*Calculateur!AQ48*Calculateur!AS48*VLOOKUP('Données projet'!$B$10,Paramètres!$A$1:$I$89,3,0)*0.475*44/12</f>
        <v>18.387255457676766</v>
      </c>
      <c r="AW48" s="21">
        <f>EXP(-LN(2)/2)*AW47+(1-EXP(-LN(2)/2))/(LN(2)/2)*AQ48*AT48*VLOOKUP('Données projet'!$B$10,Paramètres!$A$1:$I$89,3,0)*0.475*44/12</f>
        <v>0.13479881032765212</v>
      </c>
      <c r="AX48" s="21">
        <f t="shared" si="6"/>
        <v>24.721610776900391</v>
      </c>
      <c r="AY48" s="74">
        <f>('Scénario référence'!$F$8+'Scénario référence'!$F$9+'Scénario référence'!$B$17+'Scénario référence'!$B$9+'Scénario référence'!$B$10)*70+IF((45+25*(1-EXP(-0.0175*A48)))&lt;70,'Scénario référence'!$B$16*(45+25*(1-EXP(-0.0175*A48))),70*'Scénario référence'!$B$16)+IF((32+38*(1-EXP(-0.0175*A48)))&lt;70,'Scénario référence'!$B$18*(32+38*(1-EXP(-0.0175*A48))),70*'Scénario référence'!$B$18)</f>
        <v>70</v>
      </c>
      <c r="AZ48" s="12">
        <f>IF(A48&gt;30,10,('Scénario référence'!$B$16+'Scénario référence'!$B$17+'Scénario référence'!$B$18+'Scénario référence'!$B$9+'Scénario référence'!$B$10)*A48*10/30+('Scénario référence'!$F$8+'Scénario référence'!$F$9)*10)</f>
        <v>10</v>
      </c>
      <c r="BA48" s="12" t="e">
        <f>VLOOKUP(A48,'Données projet'!$A$87:$I$107,2,0)</f>
        <v>#N/A</v>
      </c>
      <c r="BB48" s="12" t="e">
        <f>VLOOKUP(A48,'Données projet'!$A$87:$I$107,9,0)</f>
        <v>#N/A</v>
      </c>
      <c r="BC48" s="12">
        <f t="array" ref="BC48">INDEX(BB:BB,MIN(IF(ISNUMBER(BB48:BB244),ROW(BB48:BB244),"")))</f>
        <v>18.899999999999999</v>
      </c>
      <c r="BD48" s="12">
        <f>IF('Données projet'!$A$88&gt;35,BD47+BC48-BL47,IF(A48&lt;'Données projet'!$A$88,$BA$205^A48,IF(A48='Données projet'!$A$88,'Données projet'!$B$88,BD47+BC48-BL47)))</f>
        <v>340.49999999999983</v>
      </c>
      <c r="BE48" s="13">
        <f>BD48*VLOOKUP('Données projet'!$B$11,Paramètres!$A$1:$I$89,3,0)*VLOOKUP('Données projet'!$B$11,Paramètres!$A$1:$I$89,5,0)</f>
        <v>203.61899999999991</v>
      </c>
      <c r="BF48" s="13">
        <f t="shared" si="37"/>
        <v>50.538682373323198</v>
      </c>
      <c r="BG48" s="20">
        <f t="shared" si="7"/>
        <v>442.65796346687102</v>
      </c>
      <c r="BH48" s="59">
        <f t="shared" si="8"/>
        <v>735.99129680020428</v>
      </c>
      <c r="BI48" s="59">
        <f ca="1">AVERAGE(OFFSET($BH$3,0,0,'Données projet'!$E$11+1,1))-AVERAGE(OFFSET($H$3,0,0,'Données projet'!$E$11+1,1))</f>
        <v>316.58509520829671</v>
      </c>
      <c r="BJ48" s="59">
        <f t="shared" si="38"/>
        <v>240.71332110643596</v>
      </c>
      <c r="BK48" s="15">
        <f>IF(ISNA(VLOOKUP(A48,'Données projet'!$A$87:$I$107,3,0)),0,VLOOKUP(A48,'Données projet'!$A$87:$I$107,3,0))</f>
        <v>0</v>
      </c>
      <c r="BL48" s="15">
        <f>IF(ISNA(VLOOKUP(A48,'Données projet'!$A$87:$I$107,4,0)),0,VLOOKUP(A48,'Données projet'!$A$87:$I$107,4,0))</f>
        <v>0</v>
      </c>
      <c r="BM48" s="16">
        <f>IF(ISNA(VLOOKUP(A48,'Données projet'!$A$87:$I$107,5,0)),0%,VLOOKUP(A48,'Données projet'!$A$87:$I$107,5,0)*VLOOKUP('Données projet'!$B$11,Paramètres!$A$1:$I$89,7,0))</f>
        <v>0</v>
      </c>
      <c r="BN48" s="16">
        <f>IF(ISNA(VLOOKUP(A48,'Données projet'!$A$87:$I$107,6,0)),0%,VLOOKUP(A48,'Données projet'!$A$87:$I$107,6,0)*VLOOKUP('Données projet'!$B$11,Paramètres!$A$1:$I$89,7,0))</f>
        <v>0</v>
      </c>
      <c r="BO48" s="16">
        <f>IF(ISNA(VLOOKUP(A48,'Données projet'!$A$87:$I$107,7,0)),0%,VLOOKUP(A48,'Données projet'!$A$87:$I$107,7,0))</f>
        <v>0</v>
      </c>
      <c r="BP48" s="21">
        <f>EXP(-LN(2)/35)*BP47+(1-EXP(-LN(2)/35))/(LN(2)/35)*BL48*BM48*VLOOKUP('Données projet'!$B$11,Paramètres!$A$1:$I$89,3,0)*0.475*44/12</f>
        <v>1.8831614172297486</v>
      </c>
      <c r="BQ48" s="21">
        <f>EXP(-LN(2)/25)*BQ47+(1-EXP(-LN(2)/25))/(LN(2)/25)*Calculateur!BL48*Calculateur!BN48*VLOOKUP('Données projet'!$B$11,Paramètres!$A$1:$I$89,3,0)*0.475*44/12</f>
        <v>10.073075044463328</v>
      </c>
      <c r="BR48" s="21">
        <f>EXP(-LN(2)/2)*BR47+(1-EXP(-LN(2)/2))/(LN(2)/2)*BL48*BO48*VLOOKUP('Données projet'!$B$11,Paramètres!$A$1:$I$89,3,0)*0.475*44/12</f>
        <v>0.12119889265370824</v>
      </c>
      <c r="BS48" s="22">
        <f t="shared" si="9"/>
        <v>12.077435354346786</v>
      </c>
      <c r="BT48" s="75">
        <f>('Scénario référence'!$F$8+'Scénario référence'!$F$9+'Scénario référence'!$B$17+'Scénario référence'!$B$9+'Scénario référence'!$B$10)*70+IF((45+25*(1-EXP(-0.0175*A48)))&lt;70,'Scénario référence'!$B$16*(45+25*(1-EXP(-0.0175*A48))),70*'Scénario référence'!$B$16)+IF((32+38*(1-EXP(-0.0175*A48)))&lt;70,'Scénario référence'!$B$18*(32+38*(1-EXP(-0.0175*A48))),70*'Scénario référence'!$B$18)</f>
        <v>70</v>
      </c>
      <c r="BU48" s="12">
        <f>IF(A48&gt;30,10,('Scénario référence'!$B$16+'Scénario référence'!$B$17+'Scénario référence'!$B$18+'Scénario référence'!$B$9+'Scénario référence'!$B$10)*A48*10/30+('Scénario référence'!$F$8+'Scénario référence'!$F$9)*10)</f>
        <v>10</v>
      </c>
      <c r="BV48" s="12" t="e">
        <f>VLOOKUP(A48,'Données projet'!$A$113:$I$133,2,0)</f>
        <v>#N/A</v>
      </c>
      <c r="BW48" s="12" t="e">
        <f>VLOOKUP(A48,'Données projet'!$A$113:$I$133,9,0)</f>
        <v>#N/A</v>
      </c>
      <c r="BX48" s="12">
        <f t="array" ref="BX48">INDEX(BW:BW,MIN(IF(ISNUMBER(BW48:BW244),ROW(BW48:BW244),"")))</f>
        <v>11.9</v>
      </c>
      <c r="BY48" s="12">
        <f>IF('Données projet'!$A$114&gt;35,BY47+BX48-CG47,IF(A48&lt;'Données projet'!$A$114,$BV$205^A48,IF(A48='Données projet'!$A$114,'Données projet'!$B$114,BY47+BX48-CG47)))</f>
        <v>260.49999999999989</v>
      </c>
      <c r="BZ48" s="13">
        <f>BY48*VLOOKUP('Données projet'!$B$12,Paramètres!$A$1:$I$89,3,0)*VLOOKUP('Données projet'!$B$12,Paramètres!$A$1:$I$89,5,0)</f>
        <v>149.00599999999994</v>
      </c>
      <c r="CA48" s="13">
        <f t="shared" si="39"/>
        <v>38.352608218952788</v>
      </c>
      <c r="CB48" s="20">
        <f t="shared" si="10"/>
        <v>326.31624264800934</v>
      </c>
      <c r="CC48" s="59">
        <f t="shared" si="11"/>
        <v>619.64957598134265</v>
      </c>
      <c r="CD48" s="59">
        <f ca="1">AVERAGE(OFFSET($CC$3,0,0,'Données projet'!$E$12+1,1))-AVERAGE(OFFSET($H$3,0,0,'Données projet'!$E$12+1,1))</f>
        <v>188.64374818906128</v>
      </c>
      <c r="CE48" s="59">
        <f t="shared" si="40"/>
        <v>211.95157880548652</v>
      </c>
      <c r="CF48" s="15">
        <f>IF(ISNA(VLOOKUP(A48,'Données projet'!$A$113:$I$133,3,0)),0,VLOOKUP(A48,'Données projet'!$A$113:$I$133,3,0))</f>
        <v>0</v>
      </c>
      <c r="CG48" s="15">
        <f>IF(ISNA(VLOOKUP(A48,'Données projet'!$A$113:$I$133,4,0)),0,VLOOKUP(A48,'Données projet'!$A$113:$I$133,4,0))</f>
        <v>0</v>
      </c>
      <c r="CH48" s="16">
        <f>IF(ISNA(VLOOKUP(A48,'Données projet'!$A$113:$I$133,5,0)),0%,VLOOKUP(A48,'Données projet'!$A$113:$I$133,5,0)*VLOOKUP('Données projet'!$B$12,Paramètres!$A$1:$I$89,7,0))</f>
        <v>0</v>
      </c>
      <c r="CI48" s="16">
        <f>IF(ISNA(VLOOKUP(A48,'Données projet'!$A$113:$I$133,6,0)),0%,VLOOKUP(A48,'Données projet'!$A$113:$I$133,6,0)*VLOOKUP('Données projet'!$B$12,Paramètres!$A$1:$I$89,7,0))</f>
        <v>0</v>
      </c>
      <c r="CJ48" s="16">
        <f>IF(ISNA(VLOOKUP(A48,'Données projet'!$A$113:$I$133,7,0)),0%,VLOOKUP(A48,'Données projet'!$A$113:$I$133,7,0))</f>
        <v>0</v>
      </c>
      <c r="CK48" s="21">
        <f>EXP(-LN(2)/35)*CK47+(1-EXP(-LN(2)/35))/(LN(2)/35)*CG48*CH48*VLOOKUP('Données projet'!$B$12,Paramètres!$A$1:$I$89,3,0)*0.475*44/12</f>
        <v>1.8266550427997068</v>
      </c>
      <c r="CL48" s="21">
        <f>EXP(-LN(2)/25)*CL47+(1-EXP(-LN(2)/25))/(LN(2)/25)*Calculateur!CG48*Calculateur!CI48*VLOOKUP('Données projet'!$B$12,Paramètres!$A$1:$I$89,3,0)*0.475*44/12</f>
        <v>9.4810063040239552</v>
      </c>
      <c r="CM48" s="21">
        <f>EXP(-LN(2)/2)*CM47+(1-EXP(-LN(2)/2))/(LN(2)/2)*CG48*CJ48*VLOOKUP('Données projet'!$B$12,Paramètres!$A$1:$I$89,3,0)*0.475*44/12</f>
        <v>0.11737164479292303</v>
      </c>
      <c r="CN48" s="22">
        <f t="shared" si="12"/>
        <v>11.425032991616586</v>
      </c>
      <c r="CO48" s="75">
        <f>('Scénario référence'!$F$8+'Scénario référence'!$F$9+'Scénario référence'!$B$17+'Scénario référence'!$B$9+'Scénario référence'!$B$10)*70+IF((45+25*(1-EXP(-0.0175*A48)))&lt;70,'Scénario référence'!$B$16*(45+25*(1-EXP(-0.0175*A48))),70*'Scénario référence'!$B$16)+IF((32+38*(1-EXP(-0.0175*A48)))&lt;70,'Scénario référence'!$B$18*(32+38*(1-EXP(-0.0175*A48))),70*'Scénario référence'!$B$18)</f>
        <v>70</v>
      </c>
      <c r="CP48" s="12">
        <f>IF(A48&gt;30,10,('Scénario référence'!$B$16+'Scénario référence'!$B$17+'Scénario référence'!$B$18+'Scénario référence'!$B$9+'Scénario référence'!$B$10)*A48*10/30+('Scénario référence'!$F$8+'Scénario référence'!$F$9)*10)</f>
        <v>10</v>
      </c>
      <c r="CQ48" s="12" t="e">
        <f>VLOOKUP(A48,'Données projet'!$A$139:$I$159,2,0)</f>
        <v>#N/A</v>
      </c>
      <c r="CR48" s="12" t="e">
        <f>VLOOKUP(A48,'Données projet'!$A$139:$I$159,9,0)</f>
        <v>#N/A</v>
      </c>
      <c r="CS48" s="12">
        <f t="array" ref="CS48">INDEX(CR:CR,MIN(IF(ISNUMBER(CR48:CR244),ROW(CR48:CR244),"")))</f>
        <v>0</v>
      </c>
      <c r="CT48" s="12">
        <f>IF('Données projet'!$A$140&gt;35,CT47+CS48-DB47,IF(A48&lt;'Données projet'!$A$140,$CQ$205^A48,IF(A48='Données projet'!$A$140,'Données projet'!$B$140,CT47+CS48-DB47)))</f>
        <v>0</v>
      </c>
      <c r="CU48" s="17" t="e">
        <f>CT48*VLOOKUP('Données projet'!$B$13,Paramètres!$A$1:$I$89,3,0)*VLOOKUP('Données projet'!$B$13,Paramètres!$A$1:$I$89,5,0)</f>
        <v>#N/A</v>
      </c>
      <c r="CV48" s="13" t="e">
        <f t="shared" si="41"/>
        <v>#N/A</v>
      </c>
      <c r="CW48" s="20" t="e">
        <f t="shared" si="13"/>
        <v>#N/A</v>
      </c>
      <c r="CX48" s="59" t="e">
        <f t="shared" si="14"/>
        <v>#N/A</v>
      </c>
      <c r="CY48" s="59" t="e">
        <f ca="1">AVERAGE(OFFSET($CX$3,0,0,'Données projet'!$E$13+1,1))-AVERAGE(OFFSET($H$3,0,0,'Données projet'!$E$13+1,1))</f>
        <v>#N/A</v>
      </c>
      <c r="CZ48" s="59" t="e">
        <f t="shared" si="42"/>
        <v>#N/A</v>
      </c>
      <c r="DA48" s="15">
        <f>IF(ISNA(VLOOKUP(A48,'Données projet'!$A$139:$I$159,3,0)),0,VLOOKUP(A48,'Données projet'!$A$139:$I$159,3,0))</f>
        <v>0</v>
      </c>
      <c r="DB48" s="15">
        <f>IF(ISNA(VLOOKUP(A48,'Données projet'!$A$139:$I$159,4,0)),0,VLOOKUP(A48,'Données projet'!$A$139:$I$159,4,0))</f>
        <v>0</v>
      </c>
      <c r="DC48" s="16">
        <f>IF(ISNA(VLOOKUP(A48,'Données projet'!$A$139:$I$159,5,0)),0%,VLOOKUP(A48,'Données projet'!$A$139:$I$159,5,0)*VLOOKUP('Données projet'!$B$13,Paramètres!$A$1:$I$89,7,0))</f>
        <v>0</v>
      </c>
      <c r="DD48" s="16">
        <f>IF(ISNA(VLOOKUP(A48,'Données projet'!$A$139:$I$159,6,0)),0%,VLOOKUP(A48,'Données projet'!$A$139:$I$159,6,0)*VLOOKUP('Données projet'!$B$13,Paramètres!$A$1:$I$89,7,0))</f>
        <v>0</v>
      </c>
      <c r="DE48" s="16">
        <f>IF(ISNA(VLOOKUP(A48,'Données projet'!$A$139:$I$159,7,0)),0%,VLOOKUP(A48,'Données projet'!$A$139:$I$159,7,0))</f>
        <v>0</v>
      </c>
      <c r="DF48" s="21" t="e">
        <f>EXP(-LN(2)/35)*DF47+(1-EXP(-LN(2)/35))/(LN(2)/35)*DB48*DC48*VLOOKUP('Données projet'!$B$13,Paramètres!$A$1:$I$89,3,0)*0.475*44/12</f>
        <v>#N/A</v>
      </c>
      <c r="DG48" s="21" t="e">
        <f>EXP(-LN(2)/25)*DG47+(1-EXP(-LN(2)/25))/(LN(2)/25)*Calculateur!DB48*Calculateur!DD48*VLOOKUP('Données projet'!$B$13,Paramètres!$A$1:$I$89,3,0)*0.475*44/12</f>
        <v>#N/A</v>
      </c>
      <c r="DH48" s="21" t="e">
        <f>EXP(-LN(2)/2)*DH47+(1-EXP(-LN(2)/2))/(LN(2)/2)*DB48*DE48*VLOOKUP('Données projet'!$B$13,Paramètres!$A$1:$I$89,3,0)*0.475*44/12</f>
        <v>#N/A</v>
      </c>
      <c r="DI48" s="22" t="e">
        <f t="shared" si="15"/>
        <v>#N/A</v>
      </c>
      <c r="DJ48" s="75">
        <f>('Scénario référence'!$F$8+'Scénario référence'!$F$9+'Scénario référence'!$B$17+'Scénario référence'!$B$9+'Scénario référence'!$B$10)*70+IF((45+25*(1-EXP(-0.0175*A48)))&lt;70,'Scénario référence'!$B$16*(45+25*(1-EXP(-0.0175*A48))),70*'Scénario référence'!$B$16)+IF((32+38*(1-EXP(-0.0175*A48)))&lt;70,'Scénario référence'!$B$18*(32+38*(1-EXP(-0.0175*A48))),70*'Scénario référence'!$B$18)</f>
        <v>70</v>
      </c>
      <c r="DK48" s="12">
        <f>IF(A48&gt;30,10,('Scénario référence'!$B$16+'Scénario référence'!$B$17+'Scénario référence'!$B$18+'Scénario référence'!$B$9+'Scénario référence'!$B$10)*A48*10/30+('Scénario référence'!$F$8+'Scénario référence'!$F$9)*10)</f>
        <v>10</v>
      </c>
      <c r="DL48" s="12" t="e">
        <f>VLOOKUP(A48,'Données projet'!$A$165:$I$185,2,0)</f>
        <v>#N/A</v>
      </c>
      <c r="DM48" s="12" t="e">
        <f>VLOOKUP(A48,'Données projet'!$A$165:$I$185,9,0)</f>
        <v>#N/A</v>
      </c>
      <c r="DN48" s="12">
        <f t="array" ref="DN48">INDEX(DM:DM,MIN(IF(ISNUMBER(DM48:DM244),ROW(DM48:DM244),"")))</f>
        <v>7.8</v>
      </c>
      <c r="DO48" s="12">
        <f>IF('Données projet'!$A$166&gt;35,DO47+DN48-DW47,IF(A48&lt;'Données projet'!$A$166,$DL$205^A48,IF(A48='Données projet'!$A$166,'Données projet'!$B$166,DO47+DN48-DW47)))</f>
        <v>234.99999999999994</v>
      </c>
      <c r="DP48" s="17">
        <f>DO48*VLOOKUP('Données projet'!$B$14,Paramètres!$A$1:$I$89,3,0)*VLOOKUP('Données projet'!$B$14,Paramètres!$A$1:$I$89,5,0)</f>
        <v>153.97199999999995</v>
      </c>
      <c r="DQ48" s="13">
        <f t="shared" si="43"/>
        <v>39.479859284656378</v>
      </c>
      <c r="DR48" s="20">
        <f t="shared" si="16"/>
        <v>336.92865492077641</v>
      </c>
      <c r="DS48" s="59">
        <f t="shared" si="17"/>
        <v>630.26198825410972</v>
      </c>
      <c r="DT48" s="59">
        <f ca="1">AVERAGE(OFFSET($DS$3,0,0,'Données projet'!$E$14+1,1))-AVERAGE(OFFSET($H$3,0,0,'Données projet'!$E$14+1,1))</f>
        <v>188.68915783955595</v>
      </c>
      <c r="DU48" s="59">
        <f t="shared" si="44"/>
        <v>240.82467772396944</v>
      </c>
      <c r="DV48" s="15">
        <f>IF(ISNA(VLOOKUP(A48,'Données projet'!$A$165:$I$185,3,0)),0,VLOOKUP(A48,'Données projet'!$A$165:$I$185,3,0))</f>
        <v>0</v>
      </c>
      <c r="DW48" s="15">
        <f>IF(ISNA(VLOOKUP(A48,'Données projet'!$A$165:$I$185,4,0)),0,VLOOKUP(A48,'Données projet'!$A$165:$I$185,4,0))</f>
        <v>0</v>
      </c>
      <c r="DX48" s="16">
        <f>IF(ISNA(VLOOKUP(A48,'Données projet'!$A$165:$I$185,5,0)),0%,VLOOKUP(A48,'Données projet'!$A$165:$I$185,5,0)*VLOOKUP('Données projet'!$B$14,Paramètres!$A$1:$I$89,7,0))</f>
        <v>0</v>
      </c>
      <c r="DY48" s="16">
        <f>IF(ISNA(VLOOKUP(A48,'Données projet'!$A$165:$I$185,6,0)),0%,VLOOKUP(A48,'Données projet'!$A$165:$I$185,6,0)*VLOOKUP('Données projet'!$B$14,Paramètres!$A$1:$I$89,7,0))</f>
        <v>0</v>
      </c>
      <c r="DZ48" s="16">
        <f>IF(ISNA(VLOOKUP(A48,'Données projet'!$A$165:$I$185,7,0)),0%,VLOOKUP(A48,'Données projet'!$A$165:$I$185,7,0))</f>
        <v>0</v>
      </c>
      <c r="EA48" s="21">
        <f>EXP(-LN(2)/35)*EA47+(1-EXP(-LN(2)/35))/(LN(2)/35)*DW48*DX48*VLOOKUP('Données projet'!$B$14,Paramètres!$A$1:$I$89,3,0)*0.475*44/12</f>
        <v>1.1570352859484674</v>
      </c>
      <c r="EB48" s="21">
        <f>EXP(-LN(2)/25)*EB47+(1-EXP(-LN(2)/25))/(LN(2)/25)*Calculateur!DW48*Calculateur!DY48*VLOOKUP('Données projet'!$B$14,Paramètres!$A$1:$I$89,3,0)*0.475*44/12</f>
        <v>5.3031215864198291</v>
      </c>
      <c r="EC48" s="21">
        <f>EXP(-LN(2)/2)*EC47+(1-EXP(-LN(2)/2))/(LN(2)/2)*DW48*DZ48*VLOOKUP('Données projet'!$B$14,Paramètres!$A$1:$I$89,3,0)*0.475*44/12</f>
        <v>7.7319960932035789E-2</v>
      </c>
      <c r="ED48" s="22">
        <f t="shared" si="18"/>
        <v>6.5374768333003317</v>
      </c>
      <c r="EE48" s="75">
        <f>('Scénario référence'!$F$8+'Scénario référence'!$F$9+'Scénario référence'!$B$17+'Scénario référence'!$B$9+'Scénario référence'!$B$10)*70+IF((45+25*(1-EXP(-0.0175*A48)))&lt;70,'Scénario référence'!$B$16*(45+25*(1-EXP(-0.0175*A48))),70*'Scénario référence'!$B$16)+IF((32+38*(1-EXP(-0.0175*A48)))&lt;70,'Scénario référence'!$B$18*(32+38*(1-EXP(-0.0175*A48))),70*'Scénario référence'!$B$18)</f>
        <v>70</v>
      </c>
      <c r="EF48" s="12">
        <f>IF(A48&gt;30,10,('Scénario référence'!$B$16+'Scénario référence'!$B$17+'Scénario référence'!$B$18+'Scénario référence'!$B$9+'Scénario référence'!$B$10)*A48*10/30+('Scénario référence'!$F$8+'Scénario référence'!$F$9)*10)</f>
        <v>10</v>
      </c>
      <c r="EG48" s="12" t="e">
        <f>VLOOKUP(A48,'Données projet'!$A$191:$I$211,2,0)</f>
        <v>#N/A</v>
      </c>
      <c r="EH48" s="12" t="e">
        <f>VLOOKUP(A48,'Données projet'!$A$191:$I$211,9,0)</f>
        <v>#N/A</v>
      </c>
      <c r="EI48" s="12">
        <f t="array" ref="EI48">INDEX(EH:EH,MIN(IF(ISNUMBER(EH48:EH244),ROW(EH48:EH244),"")))</f>
        <v>7</v>
      </c>
      <c r="EJ48" s="12">
        <f>IF('Données projet'!$A$192&gt;35,EJ47+EI48-ER47,IF(A48&lt;'Données projet'!$A$192,$EG$205^A48,IF(A48='Données projet'!$A$192,'Données projet'!$B$192,EJ47+EI48-ER47)))</f>
        <v>184.99999999999991</v>
      </c>
      <c r="EK48" s="17">
        <f>EJ48*VLOOKUP('Données projet'!$B$15,Paramètres!$A$1:$I$89,3,0)*VLOOKUP('Données projet'!$B$15,Paramètres!$A$1:$I$89,5,0)</f>
        <v>150.07199999999995</v>
      </c>
      <c r="EL48" s="13">
        <f t="shared" si="45"/>
        <v>38.594947422201457</v>
      </c>
      <c r="EM48" s="20">
        <f t="shared" si="19"/>
        <v>328.5949334270008</v>
      </c>
      <c r="EN48" s="59">
        <f t="shared" si="20"/>
        <v>621.92826676033405</v>
      </c>
      <c r="EO48" s="59">
        <f ca="1">AVERAGE(OFFSET($EN$3,0,0,'Données projet'!$E$15+1,1))-AVERAGE(OFFSET($H$3,0,0,'Données projet'!$E$15+1,1))</f>
        <v>205.5272583787887</v>
      </c>
      <c r="EP48" s="59">
        <f t="shared" si="46"/>
        <v>180.54762778843178</v>
      </c>
      <c r="EQ48" s="15">
        <f>IF(ISNA(VLOOKUP(A48,'Données projet'!$A$191:$I$211,3,0)),0,VLOOKUP(A48,'Données projet'!$A$191:$I$211,3,0))</f>
        <v>0</v>
      </c>
      <c r="ER48" s="15">
        <f>IF(ISNA(VLOOKUP(A48,'Données projet'!$A$191:$I$211,4,0)),0,VLOOKUP(A48,'Données projet'!$A$191:$I$211,4,0))</f>
        <v>0</v>
      </c>
      <c r="ES48" s="16">
        <f>IF(ISNA(VLOOKUP(A48,'Données projet'!$A$191:$I$211,5,0)),0%,VLOOKUP(A48,'Données projet'!$A$191:$I$211,5,0)*VLOOKUP('Données projet'!$B$15,Paramètres!$A$1:$I$89,7,0))</f>
        <v>0</v>
      </c>
      <c r="ET48" s="16">
        <f>IF(ISNA(VLOOKUP(A48,'Données projet'!$A$191:$I$211,6,0)),0%,VLOOKUP(A48,'Données projet'!$A$191:$I$211,6,0)*VLOOKUP('Données projet'!$B$15,Paramètres!$A$1:$I$89,7,0))</f>
        <v>0</v>
      </c>
      <c r="EU48" s="16">
        <f>IF(ISNA(VLOOKUP(A48,'Données projet'!$A$191:$I$211,7,0)),0%,VLOOKUP(A48,'Données projet'!$A$191:$I$211,7,0))</f>
        <v>0</v>
      </c>
      <c r="EV48" s="21">
        <f>EXP(-LN(2)/35)*EV47+(1-EXP(-LN(2)/35))/(LN(2)/35)*ER48*ES48*VLOOKUP('Données projet'!$B$15,Paramètres!$A$1:$I$89,3,0)*0.475*44/12</f>
        <v>0.74491033647729898</v>
      </c>
      <c r="EW48" s="21">
        <f>EXP(-LN(2)/25)*EW47+(1-EXP(-LN(2)/25))/(LN(2)/25)*Calculateur!ER48*Calculateur!ET48*VLOOKUP('Données projet'!$B$15,Paramètres!$A$1:$I$89,3,0)*0.475*44/12</f>
        <v>3.8290146607053122</v>
      </c>
      <c r="EX48" s="21">
        <f>EXP(-LN(2)/2)*EX47+(1-EXP(-LN(2)/2))/(LN(2)/2)*ER48*EU48*VLOOKUP('Données projet'!$B$15,Paramètres!$A$1:$I$89,3,0)*0.475*44/12</f>
        <v>5.0064731875898529E-2</v>
      </c>
      <c r="EY48" s="22">
        <f t="shared" si="21"/>
        <v>4.6239897290585095</v>
      </c>
      <c r="EZ48" s="75">
        <f>('Scénario référence'!$F$8+'Scénario référence'!$F$9+'Scénario référence'!$B$17+'Scénario référence'!$B$9+'Scénario référence'!$B$10)*70+IF((45+25*(1-EXP(-0.0175*A48)))&lt;70,'Scénario référence'!$B$16*(45+25*(1-EXP(-0.0175*A48))),70*'Scénario référence'!$B$16)+IF((32+38*(1-EXP(-0.0175*A48)))&lt;70,'Scénario référence'!$B$18*(32+38*(1-EXP(-0.0175*A48))),70*'Scénario référence'!$B$18)</f>
        <v>70</v>
      </c>
      <c r="FA48" s="12">
        <f>IF(A48&gt;30,10,('Scénario référence'!$B$16+'Scénario référence'!$B$17+'Scénario référence'!$B$18+'Scénario référence'!$B$9+'Scénario référence'!$B$10)*A48*10/30+('Scénario référence'!$F$8+'Scénario référence'!$F$9)*10)</f>
        <v>10</v>
      </c>
      <c r="FB48" s="12" t="e">
        <f>VLOOKUP(A48,'Données projet'!$A$217:$I$237,2,0)</f>
        <v>#N/A</v>
      </c>
      <c r="FC48" s="12" t="e">
        <f>VLOOKUP(A48,'Données projet'!$A$217:$I$237,9,0)</f>
        <v>#N/A</v>
      </c>
      <c r="FD48" s="12">
        <f t="array" ref="FD48">INDEX(FC:FC,MIN(IF(ISNUMBER(FC48:FC244),ROW(FC48:FC244),"")))</f>
        <v>13.4</v>
      </c>
      <c r="FE48" s="12">
        <f>IF('Données projet'!$A$218&gt;35,FE47+FD48-FM47,IF(A48&lt;'Données projet'!$A$218,$FB$205^A48,IF(A48='Données projet'!$A$218,'Données projet'!$B$218,FE47+FD48-FM47)))</f>
        <v>217.00000000000009</v>
      </c>
      <c r="FF48" s="17">
        <f>FE48*VLOOKUP('Données projet'!$B$16,Paramètres!$A$1:$I$89,3,0)*VLOOKUP('Données projet'!$B$16,Paramètres!$A$1:$I$89,5,0)</f>
        <v>186.18600000000009</v>
      </c>
      <c r="FG48" s="13">
        <f t="shared" si="47"/>
        <v>46.69573903947046</v>
      </c>
      <c r="FH48" s="20">
        <f t="shared" si="22"/>
        <v>405.60236216041113</v>
      </c>
      <c r="FI48" s="59">
        <f t="shared" si="23"/>
        <v>698.93569549374445</v>
      </c>
      <c r="FJ48" s="59">
        <f ca="1">AVERAGE(OFFSET($FI$3,0,0,'Données projet'!$E$16+1,1))-AVERAGE(OFFSET($H$3,0,0,'Données projet'!$E$16+1,1))</f>
        <v>383.97627237444709</v>
      </c>
      <c r="FK48" s="59">
        <f t="shared" si="48"/>
        <v>203.35476578922339</v>
      </c>
      <c r="FL48" s="15">
        <f>IF(ISNA(VLOOKUP(A48,'Données projet'!$A$217:$I$237,3,0)),0,VLOOKUP(A48,'Données projet'!$A$217:$I$237,3,0))</f>
        <v>0</v>
      </c>
      <c r="FM48" s="15">
        <f>IF(ISNA(VLOOKUP(A48,'Données projet'!$A$217:$I$237,4,0)),0,VLOOKUP(A48,'Données projet'!$A$217:$I$237,4,0))</f>
        <v>0</v>
      </c>
      <c r="FN48" s="16">
        <f>IF(ISNA(VLOOKUP(A48,'Données projet'!$A$217:$I$237,5,0)),0%,VLOOKUP(A48,'Données projet'!$A$217:$I$237,5,0)*VLOOKUP('Données projet'!$B$16,Paramètres!$A$1:$I$89,7,0))</f>
        <v>0</v>
      </c>
      <c r="FO48" s="16">
        <f>IF(ISNA(VLOOKUP(A48,'Données projet'!$A$217:$I$237,6,0)),0%,VLOOKUP(A48,'Données projet'!$A$217:$I$237,6,0)*VLOOKUP('Données projet'!$B$16,Paramètres!$A$1:$I$89,7,0))</f>
        <v>0</v>
      </c>
      <c r="FP48" s="16">
        <f>IF(ISNA(VLOOKUP(A48,'Données projet'!$A$217:$I$237,7,0)),0%,VLOOKUP(A48,'Données projet'!$A$217:$I$237,7,0))</f>
        <v>0</v>
      </c>
      <c r="FQ48" s="21">
        <f>EXP(-LN(2)/35)*FQ47+(1-EXP(-LN(2)/35))/(LN(2)/35)*FM48*FN48*VLOOKUP('Données projet'!$B$16,Paramètres!$A$1:$I$89,3,0)*0.475*44/12</f>
        <v>3.8284350000036316</v>
      </c>
      <c r="FR48" s="21">
        <f>EXP(-LN(2)/25)*FR47+(1-EXP(-LN(2)/25))/(LN(2)/25)*Calculateur!FM48*Calculateur!FO48*VLOOKUP('Données projet'!$B$16,Paramètres!$A$1:$I$89,3,0)*0.475*44/12</f>
        <v>3.8868456468935531</v>
      </c>
      <c r="FS48" s="21">
        <f>EXP(-LN(2)/2)*FS47+(1-EXP(-LN(2)/2))/(LN(2)/2)*FM48*FP48*VLOOKUP('Données projet'!$B$16,Paramètres!$A$1:$I$89,3,0)*0.475*44/12</f>
        <v>9.1958637685444017E-2</v>
      </c>
      <c r="FT48" s="22">
        <f t="shared" si="24"/>
        <v>7.8072392845826286</v>
      </c>
      <c r="FU48" s="75">
        <f>('Scénario référence'!$F$8+'Scénario référence'!$F$9+'Scénario référence'!$B$17+'Scénario référence'!$B$9+'Scénario référence'!$B$10)*70+IF((45+25*(1-EXP(-0.0175*A48)))&lt;70,'Scénario référence'!$B$16*(45+25*(1-EXP(-0.0175*A48))),70*'Scénario référence'!$B$16)+IF((32+38*(1-EXP(-0.0175*A48)))&lt;70,'Scénario référence'!$B$18*(32+38*(1-EXP(-0.0175*A48))),70*'Scénario référence'!$B$18)</f>
        <v>70</v>
      </c>
      <c r="FV48" s="12">
        <f>IF(A48&gt;30,10,('Scénario référence'!$B$16+'Scénario référence'!$B$17+'Scénario référence'!$B$18+'Scénario référence'!$B$9+'Scénario référence'!$B$10)*A48*10/30+('Scénario référence'!$F$8+'Scénario référence'!$F$9)*10)</f>
        <v>10</v>
      </c>
      <c r="FW48" s="12" t="e">
        <f>VLOOKUP(A48,'Données projet'!$A$243:$I$263,2,0)</f>
        <v>#N/A</v>
      </c>
      <c r="FX48" s="12" t="e">
        <f>VLOOKUP(A48,'Données projet'!$A$243:$I$263,9,0)</f>
        <v>#N/A</v>
      </c>
      <c r="FY48" s="12">
        <f t="array" ref="FY48">INDEX(FX:FX,MIN(IF(ISNUMBER(FX48:FX244),ROW(FX48:FX244),"")))</f>
        <v>9.3452380952380913</v>
      </c>
      <c r="FZ48" s="12">
        <f>IF('Données projet'!$A$244&gt;35,FZ47+FY48-GH47,IF(A48&lt;'Données projet'!$A$244,$FW$205^A48,IF(A48='Données projet'!$A$244,'Données projet'!$B$244,FZ47+FY48-GH47)))</f>
        <v>156.31684981684984</v>
      </c>
      <c r="GA48" s="17">
        <f>FZ48*VLOOKUP('Données projet'!$B$17,Paramètres!$A$1:$I$89,3,0)*VLOOKUP('Données projet'!$B$17,Paramètres!$A$1:$I$89,5,0)</f>
        <v>168.25945714285714</v>
      </c>
      <c r="GB48" s="13">
        <f t="shared" si="49"/>
        <v>42.699966707601448</v>
      </c>
      <c r="GC48" s="20">
        <f t="shared" si="25"/>
        <v>367.4209965395487</v>
      </c>
      <c r="GD48" s="59">
        <f t="shared" si="26"/>
        <v>660.75432987288195</v>
      </c>
      <c r="GE48" s="59">
        <f ca="1">AVERAGE(OFFSET($GD$3,0,0,'Données projet'!$E$17+1,1))-AVERAGE(OFFSET($H$3,0,0,'Données projet'!$E$17+1,1))</f>
        <v>286.77702855541287</v>
      </c>
      <c r="GF48" s="59">
        <f t="shared" si="50"/>
        <v>227.12211541860779</v>
      </c>
      <c r="GG48" s="15">
        <f>IF(ISNA(VLOOKUP(A48,'Données projet'!$A$243:$I$263,3,0)),0,VLOOKUP(A48,'Données projet'!$A$243:$I$263,3,0))</f>
        <v>0</v>
      </c>
      <c r="GH48" s="15">
        <f>IF(ISNA(VLOOKUP(A48,'Données projet'!$A$243:$I$263,4,0)),0,VLOOKUP(A48,'Données projet'!$A$243:$I$263,4,0))</f>
        <v>0</v>
      </c>
      <c r="GI48" s="16">
        <f>IF(ISNA(VLOOKUP(A48,'Données projet'!$A$243:$I$263,5,0)),0%,VLOOKUP(A48,'Données projet'!$A$243:$I$263,5,0)*VLOOKUP('Données projet'!$B$17,Paramètres!$A$1:$I$89,7,0))</f>
        <v>0</v>
      </c>
      <c r="GJ48" s="16">
        <f>IF(ISNA(VLOOKUP(A48,'Données projet'!$A$243:$I$263,6,0)),0%,VLOOKUP(A48,'Données projet'!$A$243:$I$263,6,0)*VLOOKUP('Données projet'!$B$17,Paramètres!$A$1:$I$89,7,0))</f>
        <v>0</v>
      </c>
      <c r="GK48" s="16">
        <f>IF(ISNA(VLOOKUP(A48,'Données projet'!$A$243:$I$263,7,0)),0%,VLOOKUP(A48,'Données projet'!$A$243:$I$263,7,0))</f>
        <v>0</v>
      </c>
      <c r="GL48" s="21">
        <f>EXP(-LN(2)/35)*GL47+(1-EXP(-LN(2)/35))/(LN(2)/35)*GH48*GI48*VLOOKUP('Données projet'!$B$17,Paramètres!$A$1:$I$89,3,0)*0.475*44/12</f>
        <v>0</v>
      </c>
      <c r="GM48" s="21">
        <f>EXP(-LN(2)/25)*GM47+(1-EXP(-LN(2)/25))/(LN(2)/25)*Calculateur!GH48*Calculateur!GJ48*VLOOKUP('Données projet'!$B$17,Paramètres!$A$1:$I$89,3,0)*0.475*44/12</f>
        <v>0</v>
      </c>
      <c r="GN48" s="21">
        <f>EXP(-LN(2)/2)*GN47+(1-EXP(-LN(2)/2))/(LN(2)/2)*GH48*GK48*VLOOKUP('Données projet'!$B$17,Paramètres!$A$1:$I$89,3,0)*0.475*44/12</f>
        <v>0</v>
      </c>
      <c r="GO48" s="21">
        <f t="shared" si="27"/>
        <v>0</v>
      </c>
      <c r="GP48" s="75">
        <f>('Scénario référence'!$F$8+'Scénario référence'!$F$9+'Scénario référence'!$B$17+'Scénario référence'!$B$9+'Scénario référence'!$B$10)*70+IF((45+25*(1-EXP(-0.0175*A48)))&lt;70,'Scénario référence'!$B$16*(45+25*(1-EXP(-0.0175*A48))),70*'Scénario référence'!$B$16)+IF((32+38*(1-EXP(-0.0175*A48)))&lt;70,'Scénario référence'!$B$18*(32+38*(1-EXP(-0.0175*A48))),70*'Scénario référence'!$B$18)</f>
        <v>70</v>
      </c>
      <c r="GQ48" s="12">
        <f>IF(A48&gt;30,10,('Scénario référence'!$B$16+'Scénario référence'!$B$17+'Scénario référence'!$B$18+'Scénario référence'!$B$9+'Scénario référence'!$B$10)*A48*10/30+('Scénario référence'!$F$8+'Scénario référence'!$F$9)*10)</f>
        <v>10</v>
      </c>
      <c r="GR48" s="12" t="e">
        <f>VLOOKUP(A48,'Données projet'!$A$269:$I$289,2,0)</f>
        <v>#N/A</v>
      </c>
      <c r="GS48" s="12" t="e">
        <f>VLOOKUP(A48,'Données projet'!$A$269:$I$289,9,0)</f>
        <v>#N/A</v>
      </c>
      <c r="GT48" s="12">
        <f t="array" ref="GT48">INDEX(GS:GS,MIN(IF(ISNUMBER(GS48:GS244),ROW(GS48:GS244),"")))</f>
        <v>9.3452380952380913</v>
      </c>
      <c r="GU48" s="12">
        <f>IF('Données projet'!$A$270&gt;35,GU47+GT48-HC47,IF(A48&lt;'Données projet'!$A$270,$GR$205^A48,IF(A48='Données projet'!$A$270,'Données projet'!$B$270,GU47+GT48-HC47)))</f>
        <v>156.31684981684984</v>
      </c>
      <c r="GV48" s="17">
        <f>GU48*VLOOKUP('Données projet'!$B$18,Paramètres!$A$1:$I$89,3,0)*VLOOKUP('Données projet'!$B$18,Paramètres!$A$1:$I$89,5,0)</f>
        <v>168.25945714285714</v>
      </c>
      <c r="GW48" s="13">
        <f t="shared" si="51"/>
        <v>42.699966707601448</v>
      </c>
      <c r="GX48" s="20">
        <f t="shared" si="28"/>
        <v>367.4209965395487</v>
      </c>
      <c r="GY48" s="59">
        <f t="shared" si="29"/>
        <v>660.75432987288195</v>
      </c>
      <c r="GZ48" s="59">
        <f ca="1">AVERAGE(OFFSET($GY$3,0,0,'Données projet'!$E$18+1,1))-AVERAGE(OFFSET($H$3,0,0,'Données projet'!$E$18+1,1))</f>
        <v>286.77702855541287</v>
      </c>
      <c r="HA48" s="59">
        <f t="shared" si="52"/>
        <v>227.12211541860779</v>
      </c>
      <c r="HB48" s="15">
        <f>IF(ISNA(VLOOKUP(A48,'Données projet'!$A$269:$I$289,3,0)),0,VLOOKUP(A48,'Données projet'!$A$269:$I$289,3,0))</f>
        <v>0</v>
      </c>
      <c r="HC48" s="15">
        <f>IF(ISNA(VLOOKUP(A48,'Données projet'!$A$269:$I$289,4,0)),0,VLOOKUP(A48,'Données projet'!$A$269:$I$289,4,0))</f>
        <v>0</v>
      </c>
      <c r="HD48" s="16">
        <f>IF(ISNA(VLOOKUP(A48,'Données projet'!$A$269:$I$289,5,0)),0%,VLOOKUP(A48,'Données projet'!$A$269:$I$289,5,0)*VLOOKUP('Données projet'!$B$18,Paramètres!$A$1:$I$89,7,0))</f>
        <v>0</v>
      </c>
      <c r="HE48" s="16">
        <f>IF(ISNA(VLOOKUP(A48,'Données projet'!$A$269:$I$289,6,0)),0%,VLOOKUP(A48,'Données projet'!$A$269:$I$289,6,0)*VLOOKUP('Données projet'!$B$18,Paramètres!$A$1:$I$89,7,0))</f>
        <v>0</v>
      </c>
      <c r="HF48" s="16">
        <f>IF(ISNA(VLOOKUP(A48,'Données projet'!$A$269:$I$289,7,0)),0%,VLOOKUP(A48,'Données projet'!$A$269:$I$289,7,0))</f>
        <v>0</v>
      </c>
      <c r="HG48" s="21">
        <f>EXP(-LN(2)/35)*HG47+(1-EXP(-LN(2)/35))/(LN(2)/35)*HC48*HD48*VLOOKUP('Données projet'!$B$18,Paramètres!$A$1:$I$89,3,0)*0.475*44/12</f>
        <v>0</v>
      </c>
      <c r="HH48" s="21">
        <f>EXP(-LN(2)/25)*HH47+(1-EXP(-LN(2)/25))/(LN(2)/25)*Calculateur!HC48*Calculateur!HE48*VLOOKUP('Données projet'!$B$18,Paramètres!$A$1:$I$89,3,0)*0.475*44/12</f>
        <v>0</v>
      </c>
      <c r="HI48" s="21">
        <f>EXP(-LN(2)/2)*HI47+(1-EXP(-LN(2)/2))/(LN(2)/2)*HC48*HF48*VLOOKUP('Données projet'!$B$18,Paramètres!$A$1:$I$89,3,0)*0.475*44/12</f>
        <v>0</v>
      </c>
      <c r="HJ48" s="22">
        <f t="shared" si="30"/>
        <v>0</v>
      </c>
    </row>
    <row r="49" spans="1:218" x14ac:dyDescent="0.25">
      <c r="A49" s="10">
        <f t="shared" si="31"/>
        <v>46</v>
      </c>
      <c r="B49" s="73">
        <f>'Scénario référence'!$B$16*5+'Scénario référence'!$B$17*0+'Scénario référence'!$B$18*5</f>
        <v>0</v>
      </c>
      <c r="C49" s="19">
        <f>Calculateur!C48+'Scénario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40.903200000000012</v>
      </c>
      <c r="D49" s="11">
        <f t="shared" si="32"/>
        <v>12.237728178480605</v>
      </c>
      <c r="E4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49" s="11">
        <f>IF(OR('Scénario référence'!$F$8&gt;0,'Scénario référence'!$F$9&gt;0),('Scénario référence'!$F$8+'Scénario référence'!$F$9)*10,0)</f>
        <v>10</v>
      </c>
      <c r="G49" s="11">
        <f>'Scénario référence'!$B$8*B49*44/12+'Scénario référence'!$B$9*(C49+D49)/0.475*44/12+'Scénario référence'!$B$10*(C49+D49)/0.475*44/12+'Scénario référence'!$F$8*(C49+D49)/0.475*44/12+'Scénario référence'!$F$9*(C49+D49)/0.475*44/12</f>
        <v>410.21067365844692</v>
      </c>
      <c r="H49" s="67">
        <f t="shared" si="1"/>
        <v>385.88711657752037</v>
      </c>
      <c r="I49" s="70">
        <f>('Scénario référence'!$F$8+'Scénario référence'!$F$9+'Scénario référence'!$B$17+'Scénario référence'!$B$9+'Scénario référence'!$B$10)*70+IF((45+25*(1-EXP(-0.0175*A49)))&lt;70,'Scénario référence'!$B$16*(45+25*(1-EXP(-0.0175*A49))),70*'Scénario référence'!$B$16)+IF((32+38*(1-EXP(-0.0175*A49)))&lt;70,'Scénario référence'!$B$18*(32+38*(1-EXP(-0.0175*A49))),70*'Scénario référence'!$B$18)</f>
        <v>70</v>
      </c>
      <c r="J49" s="13">
        <f>IF(A49&gt;30,10,('Scénario référence'!$B$16+'Scénario référence'!$B$17+'Scénario référence'!$B$18+'Scénario référence'!$B$9+'Scénario référence'!$B$10)*A49*10/30+('Scénario référence'!$F$8+'Scénario référence'!$F$9)*10)</f>
        <v>10</v>
      </c>
      <c r="K49" s="12" t="e">
        <f>VLOOKUP(A49,'Données projet'!$A$35:$I$55,2,0)</f>
        <v>#N/A</v>
      </c>
      <c r="L49" s="12" t="e">
        <f>VLOOKUP(A49,'Données projet'!$A$35:$I$55,9,0)</f>
        <v>#N/A</v>
      </c>
      <c r="M49" s="12">
        <f t="array" ref="M49">INDEX(L:L,MIN(IF(ISNUMBER(L49:L245),ROW(L49:L245),"")))</f>
        <v>21.625641025641027</v>
      </c>
      <c r="N49" s="13">
        <f>IF('Données projet'!$A$36&gt;35,N48+M49-V48,IF(A49&lt;'Données projet'!$A$36,$K$205^A49,IF(A49='Données projet'!$A$36,'Données projet'!$B$36,N48+M49-V48)))</f>
        <v>481.83333333333314</v>
      </c>
      <c r="O49" s="13">
        <f>N49*VLOOKUP('Données projet'!$B$9,Paramètres!$A$1:$I$89,3,0)*VLOOKUP('Données projet'!$B$9,Paramètres!$A$1:$I$89,5,0)</f>
        <v>269.34483333333321</v>
      </c>
      <c r="P49" s="13">
        <f t="shared" si="33"/>
        <v>64.710206731812519</v>
      </c>
      <c r="Q49" s="20">
        <f t="shared" si="53"/>
        <v>581.81252811346212</v>
      </c>
      <c r="R49" s="59">
        <f t="shared" si="0"/>
        <v>875.14586144679538</v>
      </c>
      <c r="S49" s="59">
        <f ca="1">AVERAGE(OFFSET($R$3,0,0,'Données projet'!$E$9+1,1))-AVERAGE(OFFSET($H$3,0,0,'Données projet'!$E$9+1,1))</f>
        <v>255.5374979188561</v>
      </c>
      <c r="T49" s="59">
        <f t="shared" si="34"/>
        <v>343.10418468620901</v>
      </c>
      <c r="U49" s="15">
        <f>IF(ISNA(VLOOKUP(A49,'Données projet'!$A$35:$I$55,3,0)),0,VLOOKUP(A49,'Données projet'!$A$35:$I$55,3,0))</f>
        <v>0</v>
      </c>
      <c r="V49" s="15">
        <f>IF(ISNA(VLOOKUP(A49,'Données projet'!$A$35:$I$55,4,0)),0,VLOOKUP(A49,'Données projet'!$A$35:$I$55,4,0))</f>
        <v>0</v>
      </c>
      <c r="W49" s="16">
        <f>IF(ISNA(VLOOKUP(A49,'Données projet'!$A$35:$I$55,5,0)),0%,VLOOKUP(A49,'Données projet'!$A$35:$I$55,5,0)*VLOOKUP('Données projet'!$B$9,Paramètres!$A$1:$I$89,7,0))</f>
        <v>0</v>
      </c>
      <c r="X49" s="16">
        <f>IF(ISNA(VLOOKUP(A49,'Données projet'!$A$35:$I$55,6,0)),0%,VLOOKUP(A49,'Données projet'!$A$35:$I$55,6,0)*VLOOKUP('Données projet'!$B$9,Paramètres!$A$1:$I$89,7,0))</f>
        <v>0</v>
      </c>
      <c r="Y49" s="16">
        <f>IF(ISNA(VLOOKUP(A49,'Données projet'!$A$35:$I$55,7,0)),0%,VLOOKUP(A49,'Données projet'!$A$35:$I$55,7,0))</f>
        <v>0</v>
      </c>
      <c r="Z49" s="21">
        <f>EXP(-LN(2)/35)*Z48+(1-EXP(-LN(2)/35))/(LN(2)/35)*V49*W49*VLOOKUP('Données projet'!$B$9,Paramètres!$A$1:$I$89,3,0)*0.475*44/12</f>
        <v>2.2508704931286219</v>
      </c>
      <c r="AA49" s="21">
        <f>EXP(-LN(2)/25)*AA48+(1-EXP(-LN(2)/25))/(LN(2)/25)*Calculateur!V49*Calculateur!X49*VLOOKUP('Données projet'!$B$9,Paramètres!$A$1:$I$89,3,0)*0.475*44/12</f>
        <v>10.241904949800379</v>
      </c>
      <c r="AB49" s="21">
        <f>EXP(-LN(2)/2)*AB48+(1-EXP(-LN(2)/2))/(LN(2)/2)*V49*Y49*VLOOKUP('Données projet'!$B$9,Paramètres!$A$1:$I$89,3,0)*0.475*44/12</f>
        <v>6.6119221853674455E-3</v>
      </c>
      <c r="AC49" s="22">
        <f t="shared" si="3"/>
        <v>12.499387365114368</v>
      </c>
      <c r="AD49" s="13">
        <f>('Scénario référence'!$F$8+'Scénario référence'!$F$9+'Scénario référence'!$B$17+'Scénario référence'!$B$9+'Scénario référence'!$B$10)*70+IF((45+25*(1-EXP(-0.0175*A49)))&lt;70,'Scénario référence'!$B$16*(45+25*(1-EXP(-0.0175*A49))),70*'Scénario référence'!$B$16)+IF((32+38*(1-EXP(-0.0175*A49)))&lt;70,'Scénario référence'!$B$18*(32+38*(1-EXP(-0.0175*A49))),70*'Scénario référence'!$B$18)</f>
        <v>70</v>
      </c>
      <c r="AE49" s="13">
        <f>IF(A49&gt;30,10,('Scénario référence'!$B$16+'Scénario référence'!$B$17+'Scénario référence'!$B$18+'Scénario référence'!$B$9+'Scénario référence'!$B$10)*A49*10/30+('Scénario référence'!$F$8+'Scénario référence'!$F$9)*10)</f>
        <v>10</v>
      </c>
      <c r="AF49" s="12" t="e">
        <f>VLOOKUP(A49,'Données projet'!$A$61:$I$81,2,0)</f>
        <v>#N/A</v>
      </c>
      <c r="AG49" s="12" t="e">
        <f>VLOOKUP(A49,'Données projet'!$A$61:$I$81,9,0)</f>
        <v>#N/A</v>
      </c>
      <c r="AH49" s="12">
        <f t="array" ref="AH49">INDEX(AG:AG,MIN(IF(ISNUMBER(AG49:AG245),ROW(AG49:AG245),"")))</f>
        <v>12.4</v>
      </c>
      <c r="AI49" s="13">
        <f>IF('Données projet'!$A$62&gt;35,AI48+AH49-AQ48,IF(A49&lt;'Données projet'!$A$62,$AF$205^A49,IF(A49='Données projet'!$A$62,'Données projet'!$B$62,AI48+AH49-AQ48)))</f>
        <v>322.39999999999998</v>
      </c>
      <c r="AJ49" s="13">
        <f>AI49*VLOOKUP('Données projet'!$B$10,Paramètres!$A$1:$I$89,3,0)*VLOOKUP('Données projet'!$B$10,Paramètres!$A$1:$I$89,5,0)</f>
        <v>201.17759999999998</v>
      </c>
      <c r="AK49" s="13">
        <f t="shared" si="35"/>
        <v>50.002880070410733</v>
      </c>
      <c r="AL49" s="20">
        <f t="shared" si="4"/>
        <v>437.47266945596533</v>
      </c>
      <c r="AM49" s="59">
        <f t="shared" si="5"/>
        <v>730.80600278929865</v>
      </c>
      <c r="AN49" s="59">
        <f ca="1">AVERAGE(OFFSET($AM$3,0,0,'Données projet'!$E$10+1,1))-AVERAGE(OFFSET($H$3,0,0,'Données projet'!$E$10+1,1))</f>
        <v>261.78489480911571</v>
      </c>
      <c r="AO49" s="59">
        <f t="shared" si="36"/>
        <v>297.50513563712764</v>
      </c>
      <c r="AP49" s="15">
        <f>IF(ISNA(VLOOKUP(A49,'Données projet'!$A$61:$I$81,3,0)),0,VLOOKUP(A49,'Données projet'!$A$61:$I$81,3,0))</f>
        <v>0</v>
      </c>
      <c r="AQ49" s="15">
        <f>IF(ISNA(VLOOKUP(A49,'Données projet'!$A$61:$I$81,4,0)),0,VLOOKUP(A49,'Données projet'!$A$61:$I$81,4,0))</f>
        <v>0</v>
      </c>
      <c r="AR49" s="16">
        <f>IF(ISNA(VLOOKUP(A49,'Données projet'!$A$61:$I$81,5,0)),0%,VLOOKUP(A49,'Données projet'!$A$61:$I$81,5,0)*VLOOKUP('Données projet'!$B$10,Paramètres!$A$1:$I$89,7,0))</f>
        <v>0</v>
      </c>
      <c r="AS49" s="16">
        <f>IF(ISNA(VLOOKUP(A49,'Données projet'!$A$61:$I$81,6,0)),0%,VLOOKUP(A49,'Données projet'!$A$61:$I$81,6,0)*VLOOKUP('Données projet'!$B$10,Paramètres!$A$1:$I$89,7,0))</f>
        <v>0</v>
      </c>
      <c r="AT49" s="16">
        <f>IF(ISNA(VLOOKUP(A49,'Données projet'!$A$61:$I$81,7,0)),0%,VLOOKUP(A49,'Données projet'!$A$61:$I$81,7,0))</f>
        <v>0</v>
      </c>
      <c r="AU49" s="21">
        <f>EXP(-LN(2)/35)*AU48+(1-EXP(-LN(2)/35))/(LN(2)/35)*AQ49*AR49*VLOOKUP('Données projet'!$B$10,Paramètres!$A$1:$I$89,3,0)*0.475*44/12</f>
        <v>6.0779869871126149</v>
      </c>
      <c r="AV49" s="21">
        <f>EXP(-LN(2)/25)*AV48+(1-EXP(-LN(2)/25))/(LN(2)/25)*Calculateur!AQ49*Calculateur!AS49*VLOOKUP('Données projet'!$B$10,Paramètres!$A$1:$I$89,3,0)*0.475*44/12</f>
        <v>17.884454990242855</v>
      </c>
      <c r="AW49" s="21">
        <f>EXP(-LN(2)/2)*AW48+(1-EXP(-LN(2)/2))/(LN(2)/2)*AQ49*AT49*VLOOKUP('Données projet'!$B$10,Paramètres!$A$1:$I$89,3,0)*0.475*44/12</f>
        <v>9.5317152878562031E-2</v>
      </c>
      <c r="AX49" s="21">
        <f t="shared" si="6"/>
        <v>24.057759130234029</v>
      </c>
      <c r="AY49" s="74">
        <f>('Scénario référence'!$F$8+'Scénario référence'!$F$9+'Scénario référence'!$B$17+'Scénario référence'!$B$9+'Scénario référence'!$B$10)*70+IF((45+25*(1-EXP(-0.0175*A49)))&lt;70,'Scénario référence'!$B$16*(45+25*(1-EXP(-0.0175*A49))),70*'Scénario référence'!$B$16)+IF((32+38*(1-EXP(-0.0175*A49)))&lt;70,'Scénario référence'!$B$18*(32+38*(1-EXP(-0.0175*A49))),70*'Scénario référence'!$B$18)</f>
        <v>70</v>
      </c>
      <c r="AZ49" s="12">
        <f>IF(A49&gt;30,10,('Scénario référence'!$B$16+'Scénario référence'!$B$17+'Scénario référence'!$B$18+'Scénario référence'!$B$9+'Scénario référence'!$B$10)*A49*10/30+('Scénario référence'!$F$8+'Scénario référence'!$F$9)*10)</f>
        <v>10</v>
      </c>
      <c r="BA49" s="12" t="e">
        <f>VLOOKUP(A49,'Données projet'!$A$87:$I$107,2,0)</f>
        <v>#N/A</v>
      </c>
      <c r="BB49" s="12" t="e">
        <f>VLOOKUP(A49,'Données projet'!$A$87:$I$107,9,0)</f>
        <v>#N/A</v>
      </c>
      <c r="BC49" s="12">
        <f t="array" ref="BC49">INDEX(BB:BB,MIN(IF(ISNUMBER(BB49:BB245),ROW(BB49:BB245),"")))</f>
        <v>18.899999999999999</v>
      </c>
      <c r="BD49" s="12">
        <f>IF('Données projet'!$A$88&gt;35,BD48+BC49-BL48,IF(A49&lt;'Données projet'!$A$88,$BA$205^A49,IF(A49='Données projet'!$A$88,'Données projet'!$B$88,BD48+BC49-BL48)))</f>
        <v>359.39999999999981</v>
      </c>
      <c r="BE49" s="13">
        <f>BD49*VLOOKUP('Données projet'!$B$11,Paramètres!$A$1:$I$89,3,0)*VLOOKUP('Données projet'!$B$11,Paramètres!$A$1:$I$89,5,0)</f>
        <v>214.92119999999991</v>
      </c>
      <c r="BF49" s="13">
        <f t="shared" si="37"/>
        <v>53.009537628527006</v>
      </c>
      <c r="BG49" s="20">
        <f t="shared" si="7"/>
        <v>466.64603470301768</v>
      </c>
      <c r="BH49" s="59">
        <f t="shared" si="8"/>
        <v>759.97936803635093</v>
      </c>
      <c r="BI49" s="59">
        <f ca="1">AVERAGE(OFFSET($BH$3,0,0,'Données projet'!$E$11+1,1))-AVERAGE(OFFSET($H$3,0,0,'Données projet'!$E$11+1,1))</f>
        <v>316.58509520829671</v>
      </c>
      <c r="BJ49" s="59">
        <f t="shared" si="38"/>
        <v>240.71332110643596</v>
      </c>
      <c r="BK49" s="15">
        <f>IF(ISNA(VLOOKUP(A49,'Données projet'!$A$87:$I$107,3,0)),0,VLOOKUP(A49,'Données projet'!$A$87:$I$107,3,0))</f>
        <v>0</v>
      </c>
      <c r="BL49" s="15">
        <f>IF(ISNA(VLOOKUP(A49,'Données projet'!$A$87:$I$107,4,0)),0,VLOOKUP(A49,'Données projet'!$A$87:$I$107,4,0))</f>
        <v>0</v>
      </c>
      <c r="BM49" s="16">
        <f>IF(ISNA(VLOOKUP(A49,'Données projet'!$A$87:$I$107,5,0)),0%,VLOOKUP(A49,'Données projet'!$A$87:$I$107,5,0)*VLOOKUP('Données projet'!$B$11,Paramètres!$A$1:$I$89,7,0))</f>
        <v>0</v>
      </c>
      <c r="BN49" s="16">
        <f>IF(ISNA(VLOOKUP(A49,'Données projet'!$A$87:$I$107,6,0)),0%,VLOOKUP(A49,'Données projet'!$A$87:$I$107,6,0)*VLOOKUP('Données projet'!$B$11,Paramètres!$A$1:$I$89,7,0))</f>
        <v>0</v>
      </c>
      <c r="BO49" s="16">
        <f>IF(ISNA(VLOOKUP(A49,'Données projet'!$A$87:$I$107,7,0)),0%,VLOOKUP(A49,'Données projet'!$A$87:$I$107,7,0))</f>
        <v>0</v>
      </c>
      <c r="BP49" s="21">
        <f>EXP(-LN(2)/35)*BP48+(1-EXP(-LN(2)/35))/(LN(2)/35)*BL49*BM49*VLOOKUP('Données projet'!$B$11,Paramètres!$A$1:$I$89,3,0)*0.475*44/12</f>
        <v>1.8462337704529215</v>
      </c>
      <c r="BQ49" s="21">
        <f>EXP(-LN(2)/25)*BQ48+(1-EXP(-LN(2)/25))/(LN(2)/25)*Calculateur!BL49*Calculateur!BN49*VLOOKUP('Données projet'!$B$11,Paramètres!$A$1:$I$89,3,0)*0.475*44/12</f>
        <v>9.7976262776524852</v>
      </c>
      <c r="BR49" s="21">
        <f>EXP(-LN(2)/2)*BR48+(1-EXP(-LN(2)/2))/(LN(2)/2)*BL49*BO49*VLOOKUP('Données projet'!$B$11,Paramètres!$A$1:$I$89,3,0)*0.475*44/12</f>
        <v>8.5700558867737545E-2</v>
      </c>
      <c r="BS49" s="22">
        <f t="shared" si="9"/>
        <v>11.729560606973143</v>
      </c>
      <c r="BT49" s="75">
        <f>('Scénario référence'!$F$8+'Scénario référence'!$F$9+'Scénario référence'!$B$17+'Scénario référence'!$B$9+'Scénario référence'!$B$10)*70+IF((45+25*(1-EXP(-0.0175*A49)))&lt;70,'Scénario référence'!$B$16*(45+25*(1-EXP(-0.0175*A49))),70*'Scénario référence'!$B$16)+IF((32+38*(1-EXP(-0.0175*A49)))&lt;70,'Scénario référence'!$B$18*(32+38*(1-EXP(-0.0175*A49))),70*'Scénario référence'!$B$18)</f>
        <v>70</v>
      </c>
      <c r="BU49" s="12">
        <f>IF(A49&gt;30,10,('Scénario référence'!$B$16+'Scénario référence'!$B$17+'Scénario référence'!$B$18+'Scénario référence'!$B$9+'Scénario référence'!$B$10)*A49*10/30+('Scénario référence'!$F$8+'Scénario référence'!$F$9)*10)</f>
        <v>10</v>
      </c>
      <c r="BV49" s="12" t="e">
        <f>VLOOKUP(A49,'Données projet'!$A$113:$I$133,2,0)</f>
        <v>#N/A</v>
      </c>
      <c r="BW49" s="12" t="e">
        <f>VLOOKUP(A49,'Données projet'!$A$113:$I$133,9,0)</f>
        <v>#N/A</v>
      </c>
      <c r="BX49" s="12">
        <f t="array" ref="BX49">INDEX(BW:BW,MIN(IF(ISNUMBER(BW49:BW245),ROW(BW49:BW245),"")))</f>
        <v>11.9</v>
      </c>
      <c r="BY49" s="12">
        <f>IF('Données projet'!$A$114&gt;35,BY48+BX49-CG48,IF(A49&lt;'Données projet'!$A$114,$BV$205^A49,IF(A49='Données projet'!$A$114,'Données projet'!$B$114,BY48+BX49-CG48)))</f>
        <v>272.39999999999986</v>
      </c>
      <c r="BZ49" s="13">
        <f>BY49*VLOOKUP('Données projet'!$B$12,Paramètres!$A$1:$I$89,3,0)*VLOOKUP('Données projet'!$B$12,Paramètres!$A$1:$I$89,5,0)</f>
        <v>155.81279999999992</v>
      </c>
      <c r="CA49" s="13">
        <f t="shared" si="39"/>
        <v>39.896628090084015</v>
      </c>
      <c r="CB49" s="20">
        <f t="shared" si="10"/>
        <v>340.86058725689622</v>
      </c>
      <c r="CC49" s="59">
        <f t="shared" si="11"/>
        <v>634.19392059022948</v>
      </c>
      <c r="CD49" s="59">
        <f ca="1">AVERAGE(OFFSET($CC$3,0,0,'Données projet'!$E$12+1,1))-AVERAGE(OFFSET($H$3,0,0,'Données projet'!$E$12+1,1))</f>
        <v>188.64374818906128</v>
      </c>
      <c r="CE49" s="59">
        <f t="shared" si="40"/>
        <v>211.95157880548652</v>
      </c>
      <c r="CF49" s="15">
        <f>IF(ISNA(VLOOKUP(A49,'Données projet'!$A$113:$I$133,3,0)),0,VLOOKUP(A49,'Données projet'!$A$113:$I$133,3,0))</f>
        <v>0</v>
      </c>
      <c r="CG49" s="15">
        <f>IF(ISNA(VLOOKUP(A49,'Données projet'!$A$113:$I$133,4,0)),0,VLOOKUP(A49,'Données projet'!$A$113:$I$133,4,0))</f>
        <v>0</v>
      </c>
      <c r="CH49" s="16">
        <f>IF(ISNA(VLOOKUP(A49,'Données projet'!$A$113:$I$133,5,0)),0%,VLOOKUP(A49,'Données projet'!$A$113:$I$133,5,0)*VLOOKUP('Données projet'!$B$12,Paramètres!$A$1:$I$89,7,0))</f>
        <v>0</v>
      </c>
      <c r="CI49" s="16">
        <f>IF(ISNA(VLOOKUP(A49,'Données projet'!$A$113:$I$133,6,0)),0%,VLOOKUP(A49,'Données projet'!$A$113:$I$133,6,0)*VLOOKUP('Données projet'!$B$12,Paramètres!$A$1:$I$89,7,0))</f>
        <v>0</v>
      </c>
      <c r="CJ49" s="16">
        <f>IF(ISNA(VLOOKUP(A49,'Données projet'!$A$113:$I$133,7,0)),0%,VLOOKUP(A49,'Données projet'!$A$113:$I$133,7,0))</f>
        <v>0</v>
      </c>
      <c r="CK49" s="21">
        <f>EXP(-LN(2)/35)*CK48+(1-EXP(-LN(2)/35))/(LN(2)/35)*CG49*CH49*VLOOKUP('Données projet'!$B$12,Paramètres!$A$1:$I$89,3,0)*0.475*44/12</f>
        <v>1.7908354515599676</v>
      </c>
      <c r="CL49" s="21">
        <f>EXP(-LN(2)/25)*CL48+(1-EXP(-LN(2)/25))/(LN(2)/25)*Calculateur!CG49*Calculateur!CI49*VLOOKUP('Données projet'!$B$12,Paramètres!$A$1:$I$89,3,0)*0.475*44/12</f>
        <v>9.2217476880559683</v>
      </c>
      <c r="CM49" s="21">
        <f>EXP(-LN(2)/2)*CM48+(1-EXP(-LN(2)/2))/(LN(2)/2)*CG49*CJ49*VLOOKUP('Données projet'!$B$12,Paramètres!$A$1:$I$89,3,0)*0.475*44/12</f>
        <v>8.2994285952094612E-2</v>
      </c>
      <c r="CN49" s="22">
        <f t="shared" si="12"/>
        <v>11.095577425568031</v>
      </c>
      <c r="CO49" s="75">
        <f>('Scénario référence'!$F$8+'Scénario référence'!$F$9+'Scénario référence'!$B$17+'Scénario référence'!$B$9+'Scénario référence'!$B$10)*70+IF((45+25*(1-EXP(-0.0175*A49)))&lt;70,'Scénario référence'!$B$16*(45+25*(1-EXP(-0.0175*A49))),70*'Scénario référence'!$B$16)+IF((32+38*(1-EXP(-0.0175*A49)))&lt;70,'Scénario référence'!$B$18*(32+38*(1-EXP(-0.0175*A49))),70*'Scénario référence'!$B$18)</f>
        <v>70</v>
      </c>
      <c r="CP49" s="12">
        <f>IF(A49&gt;30,10,('Scénario référence'!$B$16+'Scénario référence'!$B$17+'Scénario référence'!$B$18+'Scénario référence'!$B$9+'Scénario référence'!$B$10)*A49*10/30+('Scénario référence'!$F$8+'Scénario référence'!$F$9)*10)</f>
        <v>10</v>
      </c>
      <c r="CQ49" s="12" t="e">
        <f>VLOOKUP(A49,'Données projet'!$A$139:$I$159,2,0)</f>
        <v>#N/A</v>
      </c>
      <c r="CR49" s="12" t="e">
        <f>VLOOKUP(A49,'Données projet'!$A$139:$I$159,9,0)</f>
        <v>#N/A</v>
      </c>
      <c r="CS49" s="12">
        <f t="array" ref="CS49">INDEX(CR:CR,MIN(IF(ISNUMBER(CR49:CR245),ROW(CR49:CR245),"")))</f>
        <v>0</v>
      </c>
      <c r="CT49" s="12">
        <f>IF('Données projet'!$A$140&gt;35,CT48+CS49-DB48,IF(A49&lt;'Données projet'!$A$140,$CQ$205^A49,IF(A49='Données projet'!$A$140,'Données projet'!$B$140,CT48+CS49-DB48)))</f>
        <v>0</v>
      </c>
      <c r="CU49" s="17" t="e">
        <f>CT49*VLOOKUP('Données projet'!$B$13,Paramètres!$A$1:$I$89,3,0)*VLOOKUP('Données projet'!$B$13,Paramètres!$A$1:$I$89,5,0)</f>
        <v>#N/A</v>
      </c>
      <c r="CV49" s="13" t="e">
        <f t="shared" si="41"/>
        <v>#N/A</v>
      </c>
      <c r="CW49" s="20" t="e">
        <f t="shared" si="13"/>
        <v>#N/A</v>
      </c>
      <c r="CX49" s="59" t="e">
        <f t="shared" si="14"/>
        <v>#N/A</v>
      </c>
      <c r="CY49" s="59" t="e">
        <f ca="1">AVERAGE(OFFSET($CX$3,0,0,'Données projet'!$E$13+1,1))-AVERAGE(OFFSET($H$3,0,0,'Données projet'!$E$13+1,1))</f>
        <v>#N/A</v>
      </c>
      <c r="CZ49" s="59" t="e">
        <f t="shared" si="42"/>
        <v>#N/A</v>
      </c>
      <c r="DA49" s="15">
        <f>IF(ISNA(VLOOKUP(A49,'Données projet'!$A$139:$I$159,3,0)),0,VLOOKUP(A49,'Données projet'!$A$139:$I$159,3,0))</f>
        <v>0</v>
      </c>
      <c r="DB49" s="15">
        <f>IF(ISNA(VLOOKUP(A49,'Données projet'!$A$139:$I$159,4,0)),0,VLOOKUP(A49,'Données projet'!$A$139:$I$159,4,0))</f>
        <v>0</v>
      </c>
      <c r="DC49" s="16">
        <f>IF(ISNA(VLOOKUP(A49,'Données projet'!$A$139:$I$159,5,0)),0%,VLOOKUP(A49,'Données projet'!$A$139:$I$159,5,0)*VLOOKUP('Données projet'!$B$13,Paramètres!$A$1:$I$89,7,0))</f>
        <v>0</v>
      </c>
      <c r="DD49" s="16">
        <f>IF(ISNA(VLOOKUP(A49,'Données projet'!$A$139:$I$159,6,0)),0%,VLOOKUP(A49,'Données projet'!$A$139:$I$159,6,0)*VLOOKUP('Données projet'!$B$13,Paramètres!$A$1:$I$89,7,0))</f>
        <v>0</v>
      </c>
      <c r="DE49" s="16">
        <f>IF(ISNA(VLOOKUP(A49,'Données projet'!$A$139:$I$159,7,0)),0%,VLOOKUP(A49,'Données projet'!$A$139:$I$159,7,0))</f>
        <v>0</v>
      </c>
      <c r="DF49" s="21" t="e">
        <f>EXP(-LN(2)/35)*DF48+(1-EXP(-LN(2)/35))/(LN(2)/35)*DB49*DC49*VLOOKUP('Données projet'!$B$13,Paramètres!$A$1:$I$89,3,0)*0.475*44/12</f>
        <v>#N/A</v>
      </c>
      <c r="DG49" s="21" t="e">
        <f>EXP(-LN(2)/25)*DG48+(1-EXP(-LN(2)/25))/(LN(2)/25)*Calculateur!DB49*Calculateur!DD49*VLOOKUP('Données projet'!$B$13,Paramètres!$A$1:$I$89,3,0)*0.475*44/12</f>
        <v>#N/A</v>
      </c>
      <c r="DH49" s="21" t="e">
        <f>EXP(-LN(2)/2)*DH48+(1-EXP(-LN(2)/2))/(LN(2)/2)*DB49*DE49*VLOOKUP('Données projet'!$B$13,Paramètres!$A$1:$I$89,3,0)*0.475*44/12</f>
        <v>#N/A</v>
      </c>
      <c r="DI49" s="22" t="e">
        <f t="shared" si="15"/>
        <v>#N/A</v>
      </c>
      <c r="DJ49" s="75">
        <f>('Scénario référence'!$F$8+'Scénario référence'!$F$9+'Scénario référence'!$B$17+'Scénario référence'!$B$9+'Scénario référence'!$B$10)*70+IF((45+25*(1-EXP(-0.0175*A49)))&lt;70,'Scénario référence'!$B$16*(45+25*(1-EXP(-0.0175*A49))),70*'Scénario référence'!$B$16)+IF((32+38*(1-EXP(-0.0175*A49)))&lt;70,'Scénario référence'!$B$18*(32+38*(1-EXP(-0.0175*A49))),70*'Scénario référence'!$B$18)</f>
        <v>70</v>
      </c>
      <c r="DK49" s="12">
        <f>IF(A49&gt;30,10,('Scénario référence'!$B$16+'Scénario référence'!$B$17+'Scénario référence'!$B$18+'Scénario référence'!$B$9+'Scénario référence'!$B$10)*A49*10/30+('Scénario référence'!$F$8+'Scénario référence'!$F$9)*10)</f>
        <v>10</v>
      </c>
      <c r="DL49" s="12" t="e">
        <f>VLOOKUP(A49,'Données projet'!$A$165:$I$185,2,0)</f>
        <v>#N/A</v>
      </c>
      <c r="DM49" s="12" t="e">
        <f>VLOOKUP(A49,'Données projet'!$A$165:$I$185,9,0)</f>
        <v>#N/A</v>
      </c>
      <c r="DN49" s="12">
        <f t="array" ref="DN49">INDEX(DM:DM,MIN(IF(ISNUMBER(DM49:DM245),ROW(DM49:DM245),"")))</f>
        <v>7.8</v>
      </c>
      <c r="DO49" s="12">
        <f>IF('Données projet'!$A$166&gt;35,DO48+DN49-DW48,IF(A49&lt;'Données projet'!$A$166,$DL$205^A49,IF(A49='Données projet'!$A$166,'Données projet'!$B$166,DO48+DN49-DW48)))</f>
        <v>242.79999999999995</v>
      </c>
      <c r="DP49" s="17">
        <f>DO49*VLOOKUP('Données projet'!$B$14,Paramètres!$A$1:$I$89,3,0)*VLOOKUP('Données projet'!$B$14,Paramètres!$A$1:$I$89,5,0)</f>
        <v>159.08255999999997</v>
      </c>
      <c r="DQ49" s="13">
        <f t="shared" si="43"/>
        <v>40.635515049195867</v>
      </c>
      <c r="DR49" s="20">
        <f t="shared" si="16"/>
        <v>347.84231404401612</v>
      </c>
      <c r="DS49" s="59">
        <f t="shared" si="17"/>
        <v>641.17564737734938</v>
      </c>
      <c r="DT49" s="59">
        <f ca="1">AVERAGE(OFFSET($DS$3,0,0,'Données projet'!$E$14+1,1))-AVERAGE(OFFSET($H$3,0,0,'Données projet'!$E$14+1,1))</f>
        <v>188.68915783955595</v>
      </c>
      <c r="DU49" s="59">
        <f t="shared" si="44"/>
        <v>240.82467772396944</v>
      </c>
      <c r="DV49" s="15">
        <f>IF(ISNA(VLOOKUP(A49,'Données projet'!$A$165:$I$185,3,0)),0,VLOOKUP(A49,'Données projet'!$A$165:$I$185,3,0))</f>
        <v>0</v>
      </c>
      <c r="DW49" s="15">
        <f>IF(ISNA(VLOOKUP(A49,'Données projet'!$A$165:$I$185,4,0)),0,VLOOKUP(A49,'Données projet'!$A$165:$I$185,4,0))</f>
        <v>0</v>
      </c>
      <c r="DX49" s="16">
        <f>IF(ISNA(VLOOKUP(A49,'Données projet'!$A$165:$I$185,5,0)),0%,VLOOKUP(A49,'Données projet'!$A$165:$I$185,5,0)*VLOOKUP('Données projet'!$B$14,Paramètres!$A$1:$I$89,7,0))</f>
        <v>0</v>
      </c>
      <c r="DY49" s="16">
        <f>IF(ISNA(VLOOKUP(A49,'Données projet'!$A$165:$I$185,6,0)),0%,VLOOKUP(A49,'Données projet'!$A$165:$I$185,6,0)*VLOOKUP('Données projet'!$B$14,Paramètres!$A$1:$I$89,7,0))</f>
        <v>0</v>
      </c>
      <c r="DZ49" s="16">
        <f>IF(ISNA(VLOOKUP(A49,'Données projet'!$A$165:$I$185,7,0)),0%,VLOOKUP(A49,'Données projet'!$A$165:$I$185,7,0))</f>
        <v>0</v>
      </c>
      <c r="EA49" s="21">
        <f>EXP(-LN(2)/35)*EA48+(1-EXP(-LN(2)/35))/(LN(2)/35)*DW49*DX49*VLOOKUP('Données projet'!$B$14,Paramètres!$A$1:$I$89,3,0)*0.475*44/12</f>
        <v>1.1343465297128581</v>
      </c>
      <c r="EB49" s="21">
        <f>EXP(-LN(2)/25)*EB48+(1-EXP(-LN(2)/25))/(LN(2)/25)*Calculateur!DW49*Calculateur!DY49*VLOOKUP('Données projet'!$B$14,Paramètres!$A$1:$I$89,3,0)*0.475*44/12</f>
        <v>5.158107447760135</v>
      </c>
      <c r="EC49" s="21">
        <f>EXP(-LN(2)/2)*EC48+(1-EXP(-LN(2)/2))/(LN(2)/2)*DW49*DZ49*VLOOKUP('Données projet'!$B$14,Paramètres!$A$1:$I$89,3,0)*0.475*44/12</f>
        <v>5.4673468696121434E-2</v>
      </c>
      <c r="ED49" s="22">
        <f t="shared" si="18"/>
        <v>6.3471274461691145</v>
      </c>
      <c r="EE49" s="75">
        <f>('Scénario référence'!$F$8+'Scénario référence'!$F$9+'Scénario référence'!$B$17+'Scénario référence'!$B$9+'Scénario référence'!$B$10)*70+IF((45+25*(1-EXP(-0.0175*A49)))&lt;70,'Scénario référence'!$B$16*(45+25*(1-EXP(-0.0175*A49))),70*'Scénario référence'!$B$16)+IF((32+38*(1-EXP(-0.0175*A49)))&lt;70,'Scénario référence'!$B$18*(32+38*(1-EXP(-0.0175*A49))),70*'Scénario référence'!$B$18)</f>
        <v>70</v>
      </c>
      <c r="EF49" s="12">
        <f>IF(A49&gt;30,10,('Scénario référence'!$B$16+'Scénario référence'!$B$17+'Scénario référence'!$B$18+'Scénario référence'!$B$9+'Scénario référence'!$B$10)*A49*10/30+('Scénario référence'!$F$8+'Scénario référence'!$F$9)*10)</f>
        <v>10</v>
      </c>
      <c r="EG49" s="12" t="e">
        <f>VLOOKUP(A49,'Données projet'!$A$191:$I$211,2,0)</f>
        <v>#N/A</v>
      </c>
      <c r="EH49" s="12" t="e">
        <f>VLOOKUP(A49,'Données projet'!$A$191:$I$211,9,0)</f>
        <v>#N/A</v>
      </c>
      <c r="EI49" s="12">
        <f t="array" ref="EI49">INDEX(EH:EH,MIN(IF(ISNUMBER(EH49:EH245),ROW(EH49:EH245),"")))</f>
        <v>7</v>
      </c>
      <c r="EJ49" s="12">
        <f>IF('Données projet'!$A$192&gt;35,EJ48+EI49-ER48,IF(A49&lt;'Données projet'!$A$192,$EG$205^A49,IF(A49='Données projet'!$A$192,'Données projet'!$B$192,EJ48+EI49-ER48)))</f>
        <v>191.99999999999991</v>
      </c>
      <c r="EK49" s="17">
        <f>EJ49*VLOOKUP('Données projet'!$B$15,Paramètres!$A$1:$I$89,3,0)*VLOOKUP('Données projet'!$B$15,Paramètres!$A$1:$I$89,5,0)</f>
        <v>155.75039999999996</v>
      </c>
      <c r="EL49" s="13">
        <f t="shared" si="45"/>
        <v>39.882509755133754</v>
      </c>
      <c r="EM49" s="20">
        <f t="shared" si="19"/>
        <v>340.72731782352452</v>
      </c>
      <c r="EN49" s="59">
        <f t="shared" si="20"/>
        <v>634.06065115685783</v>
      </c>
      <c r="EO49" s="59">
        <f ca="1">AVERAGE(OFFSET($EN$3,0,0,'Données projet'!$E$15+1,1))-AVERAGE(OFFSET($H$3,0,0,'Données projet'!$E$15+1,1))</f>
        <v>205.5272583787887</v>
      </c>
      <c r="EP49" s="59">
        <f t="shared" si="46"/>
        <v>180.54762778843178</v>
      </c>
      <c r="EQ49" s="15">
        <f>IF(ISNA(VLOOKUP(A49,'Données projet'!$A$191:$I$211,3,0)),0,VLOOKUP(A49,'Données projet'!$A$191:$I$211,3,0))</f>
        <v>0</v>
      </c>
      <c r="ER49" s="15">
        <f>IF(ISNA(VLOOKUP(A49,'Données projet'!$A$191:$I$211,4,0)),0,VLOOKUP(A49,'Données projet'!$A$191:$I$211,4,0))</f>
        <v>0</v>
      </c>
      <c r="ES49" s="16">
        <f>IF(ISNA(VLOOKUP(A49,'Données projet'!$A$191:$I$211,5,0)),0%,VLOOKUP(A49,'Données projet'!$A$191:$I$211,5,0)*VLOOKUP('Données projet'!$B$15,Paramètres!$A$1:$I$89,7,0))</f>
        <v>0</v>
      </c>
      <c r="ET49" s="16">
        <f>IF(ISNA(VLOOKUP(A49,'Données projet'!$A$191:$I$211,6,0)),0%,VLOOKUP(A49,'Données projet'!$A$191:$I$211,6,0)*VLOOKUP('Données projet'!$B$15,Paramètres!$A$1:$I$89,7,0))</f>
        <v>0</v>
      </c>
      <c r="EU49" s="16">
        <f>IF(ISNA(VLOOKUP(A49,'Données projet'!$A$191:$I$211,7,0)),0%,VLOOKUP(A49,'Données projet'!$A$191:$I$211,7,0))</f>
        <v>0</v>
      </c>
      <c r="EV49" s="21">
        <f>EXP(-LN(2)/35)*EV48+(1-EXP(-LN(2)/35))/(LN(2)/35)*ER49*ES49*VLOOKUP('Données projet'!$B$15,Paramètres!$A$1:$I$89,3,0)*0.475*44/12</f>
        <v>0.73030309912942104</v>
      </c>
      <c r="EW49" s="21">
        <f>EXP(-LN(2)/25)*EW48+(1-EXP(-LN(2)/25))/(LN(2)/25)*Calculateur!ER49*Calculateur!ET49*VLOOKUP('Données projet'!$B$15,Paramètres!$A$1:$I$89,3,0)*0.475*44/12</f>
        <v>3.7243100534491957</v>
      </c>
      <c r="EX49" s="21">
        <f>EXP(-LN(2)/2)*EX48+(1-EXP(-LN(2)/2))/(LN(2)/2)*ER49*EU49*VLOOKUP('Données projet'!$B$15,Paramètres!$A$1:$I$89,3,0)*0.475*44/12</f>
        <v>3.5401111407734151E-2</v>
      </c>
      <c r="EY49" s="22">
        <f t="shared" si="21"/>
        <v>4.4900142639863505</v>
      </c>
      <c r="EZ49" s="75">
        <f>('Scénario référence'!$F$8+'Scénario référence'!$F$9+'Scénario référence'!$B$17+'Scénario référence'!$B$9+'Scénario référence'!$B$10)*70+IF((45+25*(1-EXP(-0.0175*A49)))&lt;70,'Scénario référence'!$B$16*(45+25*(1-EXP(-0.0175*A49))),70*'Scénario référence'!$B$16)+IF((32+38*(1-EXP(-0.0175*A49)))&lt;70,'Scénario référence'!$B$18*(32+38*(1-EXP(-0.0175*A49))),70*'Scénario référence'!$B$18)</f>
        <v>70</v>
      </c>
      <c r="FA49" s="12">
        <f>IF(A49&gt;30,10,('Scénario référence'!$B$16+'Scénario référence'!$B$17+'Scénario référence'!$B$18+'Scénario référence'!$B$9+'Scénario référence'!$B$10)*A49*10/30+('Scénario référence'!$F$8+'Scénario référence'!$F$9)*10)</f>
        <v>10</v>
      </c>
      <c r="FB49" s="12" t="e">
        <f>VLOOKUP(A49,'Données projet'!$A$217:$I$237,2,0)</f>
        <v>#N/A</v>
      </c>
      <c r="FC49" s="12" t="e">
        <f>VLOOKUP(A49,'Données projet'!$A$217:$I$237,9,0)</f>
        <v>#N/A</v>
      </c>
      <c r="FD49" s="12">
        <f t="array" ref="FD49">INDEX(FC:FC,MIN(IF(ISNUMBER(FC49:FC245),ROW(FC49:FC245),"")))</f>
        <v>13.4</v>
      </c>
      <c r="FE49" s="12">
        <f>IF('Données projet'!$A$218&gt;35,FE48+FD49-FM48,IF(A49&lt;'Données projet'!$A$218,$FB$205^A49,IF(A49='Données projet'!$A$218,'Données projet'!$B$218,FE48+FD49-FM48)))</f>
        <v>230.40000000000009</v>
      </c>
      <c r="FF49" s="17">
        <f>FE49*VLOOKUP('Données projet'!$B$16,Paramètres!$A$1:$I$89,3,0)*VLOOKUP('Données projet'!$B$16,Paramètres!$A$1:$I$89,5,0)</f>
        <v>197.68320000000008</v>
      </c>
      <c r="FG49" s="13">
        <f t="shared" si="47"/>
        <v>49.234660447368675</v>
      </c>
      <c r="FH49" s="20">
        <f t="shared" si="22"/>
        <v>430.04860694583391</v>
      </c>
      <c r="FI49" s="59">
        <f t="shared" si="23"/>
        <v>723.38194027916722</v>
      </c>
      <c r="FJ49" s="59">
        <f ca="1">AVERAGE(OFFSET($FI$3,0,0,'Données projet'!$E$16+1,1))-AVERAGE(OFFSET($H$3,0,0,'Données projet'!$E$16+1,1))</f>
        <v>383.97627237444709</v>
      </c>
      <c r="FK49" s="59">
        <f t="shared" si="48"/>
        <v>203.35476578922339</v>
      </c>
      <c r="FL49" s="15">
        <f>IF(ISNA(VLOOKUP(A49,'Données projet'!$A$217:$I$237,3,0)),0,VLOOKUP(A49,'Données projet'!$A$217:$I$237,3,0))</f>
        <v>0</v>
      </c>
      <c r="FM49" s="15">
        <f>IF(ISNA(VLOOKUP(A49,'Données projet'!$A$217:$I$237,4,0)),0,VLOOKUP(A49,'Données projet'!$A$217:$I$237,4,0))</f>
        <v>0</v>
      </c>
      <c r="FN49" s="16">
        <f>IF(ISNA(VLOOKUP(A49,'Données projet'!$A$217:$I$237,5,0)),0%,VLOOKUP(A49,'Données projet'!$A$217:$I$237,5,0)*VLOOKUP('Données projet'!$B$16,Paramètres!$A$1:$I$89,7,0))</f>
        <v>0</v>
      </c>
      <c r="FO49" s="16">
        <f>IF(ISNA(VLOOKUP(A49,'Données projet'!$A$217:$I$237,6,0)),0%,VLOOKUP(A49,'Données projet'!$A$217:$I$237,6,0)*VLOOKUP('Données projet'!$B$16,Paramètres!$A$1:$I$89,7,0))</f>
        <v>0</v>
      </c>
      <c r="FP49" s="16">
        <f>IF(ISNA(VLOOKUP(A49,'Données projet'!$A$217:$I$237,7,0)),0%,VLOOKUP(A49,'Données projet'!$A$217:$I$237,7,0))</f>
        <v>0</v>
      </c>
      <c r="FQ49" s="21">
        <f>EXP(-LN(2)/35)*FQ48+(1-EXP(-LN(2)/35))/(LN(2)/35)*FM49*FN49*VLOOKUP('Données projet'!$B$16,Paramètres!$A$1:$I$89,3,0)*0.475*44/12</f>
        <v>3.7533617247683368</v>
      </c>
      <c r="FR49" s="21">
        <f>EXP(-LN(2)/25)*FR48+(1-EXP(-LN(2)/25))/(LN(2)/25)*Calculateur!FM49*Calculateur!FO49*VLOOKUP('Données projet'!$B$16,Paramètres!$A$1:$I$89,3,0)*0.475*44/12</f>
        <v>3.7805596482789197</v>
      </c>
      <c r="FS49" s="21">
        <f>EXP(-LN(2)/2)*FS48+(1-EXP(-LN(2)/2))/(LN(2)/2)*FM49*FP49*VLOOKUP('Données projet'!$B$16,Paramètres!$A$1:$I$89,3,0)*0.475*44/12</f>
        <v>6.5024576296054265E-2</v>
      </c>
      <c r="FT49" s="22">
        <f t="shared" si="24"/>
        <v>7.5989459493433111</v>
      </c>
      <c r="FU49" s="75">
        <f>('Scénario référence'!$F$8+'Scénario référence'!$F$9+'Scénario référence'!$B$17+'Scénario référence'!$B$9+'Scénario référence'!$B$10)*70+IF((45+25*(1-EXP(-0.0175*A49)))&lt;70,'Scénario référence'!$B$16*(45+25*(1-EXP(-0.0175*A49))),70*'Scénario référence'!$B$16)+IF((32+38*(1-EXP(-0.0175*A49)))&lt;70,'Scénario référence'!$B$18*(32+38*(1-EXP(-0.0175*A49))),70*'Scénario référence'!$B$18)</f>
        <v>70</v>
      </c>
      <c r="FV49" s="12">
        <f>IF(A49&gt;30,10,('Scénario référence'!$B$16+'Scénario référence'!$B$17+'Scénario référence'!$B$18+'Scénario référence'!$B$9+'Scénario référence'!$B$10)*A49*10/30+('Scénario référence'!$F$8+'Scénario référence'!$F$9)*10)</f>
        <v>10</v>
      </c>
      <c r="FW49" s="12" t="e">
        <f>VLOOKUP(A49,'Données projet'!$A$243:$I$263,2,0)</f>
        <v>#N/A</v>
      </c>
      <c r="FX49" s="12" t="e">
        <f>VLOOKUP(A49,'Données projet'!$A$243:$I$263,9,0)</f>
        <v>#N/A</v>
      </c>
      <c r="FY49" s="12">
        <f t="array" ref="FY49">INDEX(FX:FX,MIN(IF(ISNUMBER(FX49:FX245),ROW(FX49:FX245),"")))</f>
        <v>9.3452380952380913</v>
      </c>
      <c r="FZ49" s="12">
        <f>IF('Données projet'!$A$244&gt;35,FZ48+FY49-GH48,IF(A49&lt;'Données projet'!$A$244,$FW$205^A49,IF(A49='Données projet'!$A$244,'Données projet'!$B$244,FZ48+FY49-GH48)))</f>
        <v>165.66208791208794</v>
      </c>
      <c r="GA49" s="17">
        <f>FZ49*VLOOKUP('Données projet'!$B$17,Paramètres!$A$1:$I$89,3,0)*VLOOKUP('Données projet'!$B$17,Paramètres!$A$1:$I$89,5,0)</f>
        <v>178.31867142857143</v>
      </c>
      <c r="GB49" s="13">
        <f t="shared" si="49"/>
        <v>44.947917473101633</v>
      </c>
      <c r="GC49" s="20">
        <f t="shared" si="25"/>
        <v>388.8559756704139</v>
      </c>
      <c r="GD49" s="59">
        <f t="shared" si="26"/>
        <v>682.18930900374721</v>
      </c>
      <c r="GE49" s="59">
        <f ca="1">AVERAGE(OFFSET($GD$3,0,0,'Données projet'!$E$17+1,1))-AVERAGE(OFFSET($H$3,0,0,'Données projet'!$E$17+1,1))</f>
        <v>286.77702855541287</v>
      </c>
      <c r="GF49" s="59">
        <f t="shared" si="50"/>
        <v>227.12211541860779</v>
      </c>
      <c r="GG49" s="15">
        <f>IF(ISNA(VLOOKUP(A49,'Données projet'!$A$243:$I$263,3,0)),0,VLOOKUP(A49,'Données projet'!$A$243:$I$263,3,0))</f>
        <v>0</v>
      </c>
      <c r="GH49" s="15">
        <f>IF(ISNA(VLOOKUP(A49,'Données projet'!$A$243:$I$263,4,0)),0,VLOOKUP(A49,'Données projet'!$A$243:$I$263,4,0))</f>
        <v>0</v>
      </c>
      <c r="GI49" s="16">
        <f>IF(ISNA(VLOOKUP(A49,'Données projet'!$A$243:$I$263,5,0)),0%,VLOOKUP(A49,'Données projet'!$A$243:$I$263,5,0)*VLOOKUP('Données projet'!$B$17,Paramètres!$A$1:$I$89,7,0))</f>
        <v>0</v>
      </c>
      <c r="GJ49" s="16">
        <f>IF(ISNA(VLOOKUP(A49,'Données projet'!$A$243:$I$263,6,0)),0%,VLOOKUP(A49,'Données projet'!$A$243:$I$263,6,0)*VLOOKUP('Données projet'!$B$17,Paramètres!$A$1:$I$89,7,0))</f>
        <v>0</v>
      </c>
      <c r="GK49" s="16">
        <f>IF(ISNA(VLOOKUP(A49,'Données projet'!$A$243:$I$263,7,0)),0%,VLOOKUP(A49,'Données projet'!$A$243:$I$263,7,0))</f>
        <v>0</v>
      </c>
      <c r="GL49" s="21">
        <f>EXP(-LN(2)/35)*GL48+(1-EXP(-LN(2)/35))/(LN(2)/35)*GH49*GI49*VLOOKUP('Données projet'!$B$17,Paramètres!$A$1:$I$89,3,0)*0.475*44/12</f>
        <v>0</v>
      </c>
      <c r="GM49" s="21">
        <f>EXP(-LN(2)/25)*GM48+(1-EXP(-LN(2)/25))/(LN(2)/25)*Calculateur!GH49*Calculateur!GJ49*VLOOKUP('Données projet'!$B$17,Paramètres!$A$1:$I$89,3,0)*0.475*44/12</f>
        <v>0</v>
      </c>
      <c r="GN49" s="21">
        <f>EXP(-LN(2)/2)*GN48+(1-EXP(-LN(2)/2))/(LN(2)/2)*GH49*GK49*VLOOKUP('Données projet'!$B$17,Paramètres!$A$1:$I$89,3,0)*0.475*44/12</f>
        <v>0</v>
      </c>
      <c r="GO49" s="21">
        <f t="shared" si="27"/>
        <v>0</v>
      </c>
      <c r="GP49" s="75">
        <f>('Scénario référence'!$F$8+'Scénario référence'!$F$9+'Scénario référence'!$B$17+'Scénario référence'!$B$9+'Scénario référence'!$B$10)*70+IF((45+25*(1-EXP(-0.0175*A49)))&lt;70,'Scénario référence'!$B$16*(45+25*(1-EXP(-0.0175*A49))),70*'Scénario référence'!$B$16)+IF((32+38*(1-EXP(-0.0175*A49)))&lt;70,'Scénario référence'!$B$18*(32+38*(1-EXP(-0.0175*A49))),70*'Scénario référence'!$B$18)</f>
        <v>70</v>
      </c>
      <c r="GQ49" s="12">
        <f>IF(A49&gt;30,10,('Scénario référence'!$B$16+'Scénario référence'!$B$17+'Scénario référence'!$B$18+'Scénario référence'!$B$9+'Scénario référence'!$B$10)*A49*10/30+('Scénario référence'!$F$8+'Scénario référence'!$F$9)*10)</f>
        <v>10</v>
      </c>
      <c r="GR49" s="12" t="e">
        <f>VLOOKUP(A49,'Données projet'!$A$269:$I$289,2,0)</f>
        <v>#N/A</v>
      </c>
      <c r="GS49" s="12" t="e">
        <f>VLOOKUP(A49,'Données projet'!$A$269:$I$289,9,0)</f>
        <v>#N/A</v>
      </c>
      <c r="GT49" s="12">
        <f t="array" ref="GT49">INDEX(GS:GS,MIN(IF(ISNUMBER(GS49:GS245),ROW(GS49:GS245),"")))</f>
        <v>9.3452380952380913</v>
      </c>
      <c r="GU49" s="12">
        <f>IF('Données projet'!$A$270&gt;35,GU48+GT49-HC48,IF(A49&lt;'Données projet'!$A$270,$GR$205^A49,IF(A49='Données projet'!$A$270,'Données projet'!$B$270,GU48+GT49-HC48)))</f>
        <v>165.66208791208794</v>
      </c>
      <c r="GV49" s="17">
        <f>GU49*VLOOKUP('Données projet'!$B$18,Paramètres!$A$1:$I$89,3,0)*VLOOKUP('Données projet'!$B$18,Paramètres!$A$1:$I$89,5,0)</f>
        <v>178.31867142857143</v>
      </c>
      <c r="GW49" s="13">
        <f t="shared" si="51"/>
        <v>44.947917473101633</v>
      </c>
      <c r="GX49" s="20">
        <f t="shared" si="28"/>
        <v>388.8559756704139</v>
      </c>
      <c r="GY49" s="59">
        <f t="shared" si="29"/>
        <v>682.18930900374721</v>
      </c>
      <c r="GZ49" s="59">
        <f ca="1">AVERAGE(OFFSET($GY$3,0,0,'Données projet'!$E$18+1,1))-AVERAGE(OFFSET($H$3,0,0,'Données projet'!$E$18+1,1))</f>
        <v>286.77702855541287</v>
      </c>
      <c r="HA49" s="59">
        <f t="shared" si="52"/>
        <v>227.12211541860779</v>
      </c>
      <c r="HB49" s="15">
        <f>IF(ISNA(VLOOKUP(A49,'Données projet'!$A$269:$I$289,3,0)),0,VLOOKUP(A49,'Données projet'!$A$269:$I$289,3,0))</f>
        <v>0</v>
      </c>
      <c r="HC49" s="15">
        <f>IF(ISNA(VLOOKUP(A49,'Données projet'!$A$269:$I$289,4,0)),0,VLOOKUP(A49,'Données projet'!$A$269:$I$289,4,0))</f>
        <v>0</v>
      </c>
      <c r="HD49" s="16">
        <f>IF(ISNA(VLOOKUP(A49,'Données projet'!$A$269:$I$289,5,0)),0%,VLOOKUP(A49,'Données projet'!$A$269:$I$289,5,0)*VLOOKUP('Données projet'!$B$18,Paramètres!$A$1:$I$89,7,0))</f>
        <v>0</v>
      </c>
      <c r="HE49" s="16">
        <f>IF(ISNA(VLOOKUP(A49,'Données projet'!$A$269:$I$289,6,0)),0%,VLOOKUP(A49,'Données projet'!$A$269:$I$289,6,0)*VLOOKUP('Données projet'!$B$18,Paramètres!$A$1:$I$89,7,0))</f>
        <v>0</v>
      </c>
      <c r="HF49" s="16">
        <f>IF(ISNA(VLOOKUP(A49,'Données projet'!$A$269:$I$289,7,0)),0%,VLOOKUP(A49,'Données projet'!$A$269:$I$289,7,0))</f>
        <v>0</v>
      </c>
      <c r="HG49" s="21">
        <f>EXP(-LN(2)/35)*HG48+(1-EXP(-LN(2)/35))/(LN(2)/35)*HC49*HD49*VLOOKUP('Données projet'!$B$18,Paramètres!$A$1:$I$89,3,0)*0.475*44/12</f>
        <v>0</v>
      </c>
      <c r="HH49" s="21">
        <f>EXP(-LN(2)/25)*HH48+(1-EXP(-LN(2)/25))/(LN(2)/25)*Calculateur!HC49*Calculateur!HE49*VLOOKUP('Données projet'!$B$18,Paramètres!$A$1:$I$89,3,0)*0.475*44/12</f>
        <v>0</v>
      </c>
      <c r="HI49" s="21">
        <f>EXP(-LN(2)/2)*HI48+(1-EXP(-LN(2)/2))/(LN(2)/2)*HC49*HF49*VLOOKUP('Données projet'!$B$18,Paramètres!$A$1:$I$89,3,0)*0.475*44/12</f>
        <v>0</v>
      </c>
      <c r="HJ49" s="22">
        <f t="shared" si="30"/>
        <v>0</v>
      </c>
    </row>
    <row r="50" spans="1:218" x14ac:dyDescent="0.25">
      <c r="A50" s="10">
        <f t="shared" si="31"/>
        <v>47</v>
      </c>
      <c r="B50" s="73">
        <f>'Scénario référence'!$B$16*5+'Scénario référence'!$B$17*0+'Scénario référence'!$B$18*5</f>
        <v>0</v>
      </c>
      <c r="C50" s="19">
        <f>Calculateur!C49+'Scénario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41.792400000000015</v>
      </c>
      <c r="D50" s="11">
        <f t="shared" si="32"/>
        <v>12.472503937619972</v>
      </c>
      <c r="E5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50" s="11">
        <f>IF(OR('Scénario référence'!$F$8&gt;0,'Scénario référence'!$F$9&gt;0),('Scénario référence'!$F$8+'Scénario référence'!$F$9)*10,0)</f>
        <v>10</v>
      </c>
      <c r="G50" s="11">
        <f>'Scénario référence'!$B$8*B50*44/12+'Scénario référence'!$B$9*(C50+D50)/0.475*44/12+'Scénario référence'!$B$10*(C50+D50)/0.475*44/12+'Scénario référence'!$F$8*(C50+D50)/0.475*44/12+'Scénario référence'!$F$9*(C50+D50)/0.475*44/12</f>
        <v>418.88697776408418</v>
      </c>
      <c r="H50" s="67">
        <f t="shared" si="1"/>
        <v>387.84470769135481</v>
      </c>
      <c r="I50" s="70">
        <f>('Scénario référence'!$F$8+'Scénario référence'!$F$9+'Scénario référence'!$B$17+'Scénario référence'!$B$9+'Scénario référence'!$B$10)*70+IF((45+25*(1-EXP(-0.0175*A50)))&lt;70,'Scénario référence'!$B$16*(45+25*(1-EXP(-0.0175*A50))),70*'Scénario référence'!$B$16)+IF((32+38*(1-EXP(-0.0175*A50)))&lt;70,'Scénario référence'!$B$18*(32+38*(1-EXP(-0.0175*A50))),70*'Scénario référence'!$B$18)</f>
        <v>70</v>
      </c>
      <c r="J50" s="13">
        <f>IF(A50&gt;30,10,('Scénario référence'!$B$16+'Scénario référence'!$B$17+'Scénario référence'!$B$18+'Scénario référence'!$B$9+'Scénario référence'!$B$10)*A50*10/30+('Scénario référence'!$F$8+'Scénario référence'!$F$9)*10)</f>
        <v>10</v>
      </c>
      <c r="K50" s="12" t="e">
        <f>VLOOKUP(A50,'Données projet'!$A$35:$I$55,2,0)</f>
        <v>#N/A</v>
      </c>
      <c r="L50" s="12" t="e">
        <f>VLOOKUP(A50,'Données projet'!$A$35:$I$55,9,0)</f>
        <v>#N/A</v>
      </c>
      <c r="M50" s="12">
        <f t="array" ref="M50">INDEX(L:L,MIN(IF(ISNUMBER(L50:L246),ROW(L50:L246),"")))</f>
        <v>21.625641025641027</v>
      </c>
      <c r="N50" s="13">
        <f>IF('Données projet'!$A$36&gt;35,N49+M50-V49,IF(A50&lt;'Données projet'!$A$36,$K$205^A50,IF(A50='Données projet'!$A$36,'Données projet'!$B$36,N49+M50-V49)))</f>
        <v>503.45897435897416</v>
      </c>
      <c r="O50" s="13">
        <f>N50*VLOOKUP('Données projet'!$B$9,Paramètres!$A$1:$I$89,3,0)*VLOOKUP('Données projet'!$B$9,Paramètres!$A$1:$I$89,5,0)</f>
        <v>281.43356666666659</v>
      </c>
      <c r="P50" s="13">
        <f t="shared" si="33"/>
        <v>67.26987262617007</v>
      </c>
      <c r="Q50" s="20">
        <f t="shared" si="53"/>
        <v>607.32515676835726</v>
      </c>
      <c r="R50" s="59">
        <f t="shared" si="0"/>
        <v>900.65849010169063</v>
      </c>
      <c r="S50" s="59">
        <f ca="1">AVERAGE(OFFSET($R$3,0,0,'Données projet'!$E$9+1,1))-AVERAGE(OFFSET($H$3,0,0,'Données projet'!$E$9+1,1))</f>
        <v>255.5374979188561</v>
      </c>
      <c r="T50" s="59">
        <f t="shared" si="34"/>
        <v>343.10418468620901</v>
      </c>
      <c r="U50" s="15">
        <f>IF(ISNA(VLOOKUP(A50,'Données projet'!$A$35:$I$55,3,0)),0,VLOOKUP(A50,'Données projet'!$A$35:$I$55,3,0))</f>
        <v>0</v>
      </c>
      <c r="V50" s="15">
        <f>IF(ISNA(VLOOKUP(A50,'Données projet'!$A$35:$I$55,4,0)),0,VLOOKUP(A50,'Données projet'!$A$35:$I$55,4,0))</f>
        <v>0</v>
      </c>
      <c r="W50" s="16">
        <f>IF(ISNA(VLOOKUP(A50,'Données projet'!$A$35:$I$55,5,0)),0%,VLOOKUP(A50,'Données projet'!$A$35:$I$55,5,0)*VLOOKUP('Données projet'!$B$9,Paramètres!$A$1:$I$89,7,0))</f>
        <v>0</v>
      </c>
      <c r="X50" s="16">
        <f>IF(ISNA(VLOOKUP(A50,'Données projet'!$A$35:$I$55,6,0)),0%,VLOOKUP(A50,'Données projet'!$A$35:$I$55,6,0)*VLOOKUP('Données projet'!$B$9,Paramètres!$A$1:$I$89,7,0))</f>
        <v>0</v>
      </c>
      <c r="Y50" s="16">
        <f>IF(ISNA(VLOOKUP(A50,'Données projet'!$A$35:$I$55,7,0)),0%,VLOOKUP(A50,'Données projet'!$A$35:$I$55,7,0))</f>
        <v>0</v>
      </c>
      <c r="Z50" s="21">
        <f>EXP(-LN(2)/35)*Z49+(1-EXP(-LN(2)/35))/(LN(2)/35)*V50*W50*VLOOKUP('Données projet'!$B$9,Paramètres!$A$1:$I$89,3,0)*0.475*44/12</f>
        <v>2.2067322956538082</v>
      </c>
      <c r="AA50" s="21">
        <f>EXP(-LN(2)/25)*AA49+(1-EXP(-LN(2)/25))/(LN(2)/25)*Calculateur!V50*Calculateur!X50*VLOOKUP('Données projet'!$B$9,Paramètres!$A$1:$I$89,3,0)*0.475*44/12</f>
        <v>9.9618395203497148</v>
      </c>
      <c r="AB50" s="21">
        <f>EXP(-LN(2)/2)*AB49+(1-EXP(-LN(2)/2))/(LN(2)/2)*V50*Y50*VLOOKUP('Données projet'!$B$9,Paramètres!$A$1:$I$89,3,0)*0.475*44/12</f>
        <v>4.6753350139510973E-3</v>
      </c>
      <c r="AC50" s="22">
        <f t="shared" si="3"/>
        <v>12.173247151017474</v>
      </c>
      <c r="AD50" s="13">
        <f>('Scénario référence'!$F$8+'Scénario référence'!$F$9+'Scénario référence'!$B$17+'Scénario référence'!$B$9+'Scénario référence'!$B$10)*70+IF((45+25*(1-EXP(-0.0175*A50)))&lt;70,'Scénario référence'!$B$16*(45+25*(1-EXP(-0.0175*A50))),70*'Scénario référence'!$B$16)+IF((32+38*(1-EXP(-0.0175*A50)))&lt;70,'Scénario référence'!$B$18*(32+38*(1-EXP(-0.0175*A50))),70*'Scénario référence'!$B$18)</f>
        <v>70</v>
      </c>
      <c r="AE50" s="13">
        <f>IF(A50&gt;30,10,('Scénario référence'!$B$16+'Scénario référence'!$B$17+'Scénario référence'!$B$18+'Scénario référence'!$B$9+'Scénario référence'!$B$10)*A50*10/30+('Scénario référence'!$F$8+'Scénario référence'!$F$9)*10)</f>
        <v>10</v>
      </c>
      <c r="AF50" s="12" t="e">
        <f>VLOOKUP(A50,'Données projet'!$A$61:$I$81,2,0)</f>
        <v>#N/A</v>
      </c>
      <c r="AG50" s="12" t="e">
        <f>VLOOKUP(A50,'Données projet'!$A$61:$I$81,9,0)</f>
        <v>#N/A</v>
      </c>
      <c r="AH50" s="12">
        <f t="array" ref="AH50">INDEX(AG:AG,MIN(IF(ISNUMBER(AG50:AG246),ROW(AG50:AG246),"")))</f>
        <v>12.4</v>
      </c>
      <c r="AI50" s="13">
        <f>IF('Données projet'!$A$62&gt;35,AI49+AH50-AQ49,IF(A50&lt;'Données projet'!$A$62,$AF$205^A50,IF(A50='Données projet'!$A$62,'Données projet'!$B$62,AI49+AH50-AQ49)))</f>
        <v>334.79999999999995</v>
      </c>
      <c r="AJ50" s="13">
        <f>AI50*VLOOKUP('Données projet'!$B$10,Paramètres!$A$1:$I$89,3,0)*VLOOKUP('Données projet'!$B$10,Paramètres!$A$1:$I$89,5,0)</f>
        <v>208.91519999999997</v>
      </c>
      <c r="AK50" s="13">
        <f t="shared" si="35"/>
        <v>51.698458198123326</v>
      </c>
      <c r="AL50" s="20">
        <f t="shared" si="4"/>
        <v>453.90212136173136</v>
      </c>
      <c r="AM50" s="59">
        <f t="shared" si="5"/>
        <v>747.23545469506462</v>
      </c>
      <c r="AN50" s="59">
        <f ca="1">AVERAGE(OFFSET($AM$3,0,0,'Données projet'!$E$10+1,1))-AVERAGE(OFFSET($H$3,0,0,'Données projet'!$E$10+1,1))</f>
        <v>261.78489480911571</v>
      </c>
      <c r="AO50" s="59">
        <f t="shared" si="36"/>
        <v>297.50513563712764</v>
      </c>
      <c r="AP50" s="15">
        <f>IF(ISNA(VLOOKUP(A50,'Données projet'!$A$61:$I$81,3,0)),0,VLOOKUP(A50,'Données projet'!$A$61:$I$81,3,0))</f>
        <v>0</v>
      </c>
      <c r="AQ50" s="15">
        <f>IF(ISNA(VLOOKUP(A50,'Données projet'!$A$61:$I$81,4,0)),0,VLOOKUP(A50,'Données projet'!$A$61:$I$81,4,0))</f>
        <v>0</v>
      </c>
      <c r="AR50" s="16">
        <f>IF(ISNA(VLOOKUP(A50,'Données projet'!$A$61:$I$81,5,0)),0%,VLOOKUP(A50,'Données projet'!$A$61:$I$81,5,0)*VLOOKUP('Données projet'!$B$10,Paramètres!$A$1:$I$89,7,0))</f>
        <v>0</v>
      </c>
      <c r="AS50" s="16">
        <f>IF(ISNA(VLOOKUP(A50,'Données projet'!$A$61:$I$81,6,0)),0%,VLOOKUP(A50,'Données projet'!$A$61:$I$81,6,0)*VLOOKUP('Données projet'!$B$10,Paramètres!$A$1:$I$89,7,0))</f>
        <v>0</v>
      </c>
      <c r="AT50" s="16">
        <f>IF(ISNA(VLOOKUP(A50,'Données projet'!$A$61:$I$81,7,0)),0%,VLOOKUP(A50,'Données projet'!$A$61:$I$81,7,0))</f>
        <v>0</v>
      </c>
      <c r="AU50" s="21">
        <f>EXP(-LN(2)/35)*AU49+(1-EXP(-LN(2)/35))/(LN(2)/35)*AQ50*AR50*VLOOKUP('Données projet'!$B$10,Paramètres!$A$1:$I$89,3,0)*0.475*44/12</f>
        <v>5.9588013695013426</v>
      </c>
      <c r="AV50" s="21">
        <f>EXP(-LN(2)/25)*AV49+(1-EXP(-LN(2)/25))/(LN(2)/25)*Calculateur!AQ50*Calculateur!AS50*VLOOKUP('Données projet'!$B$10,Paramètres!$A$1:$I$89,3,0)*0.475*44/12</f>
        <v>17.395403628032053</v>
      </c>
      <c r="AW50" s="21">
        <f>EXP(-LN(2)/2)*AW49+(1-EXP(-LN(2)/2))/(LN(2)/2)*AQ50*AT50*VLOOKUP('Données projet'!$B$10,Paramètres!$A$1:$I$89,3,0)*0.475*44/12</f>
        <v>6.7399405163826059E-2</v>
      </c>
      <c r="AX50" s="21">
        <f t="shared" si="6"/>
        <v>23.42160440269722</v>
      </c>
      <c r="AY50" s="74">
        <f>('Scénario référence'!$F$8+'Scénario référence'!$F$9+'Scénario référence'!$B$17+'Scénario référence'!$B$9+'Scénario référence'!$B$10)*70+IF((45+25*(1-EXP(-0.0175*A50)))&lt;70,'Scénario référence'!$B$16*(45+25*(1-EXP(-0.0175*A50))),70*'Scénario référence'!$B$16)+IF((32+38*(1-EXP(-0.0175*A50)))&lt;70,'Scénario référence'!$B$18*(32+38*(1-EXP(-0.0175*A50))),70*'Scénario référence'!$B$18)</f>
        <v>70</v>
      </c>
      <c r="AZ50" s="12">
        <f>IF(A50&gt;30,10,('Scénario référence'!$B$16+'Scénario référence'!$B$17+'Scénario référence'!$B$18+'Scénario référence'!$B$9+'Scénario référence'!$B$10)*A50*10/30+('Scénario référence'!$F$8+'Scénario référence'!$F$9)*10)</f>
        <v>10</v>
      </c>
      <c r="BA50" s="12" t="e">
        <f>VLOOKUP(A50,'Données projet'!$A$87:$I$107,2,0)</f>
        <v>#N/A</v>
      </c>
      <c r="BB50" s="12" t="e">
        <f>VLOOKUP(A50,'Données projet'!$A$87:$I$107,9,0)</f>
        <v>#N/A</v>
      </c>
      <c r="BC50" s="12">
        <f t="array" ref="BC50">INDEX(BB:BB,MIN(IF(ISNUMBER(BB50:BB246),ROW(BB50:BB246),"")))</f>
        <v>18.899999999999999</v>
      </c>
      <c r="BD50" s="12">
        <f>IF('Données projet'!$A$88&gt;35,BD49+BC50-BL49,IF(A50&lt;'Données projet'!$A$88,$BA$205^A50,IF(A50='Données projet'!$A$88,'Données projet'!$B$88,BD49+BC50-BL49)))</f>
        <v>378.29999999999978</v>
      </c>
      <c r="BE50" s="13">
        <f>BD50*VLOOKUP('Données projet'!$B$11,Paramètres!$A$1:$I$89,3,0)*VLOOKUP('Données projet'!$B$11,Paramètres!$A$1:$I$89,5,0)</f>
        <v>226.22339999999988</v>
      </c>
      <c r="BF50" s="13">
        <f t="shared" si="37"/>
        <v>55.465307135389509</v>
      </c>
      <c r="BG50" s="20">
        <f t="shared" si="7"/>
        <v>490.60783159413654</v>
      </c>
      <c r="BH50" s="59">
        <f t="shared" si="8"/>
        <v>783.9411649274698</v>
      </c>
      <c r="BI50" s="59">
        <f ca="1">AVERAGE(OFFSET($BH$3,0,0,'Données projet'!$E$11+1,1))-AVERAGE(OFFSET($H$3,0,0,'Données projet'!$E$11+1,1))</f>
        <v>316.58509520829671</v>
      </c>
      <c r="BJ50" s="59">
        <f t="shared" si="38"/>
        <v>240.71332110643596</v>
      </c>
      <c r="BK50" s="15">
        <f>IF(ISNA(VLOOKUP(A50,'Données projet'!$A$87:$I$107,3,0)),0,VLOOKUP(A50,'Données projet'!$A$87:$I$107,3,0))</f>
        <v>0</v>
      </c>
      <c r="BL50" s="15">
        <f>IF(ISNA(VLOOKUP(A50,'Données projet'!$A$87:$I$107,4,0)),0,VLOOKUP(A50,'Données projet'!$A$87:$I$107,4,0))</f>
        <v>0</v>
      </c>
      <c r="BM50" s="16">
        <f>IF(ISNA(VLOOKUP(A50,'Données projet'!$A$87:$I$107,5,0)),0%,VLOOKUP(A50,'Données projet'!$A$87:$I$107,5,0)*VLOOKUP('Données projet'!$B$11,Paramètres!$A$1:$I$89,7,0))</f>
        <v>0</v>
      </c>
      <c r="BN50" s="16">
        <f>IF(ISNA(VLOOKUP(A50,'Données projet'!$A$87:$I$107,6,0)),0%,VLOOKUP(A50,'Données projet'!$A$87:$I$107,6,0)*VLOOKUP('Données projet'!$B$11,Paramètres!$A$1:$I$89,7,0))</f>
        <v>0</v>
      </c>
      <c r="BO50" s="16">
        <f>IF(ISNA(VLOOKUP(A50,'Données projet'!$A$87:$I$107,7,0)),0%,VLOOKUP(A50,'Données projet'!$A$87:$I$107,7,0))</f>
        <v>0</v>
      </c>
      <c r="BP50" s="21">
        <f>EXP(-LN(2)/35)*BP49+(1-EXP(-LN(2)/35))/(LN(2)/35)*BL50*BM50*VLOOKUP('Données projet'!$B$11,Paramètres!$A$1:$I$89,3,0)*0.475*44/12</f>
        <v>1.8100302523057474</v>
      </c>
      <c r="BQ50" s="21">
        <f>EXP(-LN(2)/25)*BQ49+(1-EXP(-LN(2)/25))/(LN(2)/25)*Calculateur!BL50*Calculateur!BN50*VLOOKUP('Données projet'!$B$11,Paramètres!$A$1:$I$89,3,0)*0.475*44/12</f>
        <v>9.5297096718553043</v>
      </c>
      <c r="BR50" s="21">
        <f>EXP(-LN(2)/2)*BR49+(1-EXP(-LN(2)/2))/(LN(2)/2)*BL50*BO50*VLOOKUP('Données projet'!$B$11,Paramètres!$A$1:$I$89,3,0)*0.475*44/12</f>
        <v>6.0599446326854128E-2</v>
      </c>
      <c r="BS50" s="22">
        <f t="shared" si="9"/>
        <v>11.400339370487906</v>
      </c>
      <c r="BT50" s="75">
        <f>('Scénario référence'!$F$8+'Scénario référence'!$F$9+'Scénario référence'!$B$17+'Scénario référence'!$B$9+'Scénario référence'!$B$10)*70+IF((45+25*(1-EXP(-0.0175*A50)))&lt;70,'Scénario référence'!$B$16*(45+25*(1-EXP(-0.0175*A50))),70*'Scénario référence'!$B$16)+IF((32+38*(1-EXP(-0.0175*A50)))&lt;70,'Scénario référence'!$B$18*(32+38*(1-EXP(-0.0175*A50))),70*'Scénario référence'!$B$18)</f>
        <v>70</v>
      </c>
      <c r="BU50" s="12">
        <f>IF(A50&gt;30,10,('Scénario référence'!$B$16+'Scénario référence'!$B$17+'Scénario référence'!$B$18+'Scénario référence'!$B$9+'Scénario référence'!$B$10)*A50*10/30+('Scénario référence'!$F$8+'Scénario référence'!$F$9)*10)</f>
        <v>10</v>
      </c>
      <c r="BV50" s="12" t="e">
        <f>VLOOKUP(A50,'Données projet'!$A$113:$I$133,2,0)</f>
        <v>#N/A</v>
      </c>
      <c r="BW50" s="12" t="e">
        <f>VLOOKUP(A50,'Données projet'!$A$113:$I$133,9,0)</f>
        <v>#N/A</v>
      </c>
      <c r="BX50" s="12">
        <f t="array" ref="BX50">INDEX(BW:BW,MIN(IF(ISNUMBER(BW50:BW246),ROW(BW50:BW246),"")))</f>
        <v>11.9</v>
      </c>
      <c r="BY50" s="12">
        <f>IF('Données projet'!$A$114&gt;35,BY49+BX50-CG49,IF(A50&lt;'Données projet'!$A$114,$BV$205^A50,IF(A50='Données projet'!$A$114,'Données projet'!$B$114,BY49+BX50-CG49)))</f>
        <v>284.29999999999984</v>
      </c>
      <c r="BZ50" s="13">
        <f>BY50*VLOOKUP('Données projet'!$B$12,Paramètres!$A$1:$I$89,3,0)*VLOOKUP('Données projet'!$B$12,Paramètres!$A$1:$I$89,5,0)</f>
        <v>162.61959999999991</v>
      </c>
      <c r="CA50" s="13">
        <f t="shared" si="39"/>
        <v>41.432813883214479</v>
      </c>
      <c r="CB50" s="20">
        <f t="shared" si="10"/>
        <v>355.39128751326507</v>
      </c>
      <c r="CC50" s="59">
        <f t="shared" si="11"/>
        <v>648.72462084659833</v>
      </c>
      <c r="CD50" s="59">
        <f ca="1">AVERAGE(OFFSET($CC$3,0,0,'Données projet'!$E$12+1,1))-AVERAGE(OFFSET($H$3,0,0,'Données projet'!$E$12+1,1))</f>
        <v>188.64374818906128</v>
      </c>
      <c r="CE50" s="59">
        <f t="shared" si="40"/>
        <v>211.95157880548652</v>
      </c>
      <c r="CF50" s="15">
        <f>IF(ISNA(VLOOKUP(A50,'Données projet'!$A$113:$I$133,3,0)),0,VLOOKUP(A50,'Données projet'!$A$113:$I$133,3,0))</f>
        <v>0</v>
      </c>
      <c r="CG50" s="15">
        <f>IF(ISNA(VLOOKUP(A50,'Données projet'!$A$113:$I$133,4,0)),0,VLOOKUP(A50,'Données projet'!$A$113:$I$133,4,0))</f>
        <v>0</v>
      </c>
      <c r="CH50" s="16">
        <f>IF(ISNA(VLOOKUP(A50,'Données projet'!$A$113:$I$133,5,0)),0%,VLOOKUP(A50,'Données projet'!$A$113:$I$133,5,0)*VLOOKUP('Données projet'!$B$12,Paramètres!$A$1:$I$89,7,0))</f>
        <v>0</v>
      </c>
      <c r="CI50" s="16">
        <f>IF(ISNA(VLOOKUP(A50,'Données projet'!$A$113:$I$133,6,0)),0%,VLOOKUP(A50,'Données projet'!$A$113:$I$133,6,0)*VLOOKUP('Données projet'!$B$12,Paramètres!$A$1:$I$89,7,0))</f>
        <v>0</v>
      </c>
      <c r="CJ50" s="16">
        <f>IF(ISNA(VLOOKUP(A50,'Données projet'!$A$113:$I$133,7,0)),0%,VLOOKUP(A50,'Données projet'!$A$113:$I$133,7,0))</f>
        <v>0</v>
      </c>
      <c r="CK50" s="21">
        <f>EXP(-LN(2)/35)*CK49+(1-EXP(-LN(2)/35))/(LN(2)/35)*CG50*CH50*VLOOKUP('Données projet'!$B$12,Paramètres!$A$1:$I$89,3,0)*0.475*44/12</f>
        <v>1.7557182606566462</v>
      </c>
      <c r="CL50" s="21">
        <f>EXP(-LN(2)/25)*CL49+(1-EXP(-LN(2)/25))/(LN(2)/25)*Calculateur!CG50*Calculateur!CI50*VLOOKUP('Données projet'!$B$12,Paramètres!$A$1:$I$89,3,0)*0.475*44/12</f>
        <v>8.9695785125754437</v>
      </c>
      <c r="CM50" s="21">
        <f>EXP(-LN(2)/2)*CM49+(1-EXP(-LN(2)/2))/(LN(2)/2)*CG50*CJ50*VLOOKUP('Données projet'!$B$12,Paramètres!$A$1:$I$89,3,0)*0.475*44/12</f>
        <v>5.8685822396461522E-2</v>
      </c>
      <c r="CN50" s="22">
        <f t="shared" si="12"/>
        <v>10.783982595628551</v>
      </c>
      <c r="CO50" s="75">
        <f>('Scénario référence'!$F$8+'Scénario référence'!$F$9+'Scénario référence'!$B$17+'Scénario référence'!$B$9+'Scénario référence'!$B$10)*70+IF((45+25*(1-EXP(-0.0175*A50)))&lt;70,'Scénario référence'!$B$16*(45+25*(1-EXP(-0.0175*A50))),70*'Scénario référence'!$B$16)+IF((32+38*(1-EXP(-0.0175*A50)))&lt;70,'Scénario référence'!$B$18*(32+38*(1-EXP(-0.0175*A50))),70*'Scénario référence'!$B$18)</f>
        <v>70</v>
      </c>
      <c r="CP50" s="12">
        <f>IF(A50&gt;30,10,('Scénario référence'!$B$16+'Scénario référence'!$B$17+'Scénario référence'!$B$18+'Scénario référence'!$B$9+'Scénario référence'!$B$10)*A50*10/30+('Scénario référence'!$F$8+'Scénario référence'!$F$9)*10)</f>
        <v>10</v>
      </c>
      <c r="CQ50" s="12" t="e">
        <f>VLOOKUP(A50,'Données projet'!$A$139:$I$159,2,0)</f>
        <v>#N/A</v>
      </c>
      <c r="CR50" s="12" t="e">
        <f>VLOOKUP(A50,'Données projet'!$A$139:$I$159,9,0)</f>
        <v>#N/A</v>
      </c>
      <c r="CS50" s="12">
        <f t="array" ref="CS50">INDEX(CR:CR,MIN(IF(ISNUMBER(CR50:CR246),ROW(CR50:CR246),"")))</f>
        <v>0</v>
      </c>
      <c r="CT50" s="12">
        <f>IF('Données projet'!$A$140&gt;35,CT49+CS50-DB49,IF(A50&lt;'Données projet'!$A$140,$CQ$205^A50,IF(A50='Données projet'!$A$140,'Données projet'!$B$140,CT49+CS50-DB49)))</f>
        <v>0</v>
      </c>
      <c r="CU50" s="17" t="e">
        <f>CT50*VLOOKUP('Données projet'!$B$13,Paramètres!$A$1:$I$89,3,0)*VLOOKUP('Données projet'!$B$13,Paramètres!$A$1:$I$89,5,0)</f>
        <v>#N/A</v>
      </c>
      <c r="CV50" s="13" t="e">
        <f t="shared" si="41"/>
        <v>#N/A</v>
      </c>
      <c r="CW50" s="20" t="e">
        <f t="shared" si="13"/>
        <v>#N/A</v>
      </c>
      <c r="CX50" s="59" t="e">
        <f t="shared" si="14"/>
        <v>#N/A</v>
      </c>
      <c r="CY50" s="59" t="e">
        <f ca="1">AVERAGE(OFFSET($CX$3,0,0,'Données projet'!$E$13+1,1))-AVERAGE(OFFSET($H$3,0,0,'Données projet'!$E$13+1,1))</f>
        <v>#N/A</v>
      </c>
      <c r="CZ50" s="59" t="e">
        <f t="shared" si="42"/>
        <v>#N/A</v>
      </c>
      <c r="DA50" s="15">
        <f>IF(ISNA(VLOOKUP(A50,'Données projet'!$A$139:$I$159,3,0)),0,VLOOKUP(A50,'Données projet'!$A$139:$I$159,3,0))</f>
        <v>0</v>
      </c>
      <c r="DB50" s="15">
        <f>IF(ISNA(VLOOKUP(A50,'Données projet'!$A$139:$I$159,4,0)),0,VLOOKUP(A50,'Données projet'!$A$139:$I$159,4,0))</f>
        <v>0</v>
      </c>
      <c r="DC50" s="16">
        <f>IF(ISNA(VLOOKUP(A50,'Données projet'!$A$139:$I$159,5,0)),0%,VLOOKUP(A50,'Données projet'!$A$139:$I$159,5,0)*VLOOKUP('Données projet'!$B$13,Paramètres!$A$1:$I$89,7,0))</f>
        <v>0</v>
      </c>
      <c r="DD50" s="16">
        <f>IF(ISNA(VLOOKUP(A50,'Données projet'!$A$139:$I$159,6,0)),0%,VLOOKUP(A50,'Données projet'!$A$139:$I$159,6,0)*VLOOKUP('Données projet'!$B$13,Paramètres!$A$1:$I$89,7,0))</f>
        <v>0</v>
      </c>
      <c r="DE50" s="16">
        <f>IF(ISNA(VLOOKUP(A50,'Données projet'!$A$139:$I$159,7,0)),0%,VLOOKUP(A50,'Données projet'!$A$139:$I$159,7,0))</f>
        <v>0</v>
      </c>
      <c r="DF50" s="21" t="e">
        <f>EXP(-LN(2)/35)*DF49+(1-EXP(-LN(2)/35))/(LN(2)/35)*DB50*DC50*VLOOKUP('Données projet'!$B$13,Paramètres!$A$1:$I$89,3,0)*0.475*44/12</f>
        <v>#N/A</v>
      </c>
      <c r="DG50" s="21" t="e">
        <f>EXP(-LN(2)/25)*DG49+(1-EXP(-LN(2)/25))/(LN(2)/25)*Calculateur!DB50*Calculateur!DD50*VLOOKUP('Données projet'!$B$13,Paramètres!$A$1:$I$89,3,0)*0.475*44/12</f>
        <v>#N/A</v>
      </c>
      <c r="DH50" s="21" t="e">
        <f>EXP(-LN(2)/2)*DH49+(1-EXP(-LN(2)/2))/(LN(2)/2)*DB50*DE50*VLOOKUP('Données projet'!$B$13,Paramètres!$A$1:$I$89,3,0)*0.475*44/12</f>
        <v>#N/A</v>
      </c>
      <c r="DI50" s="22" t="e">
        <f t="shared" si="15"/>
        <v>#N/A</v>
      </c>
      <c r="DJ50" s="75">
        <f>('Scénario référence'!$F$8+'Scénario référence'!$F$9+'Scénario référence'!$B$17+'Scénario référence'!$B$9+'Scénario référence'!$B$10)*70+IF((45+25*(1-EXP(-0.0175*A50)))&lt;70,'Scénario référence'!$B$16*(45+25*(1-EXP(-0.0175*A50))),70*'Scénario référence'!$B$16)+IF((32+38*(1-EXP(-0.0175*A50)))&lt;70,'Scénario référence'!$B$18*(32+38*(1-EXP(-0.0175*A50))),70*'Scénario référence'!$B$18)</f>
        <v>70</v>
      </c>
      <c r="DK50" s="12">
        <f>IF(A50&gt;30,10,('Scénario référence'!$B$16+'Scénario référence'!$B$17+'Scénario référence'!$B$18+'Scénario référence'!$B$9+'Scénario référence'!$B$10)*A50*10/30+('Scénario référence'!$F$8+'Scénario référence'!$F$9)*10)</f>
        <v>10</v>
      </c>
      <c r="DL50" s="12" t="e">
        <f>VLOOKUP(A50,'Données projet'!$A$165:$I$185,2,0)</f>
        <v>#N/A</v>
      </c>
      <c r="DM50" s="12" t="e">
        <f>VLOOKUP(A50,'Données projet'!$A$165:$I$185,9,0)</f>
        <v>#N/A</v>
      </c>
      <c r="DN50" s="12">
        <f t="array" ref="DN50">INDEX(DM:DM,MIN(IF(ISNUMBER(DM50:DM246),ROW(DM50:DM246),"")))</f>
        <v>7.8</v>
      </c>
      <c r="DO50" s="12">
        <f>IF('Données projet'!$A$166&gt;35,DO49+DN50-DW49,IF(A50&lt;'Données projet'!$A$166,$DL$205^A50,IF(A50='Données projet'!$A$166,'Données projet'!$B$166,DO49+DN50-DW49)))</f>
        <v>250.59999999999997</v>
      </c>
      <c r="DP50" s="17">
        <f>DO50*VLOOKUP('Données projet'!$B$14,Paramètres!$A$1:$I$89,3,0)*VLOOKUP('Données projet'!$B$14,Paramètres!$A$1:$I$89,5,0)</f>
        <v>164.19311999999996</v>
      </c>
      <c r="DQ50" s="13">
        <f t="shared" si="43"/>
        <v>41.786856670339013</v>
      </c>
      <c r="DR50" s="20">
        <f t="shared" si="16"/>
        <v>358.748459367507</v>
      </c>
      <c r="DS50" s="59">
        <f t="shared" si="17"/>
        <v>652.08179270084031</v>
      </c>
      <c r="DT50" s="59">
        <f ca="1">AVERAGE(OFFSET($DS$3,0,0,'Données projet'!$E$14+1,1))-AVERAGE(OFFSET($H$3,0,0,'Données projet'!$E$14+1,1))</f>
        <v>188.68915783955595</v>
      </c>
      <c r="DU50" s="59">
        <f t="shared" si="44"/>
        <v>240.82467772396944</v>
      </c>
      <c r="DV50" s="15">
        <f>IF(ISNA(VLOOKUP(A50,'Données projet'!$A$165:$I$185,3,0)),0,VLOOKUP(A50,'Données projet'!$A$165:$I$185,3,0))</f>
        <v>0</v>
      </c>
      <c r="DW50" s="15">
        <f>IF(ISNA(VLOOKUP(A50,'Données projet'!$A$165:$I$185,4,0)),0,VLOOKUP(A50,'Données projet'!$A$165:$I$185,4,0))</f>
        <v>0</v>
      </c>
      <c r="DX50" s="16">
        <f>IF(ISNA(VLOOKUP(A50,'Données projet'!$A$165:$I$185,5,0)),0%,VLOOKUP(A50,'Données projet'!$A$165:$I$185,5,0)*VLOOKUP('Données projet'!$B$14,Paramètres!$A$1:$I$89,7,0))</f>
        <v>0</v>
      </c>
      <c r="DY50" s="16">
        <f>IF(ISNA(VLOOKUP(A50,'Données projet'!$A$165:$I$185,6,0)),0%,VLOOKUP(A50,'Données projet'!$A$165:$I$185,6,0)*VLOOKUP('Données projet'!$B$14,Paramètres!$A$1:$I$89,7,0))</f>
        <v>0</v>
      </c>
      <c r="DZ50" s="16">
        <f>IF(ISNA(VLOOKUP(A50,'Données projet'!$A$165:$I$185,7,0)),0%,VLOOKUP(A50,'Données projet'!$A$165:$I$185,7,0))</f>
        <v>0</v>
      </c>
      <c r="EA50" s="21">
        <f>EXP(-LN(2)/35)*EA49+(1-EXP(-LN(2)/35))/(LN(2)/35)*DW50*DX50*VLOOKUP('Données projet'!$B$14,Paramètres!$A$1:$I$89,3,0)*0.475*44/12</f>
        <v>1.1121026861482544</v>
      </c>
      <c r="EB50" s="21">
        <f>EXP(-LN(2)/25)*EB49+(1-EXP(-LN(2)/25))/(LN(2)/25)*Calculateur!DW50*Calculateur!DY50*VLOOKUP('Données projet'!$B$14,Paramètres!$A$1:$I$89,3,0)*0.475*44/12</f>
        <v>5.0170587283480526</v>
      </c>
      <c r="EC50" s="21">
        <f>EXP(-LN(2)/2)*EC49+(1-EXP(-LN(2)/2))/(LN(2)/2)*DW50*DZ50*VLOOKUP('Données projet'!$B$14,Paramètres!$A$1:$I$89,3,0)*0.475*44/12</f>
        <v>3.8659980466017894E-2</v>
      </c>
      <c r="ED50" s="22">
        <f t="shared" si="18"/>
        <v>6.1678213949623251</v>
      </c>
      <c r="EE50" s="75">
        <f>('Scénario référence'!$F$8+'Scénario référence'!$F$9+'Scénario référence'!$B$17+'Scénario référence'!$B$9+'Scénario référence'!$B$10)*70+IF((45+25*(1-EXP(-0.0175*A50)))&lt;70,'Scénario référence'!$B$16*(45+25*(1-EXP(-0.0175*A50))),70*'Scénario référence'!$B$16)+IF((32+38*(1-EXP(-0.0175*A50)))&lt;70,'Scénario référence'!$B$18*(32+38*(1-EXP(-0.0175*A50))),70*'Scénario référence'!$B$18)</f>
        <v>70</v>
      </c>
      <c r="EF50" s="12">
        <f>IF(A50&gt;30,10,('Scénario référence'!$B$16+'Scénario référence'!$B$17+'Scénario référence'!$B$18+'Scénario référence'!$B$9+'Scénario référence'!$B$10)*A50*10/30+('Scénario référence'!$F$8+'Scénario référence'!$F$9)*10)</f>
        <v>10</v>
      </c>
      <c r="EG50" s="12" t="e">
        <f>VLOOKUP(A50,'Données projet'!$A$191:$I$211,2,0)</f>
        <v>#N/A</v>
      </c>
      <c r="EH50" s="12" t="e">
        <f>VLOOKUP(A50,'Données projet'!$A$191:$I$211,9,0)</f>
        <v>#N/A</v>
      </c>
      <c r="EI50" s="12">
        <f t="array" ref="EI50">INDEX(EH:EH,MIN(IF(ISNUMBER(EH50:EH246),ROW(EH50:EH246),"")))</f>
        <v>7</v>
      </c>
      <c r="EJ50" s="12">
        <f>IF('Données projet'!$A$192&gt;35,EJ49+EI50-ER49,IF(A50&lt;'Données projet'!$A$192,$EG$205^A50,IF(A50='Données projet'!$A$192,'Données projet'!$B$192,EJ49+EI50-ER49)))</f>
        <v>198.99999999999991</v>
      </c>
      <c r="EK50" s="17">
        <f>EJ50*VLOOKUP('Données projet'!$B$15,Paramètres!$A$1:$I$89,3,0)*VLOOKUP('Données projet'!$B$15,Paramètres!$A$1:$I$89,5,0)</f>
        <v>161.42879999999994</v>
      </c>
      <c r="EL50" s="13">
        <f t="shared" si="45"/>
        <v>41.1646182969302</v>
      </c>
      <c r="EM50" s="20">
        <f t="shared" si="19"/>
        <v>352.85020353381998</v>
      </c>
      <c r="EN50" s="59">
        <f t="shared" si="20"/>
        <v>646.18353686715329</v>
      </c>
      <c r="EO50" s="59">
        <f ca="1">AVERAGE(OFFSET($EN$3,0,0,'Données projet'!$E$15+1,1))-AVERAGE(OFFSET($H$3,0,0,'Données projet'!$E$15+1,1))</f>
        <v>205.5272583787887</v>
      </c>
      <c r="EP50" s="59">
        <f t="shared" si="46"/>
        <v>180.54762778843178</v>
      </c>
      <c r="EQ50" s="15">
        <f>IF(ISNA(VLOOKUP(A50,'Données projet'!$A$191:$I$211,3,0)),0,VLOOKUP(A50,'Données projet'!$A$191:$I$211,3,0))</f>
        <v>0</v>
      </c>
      <c r="ER50" s="15">
        <f>IF(ISNA(VLOOKUP(A50,'Données projet'!$A$191:$I$211,4,0)),0,VLOOKUP(A50,'Données projet'!$A$191:$I$211,4,0))</f>
        <v>0</v>
      </c>
      <c r="ES50" s="16">
        <f>IF(ISNA(VLOOKUP(A50,'Données projet'!$A$191:$I$211,5,0)),0%,VLOOKUP(A50,'Données projet'!$A$191:$I$211,5,0)*VLOOKUP('Données projet'!$B$15,Paramètres!$A$1:$I$89,7,0))</f>
        <v>0</v>
      </c>
      <c r="ET50" s="16">
        <f>IF(ISNA(VLOOKUP(A50,'Données projet'!$A$191:$I$211,6,0)),0%,VLOOKUP(A50,'Données projet'!$A$191:$I$211,6,0)*VLOOKUP('Données projet'!$B$15,Paramètres!$A$1:$I$89,7,0))</f>
        <v>0</v>
      </c>
      <c r="EU50" s="16">
        <f>IF(ISNA(VLOOKUP(A50,'Données projet'!$A$191:$I$211,7,0)),0%,VLOOKUP(A50,'Données projet'!$A$191:$I$211,7,0))</f>
        <v>0</v>
      </c>
      <c r="EV50" s="21">
        <f>EXP(-LN(2)/35)*EV49+(1-EXP(-LN(2)/35))/(LN(2)/35)*ER50*ES50*VLOOKUP('Données projet'!$B$15,Paramètres!$A$1:$I$89,3,0)*0.475*44/12</f>
        <v>0.71598230079639991</v>
      </c>
      <c r="EW50" s="21">
        <f>EXP(-LN(2)/25)*EW49+(1-EXP(-LN(2)/25))/(LN(2)/25)*Calculateur!ER50*Calculateur!ET50*VLOOKUP('Données projet'!$B$15,Paramètres!$A$1:$I$89,3,0)*0.475*44/12</f>
        <v>3.6224685991846739</v>
      </c>
      <c r="EX50" s="21">
        <f>EXP(-LN(2)/2)*EX49+(1-EXP(-LN(2)/2))/(LN(2)/2)*ER50*EU50*VLOOKUP('Données projet'!$B$15,Paramètres!$A$1:$I$89,3,0)*0.475*44/12</f>
        <v>2.5032365937949264E-2</v>
      </c>
      <c r="EY50" s="22">
        <f t="shared" si="21"/>
        <v>4.3634832659190232</v>
      </c>
      <c r="EZ50" s="75">
        <f>('Scénario référence'!$F$8+'Scénario référence'!$F$9+'Scénario référence'!$B$17+'Scénario référence'!$B$9+'Scénario référence'!$B$10)*70+IF((45+25*(1-EXP(-0.0175*A50)))&lt;70,'Scénario référence'!$B$16*(45+25*(1-EXP(-0.0175*A50))),70*'Scénario référence'!$B$16)+IF((32+38*(1-EXP(-0.0175*A50)))&lt;70,'Scénario référence'!$B$18*(32+38*(1-EXP(-0.0175*A50))),70*'Scénario référence'!$B$18)</f>
        <v>70</v>
      </c>
      <c r="FA50" s="12">
        <f>IF(A50&gt;30,10,('Scénario référence'!$B$16+'Scénario référence'!$B$17+'Scénario référence'!$B$18+'Scénario référence'!$B$9+'Scénario référence'!$B$10)*A50*10/30+('Scénario référence'!$F$8+'Scénario référence'!$F$9)*10)</f>
        <v>10</v>
      </c>
      <c r="FB50" s="12" t="e">
        <f>VLOOKUP(A50,'Données projet'!$A$217:$I$237,2,0)</f>
        <v>#N/A</v>
      </c>
      <c r="FC50" s="12" t="e">
        <f>VLOOKUP(A50,'Données projet'!$A$217:$I$237,9,0)</f>
        <v>#N/A</v>
      </c>
      <c r="FD50" s="12">
        <f t="array" ref="FD50">INDEX(FC:FC,MIN(IF(ISNUMBER(FC50:FC246),ROW(FC50:FC246),"")))</f>
        <v>13.4</v>
      </c>
      <c r="FE50" s="12">
        <f>IF('Données projet'!$A$218&gt;35,FE49+FD50-FM49,IF(A50&lt;'Données projet'!$A$218,$FB$205^A50,IF(A50='Données projet'!$A$218,'Données projet'!$B$218,FE49+FD50-FM49)))</f>
        <v>243.8000000000001</v>
      </c>
      <c r="FF50" s="17">
        <f>FE50*VLOOKUP('Données projet'!$B$16,Paramètres!$A$1:$I$89,3,0)*VLOOKUP('Données projet'!$B$16,Paramètres!$A$1:$I$89,5,0)</f>
        <v>209.18040000000011</v>
      </c>
      <c r="FG50" s="13">
        <f t="shared" si="47"/>
        <v>51.756441735624989</v>
      </c>
      <c r="FH50" s="20">
        <f t="shared" si="22"/>
        <v>454.4649993562137</v>
      </c>
      <c r="FI50" s="59">
        <f t="shared" si="23"/>
        <v>747.79833268954701</v>
      </c>
      <c r="FJ50" s="59">
        <f ca="1">AVERAGE(OFFSET($FI$3,0,0,'Données projet'!$E$16+1,1))-AVERAGE(OFFSET($H$3,0,0,'Données projet'!$E$16+1,1))</f>
        <v>383.97627237444709</v>
      </c>
      <c r="FK50" s="59">
        <f t="shared" si="48"/>
        <v>203.35476578922339</v>
      </c>
      <c r="FL50" s="15">
        <f>IF(ISNA(VLOOKUP(A50,'Données projet'!$A$217:$I$237,3,0)),0,VLOOKUP(A50,'Données projet'!$A$217:$I$237,3,0))</f>
        <v>0</v>
      </c>
      <c r="FM50" s="15">
        <f>IF(ISNA(VLOOKUP(A50,'Données projet'!$A$217:$I$237,4,0)),0,VLOOKUP(A50,'Données projet'!$A$217:$I$237,4,0))</f>
        <v>0</v>
      </c>
      <c r="FN50" s="16">
        <f>IF(ISNA(VLOOKUP(A50,'Données projet'!$A$217:$I$237,5,0)),0%,VLOOKUP(A50,'Données projet'!$A$217:$I$237,5,0)*VLOOKUP('Données projet'!$B$16,Paramètres!$A$1:$I$89,7,0))</f>
        <v>0</v>
      </c>
      <c r="FO50" s="16">
        <f>IF(ISNA(VLOOKUP(A50,'Données projet'!$A$217:$I$237,6,0)),0%,VLOOKUP(A50,'Données projet'!$A$217:$I$237,6,0)*VLOOKUP('Données projet'!$B$16,Paramètres!$A$1:$I$89,7,0))</f>
        <v>0</v>
      </c>
      <c r="FP50" s="16">
        <f>IF(ISNA(VLOOKUP(A50,'Données projet'!$A$217:$I$237,7,0)),0%,VLOOKUP(A50,'Données projet'!$A$217:$I$237,7,0))</f>
        <v>0</v>
      </c>
      <c r="FQ50" s="21">
        <f>EXP(-LN(2)/35)*FQ49+(1-EXP(-LN(2)/35))/(LN(2)/35)*FM50*FN50*VLOOKUP('Données projet'!$B$16,Paramètres!$A$1:$I$89,3,0)*0.475*44/12</f>
        <v>3.67976059067023</v>
      </c>
      <c r="FR50" s="21">
        <f>EXP(-LN(2)/25)*FR49+(1-EXP(-LN(2)/25))/(LN(2)/25)*Calculateur!FM50*Calculateur!FO50*VLOOKUP('Données projet'!$B$16,Paramètres!$A$1:$I$89,3,0)*0.475*44/12</f>
        <v>3.6771800458857413</v>
      </c>
      <c r="FS50" s="21">
        <f>EXP(-LN(2)/2)*FS49+(1-EXP(-LN(2)/2))/(LN(2)/2)*FM50*FP50*VLOOKUP('Données projet'!$B$16,Paramètres!$A$1:$I$89,3,0)*0.475*44/12</f>
        <v>4.5979318842722008E-2</v>
      </c>
      <c r="FT50" s="22">
        <f t="shared" si="24"/>
        <v>7.4029199553986933</v>
      </c>
      <c r="FU50" s="75">
        <f>('Scénario référence'!$F$8+'Scénario référence'!$F$9+'Scénario référence'!$B$17+'Scénario référence'!$B$9+'Scénario référence'!$B$10)*70+IF((45+25*(1-EXP(-0.0175*A50)))&lt;70,'Scénario référence'!$B$16*(45+25*(1-EXP(-0.0175*A50))),70*'Scénario référence'!$B$16)+IF((32+38*(1-EXP(-0.0175*A50)))&lt;70,'Scénario référence'!$B$18*(32+38*(1-EXP(-0.0175*A50))),70*'Scénario référence'!$B$18)</f>
        <v>70</v>
      </c>
      <c r="FV50" s="12">
        <f>IF(A50&gt;30,10,('Scénario référence'!$B$16+'Scénario référence'!$B$17+'Scénario référence'!$B$18+'Scénario référence'!$B$9+'Scénario référence'!$B$10)*A50*10/30+('Scénario référence'!$F$8+'Scénario référence'!$F$9)*10)</f>
        <v>10</v>
      </c>
      <c r="FW50" s="12" t="e">
        <f>VLOOKUP(A50,'Données projet'!$A$243:$I$263,2,0)</f>
        <v>#N/A</v>
      </c>
      <c r="FX50" s="12" t="e">
        <f>VLOOKUP(A50,'Données projet'!$A$243:$I$263,9,0)</f>
        <v>#N/A</v>
      </c>
      <c r="FY50" s="12">
        <f t="array" ref="FY50">INDEX(FX:FX,MIN(IF(ISNUMBER(FX50:FX246),ROW(FX50:FX246),"")))</f>
        <v>9.3452380952380913</v>
      </c>
      <c r="FZ50" s="12">
        <f>IF('Données projet'!$A$244&gt;35,FZ49+FY50-GH49,IF(A50&lt;'Données projet'!$A$244,$FW$205^A50,IF(A50='Données projet'!$A$244,'Données projet'!$B$244,FZ49+FY50-GH49)))</f>
        <v>175.00732600732604</v>
      </c>
      <c r="GA50" s="17">
        <f>FZ50*VLOOKUP('Données projet'!$B$17,Paramètres!$A$1:$I$89,3,0)*VLOOKUP('Données projet'!$B$17,Paramètres!$A$1:$I$89,5,0)</f>
        <v>188.37788571428575</v>
      </c>
      <c r="GB50" s="13">
        <f t="shared" si="49"/>
        <v>47.181147651053102</v>
      </c>
      <c r="GC50" s="20">
        <f t="shared" si="25"/>
        <v>410.26531644463176</v>
      </c>
      <c r="GD50" s="59">
        <f t="shared" si="26"/>
        <v>703.59864977796508</v>
      </c>
      <c r="GE50" s="59">
        <f ca="1">AVERAGE(OFFSET($GD$3,0,0,'Données projet'!$E$17+1,1))-AVERAGE(OFFSET($H$3,0,0,'Données projet'!$E$17+1,1))</f>
        <v>286.77702855541287</v>
      </c>
      <c r="GF50" s="59">
        <f t="shared" si="50"/>
        <v>227.12211541860779</v>
      </c>
      <c r="GG50" s="15">
        <f>IF(ISNA(VLOOKUP(A50,'Données projet'!$A$243:$I$263,3,0)),0,VLOOKUP(A50,'Données projet'!$A$243:$I$263,3,0))</f>
        <v>0</v>
      </c>
      <c r="GH50" s="15">
        <f>IF(ISNA(VLOOKUP(A50,'Données projet'!$A$243:$I$263,4,0)),0,VLOOKUP(A50,'Données projet'!$A$243:$I$263,4,0))</f>
        <v>0</v>
      </c>
      <c r="GI50" s="16">
        <f>IF(ISNA(VLOOKUP(A50,'Données projet'!$A$243:$I$263,5,0)),0%,VLOOKUP(A50,'Données projet'!$A$243:$I$263,5,0)*VLOOKUP('Données projet'!$B$17,Paramètres!$A$1:$I$89,7,0))</f>
        <v>0</v>
      </c>
      <c r="GJ50" s="16">
        <f>IF(ISNA(VLOOKUP(A50,'Données projet'!$A$243:$I$263,6,0)),0%,VLOOKUP(A50,'Données projet'!$A$243:$I$263,6,0)*VLOOKUP('Données projet'!$B$17,Paramètres!$A$1:$I$89,7,0))</f>
        <v>0</v>
      </c>
      <c r="GK50" s="16">
        <f>IF(ISNA(VLOOKUP(A50,'Données projet'!$A$243:$I$263,7,0)),0%,VLOOKUP(A50,'Données projet'!$A$243:$I$263,7,0))</f>
        <v>0</v>
      </c>
      <c r="GL50" s="21">
        <f>EXP(-LN(2)/35)*GL49+(1-EXP(-LN(2)/35))/(LN(2)/35)*GH50*GI50*VLOOKUP('Données projet'!$B$17,Paramètres!$A$1:$I$89,3,0)*0.475*44/12</f>
        <v>0</v>
      </c>
      <c r="GM50" s="21">
        <f>EXP(-LN(2)/25)*GM49+(1-EXP(-LN(2)/25))/(LN(2)/25)*Calculateur!GH50*Calculateur!GJ50*VLOOKUP('Données projet'!$B$17,Paramètres!$A$1:$I$89,3,0)*0.475*44/12</f>
        <v>0</v>
      </c>
      <c r="GN50" s="21">
        <f>EXP(-LN(2)/2)*GN49+(1-EXP(-LN(2)/2))/(LN(2)/2)*GH50*GK50*VLOOKUP('Données projet'!$B$17,Paramètres!$A$1:$I$89,3,0)*0.475*44/12</f>
        <v>0</v>
      </c>
      <c r="GO50" s="21">
        <f t="shared" si="27"/>
        <v>0</v>
      </c>
      <c r="GP50" s="75">
        <f>('Scénario référence'!$F$8+'Scénario référence'!$F$9+'Scénario référence'!$B$17+'Scénario référence'!$B$9+'Scénario référence'!$B$10)*70+IF((45+25*(1-EXP(-0.0175*A50)))&lt;70,'Scénario référence'!$B$16*(45+25*(1-EXP(-0.0175*A50))),70*'Scénario référence'!$B$16)+IF((32+38*(1-EXP(-0.0175*A50)))&lt;70,'Scénario référence'!$B$18*(32+38*(1-EXP(-0.0175*A50))),70*'Scénario référence'!$B$18)</f>
        <v>70</v>
      </c>
      <c r="GQ50" s="12">
        <f>IF(A50&gt;30,10,('Scénario référence'!$B$16+'Scénario référence'!$B$17+'Scénario référence'!$B$18+'Scénario référence'!$B$9+'Scénario référence'!$B$10)*A50*10/30+('Scénario référence'!$F$8+'Scénario référence'!$F$9)*10)</f>
        <v>10</v>
      </c>
      <c r="GR50" s="12" t="e">
        <f>VLOOKUP(A50,'Données projet'!$A$269:$I$289,2,0)</f>
        <v>#N/A</v>
      </c>
      <c r="GS50" s="12" t="e">
        <f>VLOOKUP(A50,'Données projet'!$A$269:$I$289,9,0)</f>
        <v>#N/A</v>
      </c>
      <c r="GT50" s="12">
        <f t="array" ref="GT50">INDEX(GS:GS,MIN(IF(ISNUMBER(GS50:GS246),ROW(GS50:GS246),"")))</f>
        <v>9.3452380952380913</v>
      </c>
      <c r="GU50" s="12">
        <f>IF('Données projet'!$A$270&gt;35,GU49+GT50-HC49,IF(A50&lt;'Données projet'!$A$270,$GR$205^A50,IF(A50='Données projet'!$A$270,'Données projet'!$B$270,GU49+GT50-HC49)))</f>
        <v>175.00732600732604</v>
      </c>
      <c r="GV50" s="17">
        <f>GU50*VLOOKUP('Données projet'!$B$18,Paramètres!$A$1:$I$89,3,0)*VLOOKUP('Données projet'!$B$18,Paramètres!$A$1:$I$89,5,0)</f>
        <v>188.37788571428575</v>
      </c>
      <c r="GW50" s="13">
        <f t="shared" si="51"/>
        <v>47.181147651053102</v>
      </c>
      <c r="GX50" s="20">
        <f t="shared" si="28"/>
        <v>410.26531644463176</v>
      </c>
      <c r="GY50" s="59">
        <f t="shared" si="29"/>
        <v>703.59864977796508</v>
      </c>
      <c r="GZ50" s="59">
        <f ca="1">AVERAGE(OFFSET($GY$3,0,0,'Données projet'!$E$18+1,1))-AVERAGE(OFFSET($H$3,0,0,'Données projet'!$E$18+1,1))</f>
        <v>286.77702855541287</v>
      </c>
      <c r="HA50" s="59">
        <f t="shared" si="52"/>
        <v>227.12211541860779</v>
      </c>
      <c r="HB50" s="15">
        <f>IF(ISNA(VLOOKUP(A50,'Données projet'!$A$269:$I$289,3,0)),0,VLOOKUP(A50,'Données projet'!$A$269:$I$289,3,0))</f>
        <v>0</v>
      </c>
      <c r="HC50" s="15">
        <f>IF(ISNA(VLOOKUP(A50,'Données projet'!$A$269:$I$289,4,0)),0,VLOOKUP(A50,'Données projet'!$A$269:$I$289,4,0))</f>
        <v>0</v>
      </c>
      <c r="HD50" s="16">
        <f>IF(ISNA(VLOOKUP(A50,'Données projet'!$A$269:$I$289,5,0)),0%,VLOOKUP(A50,'Données projet'!$A$269:$I$289,5,0)*VLOOKUP('Données projet'!$B$18,Paramètres!$A$1:$I$89,7,0))</f>
        <v>0</v>
      </c>
      <c r="HE50" s="16">
        <f>IF(ISNA(VLOOKUP(A50,'Données projet'!$A$269:$I$289,6,0)),0%,VLOOKUP(A50,'Données projet'!$A$269:$I$289,6,0)*VLOOKUP('Données projet'!$B$18,Paramètres!$A$1:$I$89,7,0))</f>
        <v>0</v>
      </c>
      <c r="HF50" s="16">
        <f>IF(ISNA(VLOOKUP(A50,'Données projet'!$A$269:$I$289,7,0)),0%,VLOOKUP(A50,'Données projet'!$A$269:$I$289,7,0))</f>
        <v>0</v>
      </c>
      <c r="HG50" s="21">
        <f>EXP(-LN(2)/35)*HG49+(1-EXP(-LN(2)/35))/(LN(2)/35)*HC50*HD50*VLOOKUP('Données projet'!$B$18,Paramètres!$A$1:$I$89,3,0)*0.475*44/12</f>
        <v>0</v>
      </c>
      <c r="HH50" s="21">
        <f>EXP(-LN(2)/25)*HH49+(1-EXP(-LN(2)/25))/(LN(2)/25)*Calculateur!HC50*Calculateur!HE50*VLOOKUP('Données projet'!$B$18,Paramètres!$A$1:$I$89,3,0)*0.475*44/12</f>
        <v>0</v>
      </c>
      <c r="HI50" s="21">
        <f>EXP(-LN(2)/2)*HI49+(1-EXP(-LN(2)/2))/(LN(2)/2)*HC50*HF50*VLOOKUP('Données projet'!$B$18,Paramètres!$A$1:$I$89,3,0)*0.475*44/12</f>
        <v>0</v>
      </c>
      <c r="HJ50" s="22">
        <f t="shared" si="30"/>
        <v>0</v>
      </c>
    </row>
    <row r="51" spans="1:218" x14ac:dyDescent="0.25">
      <c r="A51" s="10">
        <f t="shared" si="31"/>
        <v>48</v>
      </c>
      <c r="B51" s="73">
        <f>'Scénario référence'!$B$16*5+'Scénario référence'!$B$17*0+'Scénario référence'!$B$18*5</f>
        <v>0</v>
      </c>
      <c r="C51" s="19">
        <f>Calculateur!C50+'Scénario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42.681600000000017</v>
      </c>
      <c r="D51" s="11">
        <f t="shared" si="32"/>
        <v>12.706698925204435</v>
      </c>
      <c r="E5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51" s="11">
        <f>IF(OR('Scénario référence'!$F$8&gt;0,'Scénario référence'!$F$9&gt;0),('Scénario référence'!$F$8+'Scénario référence'!$F$9)*10,0)</f>
        <v>10</v>
      </c>
      <c r="G51" s="11">
        <f>'Scénario référence'!$B$8*B51*44/12+'Scénario référence'!$B$9*(C51+D51)/0.475*44/12+'Scénario référence'!$B$10*(C51+D51)/0.475*44/12+'Scénario référence'!$F$8*(C51+D51)/0.475*44/12+'Scénario référence'!$F$9*(C51+D51)/0.475*44/12</f>
        <v>427.55879872087644</v>
      </c>
      <c r="H51" s="67">
        <f t="shared" si="1"/>
        <v>389.80128729473108</v>
      </c>
      <c r="I51" s="70">
        <f>('Scénario référence'!$F$8+'Scénario référence'!$F$9+'Scénario référence'!$B$17+'Scénario référence'!$B$9+'Scénario référence'!$B$10)*70+IF((45+25*(1-EXP(-0.0175*A51)))&lt;70,'Scénario référence'!$B$16*(45+25*(1-EXP(-0.0175*A51))),70*'Scénario référence'!$B$16)+IF((32+38*(1-EXP(-0.0175*A51)))&lt;70,'Scénario référence'!$B$18*(32+38*(1-EXP(-0.0175*A51))),70*'Scénario référence'!$B$18)</f>
        <v>70</v>
      </c>
      <c r="J51" s="13">
        <f>IF(A51&gt;30,10,('Scénario référence'!$B$16+'Scénario référence'!$B$17+'Scénario référence'!$B$18+'Scénario référence'!$B$9+'Scénario référence'!$B$10)*A51*10/30+('Scénario référence'!$F$8+'Scénario référence'!$F$9)*10)</f>
        <v>10</v>
      </c>
      <c r="K51" s="12">
        <f>VLOOKUP(A51,'Données projet'!$A$35:$I$55,2,0)</f>
        <v>525.0846153846154</v>
      </c>
      <c r="L51" s="12">
        <f>VLOOKUP(A51,'Données projet'!$A$35:$I$55,9,0)</f>
        <v>21.625641025641027</v>
      </c>
      <c r="M51" s="12">
        <f t="array" ref="M51">INDEX(L:L,MIN(IF(ISNUMBER(L51:L247),ROW(L51:L247),"")))</f>
        <v>21.625641025641027</v>
      </c>
      <c r="N51" s="13">
        <f>IF('Données projet'!$A$36&gt;35,N50+M51-V50,IF(A51&lt;'Données projet'!$A$36,$K$205^A51,IF(A51='Données projet'!$A$36,'Données projet'!$B$36,N50+M51-V50)))</f>
        <v>525.08461538461518</v>
      </c>
      <c r="O51" s="13">
        <f>N51*VLOOKUP('Données projet'!$B$9,Paramètres!$A$1:$I$89,3,0)*VLOOKUP('Données projet'!$B$9,Paramètres!$A$1:$I$89,5,0)</f>
        <v>293.52229999999986</v>
      </c>
      <c r="P51" s="13">
        <f t="shared" si="33"/>
        <v>69.816768342057628</v>
      </c>
      <c r="Q51" s="20">
        <f t="shared" si="53"/>
        <v>632.81554402908341</v>
      </c>
      <c r="R51" s="59">
        <f t="shared" si="0"/>
        <v>926.14887736241667</v>
      </c>
      <c r="S51" s="59">
        <f ca="1">AVERAGE(OFFSET($R$3,0,0,'Données projet'!$E$9+1,1))-AVERAGE(OFFSET($H$3,0,0,'Données projet'!$E$9+1,1))</f>
        <v>255.5374979188561</v>
      </c>
      <c r="T51" s="59">
        <f t="shared" si="34"/>
        <v>343.10418468620901</v>
      </c>
      <c r="U51" s="15">
        <f>IF(ISNA(VLOOKUP(A51,'Données projet'!$A$35:$I$55,3,0)),0,VLOOKUP(A51,'Données projet'!$A$35:$I$55,3,0))</f>
        <v>6</v>
      </c>
      <c r="V51" s="15">
        <f>IF(ISNA(VLOOKUP(A51,'Données projet'!$A$35:$I$55,4,0)),0,VLOOKUP(A51,'Données projet'!$A$35:$I$55,4,0))</f>
        <v>81.330769230769235</v>
      </c>
      <c r="W51" s="16">
        <f>IF(ISNA(VLOOKUP(A51,'Données projet'!$A$35:$I$55,5,0)),0%,VLOOKUP(A51,'Données projet'!$A$35:$I$55,5,0)*VLOOKUP('Données projet'!$B$9,Paramètres!$A$1:$I$89,7,0))</f>
        <v>0</v>
      </c>
      <c r="X51" s="16">
        <f>IF(ISNA(VLOOKUP(A51,'Données projet'!$A$35:$I$55,6,0)),0%,VLOOKUP(A51,'Données projet'!$A$35:$I$55,6,0)*VLOOKUP('Données projet'!$B$9,Paramètres!$A$1:$I$89,7,0))</f>
        <v>0</v>
      </c>
      <c r="Y51" s="16">
        <f>IF(ISNA(VLOOKUP(A51,'Données projet'!$A$35:$I$55,7,0)),0%,VLOOKUP(A51,'Données projet'!$A$35:$I$55,7,0))</f>
        <v>0</v>
      </c>
      <c r="Z51" s="21">
        <f>EXP(-LN(2)/35)*Z50+(1-EXP(-LN(2)/35))/(LN(2)/35)*V51*W51*VLOOKUP('Données projet'!$B$9,Paramètres!$A$1:$I$89,3,0)*0.475*44/12</f>
        <v>2.1634596213098334</v>
      </c>
      <c r="AA51" s="21">
        <f>EXP(-LN(2)/25)*AA50+(1-EXP(-LN(2)/25))/(LN(2)/25)*Calculateur!V51*Calculateur!X51*VLOOKUP('Données projet'!$B$9,Paramètres!$A$1:$I$89,3,0)*0.475*44/12</f>
        <v>9.6894324947953798</v>
      </c>
      <c r="AB51" s="21">
        <f>EXP(-LN(2)/2)*AB50+(1-EXP(-LN(2)/2))/(LN(2)/2)*V51*Y51*VLOOKUP('Données projet'!$B$9,Paramètres!$A$1:$I$89,3,0)*0.475*44/12</f>
        <v>3.3059610926837227E-3</v>
      </c>
      <c r="AC51" s="22">
        <f t="shared" si="3"/>
        <v>11.856198077197897</v>
      </c>
      <c r="AD51" s="13">
        <f>('Scénario référence'!$F$8+'Scénario référence'!$F$9+'Scénario référence'!$B$17+'Scénario référence'!$B$9+'Scénario référence'!$B$10)*70+IF((45+25*(1-EXP(-0.0175*A51)))&lt;70,'Scénario référence'!$B$16*(45+25*(1-EXP(-0.0175*A51))),70*'Scénario référence'!$B$16)+IF((32+38*(1-EXP(-0.0175*A51)))&lt;70,'Scénario référence'!$B$18*(32+38*(1-EXP(-0.0175*A51))),70*'Scénario référence'!$B$18)</f>
        <v>70</v>
      </c>
      <c r="AE51" s="13">
        <f>IF(A51&gt;30,10,('Scénario référence'!$B$16+'Scénario référence'!$B$17+'Scénario référence'!$B$18+'Scénario référence'!$B$9+'Scénario référence'!$B$10)*A51*10/30+('Scénario référence'!$F$8+'Scénario référence'!$F$9)*10)</f>
        <v>10</v>
      </c>
      <c r="AF51" s="12" t="e">
        <f>VLOOKUP(A51,'Données projet'!$A$61:$I$81,2,0)</f>
        <v>#N/A</v>
      </c>
      <c r="AG51" s="12" t="e">
        <f>VLOOKUP(A51,'Données projet'!$A$61:$I$81,9,0)</f>
        <v>#N/A</v>
      </c>
      <c r="AH51" s="12">
        <f t="array" ref="AH51">INDEX(AG:AG,MIN(IF(ISNUMBER(AG51:AG247),ROW(AG51:AG247),"")))</f>
        <v>12.4</v>
      </c>
      <c r="AI51" s="13">
        <f>IF('Données projet'!$A$62&gt;35,AI50+AH51-AQ50,IF(A51&lt;'Données projet'!$A$62,$AF$205^A51,IF(A51='Données projet'!$A$62,'Données projet'!$B$62,AI50+AH51-AQ50)))</f>
        <v>347.19999999999993</v>
      </c>
      <c r="AJ51" s="13">
        <f>AI51*VLOOKUP('Données projet'!$B$10,Paramètres!$A$1:$I$89,3,0)*VLOOKUP('Données projet'!$B$10,Paramètres!$A$1:$I$89,5,0)</f>
        <v>216.65279999999993</v>
      </c>
      <c r="AK51" s="13">
        <f t="shared" si="35"/>
        <v>53.38674047237982</v>
      </c>
      <c r="AL51" s="20">
        <f t="shared" si="4"/>
        <v>470.31886632272807</v>
      </c>
      <c r="AM51" s="59">
        <f t="shared" si="5"/>
        <v>763.65219965606138</v>
      </c>
      <c r="AN51" s="59">
        <f ca="1">AVERAGE(OFFSET($AM$3,0,0,'Données projet'!$E$10+1,1))-AVERAGE(OFFSET($H$3,0,0,'Données projet'!$E$10+1,1))</f>
        <v>261.78489480911571</v>
      </c>
      <c r="AO51" s="59">
        <f t="shared" si="36"/>
        <v>297.50513563712764</v>
      </c>
      <c r="AP51" s="15">
        <f>IF(ISNA(VLOOKUP(A51,'Données projet'!$A$61:$I$81,3,0)),0,VLOOKUP(A51,'Données projet'!$A$61:$I$81,3,0))</f>
        <v>0</v>
      </c>
      <c r="AQ51" s="15">
        <f>IF(ISNA(VLOOKUP(A51,'Données projet'!$A$61:$I$81,4,0)),0,VLOOKUP(A51,'Données projet'!$A$61:$I$81,4,0))</f>
        <v>0</v>
      </c>
      <c r="AR51" s="16">
        <f>IF(ISNA(VLOOKUP(A51,'Données projet'!$A$61:$I$81,5,0)),0%,VLOOKUP(A51,'Données projet'!$A$61:$I$81,5,0)*VLOOKUP('Données projet'!$B$10,Paramètres!$A$1:$I$89,7,0))</f>
        <v>0</v>
      </c>
      <c r="AS51" s="16">
        <f>IF(ISNA(VLOOKUP(A51,'Données projet'!$A$61:$I$81,6,0)),0%,VLOOKUP(A51,'Données projet'!$A$61:$I$81,6,0)*VLOOKUP('Données projet'!$B$10,Paramètres!$A$1:$I$89,7,0))</f>
        <v>0</v>
      </c>
      <c r="AT51" s="16">
        <f>IF(ISNA(VLOOKUP(A51,'Données projet'!$A$61:$I$81,7,0)),0%,VLOOKUP(A51,'Données projet'!$A$61:$I$81,7,0))</f>
        <v>0</v>
      </c>
      <c r="AU51" s="21">
        <f>EXP(-LN(2)/35)*AU50+(1-EXP(-LN(2)/35))/(LN(2)/35)*AQ51*AR51*VLOOKUP('Données projet'!$B$10,Paramètres!$A$1:$I$89,3,0)*0.475*44/12</f>
        <v>5.8419529091553786</v>
      </c>
      <c r="AV51" s="21">
        <f>EXP(-LN(2)/25)*AV50+(1-EXP(-LN(2)/25))/(LN(2)/25)*Calculateur!AQ51*Calculateur!AS51*VLOOKUP('Données projet'!$B$10,Paramètres!$A$1:$I$89,3,0)*0.475*44/12</f>
        <v>16.919725401038999</v>
      </c>
      <c r="AW51" s="21">
        <f>EXP(-LN(2)/2)*AW50+(1-EXP(-LN(2)/2))/(LN(2)/2)*AQ51*AT51*VLOOKUP('Données projet'!$B$10,Paramètres!$A$1:$I$89,3,0)*0.475*44/12</f>
        <v>4.7658576439281015E-2</v>
      </c>
      <c r="AX51" s="21">
        <f t="shared" si="6"/>
        <v>22.809336886633659</v>
      </c>
      <c r="AY51" s="74">
        <f>('Scénario référence'!$F$8+'Scénario référence'!$F$9+'Scénario référence'!$B$17+'Scénario référence'!$B$9+'Scénario référence'!$B$10)*70+IF((45+25*(1-EXP(-0.0175*A51)))&lt;70,'Scénario référence'!$B$16*(45+25*(1-EXP(-0.0175*A51))),70*'Scénario référence'!$B$16)+IF((32+38*(1-EXP(-0.0175*A51)))&lt;70,'Scénario référence'!$B$18*(32+38*(1-EXP(-0.0175*A51))),70*'Scénario référence'!$B$18)</f>
        <v>70</v>
      </c>
      <c r="AZ51" s="12">
        <f>IF(A51&gt;30,10,('Scénario référence'!$B$16+'Scénario référence'!$B$17+'Scénario référence'!$B$18+'Scénario référence'!$B$9+'Scénario référence'!$B$10)*A51*10/30+('Scénario référence'!$F$8+'Scénario référence'!$F$9)*10)</f>
        <v>10</v>
      </c>
      <c r="BA51" s="12" t="e">
        <f>VLOOKUP(A51,'Données projet'!$A$87:$I$107,2,0)</f>
        <v>#N/A</v>
      </c>
      <c r="BB51" s="12" t="e">
        <f>VLOOKUP(A51,'Données projet'!$A$87:$I$107,9,0)</f>
        <v>#N/A</v>
      </c>
      <c r="BC51" s="12">
        <f t="array" ref="BC51">INDEX(BB:BB,MIN(IF(ISNUMBER(BB51:BB247),ROW(BB51:BB247),"")))</f>
        <v>18.899999999999999</v>
      </c>
      <c r="BD51" s="12">
        <f>IF('Données projet'!$A$88&gt;35,BD50+BC51-BL50,IF(A51&lt;'Données projet'!$A$88,$BA$205^A51,IF(A51='Données projet'!$A$88,'Données projet'!$B$88,BD50+BC51-BL50)))</f>
        <v>397.19999999999976</v>
      </c>
      <c r="BE51" s="13">
        <f>BD51*VLOOKUP('Données projet'!$B$11,Paramètres!$A$1:$I$89,3,0)*VLOOKUP('Données projet'!$B$11,Paramètres!$A$1:$I$89,5,0)</f>
        <v>237.52559999999988</v>
      </c>
      <c r="BF51" s="13">
        <f t="shared" si="37"/>
        <v>57.906830586193067</v>
      </c>
      <c r="BG51" s="20">
        <f t="shared" si="7"/>
        <v>514.54481660428598</v>
      </c>
      <c r="BH51" s="59">
        <f t="shared" si="8"/>
        <v>807.87814993761936</v>
      </c>
      <c r="BI51" s="59">
        <f ca="1">AVERAGE(OFFSET($BH$3,0,0,'Données projet'!$E$11+1,1))-AVERAGE(OFFSET($H$3,0,0,'Données projet'!$E$11+1,1))</f>
        <v>316.58509520829671</v>
      </c>
      <c r="BJ51" s="59">
        <f t="shared" si="38"/>
        <v>240.71332110643596</v>
      </c>
      <c r="BK51" s="15">
        <f>IF(ISNA(VLOOKUP(A51,'Données projet'!$A$87:$I$107,3,0)),0,VLOOKUP(A51,'Données projet'!$A$87:$I$107,3,0))</f>
        <v>0</v>
      </c>
      <c r="BL51" s="15">
        <f>IF(ISNA(VLOOKUP(A51,'Données projet'!$A$87:$I$107,4,0)),0,VLOOKUP(A51,'Données projet'!$A$87:$I$107,4,0))</f>
        <v>0</v>
      </c>
      <c r="BM51" s="16">
        <f>IF(ISNA(VLOOKUP(A51,'Données projet'!$A$87:$I$107,5,0)),0%,VLOOKUP(A51,'Données projet'!$A$87:$I$107,5,0)*VLOOKUP('Données projet'!$B$11,Paramètres!$A$1:$I$89,7,0))</f>
        <v>0</v>
      </c>
      <c r="BN51" s="16">
        <f>IF(ISNA(VLOOKUP(A51,'Données projet'!$A$87:$I$107,6,0)),0%,VLOOKUP(A51,'Données projet'!$A$87:$I$107,6,0)*VLOOKUP('Données projet'!$B$11,Paramètres!$A$1:$I$89,7,0))</f>
        <v>0</v>
      </c>
      <c r="BO51" s="16">
        <f>IF(ISNA(VLOOKUP(A51,'Données projet'!$A$87:$I$107,7,0)),0%,VLOOKUP(A51,'Données projet'!$A$87:$I$107,7,0))</f>
        <v>0</v>
      </c>
      <c r="BP51" s="21">
        <f>EXP(-LN(2)/35)*BP50+(1-EXP(-LN(2)/35))/(LN(2)/35)*BL51*BM51*VLOOKUP('Données projet'!$B$11,Paramètres!$A$1:$I$89,3,0)*0.475*44/12</f>
        <v>1.7745366630674737</v>
      </c>
      <c r="BQ51" s="21">
        <f>EXP(-LN(2)/25)*BQ50+(1-EXP(-LN(2)/25))/(LN(2)/25)*Calculateur!BL51*Calculateur!BN51*VLOOKUP('Données projet'!$B$11,Paramètres!$A$1:$I$89,3,0)*0.475*44/12</f>
        <v>9.2691192597327703</v>
      </c>
      <c r="BR51" s="21">
        <f>EXP(-LN(2)/2)*BR50+(1-EXP(-LN(2)/2))/(LN(2)/2)*BL51*BO51*VLOOKUP('Données projet'!$B$11,Paramètres!$A$1:$I$89,3,0)*0.475*44/12</f>
        <v>4.2850279433868779E-2</v>
      </c>
      <c r="BS51" s="22">
        <f t="shared" si="9"/>
        <v>11.086506202234114</v>
      </c>
      <c r="BT51" s="75">
        <f>('Scénario référence'!$F$8+'Scénario référence'!$F$9+'Scénario référence'!$B$17+'Scénario référence'!$B$9+'Scénario référence'!$B$10)*70+IF((45+25*(1-EXP(-0.0175*A51)))&lt;70,'Scénario référence'!$B$16*(45+25*(1-EXP(-0.0175*A51))),70*'Scénario référence'!$B$16)+IF((32+38*(1-EXP(-0.0175*A51)))&lt;70,'Scénario référence'!$B$18*(32+38*(1-EXP(-0.0175*A51))),70*'Scénario référence'!$B$18)</f>
        <v>70</v>
      </c>
      <c r="BU51" s="12">
        <f>IF(A51&gt;30,10,('Scénario référence'!$B$16+'Scénario référence'!$B$17+'Scénario référence'!$B$18+'Scénario référence'!$B$9+'Scénario référence'!$B$10)*A51*10/30+('Scénario référence'!$F$8+'Scénario référence'!$F$9)*10)</f>
        <v>10</v>
      </c>
      <c r="BV51" s="12" t="e">
        <f>VLOOKUP(A51,'Données projet'!$A$113:$I$133,2,0)</f>
        <v>#N/A</v>
      </c>
      <c r="BW51" s="12" t="e">
        <f>VLOOKUP(A51,'Données projet'!$A$113:$I$133,9,0)</f>
        <v>#N/A</v>
      </c>
      <c r="BX51" s="12">
        <f t="array" ref="BX51">INDEX(BW:BW,MIN(IF(ISNUMBER(BW51:BW247),ROW(BW51:BW247),"")))</f>
        <v>11.9</v>
      </c>
      <c r="BY51" s="12">
        <f>IF('Données projet'!$A$114&gt;35,BY50+BX51-CG50,IF(A51&lt;'Données projet'!$A$114,$BV$205^A51,IF(A51='Données projet'!$A$114,'Données projet'!$B$114,BY50+BX51-CG50)))</f>
        <v>296.19999999999982</v>
      </c>
      <c r="BZ51" s="13">
        <f>BY51*VLOOKUP('Données projet'!$B$12,Paramètres!$A$1:$I$89,3,0)*VLOOKUP('Données projet'!$B$12,Paramètres!$A$1:$I$89,5,0)</f>
        <v>169.42639999999989</v>
      </c>
      <c r="CA51" s="13">
        <f t="shared" si="39"/>
        <v>42.96153100715842</v>
      </c>
      <c r="CB51" s="20">
        <f t="shared" si="10"/>
        <v>369.90897983746737</v>
      </c>
      <c r="CC51" s="59">
        <f t="shared" si="11"/>
        <v>663.24231317080068</v>
      </c>
      <c r="CD51" s="59">
        <f ca="1">AVERAGE(OFFSET($CC$3,0,0,'Données projet'!$E$12+1,1))-AVERAGE(OFFSET($H$3,0,0,'Données projet'!$E$12+1,1))</f>
        <v>188.64374818906128</v>
      </c>
      <c r="CE51" s="59">
        <f t="shared" si="40"/>
        <v>211.95157880548652</v>
      </c>
      <c r="CF51" s="15">
        <f>IF(ISNA(VLOOKUP(A51,'Données projet'!$A$113:$I$133,3,0)),0,VLOOKUP(A51,'Données projet'!$A$113:$I$133,3,0))</f>
        <v>0</v>
      </c>
      <c r="CG51" s="15">
        <f>IF(ISNA(VLOOKUP(A51,'Données projet'!$A$113:$I$133,4,0)),0,VLOOKUP(A51,'Données projet'!$A$113:$I$133,4,0))</f>
        <v>0</v>
      </c>
      <c r="CH51" s="16">
        <f>IF(ISNA(VLOOKUP(A51,'Données projet'!$A$113:$I$133,5,0)),0%,VLOOKUP(A51,'Données projet'!$A$113:$I$133,5,0)*VLOOKUP('Données projet'!$B$12,Paramètres!$A$1:$I$89,7,0))</f>
        <v>0</v>
      </c>
      <c r="CI51" s="16">
        <f>IF(ISNA(VLOOKUP(A51,'Données projet'!$A$113:$I$133,6,0)),0%,VLOOKUP(A51,'Données projet'!$A$113:$I$133,6,0)*VLOOKUP('Données projet'!$B$12,Paramètres!$A$1:$I$89,7,0))</f>
        <v>0</v>
      </c>
      <c r="CJ51" s="16">
        <f>IF(ISNA(VLOOKUP(A51,'Données projet'!$A$113:$I$133,7,0)),0%,VLOOKUP(A51,'Données projet'!$A$113:$I$133,7,0))</f>
        <v>0</v>
      </c>
      <c r="CK51" s="21">
        <f>EXP(-LN(2)/35)*CK50+(1-EXP(-LN(2)/35))/(LN(2)/35)*CG51*CH51*VLOOKUP('Données projet'!$B$12,Paramètres!$A$1:$I$89,3,0)*0.475*44/12</f>
        <v>1.7212896964475675</v>
      </c>
      <c r="CL51" s="21">
        <f>EXP(-LN(2)/25)*CL50+(1-EXP(-LN(2)/25))/(LN(2)/25)*Calculateur!CG51*Calculateur!CI51*VLOOKUP('Données projet'!$B$12,Paramètres!$A$1:$I$89,3,0)*0.475*44/12</f>
        <v>8.7243049164594346</v>
      </c>
      <c r="CM51" s="21">
        <f>EXP(-LN(2)/2)*CM50+(1-EXP(-LN(2)/2))/(LN(2)/2)*CG51*CJ51*VLOOKUP('Données projet'!$B$12,Paramètres!$A$1:$I$89,3,0)*0.475*44/12</f>
        <v>4.1497142976047313E-2</v>
      </c>
      <c r="CN51" s="22">
        <f t="shared" si="12"/>
        <v>10.487091755883048</v>
      </c>
      <c r="CO51" s="75">
        <f>('Scénario référence'!$F$8+'Scénario référence'!$F$9+'Scénario référence'!$B$17+'Scénario référence'!$B$9+'Scénario référence'!$B$10)*70+IF((45+25*(1-EXP(-0.0175*A51)))&lt;70,'Scénario référence'!$B$16*(45+25*(1-EXP(-0.0175*A51))),70*'Scénario référence'!$B$16)+IF((32+38*(1-EXP(-0.0175*A51)))&lt;70,'Scénario référence'!$B$18*(32+38*(1-EXP(-0.0175*A51))),70*'Scénario référence'!$B$18)</f>
        <v>70</v>
      </c>
      <c r="CP51" s="12">
        <f>IF(A51&gt;30,10,('Scénario référence'!$B$16+'Scénario référence'!$B$17+'Scénario référence'!$B$18+'Scénario référence'!$B$9+'Scénario référence'!$B$10)*A51*10/30+('Scénario référence'!$F$8+'Scénario référence'!$F$9)*10)</f>
        <v>10</v>
      </c>
      <c r="CQ51" s="12" t="e">
        <f>VLOOKUP(A51,'Données projet'!$A$139:$I$159,2,0)</f>
        <v>#N/A</v>
      </c>
      <c r="CR51" s="12" t="e">
        <f>VLOOKUP(A51,'Données projet'!$A$139:$I$159,9,0)</f>
        <v>#N/A</v>
      </c>
      <c r="CS51" s="12">
        <f t="array" ref="CS51">INDEX(CR:CR,MIN(IF(ISNUMBER(CR51:CR247),ROW(CR51:CR247),"")))</f>
        <v>0</v>
      </c>
      <c r="CT51" s="12">
        <f>IF('Données projet'!$A$140&gt;35,CT50+CS51-DB50,IF(A51&lt;'Données projet'!$A$140,$CQ$205^A51,IF(A51='Données projet'!$A$140,'Données projet'!$B$140,CT50+CS51-DB50)))</f>
        <v>0</v>
      </c>
      <c r="CU51" s="17" t="e">
        <f>CT51*VLOOKUP('Données projet'!$B$13,Paramètres!$A$1:$I$89,3,0)*VLOOKUP('Données projet'!$B$13,Paramètres!$A$1:$I$89,5,0)</f>
        <v>#N/A</v>
      </c>
      <c r="CV51" s="13" t="e">
        <f t="shared" si="41"/>
        <v>#N/A</v>
      </c>
      <c r="CW51" s="20" t="e">
        <f t="shared" si="13"/>
        <v>#N/A</v>
      </c>
      <c r="CX51" s="59" t="e">
        <f t="shared" si="14"/>
        <v>#N/A</v>
      </c>
      <c r="CY51" s="59" t="e">
        <f ca="1">AVERAGE(OFFSET($CX$3,0,0,'Données projet'!$E$13+1,1))-AVERAGE(OFFSET($H$3,0,0,'Données projet'!$E$13+1,1))</f>
        <v>#N/A</v>
      </c>
      <c r="CZ51" s="59" t="e">
        <f t="shared" si="42"/>
        <v>#N/A</v>
      </c>
      <c r="DA51" s="15">
        <f>IF(ISNA(VLOOKUP(A51,'Données projet'!$A$139:$I$159,3,0)),0,VLOOKUP(A51,'Données projet'!$A$139:$I$159,3,0))</f>
        <v>0</v>
      </c>
      <c r="DB51" s="15">
        <f>IF(ISNA(VLOOKUP(A51,'Données projet'!$A$139:$I$159,4,0)),0,VLOOKUP(A51,'Données projet'!$A$139:$I$159,4,0))</f>
        <v>0</v>
      </c>
      <c r="DC51" s="16">
        <f>IF(ISNA(VLOOKUP(A51,'Données projet'!$A$139:$I$159,5,0)),0%,VLOOKUP(A51,'Données projet'!$A$139:$I$159,5,0)*VLOOKUP('Données projet'!$B$13,Paramètres!$A$1:$I$89,7,0))</f>
        <v>0</v>
      </c>
      <c r="DD51" s="16">
        <f>IF(ISNA(VLOOKUP(A51,'Données projet'!$A$139:$I$159,6,0)),0%,VLOOKUP(A51,'Données projet'!$A$139:$I$159,6,0)*VLOOKUP('Données projet'!$B$13,Paramètres!$A$1:$I$89,7,0))</f>
        <v>0</v>
      </c>
      <c r="DE51" s="16">
        <f>IF(ISNA(VLOOKUP(A51,'Données projet'!$A$139:$I$159,7,0)),0%,VLOOKUP(A51,'Données projet'!$A$139:$I$159,7,0))</f>
        <v>0</v>
      </c>
      <c r="DF51" s="21" t="e">
        <f>EXP(-LN(2)/35)*DF50+(1-EXP(-LN(2)/35))/(LN(2)/35)*DB51*DC51*VLOOKUP('Données projet'!$B$13,Paramètres!$A$1:$I$89,3,0)*0.475*44/12</f>
        <v>#N/A</v>
      </c>
      <c r="DG51" s="21" t="e">
        <f>EXP(-LN(2)/25)*DG50+(1-EXP(-LN(2)/25))/(LN(2)/25)*Calculateur!DB51*Calculateur!DD51*VLOOKUP('Données projet'!$B$13,Paramètres!$A$1:$I$89,3,0)*0.475*44/12</f>
        <v>#N/A</v>
      </c>
      <c r="DH51" s="21" t="e">
        <f>EXP(-LN(2)/2)*DH50+(1-EXP(-LN(2)/2))/(LN(2)/2)*DB51*DE51*VLOOKUP('Données projet'!$B$13,Paramètres!$A$1:$I$89,3,0)*0.475*44/12</f>
        <v>#N/A</v>
      </c>
      <c r="DI51" s="22" t="e">
        <f t="shared" si="15"/>
        <v>#N/A</v>
      </c>
      <c r="DJ51" s="75">
        <f>('Scénario référence'!$F$8+'Scénario référence'!$F$9+'Scénario référence'!$B$17+'Scénario référence'!$B$9+'Scénario référence'!$B$10)*70+IF((45+25*(1-EXP(-0.0175*A51)))&lt;70,'Scénario référence'!$B$16*(45+25*(1-EXP(-0.0175*A51))),70*'Scénario référence'!$B$16)+IF((32+38*(1-EXP(-0.0175*A51)))&lt;70,'Scénario référence'!$B$18*(32+38*(1-EXP(-0.0175*A51))),70*'Scénario référence'!$B$18)</f>
        <v>70</v>
      </c>
      <c r="DK51" s="12">
        <f>IF(A51&gt;30,10,('Scénario référence'!$B$16+'Scénario référence'!$B$17+'Scénario référence'!$B$18+'Scénario référence'!$B$9+'Scénario référence'!$B$10)*A51*10/30+('Scénario référence'!$F$8+'Scénario référence'!$F$9)*10)</f>
        <v>10</v>
      </c>
      <c r="DL51" s="12" t="e">
        <f>VLOOKUP(A51,'Données projet'!$A$165:$I$185,2,0)</f>
        <v>#N/A</v>
      </c>
      <c r="DM51" s="12" t="e">
        <f>VLOOKUP(A51,'Données projet'!$A$165:$I$185,9,0)</f>
        <v>#N/A</v>
      </c>
      <c r="DN51" s="12">
        <f t="array" ref="DN51">INDEX(DM:DM,MIN(IF(ISNUMBER(DM51:DM247),ROW(DM51:DM247),"")))</f>
        <v>7.8</v>
      </c>
      <c r="DO51" s="12">
        <f>IF('Données projet'!$A$166&gt;35,DO50+DN51-DW50,IF(A51&lt;'Données projet'!$A$166,$DL$205^A51,IF(A51='Données projet'!$A$166,'Données projet'!$B$166,DO50+DN51-DW50)))</f>
        <v>258.39999999999998</v>
      </c>
      <c r="DP51" s="17">
        <f>DO51*VLOOKUP('Données projet'!$B$14,Paramètres!$A$1:$I$89,3,0)*VLOOKUP('Données projet'!$B$14,Paramètres!$A$1:$I$89,5,0)</f>
        <v>169.30367999999999</v>
      </c>
      <c r="DQ51" s="13">
        <f t="shared" si="43"/>
        <v>42.934033834973214</v>
      </c>
      <c r="DR51" s="20">
        <f t="shared" si="16"/>
        <v>369.64735159591163</v>
      </c>
      <c r="DS51" s="59">
        <f t="shared" si="17"/>
        <v>662.98068492924494</v>
      </c>
      <c r="DT51" s="59">
        <f ca="1">AVERAGE(OFFSET($DS$3,0,0,'Données projet'!$E$14+1,1))-AVERAGE(OFFSET($H$3,0,0,'Données projet'!$E$14+1,1))</f>
        <v>188.68915783955595</v>
      </c>
      <c r="DU51" s="59">
        <f t="shared" si="44"/>
        <v>240.82467772396944</v>
      </c>
      <c r="DV51" s="15">
        <f>IF(ISNA(VLOOKUP(A51,'Données projet'!$A$165:$I$185,3,0)),0,VLOOKUP(A51,'Données projet'!$A$165:$I$185,3,0))</f>
        <v>0</v>
      </c>
      <c r="DW51" s="15">
        <f>IF(ISNA(VLOOKUP(A51,'Données projet'!$A$165:$I$185,4,0)),0,VLOOKUP(A51,'Données projet'!$A$165:$I$185,4,0))</f>
        <v>0</v>
      </c>
      <c r="DX51" s="16">
        <f>IF(ISNA(VLOOKUP(A51,'Données projet'!$A$165:$I$185,5,0)),0%,VLOOKUP(A51,'Données projet'!$A$165:$I$185,5,0)*VLOOKUP('Données projet'!$B$14,Paramètres!$A$1:$I$89,7,0))</f>
        <v>0</v>
      </c>
      <c r="DY51" s="16">
        <f>IF(ISNA(VLOOKUP(A51,'Données projet'!$A$165:$I$185,6,0)),0%,VLOOKUP(A51,'Données projet'!$A$165:$I$185,6,0)*VLOOKUP('Données projet'!$B$14,Paramètres!$A$1:$I$89,7,0))</f>
        <v>0</v>
      </c>
      <c r="DZ51" s="16">
        <f>IF(ISNA(VLOOKUP(A51,'Données projet'!$A$165:$I$185,7,0)),0%,VLOOKUP(A51,'Données projet'!$A$165:$I$185,7,0))</f>
        <v>0</v>
      </c>
      <c r="EA51" s="21">
        <f>EXP(-LN(2)/35)*EA50+(1-EXP(-LN(2)/35))/(LN(2)/35)*DW51*DX51*VLOOKUP('Données projet'!$B$14,Paramètres!$A$1:$I$89,3,0)*0.475*44/12</f>
        <v>1.0902950307885475</v>
      </c>
      <c r="EB51" s="21">
        <f>EXP(-LN(2)/25)*EB50+(1-EXP(-LN(2)/25))/(LN(2)/25)*Calculateur!DW51*Calculateur!DY51*VLOOKUP('Données projet'!$B$14,Paramètres!$A$1:$I$89,3,0)*0.475*44/12</f>
        <v>4.8798669935857228</v>
      </c>
      <c r="EC51" s="21">
        <f>EXP(-LN(2)/2)*EC50+(1-EXP(-LN(2)/2))/(LN(2)/2)*DW51*DZ51*VLOOKUP('Données projet'!$B$14,Paramètres!$A$1:$I$89,3,0)*0.475*44/12</f>
        <v>2.7336734348060717E-2</v>
      </c>
      <c r="ED51" s="22">
        <f t="shared" si="18"/>
        <v>5.9974987587223305</v>
      </c>
      <c r="EE51" s="75">
        <f>('Scénario référence'!$F$8+'Scénario référence'!$F$9+'Scénario référence'!$B$17+'Scénario référence'!$B$9+'Scénario référence'!$B$10)*70+IF((45+25*(1-EXP(-0.0175*A51)))&lt;70,'Scénario référence'!$B$16*(45+25*(1-EXP(-0.0175*A51))),70*'Scénario référence'!$B$16)+IF((32+38*(1-EXP(-0.0175*A51)))&lt;70,'Scénario référence'!$B$18*(32+38*(1-EXP(-0.0175*A51))),70*'Scénario référence'!$B$18)</f>
        <v>70</v>
      </c>
      <c r="EF51" s="12">
        <f>IF(A51&gt;30,10,('Scénario référence'!$B$16+'Scénario référence'!$B$17+'Scénario référence'!$B$18+'Scénario référence'!$B$9+'Scénario référence'!$B$10)*A51*10/30+('Scénario référence'!$F$8+'Scénario référence'!$F$9)*10)</f>
        <v>10</v>
      </c>
      <c r="EG51" s="12" t="e">
        <f>VLOOKUP(A51,'Données projet'!$A$191:$I$211,2,0)</f>
        <v>#N/A</v>
      </c>
      <c r="EH51" s="12" t="e">
        <f>VLOOKUP(A51,'Données projet'!$A$191:$I$211,9,0)</f>
        <v>#N/A</v>
      </c>
      <c r="EI51" s="12">
        <f t="array" ref="EI51">INDEX(EH:EH,MIN(IF(ISNUMBER(EH51:EH247),ROW(EH51:EH247),"")))</f>
        <v>7</v>
      </c>
      <c r="EJ51" s="12">
        <f>IF('Données projet'!$A$192&gt;35,EJ50+EI51-ER50,IF(A51&lt;'Données projet'!$A$192,$EG$205^A51,IF(A51='Données projet'!$A$192,'Données projet'!$B$192,EJ50+EI51-ER50)))</f>
        <v>205.99999999999991</v>
      </c>
      <c r="EK51" s="17">
        <f>EJ51*VLOOKUP('Données projet'!$B$15,Paramètres!$A$1:$I$89,3,0)*VLOOKUP('Données projet'!$B$15,Paramètres!$A$1:$I$89,5,0)</f>
        <v>167.10719999999995</v>
      </c>
      <c r="EL51" s="13">
        <f t="shared" si="45"/>
        <v>42.44148687166966</v>
      </c>
      <c r="EM51" s="20">
        <f t="shared" si="19"/>
        <v>364.96396296815789</v>
      </c>
      <c r="EN51" s="59">
        <f t="shared" si="20"/>
        <v>658.2972963014912</v>
      </c>
      <c r="EO51" s="59">
        <f ca="1">AVERAGE(OFFSET($EN$3,0,0,'Données projet'!$E$15+1,1))-AVERAGE(OFFSET($H$3,0,0,'Données projet'!$E$15+1,1))</f>
        <v>205.5272583787887</v>
      </c>
      <c r="EP51" s="59">
        <f t="shared" si="46"/>
        <v>180.54762778843178</v>
      </c>
      <c r="EQ51" s="15">
        <f>IF(ISNA(VLOOKUP(A51,'Données projet'!$A$191:$I$211,3,0)),0,VLOOKUP(A51,'Données projet'!$A$191:$I$211,3,0))</f>
        <v>0</v>
      </c>
      <c r="ER51" s="15">
        <f>IF(ISNA(VLOOKUP(A51,'Données projet'!$A$191:$I$211,4,0)),0,VLOOKUP(A51,'Données projet'!$A$191:$I$211,4,0))</f>
        <v>0</v>
      </c>
      <c r="ES51" s="16">
        <f>IF(ISNA(VLOOKUP(A51,'Données projet'!$A$191:$I$211,5,0)),0%,VLOOKUP(A51,'Données projet'!$A$191:$I$211,5,0)*VLOOKUP('Données projet'!$B$15,Paramètres!$A$1:$I$89,7,0))</f>
        <v>0</v>
      </c>
      <c r="ET51" s="16">
        <f>IF(ISNA(VLOOKUP(A51,'Données projet'!$A$191:$I$211,6,0)),0%,VLOOKUP(A51,'Données projet'!$A$191:$I$211,6,0)*VLOOKUP('Données projet'!$B$15,Paramètres!$A$1:$I$89,7,0))</f>
        <v>0</v>
      </c>
      <c r="EU51" s="16">
        <f>IF(ISNA(VLOOKUP(A51,'Données projet'!$A$191:$I$211,7,0)),0%,VLOOKUP(A51,'Données projet'!$A$191:$I$211,7,0))</f>
        <v>0</v>
      </c>
      <c r="EV51" s="21">
        <f>EXP(-LN(2)/35)*EV50+(1-EXP(-LN(2)/35))/(LN(2)/35)*ER51*ES51*VLOOKUP('Données projet'!$B$15,Paramètres!$A$1:$I$89,3,0)*0.475*44/12</f>
        <v>0.70194232458386485</v>
      </c>
      <c r="EW51" s="21">
        <f>EXP(-LN(2)/25)*EW50+(1-EXP(-LN(2)/25))/(LN(2)/25)*Calculateur!ER51*Calculateur!ET51*VLOOKUP('Données projet'!$B$15,Paramètres!$A$1:$I$89,3,0)*0.475*44/12</f>
        <v>3.5234120048426245</v>
      </c>
      <c r="EX51" s="21">
        <f>EXP(-LN(2)/2)*EX50+(1-EXP(-LN(2)/2))/(LN(2)/2)*ER51*EU51*VLOOKUP('Données projet'!$B$15,Paramètres!$A$1:$I$89,3,0)*0.475*44/12</f>
        <v>1.7700555703867075E-2</v>
      </c>
      <c r="EY51" s="22">
        <f t="shared" si="21"/>
        <v>4.2430548851303564</v>
      </c>
      <c r="EZ51" s="75">
        <f>('Scénario référence'!$F$8+'Scénario référence'!$F$9+'Scénario référence'!$B$17+'Scénario référence'!$B$9+'Scénario référence'!$B$10)*70+IF((45+25*(1-EXP(-0.0175*A51)))&lt;70,'Scénario référence'!$B$16*(45+25*(1-EXP(-0.0175*A51))),70*'Scénario référence'!$B$16)+IF((32+38*(1-EXP(-0.0175*A51)))&lt;70,'Scénario référence'!$B$18*(32+38*(1-EXP(-0.0175*A51))),70*'Scénario référence'!$B$18)</f>
        <v>70</v>
      </c>
      <c r="FA51" s="12">
        <f>IF(A51&gt;30,10,('Scénario référence'!$B$16+'Scénario référence'!$B$17+'Scénario référence'!$B$18+'Scénario référence'!$B$9+'Scénario référence'!$B$10)*A51*10/30+('Scénario référence'!$F$8+'Scénario référence'!$F$9)*10)</f>
        <v>10</v>
      </c>
      <c r="FB51" s="12" t="e">
        <f>VLOOKUP(A51,'Données projet'!$A$217:$I$237,2,0)</f>
        <v>#N/A</v>
      </c>
      <c r="FC51" s="12" t="e">
        <f>VLOOKUP(A51,'Données projet'!$A$217:$I$237,9,0)</f>
        <v>#N/A</v>
      </c>
      <c r="FD51" s="12">
        <f t="array" ref="FD51">INDEX(FC:FC,MIN(IF(ISNUMBER(FC51:FC247),ROW(FC51:FC247),"")))</f>
        <v>13.4</v>
      </c>
      <c r="FE51" s="12">
        <f>IF('Données projet'!$A$218&gt;35,FE50+FD51-FM50,IF(A51&lt;'Données projet'!$A$218,$FB$205^A51,IF(A51='Données projet'!$A$218,'Données projet'!$B$218,FE50+FD51-FM50)))</f>
        <v>257.2000000000001</v>
      </c>
      <c r="FF51" s="17">
        <f>FE51*VLOOKUP('Données projet'!$B$16,Paramètres!$A$1:$I$89,3,0)*VLOOKUP('Données projet'!$B$16,Paramètres!$A$1:$I$89,5,0)</f>
        <v>220.6776000000001</v>
      </c>
      <c r="FG51" s="13">
        <f t="shared" si="47"/>
        <v>54.262132363344172</v>
      </c>
      <c r="FH51" s="20">
        <f t="shared" si="22"/>
        <v>478.85336719949123</v>
      </c>
      <c r="FI51" s="59">
        <f t="shared" si="23"/>
        <v>772.18670053282449</v>
      </c>
      <c r="FJ51" s="59">
        <f ca="1">AVERAGE(OFFSET($FI$3,0,0,'Données projet'!$E$16+1,1))-AVERAGE(OFFSET($H$3,0,0,'Données projet'!$E$16+1,1))</f>
        <v>383.97627237444709</v>
      </c>
      <c r="FK51" s="59">
        <f t="shared" si="48"/>
        <v>203.35476578922339</v>
      </c>
      <c r="FL51" s="15">
        <f>IF(ISNA(VLOOKUP(A51,'Données projet'!$A$217:$I$237,3,0)),0,VLOOKUP(A51,'Données projet'!$A$217:$I$237,3,0))</f>
        <v>0</v>
      </c>
      <c r="FM51" s="15">
        <f>IF(ISNA(VLOOKUP(A51,'Données projet'!$A$217:$I$237,4,0)),0,VLOOKUP(A51,'Données projet'!$A$217:$I$237,4,0))</f>
        <v>0</v>
      </c>
      <c r="FN51" s="16">
        <f>IF(ISNA(VLOOKUP(A51,'Données projet'!$A$217:$I$237,5,0)),0%,VLOOKUP(A51,'Données projet'!$A$217:$I$237,5,0)*VLOOKUP('Données projet'!$B$16,Paramètres!$A$1:$I$89,7,0))</f>
        <v>0</v>
      </c>
      <c r="FO51" s="16">
        <f>IF(ISNA(VLOOKUP(A51,'Données projet'!$A$217:$I$237,6,0)),0%,VLOOKUP(A51,'Données projet'!$A$217:$I$237,6,0)*VLOOKUP('Données projet'!$B$16,Paramètres!$A$1:$I$89,7,0))</f>
        <v>0</v>
      </c>
      <c r="FP51" s="16">
        <f>IF(ISNA(VLOOKUP(A51,'Données projet'!$A$217:$I$237,7,0)),0%,VLOOKUP(A51,'Données projet'!$A$217:$I$237,7,0))</f>
        <v>0</v>
      </c>
      <c r="FQ51" s="21">
        <f>EXP(-LN(2)/35)*FQ50+(1-EXP(-LN(2)/35))/(LN(2)/35)*FM51*FN51*VLOOKUP('Données projet'!$B$16,Paramètres!$A$1:$I$89,3,0)*0.475*44/12</f>
        <v>3.6076027299195279</v>
      </c>
      <c r="FR51" s="21">
        <f>EXP(-LN(2)/25)*FR50+(1-EXP(-LN(2)/25))/(LN(2)/25)*Calculateur!FM51*Calculateur!FO51*VLOOKUP('Données projet'!$B$16,Paramètres!$A$1:$I$89,3,0)*0.475*44/12</f>
        <v>3.5766273641565016</v>
      </c>
      <c r="FS51" s="21">
        <f>EXP(-LN(2)/2)*FS50+(1-EXP(-LN(2)/2))/(LN(2)/2)*FM51*FP51*VLOOKUP('Données projet'!$B$16,Paramètres!$A$1:$I$89,3,0)*0.475*44/12</f>
        <v>3.2512288148027133E-2</v>
      </c>
      <c r="FT51" s="22">
        <f t="shared" si="24"/>
        <v>7.2167423822240568</v>
      </c>
      <c r="FU51" s="75">
        <f>('Scénario référence'!$F$8+'Scénario référence'!$F$9+'Scénario référence'!$B$17+'Scénario référence'!$B$9+'Scénario référence'!$B$10)*70+IF((45+25*(1-EXP(-0.0175*A51)))&lt;70,'Scénario référence'!$B$16*(45+25*(1-EXP(-0.0175*A51))),70*'Scénario référence'!$B$16)+IF((32+38*(1-EXP(-0.0175*A51)))&lt;70,'Scénario référence'!$B$18*(32+38*(1-EXP(-0.0175*A51))),70*'Scénario référence'!$B$18)</f>
        <v>70</v>
      </c>
      <c r="FV51" s="12">
        <f>IF(A51&gt;30,10,('Scénario référence'!$B$16+'Scénario référence'!$B$17+'Scénario référence'!$B$18+'Scénario référence'!$B$9+'Scénario référence'!$B$10)*A51*10/30+('Scénario référence'!$F$8+'Scénario référence'!$F$9)*10)</f>
        <v>10</v>
      </c>
      <c r="FW51" s="12">
        <f>VLOOKUP(A51,'Données projet'!$A$243:$I$263,2,0)</f>
        <v>184.35256410256409</v>
      </c>
      <c r="FX51" s="12">
        <f>VLOOKUP(A51,'Données projet'!$A$243:$I$263,9,0)</f>
        <v>9.3452380952380913</v>
      </c>
      <c r="FY51" s="12">
        <f t="array" ref="FY51">INDEX(FX:FX,MIN(IF(ISNUMBER(FX51:FX247),ROW(FX51:FX247),"")))</f>
        <v>9.3452380952380913</v>
      </c>
      <c r="FZ51" s="12">
        <f>IF('Données projet'!$A$244&gt;35,FZ50+FY51-GH50,IF(A51&lt;'Données projet'!$A$244,$FW$205^A51,IF(A51='Données projet'!$A$244,'Données projet'!$B$244,FZ50+FY51-GH50)))</f>
        <v>184.35256410256414</v>
      </c>
      <c r="GA51" s="17">
        <f>FZ51*VLOOKUP('Données projet'!$B$17,Paramètres!$A$1:$I$89,3,0)*VLOOKUP('Données projet'!$B$17,Paramètres!$A$1:$I$89,5,0)</f>
        <v>198.43710000000004</v>
      </c>
      <c r="GB51" s="13">
        <f t="shared" si="49"/>
        <v>49.400532938307215</v>
      </c>
      <c r="GC51" s="20">
        <f t="shared" si="25"/>
        <v>431.65054403421846</v>
      </c>
      <c r="GD51" s="59">
        <f t="shared" si="26"/>
        <v>724.98387736755171</v>
      </c>
      <c r="GE51" s="59">
        <f ca="1">AVERAGE(OFFSET($GD$3,0,0,'Données projet'!$E$17+1,1))-AVERAGE(OFFSET($H$3,0,0,'Données projet'!$E$17+1,1))</f>
        <v>286.77702855541287</v>
      </c>
      <c r="GF51" s="59">
        <f t="shared" si="50"/>
        <v>227.12211541860779</v>
      </c>
      <c r="GG51" s="15">
        <f>IF(ISNA(VLOOKUP(A51,'Données projet'!$A$243:$I$263,3,0)),0,VLOOKUP(A51,'Données projet'!$A$243:$I$263,3,0))</f>
        <v>3</v>
      </c>
      <c r="GH51" s="15">
        <f>IF(ISNA(VLOOKUP(A51,'Données projet'!$A$243:$I$263,4,0)),0,VLOOKUP(A51,'Données projet'!$A$243:$I$263,4,0))</f>
        <v>48.025641025641022</v>
      </c>
      <c r="GI51" s="16">
        <f>IF(ISNA(VLOOKUP(A51,'Données projet'!$A$243:$I$263,5,0)),0%,VLOOKUP(A51,'Données projet'!$A$243:$I$263,5,0)*VLOOKUP('Données projet'!$B$17,Paramètres!$A$1:$I$89,7,0))</f>
        <v>0</v>
      </c>
      <c r="GJ51" s="16">
        <f>IF(ISNA(VLOOKUP(A51,'Données projet'!$A$243:$I$263,6,0)),0%,VLOOKUP(A51,'Données projet'!$A$243:$I$263,6,0)*VLOOKUP('Données projet'!$B$17,Paramètres!$A$1:$I$89,7,0))</f>
        <v>0</v>
      </c>
      <c r="GK51" s="16">
        <f>IF(ISNA(VLOOKUP(A51,'Données projet'!$A$243:$I$263,7,0)),0%,VLOOKUP(A51,'Données projet'!$A$243:$I$263,7,0))</f>
        <v>0</v>
      </c>
      <c r="GL51" s="21">
        <f>EXP(-LN(2)/35)*GL50+(1-EXP(-LN(2)/35))/(LN(2)/35)*GH51*GI51*VLOOKUP('Données projet'!$B$17,Paramètres!$A$1:$I$89,3,0)*0.475*44/12</f>
        <v>0</v>
      </c>
      <c r="GM51" s="21">
        <f>EXP(-LN(2)/25)*GM50+(1-EXP(-LN(2)/25))/(LN(2)/25)*Calculateur!GH51*Calculateur!GJ51*VLOOKUP('Données projet'!$B$17,Paramètres!$A$1:$I$89,3,0)*0.475*44/12</f>
        <v>0</v>
      </c>
      <c r="GN51" s="21">
        <f>EXP(-LN(2)/2)*GN50+(1-EXP(-LN(2)/2))/(LN(2)/2)*GH51*GK51*VLOOKUP('Données projet'!$B$17,Paramètres!$A$1:$I$89,3,0)*0.475*44/12</f>
        <v>0</v>
      </c>
      <c r="GO51" s="21">
        <f t="shared" si="27"/>
        <v>0</v>
      </c>
      <c r="GP51" s="75">
        <f>('Scénario référence'!$F$8+'Scénario référence'!$F$9+'Scénario référence'!$B$17+'Scénario référence'!$B$9+'Scénario référence'!$B$10)*70+IF((45+25*(1-EXP(-0.0175*A51)))&lt;70,'Scénario référence'!$B$16*(45+25*(1-EXP(-0.0175*A51))),70*'Scénario référence'!$B$16)+IF((32+38*(1-EXP(-0.0175*A51)))&lt;70,'Scénario référence'!$B$18*(32+38*(1-EXP(-0.0175*A51))),70*'Scénario référence'!$B$18)</f>
        <v>70</v>
      </c>
      <c r="GQ51" s="12">
        <f>IF(A51&gt;30,10,('Scénario référence'!$B$16+'Scénario référence'!$B$17+'Scénario référence'!$B$18+'Scénario référence'!$B$9+'Scénario référence'!$B$10)*A51*10/30+('Scénario référence'!$F$8+'Scénario référence'!$F$9)*10)</f>
        <v>10</v>
      </c>
      <c r="GR51" s="12">
        <f>VLOOKUP(A51,'Données projet'!$A$269:$I$289,2,0)</f>
        <v>184.35256410256409</v>
      </c>
      <c r="GS51" s="12">
        <f>VLOOKUP(A51,'Données projet'!$A$269:$I$289,9,0)</f>
        <v>9.3452380952380913</v>
      </c>
      <c r="GT51" s="12">
        <f t="array" ref="GT51">INDEX(GS:GS,MIN(IF(ISNUMBER(GS51:GS247),ROW(GS51:GS247),"")))</f>
        <v>9.3452380952380913</v>
      </c>
      <c r="GU51" s="12">
        <f>IF('Données projet'!$A$270&gt;35,GU50+GT51-HC50,IF(A51&lt;'Données projet'!$A$270,$GR$205^A51,IF(A51='Données projet'!$A$270,'Données projet'!$B$270,GU50+GT51-HC50)))</f>
        <v>184.35256410256414</v>
      </c>
      <c r="GV51" s="17">
        <f>GU51*VLOOKUP('Données projet'!$B$18,Paramètres!$A$1:$I$89,3,0)*VLOOKUP('Données projet'!$B$18,Paramètres!$A$1:$I$89,5,0)</f>
        <v>198.43710000000004</v>
      </c>
      <c r="GW51" s="13">
        <f t="shared" si="51"/>
        <v>49.400532938307215</v>
      </c>
      <c r="GX51" s="20">
        <f t="shared" si="28"/>
        <v>431.65054403421846</v>
      </c>
      <c r="GY51" s="59">
        <f t="shared" si="29"/>
        <v>724.98387736755171</v>
      </c>
      <c r="GZ51" s="59">
        <f ca="1">AVERAGE(OFFSET($GY$3,0,0,'Données projet'!$E$18+1,1))-AVERAGE(OFFSET($H$3,0,0,'Données projet'!$E$18+1,1))</f>
        <v>286.77702855541287</v>
      </c>
      <c r="HA51" s="59">
        <f t="shared" si="52"/>
        <v>227.12211541860779</v>
      </c>
      <c r="HB51" s="15">
        <f>IF(ISNA(VLOOKUP(A51,'Données projet'!$A$269:$I$289,3,0)),0,VLOOKUP(A51,'Données projet'!$A$269:$I$289,3,0))</f>
        <v>3</v>
      </c>
      <c r="HC51" s="15">
        <f>IF(ISNA(VLOOKUP(A51,'Données projet'!$A$269:$I$289,4,0)),0,VLOOKUP(A51,'Données projet'!$A$269:$I$289,4,0))</f>
        <v>48.025641025641022</v>
      </c>
      <c r="HD51" s="16">
        <f>IF(ISNA(VLOOKUP(A51,'Données projet'!$A$269:$I$289,5,0)),0%,VLOOKUP(A51,'Données projet'!$A$269:$I$289,5,0)*VLOOKUP('Données projet'!$B$18,Paramètres!$A$1:$I$89,7,0))</f>
        <v>0</v>
      </c>
      <c r="HE51" s="16">
        <f>IF(ISNA(VLOOKUP(A51,'Données projet'!$A$269:$I$289,6,0)),0%,VLOOKUP(A51,'Données projet'!$A$269:$I$289,6,0)*VLOOKUP('Données projet'!$B$18,Paramètres!$A$1:$I$89,7,0))</f>
        <v>0</v>
      </c>
      <c r="HF51" s="16">
        <f>IF(ISNA(VLOOKUP(A51,'Données projet'!$A$269:$I$289,7,0)),0%,VLOOKUP(A51,'Données projet'!$A$269:$I$289,7,0))</f>
        <v>0</v>
      </c>
      <c r="HG51" s="21">
        <f>EXP(-LN(2)/35)*HG50+(1-EXP(-LN(2)/35))/(LN(2)/35)*HC51*HD51*VLOOKUP('Données projet'!$B$18,Paramètres!$A$1:$I$89,3,0)*0.475*44/12</f>
        <v>0</v>
      </c>
      <c r="HH51" s="21">
        <f>EXP(-LN(2)/25)*HH50+(1-EXP(-LN(2)/25))/(LN(2)/25)*Calculateur!HC51*Calculateur!HE51*VLOOKUP('Données projet'!$B$18,Paramètres!$A$1:$I$89,3,0)*0.475*44/12</f>
        <v>0</v>
      </c>
      <c r="HI51" s="21">
        <f>EXP(-LN(2)/2)*HI50+(1-EXP(-LN(2)/2))/(LN(2)/2)*HC51*HF51*VLOOKUP('Données projet'!$B$18,Paramètres!$A$1:$I$89,3,0)*0.475*44/12</f>
        <v>0</v>
      </c>
      <c r="HJ51" s="22">
        <f t="shared" si="30"/>
        <v>0</v>
      </c>
    </row>
    <row r="52" spans="1:218" x14ac:dyDescent="0.25">
      <c r="A52" s="10">
        <f t="shared" si="31"/>
        <v>49</v>
      </c>
      <c r="B52" s="73">
        <f>'Scénario référence'!$B$16*5+'Scénario référence'!$B$17*0+'Scénario référence'!$B$18*5</f>
        <v>0</v>
      </c>
      <c r="C52" s="19">
        <f>Calculateur!C51+'Scénario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43.57080000000002</v>
      </c>
      <c r="D52" s="11">
        <f t="shared" si="32"/>
        <v>12.940326634618209</v>
      </c>
      <c r="E5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52" s="11">
        <f>IF(OR('Scénario référence'!$F$8&gt;0,'Scénario référence'!$F$9&gt;0),('Scénario référence'!$F$8+'Scénario référence'!$F$9)*10,0)</f>
        <v>10</v>
      </c>
      <c r="G52" s="11">
        <f>'Scénario référence'!$B$8*B52*44/12+'Scénario référence'!$B$9*(C52+D52)/0.475*44/12+'Scénario référence'!$B$10*(C52+D52)/0.475*44/12+'Scénario référence'!$F$8*(C52+D52)/0.475*44/12+'Scénario référence'!$F$9*(C52+D52)/0.475*44/12</f>
        <v>436.22624068828105</v>
      </c>
      <c r="H52" s="67">
        <f t="shared" si="1"/>
        <v>391.75687888862672</v>
      </c>
      <c r="I52" s="70">
        <f>('Scénario référence'!$F$8+'Scénario référence'!$F$9+'Scénario référence'!$B$17+'Scénario référence'!$B$9+'Scénario référence'!$B$10)*70+IF((45+25*(1-EXP(-0.0175*A52)))&lt;70,'Scénario référence'!$B$16*(45+25*(1-EXP(-0.0175*A52))),70*'Scénario référence'!$B$16)+IF((32+38*(1-EXP(-0.0175*A52)))&lt;70,'Scénario référence'!$B$18*(32+38*(1-EXP(-0.0175*A52))),70*'Scénario référence'!$B$18)</f>
        <v>70</v>
      </c>
      <c r="J52" s="13">
        <f>IF(A52&gt;30,10,('Scénario référence'!$B$16+'Scénario référence'!$B$17+'Scénario référence'!$B$18+'Scénario référence'!$B$9+'Scénario référence'!$B$10)*A52*10/30+('Scénario référence'!$F$8+'Scénario référence'!$F$9)*10)</f>
        <v>10</v>
      </c>
      <c r="K52" s="12" t="e">
        <f>VLOOKUP(A52,'Données projet'!$A$35:$I$55,2,0)</f>
        <v>#N/A</v>
      </c>
      <c r="L52" s="12" t="e">
        <f>VLOOKUP(A52,'Données projet'!$A$35:$I$55,9,0)</f>
        <v>#N/A</v>
      </c>
      <c r="M52" s="12">
        <f t="array" ref="M52">INDEX(L:L,MIN(IF(ISNUMBER(L52:L248),ROW(L52:L248),"")))</f>
        <v>20.507692307692299</v>
      </c>
      <c r="N52" s="13">
        <f>IF('Données projet'!$A$36&gt;35,N51+M52-V51,IF(A52&lt;'Données projet'!$A$36,$K$205^A52,IF(A52='Données projet'!$A$36,'Données projet'!$B$36,N51+M52-V51)))</f>
        <v>464.26153846153824</v>
      </c>
      <c r="O52" s="13">
        <f>N52*VLOOKUP('Données projet'!$B$9,Paramètres!$A$1:$I$89,3,0)*VLOOKUP('Données projet'!$B$9,Paramètres!$A$1:$I$89,5,0)</f>
        <v>259.52219999999988</v>
      </c>
      <c r="P52" s="13">
        <f t="shared" si="33"/>
        <v>62.620519404058868</v>
      </c>
      <c r="Q52" s="20">
        <f t="shared" si="53"/>
        <v>561.06523629540231</v>
      </c>
      <c r="R52" s="59">
        <f t="shared" si="0"/>
        <v>854.39856962873569</v>
      </c>
      <c r="S52" s="59">
        <f ca="1">AVERAGE(OFFSET($R$3,0,0,'Données projet'!$E$9+1,1))-AVERAGE(OFFSET($H$3,0,0,'Données projet'!$E$9+1,1))</f>
        <v>255.5374979188561</v>
      </c>
      <c r="T52" s="59">
        <f t="shared" si="34"/>
        <v>343.10418468620901</v>
      </c>
      <c r="U52" s="15">
        <f>IF(ISNA(VLOOKUP(A52,'Données projet'!$A$35:$I$55,3,0)),0,VLOOKUP(A52,'Données projet'!$A$35:$I$55,3,0))</f>
        <v>0</v>
      </c>
      <c r="V52" s="15">
        <f>IF(ISNA(VLOOKUP(A52,'Données projet'!$A$35:$I$55,4,0)),0,VLOOKUP(A52,'Données projet'!$A$35:$I$55,4,0))</f>
        <v>0</v>
      </c>
      <c r="W52" s="16">
        <f>IF(ISNA(VLOOKUP(A52,'Données projet'!$A$35:$I$55,5,0)),0%,VLOOKUP(A52,'Données projet'!$A$35:$I$55,5,0)*VLOOKUP('Données projet'!$B$9,Paramètres!$A$1:$I$89,7,0))</f>
        <v>0</v>
      </c>
      <c r="X52" s="16">
        <f>IF(ISNA(VLOOKUP(A52,'Données projet'!$A$35:$I$55,6,0)),0%,VLOOKUP(A52,'Données projet'!$A$35:$I$55,6,0)*VLOOKUP('Données projet'!$B$9,Paramètres!$A$1:$I$89,7,0))</f>
        <v>0</v>
      </c>
      <c r="Y52" s="16">
        <f>IF(ISNA(VLOOKUP(A52,'Données projet'!$A$35:$I$55,7,0)),0%,VLOOKUP(A52,'Données projet'!$A$35:$I$55,7,0))</f>
        <v>0</v>
      </c>
      <c r="Z52" s="21">
        <f>EXP(-LN(2)/35)*Z51+(1-EXP(-LN(2)/35))/(LN(2)/35)*V52*W52*VLOOKUP('Données projet'!$B$9,Paramètres!$A$1:$I$89,3,0)*0.475*44/12</f>
        <v>2.1210354977160186</v>
      </c>
      <c r="AA52" s="21">
        <f>EXP(-LN(2)/25)*AA51+(1-EXP(-LN(2)/25))/(LN(2)/25)*Calculateur!V52*Calculateur!X52*VLOOKUP('Données projet'!$B$9,Paramètres!$A$1:$I$89,3,0)*0.475*44/12</f>
        <v>9.4244744536800908</v>
      </c>
      <c r="AB52" s="21">
        <f>EXP(-LN(2)/2)*AB51+(1-EXP(-LN(2)/2))/(LN(2)/2)*V52*Y52*VLOOKUP('Données projet'!$B$9,Paramètres!$A$1:$I$89,3,0)*0.475*44/12</f>
        <v>2.3376675069755487E-3</v>
      </c>
      <c r="AC52" s="22">
        <f t="shared" si="3"/>
        <v>11.547847618903084</v>
      </c>
      <c r="AD52" s="13">
        <f>('Scénario référence'!$F$8+'Scénario référence'!$F$9+'Scénario référence'!$B$17+'Scénario référence'!$B$9+'Scénario référence'!$B$10)*70+IF((45+25*(1-EXP(-0.0175*A52)))&lt;70,'Scénario référence'!$B$16*(45+25*(1-EXP(-0.0175*A52))),70*'Scénario référence'!$B$16)+IF((32+38*(1-EXP(-0.0175*A52)))&lt;70,'Scénario référence'!$B$18*(32+38*(1-EXP(-0.0175*A52))),70*'Scénario référence'!$B$18)</f>
        <v>70</v>
      </c>
      <c r="AE52" s="13">
        <f>IF(A52&gt;30,10,('Scénario référence'!$B$16+'Scénario référence'!$B$17+'Scénario référence'!$B$18+'Scénario référence'!$B$9+'Scénario référence'!$B$10)*A52*10/30+('Scénario référence'!$F$8+'Scénario référence'!$F$9)*10)</f>
        <v>10</v>
      </c>
      <c r="AF52" s="12" t="e">
        <f>VLOOKUP(A52,'Données projet'!$A$61:$I$81,2,0)</f>
        <v>#N/A</v>
      </c>
      <c r="AG52" s="12" t="e">
        <f>VLOOKUP(A52,'Données projet'!$A$61:$I$81,9,0)</f>
        <v>#N/A</v>
      </c>
      <c r="AH52" s="12">
        <f t="array" ref="AH52">INDEX(AG:AG,MIN(IF(ISNUMBER(AG52:AG248),ROW(AG52:AG248),"")))</f>
        <v>12.4</v>
      </c>
      <c r="AI52" s="13">
        <f>IF('Données projet'!$A$62&gt;35,AI51+AH52-AQ51,IF(A52&lt;'Données projet'!$A$62,$AF$205^A52,IF(A52='Données projet'!$A$62,'Données projet'!$B$62,AI51+AH52-AQ51)))</f>
        <v>359.59999999999991</v>
      </c>
      <c r="AJ52" s="13">
        <f>AI52*VLOOKUP('Données projet'!$B$10,Paramètres!$A$1:$I$89,3,0)*VLOOKUP('Données projet'!$B$10,Paramètres!$A$1:$I$89,5,0)</f>
        <v>224.39039999999994</v>
      </c>
      <c r="AK52" s="13">
        <f t="shared" si="35"/>
        <v>55.068017311015858</v>
      </c>
      <c r="AL52" s="20">
        <f t="shared" si="4"/>
        <v>486.72341015001916</v>
      </c>
      <c r="AM52" s="59">
        <f t="shared" si="5"/>
        <v>780.05674348335242</v>
      </c>
      <c r="AN52" s="59">
        <f ca="1">AVERAGE(OFFSET($AM$3,0,0,'Données projet'!$E$10+1,1))-AVERAGE(OFFSET($H$3,0,0,'Données projet'!$E$10+1,1))</f>
        <v>261.78489480911571</v>
      </c>
      <c r="AO52" s="59">
        <f t="shared" si="36"/>
        <v>297.50513563712764</v>
      </c>
      <c r="AP52" s="15">
        <f>IF(ISNA(VLOOKUP(A52,'Données projet'!$A$61:$I$81,3,0)),0,VLOOKUP(A52,'Données projet'!$A$61:$I$81,3,0))</f>
        <v>0</v>
      </c>
      <c r="AQ52" s="15">
        <f>IF(ISNA(VLOOKUP(A52,'Données projet'!$A$61:$I$81,4,0)),0,VLOOKUP(A52,'Données projet'!$A$61:$I$81,4,0))</f>
        <v>0</v>
      </c>
      <c r="AR52" s="16">
        <f>IF(ISNA(VLOOKUP(A52,'Données projet'!$A$61:$I$81,5,0)),0%,VLOOKUP(A52,'Données projet'!$A$61:$I$81,5,0)*VLOOKUP('Données projet'!$B$10,Paramètres!$A$1:$I$89,7,0))</f>
        <v>0</v>
      </c>
      <c r="AS52" s="16">
        <f>IF(ISNA(VLOOKUP(A52,'Données projet'!$A$61:$I$81,6,0)),0%,VLOOKUP(A52,'Données projet'!$A$61:$I$81,6,0)*VLOOKUP('Données projet'!$B$10,Paramètres!$A$1:$I$89,7,0))</f>
        <v>0</v>
      </c>
      <c r="AT52" s="16">
        <f>IF(ISNA(VLOOKUP(A52,'Données projet'!$A$61:$I$81,7,0)),0%,VLOOKUP(A52,'Données projet'!$A$61:$I$81,7,0))</f>
        <v>0</v>
      </c>
      <c r="AU52" s="21">
        <f>EXP(-LN(2)/35)*AU51+(1-EXP(-LN(2)/35))/(LN(2)/35)*AQ52*AR52*VLOOKUP('Données projet'!$B$10,Paramètres!$A$1:$I$89,3,0)*0.475*44/12</f>
        <v>5.7273957758462757</v>
      </c>
      <c r="AV52" s="21">
        <f>EXP(-LN(2)/25)*AV51+(1-EXP(-LN(2)/25))/(LN(2)/25)*Calculateur!AQ52*Calculateur!AS52*VLOOKUP('Données projet'!$B$10,Paramètres!$A$1:$I$89,3,0)*0.475*44/12</f>
        <v>16.4570546201779</v>
      </c>
      <c r="AW52" s="21">
        <f>EXP(-LN(2)/2)*AW51+(1-EXP(-LN(2)/2))/(LN(2)/2)*AQ52*AT52*VLOOKUP('Données projet'!$B$10,Paramètres!$A$1:$I$89,3,0)*0.475*44/12</f>
        <v>3.369970258191303E-2</v>
      </c>
      <c r="AX52" s="21">
        <f t="shared" si="6"/>
        <v>22.218150098606088</v>
      </c>
      <c r="AY52" s="74">
        <f>('Scénario référence'!$F$8+'Scénario référence'!$F$9+'Scénario référence'!$B$17+'Scénario référence'!$B$9+'Scénario référence'!$B$10)*70+IF((45+25*(1-EXP(-0.0175*A52)))&lt;70,'Scénario référence'!$B$16*(45+25*(1-EXP(-0.0175*A52))),70*'Scénario référence'!$B$16)+IF((32+38*(1-EXP(-0.0175*A52)))&lt;70,'Scénario référence'!$B$18*(32+38*(1-EXP(-0.0175*A52))),70*'Scénario référence'!$B$18)</f>
        <v>70</v>
      </c>
      <c r="AZ52" s="12">
        <f>IF(A52&gt;30,10,('Scénario référence'!$B$16+'Scénario référence'!$B$17+'Scénario référence'!$B$18+'Scénario référence'!$B$9+'Scénario référence'!$B$10)*A52*10/30+('Scénario référence'!$F$8+'Scénario référence'!$F$9)*10)</f>
        <v>10</v>
      </c>
      <c r="BA52" s="12" t="e">
        <f>VLOOKUP(A52,'Données projet'!$A$87:$I$107,2,0)</f>
        <v>#N/A</v>
      </c>
      <c r="BB52" s="12" t="e">
        <f>VLOOKUP(A52,'Données projet'!$A$87:$I$107,9,0)</f>
        <v>#N/A</v>
      </c>
      <c r="BC52" s="12">
        <f t="array" ref="BC52">INDEX(BB:BB,MIN(IF(ISNUMBER(BB52:BB248),ROW(BB52:BB248),"")))</f>
        <v>18.899999999999999</v>
      </c>
      <c r="BD52" s="12">
        <f>IF('Données projet'!$A$88&gt;35,BD51+BC52-BL51,IF(A52&lt;'Données projet'!$A$88,$BA$205^A52,IF(A52='Données projet'!$A$88,'Données projet'!$B$88,BD51+BC52-BL51)))</f>
        <v>416.09999999999974</v>
      </c>
      <c r="BE52" s="13">
        <f>BD52*VLOOKUP('Données projet'!$B$11,Paramètres!$A$1:$I$89,3,0)*VLOOKUP('Données projet'!$B$11,Paramètres!$A$1:$I$89,5,0)</f>
        <v>248.82779999999985</v>
      </c>
      <c r="BF52" s="13">
        <f t="shared" si="37"/>
        <v>60.334863247522001</v>
      </c>
      <c r="BG52" s="20">
        <f t="shared" si="7"/>
        <v>538.45830515610044</v>
      </c>
      <c r="BH52" s="59">
        <f t="shared" si="8"/>
        <v>831.79163848943381</v>
      </c>
      <c r="BI52" s="59">
        <f ca="1">AVERAGE(OFFSET($BH$3,0,0,'Données projet'!$E$11+1,1))-AVERAGE(OFFSET($H$3,0,0,'Données projet'!$E$11+1,1))</f>
        <v>316.58509520829671</v>
      </c>
      <c r="BJ52" s="59">
        <f t="shared" si="38"/>
        <v>240.71332110643596</v>
      </c>
      <c r="BK52" s="15">
        <f>IF(ISNA(VLOOKUP(A52,'Données projet'!$A$87:$I$107,3,0)),0,VLOOKUP(A52,'Données projet'!$A$87:$I$107,3,0))</f>
        <v>0</v>
      </c>
      <c r="BL52" s="15">
        <f>IF(ISNA(VLOOKUP(A52,'Données projet'!$A$87:$I$107,4,0)),0,VLOOKUP(A52,'Données projet'!$A$87:$I$107,4,0))</f>
        <v>0</v>
      </c>
      <c r="BM52" s="16">
        <f>IF(ISNA(VLOOKUP(A52,'Données projet'!$A$87:$I$107,5,0)),0%,VLOOKUP(A52,'Données projet'!$A$87:$I$107,5,0)*VLOOKUP('Données projet'!$B$11,Paramètres!$A$1:$I$89,7,0))</f>
        <v>0</v>
      </c>
      <c r="BN52" s="16">
        <f>IF(ISNA(VLOOKUP(A52,'Données projet'!$A$87:$I$107,6,0)),0%,VLOOKUP(A52,'Données projet'!$A$87:$I$107,6,0)*VLOOKUP('Données projet'!$B$11,Paramètres!$A$1:$I$89,7,0))</f>
        <v>0</v>
      </c>
      <c r="BO52" s="16">
        <f>IF(ISNA(VLOOKUP(A52,'Données projet'!$A$87:$I$107,7,0)),0%,VLOOKUP(A52,'Données projet'!$A$87:$I$107,7,0))</f>
        <v>0</v>
      </c>
      <c r="BP52" s="21">
        <f>EXP(-LN(2)/35)*BP51+(1-EXP(-LN(2)/35))/(LN(2)/35)*BL52*BM52*VLOOKUP('Données projet'!$B$11,Paramètres!$A$1:$I$89,3,0)*0.475*44/12</f>
        <v>1.7397390814652107</v>
      </c>
      <c r="BQ52" s="21">
        <f>EXP(-LN(2)/25)*BQ51+(1-EXP(-LN(2)/25))/(LN(2)/25)*Calculateur!BL52*Calculateur!BN52*VLOOKUP('Données projet'!$B$11,Paramètres!$A$1:$I$89,3,0)*0.475*44/12</f>
        <v>9.0156547061335814</v>
      </c>
      <c r="BR52" s="21">
        <f>EXP(-LN(2)/2)*BR51+(1-EXP(-LN(2)/2))/(LN(2)/2)*BL52*BO52*VLOOKUP('Données projet'!$B$11,Paramètres!$A$1:$I$89,3,0)*0.475*44/12</f>
        <v>3.0299723163427071E-2</v>
      </c>
      <c r="BS52" s="22">
        <f t="shared" si="9"/>
        <v>10.785693510762218</v>
      </c>
      <c r="BT52" s="75">
        <f>('Scénario référence'!$F$8+'Scénario référence'!$F$9+'Scénario référence'!$B$17+'Scénario référence'!$B$9+'Scénario référence'!$B$10)*70+IF((45+25*(1-EXP(-0.0175*A52)))&lt;70,'Scénario référence'!$B$16*(45+25*(1-EXP(-0.0175*A52))),70*'Scénario référence'!$B$16)+IF((32+38*(1-EXP(-0.0175*A52)))&lt;70,'Scénario référence'!$B$18*(32+38*(1-EXP(-0.0175*A52))),70*'Scénario référence'!$B$18)</f>
        <v>70</v>
      </c>
      <c r="BU52" s="12">
        <f>IF(A52&gt;30,10,('Scénario référence'!$B$16+'Scénario référence'!$B$17+'Scénario référence'!$B$18+'Scénario référence'!$B$9+'Scénario référence'!$B$10)*A52*10/30+('Scénario référence'!$F$8+'Scénario référence'!$F$9)*10)</f>
        <v>10</v>
      </c>
      <c r="BV52" s="12" t="e">
        <f>VLOOKUP(A52,'Données projet'!$A$113:$I$133,2,0)</f>
        <v>#N/A</v>
      </c>
      <c r="BW52" s="12" t="e">
        <f>VLOOKUP(A52,'Données projet'!$A$113:$I$133,9,0)</f>
        <v>#N/A</v>
      </c>
      <c r="BX52" s="12">
        <f t="array" ref="BX52">INDEX(BW:BW,MIN(IF(ISNUMBER(BW52:BW248),ROW(BW52:BW248),"")))</f>
        <v>11.9</v>
      </c>
      <c r="BY52" s="12">
        <f>IF('Données projet'!$A$114&gt;35,BY51+BX52-CG51,IF(A52&lt;'Données projet'!$A$114,$BV$205^A52,IF(A52='Données projet'!$A$114,'Données projet'!$B$114,BY51+BX52-CG51)))</f>
        <v>308.0999999999998</v>
      </c>
      <c r="BZ52" s="13">
        <f>BY52*VLOOKUP('Données projet'!$B$12,Paramètres!$A$1:$I$89,3,0)*VLOOKUP('Données projet'!$B$12,Paramètres!$A$1:$I$89,5,0)</f>
        <v>176.2331999999999</v>
      </c>
      <c r="CA52" s="13">
        <f t="shared" si="39"/>
        <v>44.48311384788699</v>
      </c>
      <c r="CB52" s="20">
        <f t="shared" si="10"/>
        <v>384.41424661840296</v>
      </c>
      <c r="CC52" s="59">
        <f t="shared" si="11"/>
        <v>677.74757995173627</v>
      </c>
      <c r="CD52" s="59">
        <f ca="1">AVERAGE(OFFSET($CC$3,0,0,'Données projet'!$E$12+1,1))-AVERAGE(OFFSET($H$3,0,0,'Données projet'!$E$12+1,1))</f>
        <v>188.64374818906128</v>
      </c>
      <c r="CE52" s="59">
        <f t="shared" si="40"/>
        <v>211.95157880548652</v>
      </c>
      <c r="CF52" s="15">
        <f>IF(ISNA(VLOOKUP(A52,'Données projet'!$A$113:$I$133,3,0)),0,VLOOKUP(A52,'Données projet'!$A$113:$I$133,3,0))</f>
        <v>0</v>
      </c>
      <c r="CG52" s="15">
        <f>IF(ISNA(VLOOKUP(A52,'Données projet'!$A$113:$I$133,4,0)),0,VLOOKUP(A52,'Données projet'!$A$113:$I$133,4,0))</f>
        <v>0</v>
      </c>
      <c r="CH52" s="16">
        <f>IF(ISNA(VLOOKUP(A52,'Données projet'!$A$113:$I$133,5,0)),0%,VLOOKUP(A52,'Données projet'!$A$113:$I$133,5,0)*VLOOKUP('Données projet'!$B$12,Paramètres!$A$1:$I$89,7,0))</f>
        <v>0</v>
      </c>
      <c r="CI52" s="16">
        <f>IF(ISNA(VLOOKUP(A52,'Données projet'!$A$113:$I$133,6,0)),0%,VLOOKUP(A52,'Données projet'!$A$113:$I$133,6,0)*VLOOKUP('Données projet'!$B$12,Paramètres!$A$1:$I$89,7,0))</f>
        <v>0</v>
      </c>
      <c r="CJ52" s="16">
        <f>IF(ISNA(VLOOKUP(A52,'Données projet'!$A$113:$I$133,7,0)),0%,VLOOKUP(A52,'Données projet'!$A$113:$I$133,7,0))</f>
        <v>0</v>
      </c>
      <c r="CK52" s="21">
        <f>EXP(-LN(2)/35)*CK51+(1-EXP(-LN(2)/35))/(LN(2)/35)*CG52*CH52*VLOOKUP('Données projet'!$B$12,Paramètres!$A$1:$I$89,3,0)*0.475*44/12</f>
        <v>1.6875362553832782</v>
      </c>
      <c r="CL52" s="21">
        <f>EXP(-LN(2)/25)*CL51+(1-EXP(-LN(2)/25))/(LN(2)/25)*Calculateur!CG52*Calculateur!CI52*VLOOKUP('Données projet'!$B$12,Paramètres!$A$1:$I$89,3,0)*0.475*44/12</f>
        <v>8.4857383397275949</v>
      </c>
      <c r="CM52" s="21">
        <f>EXP(-LN(2)/2)*CM51+(1-EXP(-LN(2)/2))/(LN(2)/2)*CG52*CJ52*VLOOKUP('Données projet'!$B$12,Paramètres!$A$1:$I$89,3,0)*0.475*44/12</f>
        <v>2.9342911198230768E-2</v>
      </c>
      <c r="CN52" s="22">
        <f t="shared" si="12"/>
        <v>10.202617506309105</v>
      </c>
      <c r="CO52" s="75">
        <f>('Scénario référence'!$F$8+'Scénario référence'!$F$9+'Scénario référence'!$B$17+'Scénario référence'!$B$9+'Scénario référence'!$B$10)*70+IF((45+25*(1-EXP(-0.0175*A52)))&lt;70,'Scénario référence'!$B$16*(45+25*(1-EXP(-0.0175*A52))),70*'Scénario référence'!$B$16)+IF((32+38*(1-EXP(-0.0175*A52)))&lt;70,'Scénario référence'!$B$18*(32+38*(1-EXP(-0.0175*A52))),70*'Scénario référence'!$B$18)</f>
        <v>70</v>
      </c>
      <c r="CP52" s="12">
        <f>IF(A52&gt;30,10,('Scénario référence'!$B$16+'Scénario référence'!$B$17+'Scénario référence'!$B$18+'Scénario référence'!$B$9+'Scénario référence'!$B$10)*A52*10/30+('Scénario référence'!$F$8+'Scénario référence'!$F$9)*10)</f>
        <v>10</v>
      </c>
      <c r="CQ52" s="12" t="e">
        <f>VLOOKUP(A52,'Données projet'!$A$139:$I$159,2,0)</f>
        <v>#N/A</v>
      </c>
      <c r="CR52" s="12" t="e">
        <f>VLOOKUP(A52,'Données projet'!$A$139:$I$159,9,0)</f>
        <v>#N/A</v>
      </c>
      <c r="CS52" s="12">
        <f t="array" ref="CS52">INDEX(CR:CR,MIN(IF(ISNUMBER(CR52:CR248),ROW(CR52:CR248),"")))</f>
        <v>0</v>
      </c>
      <c r="CT52" s="12">
        <f>IF('Données projet'!$A$140&gt;35,CT51+CS52-DB51,IF(A52&lt;'Données projet'!$A$140,$CQ$205^A52,IF(A52='Données projet'!$A$140,'Données projet'!$B$140,CT51+CS52-DB51)))</f>
        <v>0</v>
      </c>
      <c r="CU52" s="17" t="e">
        <f>CT52*VLOOKUP('Données projet'!$B$13,Paramètres!$A$1:$I$89,3,0)*VLOOKUP('Données projet'!$B$13,Paramètres!$A$1:$I$89,5,0)</f>
        <v>#N/A</v>
      </c>
      <c r="CV52" s="13" t="e">
        <f t="shared" si="41"/>
        <v>#N/A</v>
      </c>
      <c r="CW52" s="20" t="e">
        <f t="shared" si="13"/>
        <v>#N/A</v>
      </c>
      <c r="CX52" s="59" t="e">
        <f t="shared" si="14"/>
        <v>#N/A</v>
      </c>
      <c r="CY52" s="59" t="e">
        <f ca="1">AVERAGE(OFFSET($CX$3,0,0,'Données projet'!$E$13+1,1))-AVERAGE(OFFSET($H$3,0,0,'Données projet'!$E$13+1,1))</f>
        <v>#N/A</v>
      </c>
      <c r="CZ52" s="59" t="e">
        <f t="shared" si="42"/>
        <v>#N/A</v>
      </c>
      <c r="DA52" s="15">
        <f>IF(ISNA(VLOOKUP(A52,'Données projet'!$A$139:$I$159,3,0)),0,VLOOKUP(A52,'Données projet'!$A$139:$I$159,3,0))</f>
        <v>0</v>
      </c>
      <c r="DB52" s="15">
        <f>IF(ISNA(VLOOKUP(A52,'Données projet'!$A$139:$I$159,4,0)),0,VLOOKUP(A52,'Données projet'!$A$139:$I$159,4,0))</f>
        <v>0</v>
      </c>
      <c r="DC52" s="16">
        <f>IF(ISNA(VLOOKUP(A52,'Données projet'!$A$139:$I$159,5,0)),0%,VLOOKUP(A52,'Données projet'!$A$139:$I$159,5,0)*VLOOKUP('Données projet'!$B$13,Paramètres!$A$1:$I$89,7,0))</f>
        <v>0</v>
      </c>
      <c r="DD52" s="16">
        <f>IF(ISNA(VLOOKUP(A52,'Données projet'!$A$139:$I$159,6,0)),0%,VLOOKUP(A52,'Données projet'!$A$139:$I$159,6,0)*VLOOKUP('Données projet'!$B$13,Paramètres!$A$1:$I$89,7,0))</f>
        <v>0</v>
      </c>
      <c r="DE52" s="16">
        <f>IF(ISNA(VLOOKUP(A52,'Données projet'!$A$139:$I$159,7,0)),0%,VLOOKUP(A52,'Données projet'!$A$139:$I$159,7,0))</f>
        <v>0</v>
      </c>
      <c r="DF52" s="21" t="e">
        <f>EXP(-LN(2)/35)*DF51+(1-EXP(-LN(2)/35))/(LN(2)/35)*DB52*DC52*VLOOKUP('Données projet'!$B$13,Paramètres!$A$1:$I$89,3,0)*0.475*44/12</f>
        <v>#N/A</v>
      </c>
      <c r="DG52" s="21" t="e">
        <f>EXP(-LN(2)/25)*DG51+(1-EXP(-LN(2)/25))/(LN(2)/25)*Calculateur!DB52*Calculateur!DD52*VLOOKUP('Données projet'!$B$13,Paramètres!$A$1:$I$89,3,0)*0.475*44/12</f>
        <v>#N/A</v>
      </c>
      <c r="DH52" s="21" t="e">
        <f>EXP(-LN(2)/2)*DH51+(1-EXP(-LN(2)/2))/(LN(2)/2)*DB52*DE52*VLOOKUP('Données projet'!$B$13,Paramètres!$A$1:$I$89,3,0)*0.475*44/12</f>
        <v>#N/A</v>
      </c>
      <c r="DI52" s="22" t="e">
        <f t="shared" si="15"/>
        <v>#N/A</v>
      </c>
      <c r="DJ52" s="75">
        <f>('Scénario référence'!$F$8+'Scénario référence'!$F$9+'Scénario référence'!$B$17+'Scénario référence'!$B$9+'Scénario référence'!$B$10)*70+IF((45+25*(1-EXP(-0.0175*A52)))&lt;70,'Scénario référence'!$B$16*(45+25*(1-EXP(-0.0175*A52))),70*'Scénario référence'!$B$16)+IF((32+38*(1-EXP(-0.0175*A52)))&lt;70,'Scénario référence'!$B$18*(32+38*(1-EXP(-0.0175*A52))),70*'Scénario référence'!$B$18)</f>
        <v>70</v>
      </c>
      <c r="DK52" s="12">
        <f>IF(A52&gt;30,10,('Scénario référence'!$B$16+'Scénario référence'!$B$17+'Scénario référence'!$B$18+'Scénario référence'!$B$9+'Scénario référence'!$B$10)*A52*10/30+('Scénario référence'!$F$8+'Scénario référence'!$F$9)*10)</f>
        <v>10</v>
      </c>
      <c r="DL52" s="12" t="e">
        <f>VLOOKUP(A52,'Données projet'!$A$165:$I$185,2,0)</f>
        <v>#N/A</v>
      </c>
      <c r="DM52" s="12" t="e">
        <f>VLOOKUP(A52,'Données projet'!$A$165:$I$185,9,0)</f>
        <v>#N/A</v>
      </c>
      <c r="DN52" s="12">
        <f t="array" ref="DN52">INDEX(DM:DM,MIN(IF(ISNUMBER(DM52:DM248),ROW(DM52:DM248),"")))</f>
        <v>7.8</v>
      </c>
      <c r="DO52" s="12">
        <f>IF('Données projet'!$A$166&gt;35,DO51+DN52-DW51,IF(A52&lt;'Données projet'!$A$166,$DL$205^A52,IF(A52='Données projet'!$A$166,'Données projet'!$B$166,DO51+DN52-DW51)))</f>
        <v>266.2</v>
      </c>
      <c r="DP52" s="17">
        <f>DO52*VLOOKUP('Données projet'!$B$14,Paramètres!$A$1:$I$89,3,0)*VLOOKUP('Données projet'!$B$14,Paramètres!$A$1:$I$89,5,0)</f>
        <v>174.41423999999998</v>
      </c>
      <c r="DQ52" s="13">
        <f t="shared" si="43"/>
        <v>44.077186679602853</v>
      </c>
      <c r="DR52" s="20">
        <f t="shared" si="16"/>
        <v>380.53923480030829</v>
      </c>
      <c r="DS52" s="59">
        <f t="shared" si="17"/>
        <v>673.87256813364161</v>
      </c>
      <c r="DT52" s="59">
        <f ca="1">AVERAGE(OFFSET($DS$3,0,0,'Données projet'!$E$14+1,1))-AVERAGE(OFFSET($H$3,0,0,'Données projet'!$E$14+1,1))</f>
        <v>188.68915783955595</v>
      </c>
      <c r="DU52" s="59">
        <f t="shared" si="44"/>
        <v>240.82467772396944</v>
      </c>
      <c r="DV52" s="15">
        <f>IF(ISNA(VLOOKUP(A52,'Données projet'!$A$165:$I$185,3,0)),0,VLOOKUP(A52,'Données projet'!$A$165:$I$185,3,0))</f>
        <v>0</v>
      </c>
      <c r="DW52" s="15">
        <f>IF(ISNA(VLOOKUP(A52,'Données projet'!$A$165:$I$185,4,0)),0,VLOOKUP(A52,'Données projet'!$A$165:$I$185,4,0))</f>
        <v>0</v>
      </c>
      <c r="DX52" s="16">
        <f>IF(ISNA(VLOOKUP(A52,'Données projet'!$A$165:$I$185,5,0)),0%,VLOOKUP(A52,'Données projet'!$A$165:$I$185,5,0)*VLOOKUP('Données projet'!$B$14,Paramètres!$A$1:$I$89,7,0))</f>
        <v>0</v>
      </c>
      <c r="DY52" s="16">
        <f>IF(ISNA(VLOOKUP(A52,'Données projet'!$A$165:$I$185,6,0)),0%,VLOOKUP(A52,'Données projet'!$A$165:$I$185,6,0)*VLOOKUP('Données projet'!$B$14,Paramètres!$A$1:$I$89,7,0))</f>
        <v>0</v>
      </c>
      <c r="DZ52" s="16">
        <f>IF(ISNA(VLOOKUP(A52,'Données projet'!$A$165:$I$185,7,0)),0%,VLOOKUP(A52,'Données projet'!$A$165:$I$185,7,0))</f>
        <v>0</v>
      </c>
      <c r="EA52" s="21">
        <f>EXP(-LN(2)/35)*EA51+(1-EXP(-LN(2)/35))/(LN(2)/35)*DW52*DX52*VLOOKUP('Données projet'!$B$14,Paramètres!$A$1:$I$89,3,0)*0.475*44/12</f>
        <v>1.0689150102490881</v>
      </c>
      <c r="EB52" s="21">
        <f>EXP(-LN(2)/25)*EB51+(1-EXP(-LN(2)/25))/(LN(2)/25)*Calculateur!DW52*Calculateur!DY52*VLOOKUP('Données projet'!$B$14,Paramètres!$A$1:$I$89,3,0)*0.475*44/12</f>
        <v>4.7464267740250694</v>
      </c>
      <c r="EC52" s="21">
        <f>EXP(-LN(2)/2)*EC51+(1-EXP(-LN(2)/2))/(LN(2)/2)*DW52*DZ52*VLOOKUP('Données projet'!$B$14,Paramètres!$A$1:$I$89,3,0)*0.475*44/12</f>
        <v>1.9329990233008947E-2</v>
      </c>
      <c r="ED52" s="22">
        <f t="shared" si="18"/>
        <v>5.834671774507167</v>
      </c>
      <c r="EE52" s="75">
        <f>('Scénario référence'!$F$8+'Scénario référence'!$F$9+'Scénario référence'!$B$17+'Scénario référence'!$B$9+'Scénario référence'!$B$10)*70+IF((45+25*(1-EXP(-0.0175*A52)))&lt;70,'Scénario référence'!$B$16*(45+25*(1-EXP(-0.0175*A52))),70*'Scénario référence'!$B$16)+IF((32+38*(1-EXP(-0.0175*A52)))&lt;70,'Scénario référence'!$B$18*(32+38*(1-EXP(-0.0175*A52))),70*'Scénario référence'!$B$18)</f>
        <v>70</v>
      </c>
      <c r="EF52" s="12">
        <f>IF(A52&gt;30,10,('Scénario référence'!$B$16+'Scénario référence'!$B$17+'Scénario référence'!$B$18+'Scénario référence'!$B$9+'Scénario référence'!$B$10)*A52*10/30+('Scénario référence'!$F$8+'Scénario référence'!$F$9)*10)</f>
        <v>10</v>
      </c>
      <c r="EG52" s="12" t="e">
        <f>VLOOKUP(A52,'Données projet'!$A$191:$I$211,2,0)</f>
        <v>#N/A</v>
      </c>
      <c r="EH52" s="12" t="e">
        <f>VLOOKUP(A52,'Données projet'!$A$191:$I$211,9,0)</f>
        <v>#N/A</v>
      </c>
      <c r="EI52" s="12">
        <f t="array" ref="EI52">INDEX(EH:EH,MIN(IF(ISNUMBER(EH52:EH248),ROW(EH52:EH248),"")))</f>
        <v>7</v>
      </c>
      <c r="EJ52" s="12">
        <f>IF('Données projet'!$A$192&gt;35,EJ51+EI52-ER51,IF(A52&lt;'Données projet'!$A$192,$EG$205^A52,IF(A52='Données projet'!$A$192,'Données projet'!$B$192,EJ51+EI52-ER51)))</f>
        <v>212.99999999999991</v>
      </c>
      <c r="EK52" s="17">
        <f>EJ52*VLOOKUP('Données projet'!$B$15,Paramètres!$A$1:$I$89,3,0)*VLOOKUP('Données projet'!$B$15,Paramètres!$A$1:$I$89,5,0)</f>
        <v>172.78559999999996</v>
      </c>
      <c r="EL52" s="13">
        <f t="shared" si="45"/>
        <v>43.713313947329745</v>
      </c>
      <c r="EM52" s="20">
        <f t="shared" si="19"/>
        <v>377.06894179159917</v>
      </c>
      <c r="EN52" s="59">
        <f t="shared" si="20"/>
        <v>670.40227512493243</v>
      </c>
      <c r="EO52" s="59">
        <f ca="1">AVERAGE(OFFSET($EN$3,0,0,'Données projet'!$E$15+1,1))-AVERAGE(OFFSET($H$3,0,0,'Données projet'!$E$15+1,1))</f>
        <v>205.5272583787887</v>
      </c>
      <c r="EP52" s="59">
        <f t="shared" si="46"/>
        <v>180.54762778843178</v>
      </c>
      <c r="EQ52" s="15">
        <f>IF(ISNA(VLOOKUP(A52,'Données projet'!$A$191:$I$211,3,0)),0,VLOOKUP(A52,'Données projet'!$A$191:$I$211,3,0))</f>
        <v>0</v>
      </c>
      <c r="ER52" s="15">
        <f>IF(ISNA(VLOOKUP(A52,'Données projet'!$A$191:$I$211,4,0)),0,VLOOKUP(A52,'Données projet'!$A$191:$I$211,4,0))</f>
        <v>0</v>
      </c>
      <c r="ES52" s="16">
        <f>IF(ISNA(VLOOKUP(A52,'Données projet'!$A$191:$I$211,5,0)),0%,VLOOKUP(A52,'Données projet'!$A$191:$I$211,5,0)*VLOOKUP('Données projet'!$B$15,Paramètres!$A$1:$I$89,7,0))</f>
        <v>0</v>
      </c>
      <c r="ET52" s="16">
        <f>IF(ISNA(VLOOKUP(A52,'Données projet'!$A$191:$I$211,6,0)),0%,VLOOKUP(A52,'Données projet'!$A$191:$I$211,6,0)*VLOOKUP('Données projet'!$B$15,Paramètres!$A$1:$I$89,7,0))</f>
        <v>0</v>
      </c>
      <c r="EU52" s="16">
        <f>IF(ISNA(VLOOKUP(A52,'Données projet'!$A$191:$I$211,7,0)),0%,VLOOKUP(A52,'Données projet'!$A$191:$I$211,7,0))</f>
        <v>0</v>
      </c>
      <c r="EV52" s="21">
        <f>EXP(-LN(2)/35)*EV51+(1-EXP(-LN(2)/35))/(LN(2)/35)*ER52*ES52*VLOOKUP('Données projet'!$B$15,Paramètres!$A$1:$I$89,3,0)*0.475*44/12</f>
        <v>0.68817766374131772</v>
      </c>
      <c r="EW52" s="21">
        <f>EXP(-LN(2)/25)*EW51+(1-EXP(-LN(2)/25))/(LN(2)/25)*Calculateur!ER52*Calculateur!ET52*VLOOKUP('Données projet'!$B$15,Paramètres!$A$1:$I$89,3,0)*0.475*44/12</f>
        <v>3.4270641182820185</v>
      </c>
      <c r="EX52" s="21">
        <f>EXP(-LN(2)/2)*EX51+(1-EXP(-LN(2)/2))/(LN(2)/2)*ER52*EU52*VLOOKUP('Données projet'!$B$15,Paramètres!$A$1:$I$89,3,0)*0.475*44/12</f>
        <v>1.2516182968974632E-2</v>
      </c>
      <c r="EY52" s="22">
        <f t="shared" si="21"/>
        <v>4.1277579649923108</v>
      </c>
      <c r="EZ52" s="75">
        <f>('Scénario référence'!$F$8+'Scénario référence'!$F$9+'Scénario référence'!$B$17+'Scénario référence'!$B$9+'Scénario référence'!$B$10)*70+IF((45+25*(1-EXP(-0.0175*A52)))&lt;70,'Scénario référence'!$B$16*(45+25*(1-EXP(-0.0175*A52))),70*'Scénario référence'!$B$16)+IF((32+38*(1-EXP(-0.0175*A52)))&lt;70,'Scénario référence'!$B$18*(32+38*(1-EXP(-0.0175*A52))),70*'Scénario référence'!$B$18)</f>
        <v>70</v>
      </c>
      <c r="FA52" s="12">
        <f>IF(A52&gt;30,10,('Scénario référence'!$B$16+'Scénario référence'!$B$17+'Scénario référence'!$B$18+'Scénario référence'!$B$9+'Scénario référence'!$B$10)*A52*10/30+('Scénario référence'!$F$8+'Scénario référence'!$F$9)*10)</f>
        <v>10</v>
      </c>
      <c r="FB52" s="12" t="e">
        <f>VLOOKUP(A52,'Données projet'!$A$217:$I$237,2,0)</f>
        <v>#N/A</v>
      </c>
      <c r="FC52" s="12" t="e">
        <f>VLOOKUP(A52,'Données projet'!$A$217:$I$237,9,0)</f>
        <v>#N/A</v>
      </c>
      <c r="FD52" s="12">
        <f t="array" ref="FD52">INDEX(FC:FC,MIN(IF(ISNUMBER(FC52:FC248),ROW(FC52:FC248),"")))</f>
        <v>13.4</v>
      </c>
      <c r="FE52" s="12">
        <f>IF('Données projet'!$A$218&gt;35,FE51+FD52-FM51,IF(A52&lt;'Données projet'!$A$218,$FB$205^A52,IF(A52='Données projet'!$A$218,'Données projet'!$B$218,FE51+FD52-FM51)))</f>
        <v>270.60000000000008</v>
      </c>
      <c r="FF52" s="17">
        <f>FE52*VLOOKUP('Données projet'!$B$16,Paramètres!$A$1:$I$89,3,0)*VLOOKUP('Données projet'!$B$16,Paramètres!$A$1:$I$89,5,0)</f>
        <v>232.17480000000012</v>
      </c>
      <c r="FG52" s="13">
        <f t="shared" si="47"/>
        <v>56.752666260621588</v>
      </c>
      <c r="FH52" s="20">
        <f t="shared" si="22"/>
        <v>503.21533707058285</v>
      </c>
      <c r="FI52" s="59">
        <f t="shared" si="23"/>
        <v>796.54867040391616</v>
      </c>
      <c r="FJ52" s="59">
        <f ca="1">AVERAGE(OFFSET($FI$3,0,0,'Données projet'!$E$16+1,1))-AVERAGE(OFFSET($H$3,0,0,'Données projet'!$E$16+1,1))</f>
        <v>383.97627237444709</v>
      </c>
      <c r="FK52" s="59">
        <f t="shared" si="48"/>
        <v>203.35476578922339</v>
      </c>
      <c r="FL52" s="15">
        <f>IF(ISNA(VLOOKUP(A52,'Données projet'!$A$217:$I$237,3,0)),0,VLOOKUP(A52,'Données projet'!$A$217:$I$237,3,0))</f>
        <v>0</v>
      </c>
      <c r="FM52" s="15">
        <f>IF(ISNA(VLOOKUP(A52,'Données projet'!$A$217:$I$237,4,0)),0,VLOOKUP(A52,'Données projet'!$A$217:$I$237,4,0))</f>
        <v>0</v>
      </c>
      <c r="FN52" s="16">
        <f>IF(ISNA(VLOOKUP(A52,'Données projet'!$A$217:$I$237,5,0)),0%,VLOOKUP(A52,'Données projet'!$A$217:$I$237,5,0)*VLOOKUP('Données projet'!$B$16,Paramètres!$A$1:$I$89,7,0))</f>
        <v>0</v>
      </c>
      <c r="FO52" s="16">
        <f>IF(ISNA(VLOOKUP(A52,'Données projet'!$A$217:$I$237,6,0)),0%,VLOOKUP(A52,'Données projet'!$A$217:$I$237,6,0)*VLOOKUP('Données projet'!$B$16,Paramètres!$A$1:$I$89,7,0))</f>
        <v>0</v>
      </c>
      <c r="FP52" s="16">
        <f>IF(ISNA(VLOOKUP(A52,'Données projet'!$A$217:$I$237,7,0)),0%,VLOOKUP(A52,'Données projet'!$A$217:$I$237,7,0))</f>
        <v>0</v>
      </c>
      <c r="FQ52" s="21">
        <f>EXP(-LN(2)/35)*FQ51+(1-EXP(-LN(2)/35))/(LN(2)/35)*FM52*FN52*VLOOKUP('Données projet'!$B$16,Paramètres!$A$1:$I$89,3,0)*0.475*44/12</f>
        <v>3.5368598408061978</v>
      </c>
      <c r="FR52" s="21">
        <f>EXP(-LN(2)/25)*FR51+(1-EXP(-LN(2)/25))/(LN(2)/25)*Calculateur!FM52*Calculateur!FO52*VLOOKUP('Données projet'!$B$16,Paramètres!$A$1:$I$89,3,0)*0.475*44/12</f>
        <v>3.4788243007969837</v>
      </c>
      <c r="FS52" s="21">
        <f>EXP(-LN(2)/2)*FS51+(1-EXP(-LN(2)/2))/(LN(2)/2)*FM52*FP52*VLOOKUP('Données projet'!$B$16,Paramètres!$A$1:$I$89,3,0)*0.475*44/12</f>
        <v>2.2989659421361004E-2</v>
      </c>
      <c r="FT52" s="22">
        <f t="shared" si="24"/>
        <v>7.038673801024542</v>
      </c>
      <c r="FU52" s="75">
        <f>('Scénario référence'!$F$8+'Scénario référence'!$F$9+'Scénario référence'!$B$17+'Scénario référence'!$B$9+'Scénario référence'!$B$10)*70+IF((45+25*(1-EXP(-0.0175*A52)))&lt;70,'Scénario référence'!$B$16*(45+25*(1-EXP(-0.0175*A52))),70*'Scénario référence'!$B$16)+IF((32+38*(1-EXP(-0.0175*A52)))&lt;70,'Scénario référence'!$B$18*(32+38*(1-EXP(-0.0175*A52))),70*'Scénario référence'!$B$18)</f>
        <v>70</v>
      </c>
      <c r="FV52" s="12">
        <f>IF(A52&gt;30,10,('Scénario référence'!$B$16+'Scénario référence'!$B$17+'Scénario référence'!$B$18+'Scénario référence'!$B$9+'Scénario référence'!$B$10)*A52*10/30+('Scénario référence'!$F$8+'Scénario référence'!$F$9)*10)</f>
        <v>10</v>
      </c>
      <c r="FW52" s="12" t="e">
        <f>VLOOKUP(A52,'Données projet'!$A$243:$I$263,2,0)</f>
        <v>#N/A</v>
      </c>
      <c r="FX52" s="12" t="e">
        <f>VLOOKUP(A52,'Données projet'!$A$243:$I$263,9,0)</f>
        <v>#N/A</v>
      </c>
      <c r="FY52" s="12">
        <f t="array" ref="FY52">INDEX(FX:FX,MIN(IF(ISNUMBER(FX52:FX248),ROW(FX52:FX248),"")))</f>
        <v>8.8736263736263741</v>
      </c>
      <c r="FZ52" s="12">
        <f>IF('Données projet'!$A$244&gt;35,FZ51+FY52-GH51,IF(A52&lt;'Données projet'!$A$244,$FW$205^A52,IF(A52='Données projet'!$A$244,'Données projet'!$B$244,FZ51+FY52-GH51)))</f>
        <v>145.20054945054949</v>
      </c>
      <c r="GA52" s="17">
        <f>FZ52*VLOOKUP('Données projet'!$B$17,Paramètres!$A$1:$I$89,3,0)*VLOOKUP('Données projet'!$B$17,Paramètres!$A$1:$I$89,5,0)</f>
        <v>156.29387142857146</v>
      </c>
      <c r="GB52" s="13">
        <f t="shared" si="49"/>
        <v>40.005451010101218</v>
      </c>
      <c r="GC52" s="20">
        <f t="shared" si="25"/>
        <v>341.88798658068822</v>
      </c>
      <c r="GD52" s="59">
        <f t="shared" si="26"/>
        <v>635.22131991402148</v>
      </c>
      <c r="GE52" s="59">
        <f ca="1">AVERAGE(OFFSET($GD$3,0,0,'Données projet'!$E$17+1,1))-AVERAGE(OFFSET($H$3,0,0,'Données projet'!$E$17+1,1))</f>
        <v>286.77702855541287</v>
      </c>
      <c r="GF52" s="59">
        <f t="shared" si="50"/>
        <v>227.12211541860779</v>
      </c>
      <c r="GG52" s="15">
        <f>IF(ISNA(VLOOKUP(A52,'Données projet'!$A$243:$I$263,3,0)),0,VLOOKUP(A52,'Données projet'!$A$243:$I$263,3,0))</f>
        <v>0</v>
      </c>
      <c r="GH52" s="15">
        <f>IF(ISNA(VLOOKUP(A52,'Données projet'!$A$243:$I$263,4,0)),0,VLOOKUP(A52,'Données projet'!$A$243:$I$263,4,0))</f>
        <v>0</v>
      </c>
      <c r="GI52" s="16">
        <f>IF(ISNA(VLOOKUP(A52,'Données projet'!$A$243:$I$263,5,0)),0%,VLOOKUP(A52,'Données projet'!$A$243:$I$263,5,0)*VLOOKUP('Données projet'!$B$17,Paramètres!$A$1:$I$89,7,0))</f>
        <v>0</v>
      </c>
      <c r="GJ52" s="16">
        <f>IF(ISNA(VLOOKUP(A52,'Données projet'!$A$243:$I$263,6,0)),0%,VLOOKUP(A52,'Données projet'!$A$243:$I$263,6,0)*VLOOKUP('Données projet'!$B$17,Paramètres!$A$1:$I$89,7,0))</f>
        <v>0</v>
      </c>
      <c r="GK52" s="16">
        <f>IF(ISNA(VLOOKUP(A52,'Données projet'!$A$243:$I$263,7,0)),0%,VLOOKUP(A52,'Données projet'!$A$243:$I$263,7,0))</f>
        <v>0</v>
      </c>
      <c r="GL52" s="21">
        <f>EXP(-LN(2)/35)*GL51+(1-EXP(-LN(2)/35))/(LN(2)/35)*GH52*GI52*VLOOKUP('Données projet'!$B$17,Paramètres!$A$1:$I$89,3,0)*0.475*44/12</f>
        <v>0</v>
      </c>
      <c r="GM52" s="21">
        <f>EXP(-LN(2)/25)*GM51+(1-EXP(-LN(2)/25))/(LN(2)/25)*Calculateur!GH52*Calculateur!GJ52*VLOOKUP('Données projet'!$B$17,Paramètres!$A$1:$I$89,3,0)*0.475*44/12</f>
        <v>0</v>
      </c>
      <c r="GN52" s="21">
        <f>EXP(-LN(2)/2)*GN51+(1-EXP(-LN(2)/2))/(LN(2)/2)*GH52*GK52*VLOOKUP('Données projet'!$B$17,Paramètres!$A$1:$I$89,3,0)*0.475*44/12</f>
        <v>0</v>
      </c>
      <c r="GO52" s="21">
        <f t="shared" si="27"/>
        <v>0</v>
      </c>
      <c r="GP52" s="75">
        <f>('Scénario référence'!$F$8+'Scénario référence'!$F$9+'Scénario référence'!$B$17+'Scénario référence'!$B$9+'Scénario référence'!$B$10)*70+IF((45+25*(1-EXP(-0.0175*A52)))&lt;70,'Scénario référence'!$B$16*(45+25*(1-EXP(-0.0175*A52))),70*'Scénario référence'!$B$16)+IF((32+38*(1-EXP(-0.0175*A52)))&lt;70,'Scénario référence'!$B$18*(32+38*(1-EXP(-0.0175*A52))),70*'Scénario référence'!$B$18)</f>
        <v>70</v>
      </c>
      <c r="GQ52" s="12">
        <f>IF(A52&gt;30,10,('Scénario référence'!$B$16+'Scénario référence'!$B$17+'Scénario référence'!$B$18+'Scénario référence'!$B$9+'Scénario référence'!$B$10)*A52*10/30+('Scénario référence'!$F$8+'Scénario référence'!$F$9)*10)</f>
        <v>10</v>
      </c>
      <c r="GR52" s="12" t="e">
        <f>VLOOKUP(A52,'Données projet'!$A$269:$I$289,2,0)</f>
        <v>#N/A</v>
      </c>
      <c r="GS52" s="12" t="e">
        <f>VLOOKUP(A52,'Données projet'!$A$269:$I$289,9,0)</f>
        <v>#N/A</v>
      </c>
      <c r="GT52" s="12">
        <f t="array" ref="GT52">INDEX(GS:GS,MIN(IF(ISNUMBER(GS52:GS248),ROW(GS52:GS248),"")))</f>
        <v>8.8736263736263741</v>
      </c>
      <c r="GU52" s="12">
        <f>IF('Données projet'!$A$270&gt;35,GU51+GT52-HC51,IF(A52&lt;'Données projet'!$A$270,$GR$205^A52,IF(A52='Données projet'!$A$270,'Données projet'!$B$270,GU51+GT52-HC51)))</f>
        <v>145.20054945054949</v>
      </c>
      <c r="GV52" s="17">
        <f>GU52*VLOOKUP('Données projet'!$B$18,Paramètres!$A$1:$I$89,3,0)*VLOOKUP('Données projet'!$B$18,Paramètres!$A$1:$I$89,5,0)</f>
        <v>156.29387142857146</v>
      </c>
      <c r="GW52" s="13">
        <f t="shared" si="51"/>
        <v>40.005451010101218</v>
      </c>
      <c r="GX52" s="20">
        <f t="shared" si="28"/>
        <v>341.88798658068822</v>
      </c>
      <c r="GY52" s="59">
        <f t="shared" si="29"/>
        <v>635.22131991402148</v>
      </c>
      <c r="GZ52" s="59">
        <f ca="1">AVERAGE(OFFSET($GY$3,0,0,'Données projet'!$E$18+1,1))-AVERAGE(OFFSET($H$3,0,0,'Données projet'!$E$18+1,1))</f>
        <v>286.77702855541287</v>
      </c>
      <c r="HA52" s="59">
        <f t="shared" si="52"/>
        <v>227.12211541860779</v>
      </c>
      <c r="HB52" s="15">
        <f>IF(ISNA(VLOOKUP(A52,'Données projet'!$A$269:$I$289,3,0)),0,VLOOKUP(A52,'Données projet'!$A$269:$I$289,3,0))</f>
        <v>0</v>
      </c>
      <c r="HC52" s="15">
        <f>IF(ISNA(VLOOKUP(A52,'Données projet'!$A$269:$I$289,4,0)),0,VLOOKUP(A52,'Données projet'!$A$269:$I$289,4,0))</f>
        <v>0</v>
      </c>
      <c r="HD52" s="16">
        <f>IF(ISNA(VLOOKUP(A52,'Données projet'!$A$269:$I$289,5,0)),0%,VLOOKUP(A52,'Données projet'!$A$269:$I$289,5,0)*VLOOKUP('Données projet'!$B$18,Paramètres!$A$1:$I$89,7,0))</f>
        <v>0</v>
      </c>
      <c r="HE52" s="16">
        <f>IF(ISNA(VLOOKUP(A52,'Données projet'!$A$269:$I$289,6,0)),0%,VLOOKUP(A52,'Données projet'!$A$269:$I$289,6,0)*VLOOKUP('Données projet'!$B$18,Paramètres!$A$1:$I$89,7,0))</f>
        <v>0</v>
      </c>
      <c r="HF52" s="16">
        <f>IF(ISNA(VLOOKUP(A52,'Données projet'!$A$269:$I$289,7,0)),0%,VLOOKUP(A52,'Données projet'!$A$269:$I$289,7,0))</f>
        <v>0</v>
      </c>
      <c r="HG52" s="21">
        <f>EXP(-LN(2)/35)*HG51+(1-EXP(-LN(2)/35))/(LN(2)/35)*HC52*HD52*VLOOKUP('Données projet'!$B$18,Paramètres!$A$1:$I$89,3,0)*0.475*44/12</f>
        <v>0</v>
      </c>
      <c r="HH52" s="21">
        <f>EXP(-LN(2)/25)*HH51+(1-EXP(-LN(2)/25))/(LN(2)/25)*Calculateur!HC52*Calculateur!HE52*VLOOKUP('Données projet'!$B$18,Paramètres!$A$1:$I$89,3,0)*0.475*44/12</f>
        <v>0</v>
      </c>
      <c r="HI52" s="21">
        <f>EXP(-LN(2)/2)*HI51+(1-EXP(-LN(2)/2))/(LN(2)/2)*HC52*HF52*VLOOKUP('Données projet'!$B$18,Paramètres!$A$1:$I$89,3,0)*0.475*44/12</f>
        <v>0</v>
      </c>
      <c r="HJ52" s="22">
        <f t="shared" si="30"/>
        <v>0</v>
      </c>
    </row>
    <row r="53" spans="1:218" x14ac:dyDescent="0.25">
      <c r="A53" s="10">
        <f t="shared" si="31"/>
        <v>50</v>
      </c>
      <c r="B53" s="73">
        <f>'Scénario référence'!$B$16*5+'Scénario référence'!$B$17*0+'Scénario référence'!$B$18*5</f>
        <v>0</v>
      </c>
      <c r="C53" s="19">
        <f>Calculateur!C52+'Scénario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44.460000000000022</v>
      </c>
      <c r="D53" s="11">
        <f t="shared" si="32"/>
        <v>13.17339997701186</v>
      </c>
      <c r="E5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53" s="11">
        <f>IF(OR('Scénario référence'!$F$8&gt;0,'Scénario référence'!$F$9&gt;0),('Scénario référence'!$F$8+'Scénario référence'!$F$9)*10,0)</f>
        <v>10</v>
      </c>
      <c r="G53" s="11">
        <f>'Scénario référence'!$B$8*B53*44/12+'Scénario référence'!$B$9*(C53+D53)/0.475*44/12+'Scénario référence'!$B$10*(C53+D53)/0.475*44/12+'Scénario référence'!$F$8*(C53+D53)/0.475*44/12+'Scénario référence'!$F$9*(C53+D53)/0.475*44/12</f>
        <v>444.88940333131978</v>
      </c>
      <c r="H53" s="67">
        <f t="shared" si="1"/>
        <v>393.71150495996233</v>
      </c>
      <c r="I53" s="70">
        <f>('Scénario référence'!$F$8+'Scénario référence'!$F$9+'Scénario référence'!$B$17+'Scénario référence'!$B$9+'Scénario référence'!$B$10)*70+IF((45+25*(1-EXP(-0.0175*A53)))&lt;70,'Scénario référence'!$B$16*(45+25*(1-EXP(-0.0175*A53))),70*'Scénario référence'!$B$16)+IF((32+38*(1-EXP(-0.0175*A53)))&lt;70,'Scénario référence'!$B$18*(32+38*(1-EXP(-0.0175*A53))),70*'Scénario référence'!$B$18)</f>
        <v>70</v>
      </c>
      <c r="J53" s="13">
        <f>IF(A53&gt;30,10,('Scénario référence'!$B$16+'Scénario référence'!$B$17+'Scénario référence'!$B$18+'Scénario référence'!$B$9+'Scénario référence'!$B$10)*A53*10/30+('Scénario référence'!$F$8+'Scénario référence'!$F$9)*10)</f>
        <v>10</v>
      </c>
      <c r="K53" s="12" t="e">
        <f>VLOOKUP(A53,'Données projet'!$A$35:$I$55,2,0)</f>
        <v>#N/A</v>
      </c>
      <c r="L53" s="12" t="e">
        <f>VLOOKUP(A53,'Données projet'!$A$35:$I$55,9,0)</f>
        <v>#N/A</v>
      </c>
      <c r="M53" s="12">
        <f t="array" ref="M53">INDEX(L:L,MIN(IF(ISNUMBER(L53:L249),ROW(L53:L249),"")))</f>
        <v>20.507692307692299</v>
      </c>
      <c r="N53" s="13">
        <f>IF('Données projet'!$A$36&gt;35,N52+M53-V52,IF(A53&lt;'Données projet'!$A$36,$K$205^A53,IF(A53='Données projet'!$A$36,'Données projet'!$B$36,N52+M53-V52)))</f>
        <v>484.76923076923055</v>
      </c>
      <c r="O53" s="13">
        <f>N53*VLOOKUP('Données projet'!$B$9,Paramètres!$A$1:$I$89,3,0)*VLOOKUP('Données projet'!$B$9,Paramètres!$A$1:$I$89,5,0)</f>
        <v>270.98599999999988</v>
      </c>
      <c r="P53" s="13">
        <f t="shared" si="33"/>
        <v>65.058478958733772</v>
      </c>
      <c r="Q53" s="20">
        <f t="shared" si="53"/>
        <v>585.27746751979441</v>
      </c>
      <c r="R53" s="59">
        <f t="shared" si="0"/>
        <v>878.61080085312778</v>
      </c>
      <c r="S53" s="59">
        <f ca="1">AVERAGE(OFFSET($R$3,0,0,'Données projet'!$E$9+1,1))-AVERAGE(OFFSET($H$3,0,0,'Données projet'!$E$9+1,1))</f>
        <v>255.5374979188561</v>
      </c>
      <c r="T53" s="59">
        <f t="shared" si="34"/>
        <v>343.10418468620901</v>
      </c>
      <c r="U53" s="15">
        <f>IF(ISNA(VLOOKUP(A53,'Données projet'!$A$35:$I$55,3,0)),0,VLOOKUP(A53,'Données projet'!$A$35:$I$55,3,0))</f>
        <v>0</v>
      </c>
      <c r="V53" s="15">
        <f>IF(ISNA(VLOOKUP(A53,'Données projet'!$A$35:$I$55,4,0)),0,VLOOKUP(A53,'Données projet'!$A$35:$I$55,4,0))</f>
        <v>0</v>
      </c>
      <c r="W53" s="16">
        <f>IF(ISNA(VLOOKUP(A53,'Données projet'!$A$35:$I$55,5,0)),0%,VLOOKUP(A53,'Données projet'!$A$35:$I$55,5,0)*VLOOKUP('Données projet'!$B$9,Paramètres!$A$1:$I$89,7,0))</f>
        <v>0</v>
      </c>
      <c r="X53" s="16">
        <f>IF(ISNA(VLOOKUP(A53,'Données projet'!$A$35:$I$55,6,0)),0%,VLOOKUP(A53,'Données projet'!$A$35:$I$55,6,0)*VLOOKUP('Données projet'!$B$9,Paramètres!$A$1:$I$89,7,0))</f>
        <v>0</v>
      </c>
      <c r="Y53" s="16">
        <f>IF(ISNA(VLOOKUP(A53,'Données projet'!$A$35:$I$55,7,0)),0%,VLOOKUP(A53,'Données projet'!$A$35:$I$55,7,0))</f>
        <v>0</v>
      </c>
      <c r="Z53" s="21">
        <f>EXP(-LN(2)/35)*Z52+(1-EXP(-LN(2)/35))/(LN(2)/35)*V53*W53*VLOOKUP('Données projet'!$B$9,Paramètres!$A$1:$I$89,3,0)*0.475*44/12</f>
        <v>2.0794432853097184</v>
      </c>
      <c r="AA53" s="21">
        <f>EXP(-LN(2)/25)*AA52+(1-EXP(-LN(2)/25))/(LN(2)/25)*Calculateur!V53*Calculateur!X53*VLOOKUP('Données projet'!$B$9,Paramètres!$A$1:$I$89,3,0)*0.475*44/12</f>
        <v>9.1667617041326377</v>
      </c>
      <c r="AB53" s="21">
        <f>EXP(-LN(2)/2)*AB52+(1-EXP(-LN(2)/2))/(LN(2)/2)*V53*Y53*VLOOKUP('Données projet'!$B$9,Paramètres!$A$1:$I$89,3,0)*0.475*44/12</f>
        <v>1.6529805463418614E-3</v>
      </c>
      <c r="AC53" s="22">
        <f t="shared" si="3"/>
        <v>11.247857969988697</v>
      </c>
      <c r="AD53" s="13">
        <f>('Scénario référence'!$F$8+'Scénario référence'!$F$9+'Scénario référence'!$B$17+'Scénario référence'!$B$9+'Scénario référence'!$B$10)*70+IF((45+25*(1-EXP(-0.0175*A53)))&lt;70,'Scénario référence'!$B$16*(45+25*(1-EXP(-0.0175*A53))),70*'Scénario référence'!$B$16)+IF((32+38*(1-EXP(-0.0175*A53)))&lt;70,'Scénario référence'!$B$18*(32+38*(1-EXP(-0.0175*A53))),70*'Scénario référence'!$B$18)</f>
        <v>70</v>
      </c>
      <c r="AE53" s="13">
        <f>IF(A53&gt;30,10,('Scénario référence'!$B$16+'Scénario référence'!$B$17+'Scénario référence'!$B$18+'Scénario référence'!$B$9+'Scénario référence'!$B$10)*A53*10/30+('Scénario référence'!$F$8+'Scénario référence'!$F$9)*10)</f>
        <v>10</v>
      </c>
      <c r="AF53" s="12">
        <f>VLOOKUP(A53,'Données projet'!$A$61:$I$81,2,0)</f>
        <v>372</v>
      </c>
      <c r="AG53" s="12">
        <f>VLOOKUP(A53,'Données projet'!$A$61:$I$81,9,0)</f>
        <v>12.4</v>
      </c>
      <c r="AH53" s="12">
        <f t="array" ref="AH53">INDEX(AG:AG,MIN(IF(ISNUMBER(AG53:AG249),ROW(AG53:AG249),"")))</f>
        <v>12.4</v>
      </c>
      <c r="AI53" s="13">
        <f>IF('Données projet'!$A$62&gt;35,AI52+AH53-AQ52,IF(A53&lt;'Données projet'!$A$62,$AF$205^A53,IF(A53='Données projet'!$A$62,'Données projet'!$B$62,AI52+AH53-AQ52)))</f>
        <v>371.99999999999989</v>
      </c>
      <c r="AJ53" s="13">
        <f>AI53*VLOOKUP('Données projet'!$B$10,Paramètres!$A$1:$I$89,3,0)*VLOOKUP('Données projet'!$B$10,Paramètres!$A$1:$I$89,5,0)</f>
        <v>232.12799999999993</v>
      </c>
      <c r="AK53" s="13">
        <f t="shared" si="35"/>
        <v>56.742557967082398</v>
      </c>
      <c r="AL53" s="20">
        <f t="shared" si="4"/>
        <v>503.11622179266834</v>
      </c>
      <c r="AM53" s="59">
        <f t="shared" si="5"/>
        <v>796.44955512600166</v>
      </c>
      <c r="AN53" s="59">
        <f ca="1">AVERAGE(OFFSET($AM$3,0,0,'Données projet'!$E$10+1,1))-AVERAGE(OFFSET($H$3,0,0,'Données projet'!$E$10+1,1))</f>
        <v>261.78489480911571</v>
      </c>
      <c r="AO53" s="59">
        <f t="shared" si="36"/>
        <v>297.50513563712764</v>
      </c>
      <c r="AP53" s="15">
        <f>IF(ISNA(VLOOKUP(A53,'Données projet'!$A$61:$I$81,3,0)),0,VLOOKUP(A53,'Données projet'!$A$61:$I$81,3,0))</f>
        <v>4</v>
      </c>
      <c r="AQ53" s="15">
        <f>IF(ISNA(VLOOKUP(A53,'Données projet'!$A$61:$I$81,4,0)),0,VLOOKUP(A53,'Données projet'!$A$61:$I$81,4,0))</f>
        <v>68</v>
      </c>
      <c r="AR53" s="16">
        <f>IF(ISNA(VLOOKUP(A53,'Données projet'!$A$61:$I$81,5,0)),0%,VLOOKUP(A53,'Données projet'!$A$61:$I$81,5,0)*VLOOKUP('Données projet'!$B$10,Paramètres!$A$1:$I$89,7,0))</f>
        <v>0</v>
      </c>
      <c r="AS53" s="16">
        <f>IF(ISNA(VLOOKUP(A53,'Données projet'!$A$61:$I$81,6,0)),0%,VLOOKUP(A53,'Données projet'!$A$61:$I$81,6,0)*VLOOKUP('Données projet'!$B$10,Paramètres!$A$1:$I$89,7,0))</f>
        <v>0</v>
      </c>
      <c r="AT53" s="16">
        <f>IF(ISNA(VLOOKUP(A53,'Données projet'!$A$61:$I$81,7,0)),0%,VLOOKUP(A53,'Données projet'!$A$61:$I$81,7,0))</f>
        <v>0</v>
      </c>
      <c r="AU53" s="21">
        <f>EXP(-LN(2)/35)*AU52+(1-EXP(-LN(2)/35))/(LN(2)/35)*AQ53*AR53*VLOOKUP('Données projet'!$B$10,Paramètres!$A$1:$I$89,3,0)*0.475*44/12</f>
        <v>5.6150850380484121</v>
      </c>
      <c r="AV53" s="21">
        <f>EXP(-LN(2)/25)*AV52+(1-EXP(-LN(2)/25))/(LN(2)/25)*Calculateur!AQ53*Calculateur!AS53*VLOOKUP('Données projet'!$B$10,Paramètres!$A$1:$I$89,3,0)*0.475*44/12</f>
        <v>16.007035596150246</v>
      </c>
      <c r="AW53" s="21">
        <f>EXP(-LN(2)/2)*AW52+(1-EXP(-LN(2)/2))/(LN(2)/2)*AQ53*AT53*VLOOKUP('Données projet'!$B$10,Paramètres!$A$1:$I$89,3,0)*0.475*44/12</f>
        <v>2.3829288219640508E-2</v>
      </c>
      <c r="AX53" s="21">
        <f t="shared" si="6"/>
        <v>21.6459499224183</v>
      </c>
      <c r="AY53" s="74">
        <f>('Scénario référence'!$F$8+'Scénario référence'!$F$9+'Scénario référence'!$B$17+'Scénario référence'!$B$9+'Scénario référence'!$B$10)*70+IF((45+25*(1-EXP(-0.0175*A53)))&lt;70,'Scénario référence'!$B$16*(45+25*(1-EXP(-0.0175*A53))),70*'Scénario référence'!$B$16)+IF((32+38*(1-EXP(-0.0175*A53)))&lt;70,'Scénario référence'!$B$18*(32+38*(1-EXP(-0.0175*A53))),70*'Scénario référence'!$B$18)</f>
        <v>70</v>
      </c>
      <c r="AZ53" s="12">
        <f>IF(A53&gt;30,10,('Scénario référence'!$B$16+'Scénario référence'!$B$17+'Scénario référence'!$B$18+'Scénario référence'!$B$9+'Scénario référence'!$B$10)*A53*10/30+('Scénario référence'!$F$8+'Scénario référence'!$F$9)*10)</f>
        <v>10</v>
      </c>
      <c r="BA53" s="12">
        <f>VLOOKUP(A53,'Données projet'!$A$87:$I$107,2,0)</f>
        <v>435</v>
      </c>
      <c r="BB53" s="12">
        <f>VLOOKUP(A53,'Données projet'!$A$87:$I$107,9,0)</f>
        <v>18.899999999999999</v>
      </c>
      <c r="BC53" s="12">
        <f t="array" ref="BC53">INDEX(BB:BB,MIN(IF(ISNUMBER(BB53:BB249),ROW(BB53:BB249),"")))</f>
        <v>18.899999999999999</v>
      </c>
      <c r="BD53" s="12">
        <f>IF('Données projet'!$A$88&gt;35,BD52+BC53-BL52,IF(A53&lt;'Données projet'!$A$88,$BA$205^A53,IF(A53='Données projet'!$A$88,'Données projet'!$B$88,BD52+BC53-BL52)))</f>
        <v>434.99999999999972</v>
      </c>
      <c r="BE53" s="13">
        <f>BD53*VLOOKUP('Données projet'!$B$11,Paramètres!$A$1:$I$89,3,0)*VLOOKUP('Données projet'!$B$11,Paramètres!$A$1:$I$89,5,0)</f>
        <v>260.12999999999988</v>
      </c>
      <c r="BF53" s="13">
        <f t="shared" si="37"/>
        <v>62.750087896510983</v>
      </c>
      <c r="BG53" s="20">
        <f t="shared" si="7"/>
        <v>562.34948641975632</v>
      </c>
      <c r="BH53" s="59">
        <f t="shared" si="8"/>
        <v>855.68281975308969</v>
      </c>
      <c r="BI53" s="59">
        <f ca="1">AVERAGE(OFFSET($BH$3,0,0,'Données projet'!$E$11+1,1))-AVERAGE(OFFSET($H$3,0,0,'Données projet'!$E$11+1,1))</f>
        <v>316.58509520829671</v>
      </c>
      <c r="BJ53" s="59">
        <f t="shared" si="38"/>
        <v>240.71332110643596</v>
      </c>
      <c r="BK53" s="15">
        <f>IF(ISNA(VLOOKUP(A53,'Données projet'!$A$87:$I$107,3,0)),0,VLOOKUP(A53,'Données projet'!$A$87:$I$107,3,0))</f>
        <v>4</v>
      </c>
      <c r="BL53" s="15">
        <f>IF(ISNA(VLOOKUP(A53,'Données projet'!$A$87:$I$107,4,0)),0,VLOOKUP(A53,'Données projet'!$A$87:$I$107,4,0))</f>
        <v>107</v>
      </c>
      <c r="BM53" s="16">
        <f>IF(ISNA(VLOOKUP(A53,'Données projet'!$A$87:$I$107,5,0)),0%,VLOOKUP(A53,'Données projet'!$A$87:$I$107,5,0)*VLOOKUP('Données projet'!$B$11,Paramètres!$A$1:$I$89,7,0))</f>
        <v>0</v>
      </c>
      <c r="BN53" s="16">
        <f>IF(ISNA(VLOOKUP(A53,'Données projet'!$A$87:$I$107,6,0)),0%,VLOOKUP(A53,'Données projet'!$A$87:$I$107,6,0)*VLOOKUP('Données projet'!$B$11,Paramètres!$A$1:$I$89,7,0))</f>
        <v>0</v>
      </c>
      <c r="BO53" s="16">
        <f>IF(ISNA(VLOOKUP(A53,'Données projet'!$A$87:$I$107,7,0)),0%,VLOOKUP(A53,'Données projet'!$A$87:$I$107,7,0))</f>
        <v>0</v>
      </c>
      <c r="BP53" s="21">
        <f>EXP(-LN(2)/35)*BP52+(1-EXP(-LN(2)/35))/(LN(2)/35)*BL53*BM53*VLOOKUP('Données projet'!$B$11,Paramètres!$A$1:$I$89,3,0)*0.475*44/12</f>
        <v>1.7056238592137392</v>
      </c>
      <c r="BQ53" s="21">
        <f>EXP(-LN(2)/25)*BQ52+(1-EXP(-LN(2)/25))/(LN(2)/25)*Calculateur!BL53*Calculateur!BN53*VLOOKUP('Données projet'!$B$11,Paramètres!$A$1:$I$89,3,0)*0.475*44/12</f>
        <v>8.7691211540816827</v>
      </c>
      <c r="BR53" s="21">
        <f>EXP(-LN(2)/2)*BR52+(1-EXP(-LN(2)/2))/(LN(2)/2)*BL53*BO53*VLOOKUP('Données projet'!$B$11,Paramètres!$A$1:$I$89,3,0)*0.475*44/12</f>
        <v>2.1425139716934393E-2</v>
      </c>
      <c r="BS53" s="22">
        <f t="shared" si="9"/>
        <v>10.496170153012356</v>
      </c>
      <c r="BT53" s="75">
        <f>('Scénario référence'!$F$8+'Scénario référence'!$F$9+'Scénario référence'!$B$17+'Scénario référence'!$B$9+'Scénario référence'!$B$10)*70+IF((45+25*(1-EXP(-0.0175*A53)))&lt;70,'Scénario référence'!$B$16*(45+25*(1-EXP(-0.0175*A53))),70*'Scénario référence'!$B$16)+IF((32+38*(1-EXP(-0.0175*A53)))&lt;70,'Scénario référence'!$B$18*(32+38*(1-EXP(-0.0175*A53))),70*'Scénario référence'!$B$18)</f>
        <v>70</v>
      </c>
      <c r="BU53" s="12">
        <f>IF(A53&gt;30,10,('Scénario référence'!$B$16+'Scénario référence'!$B$17+'Scénario référence'!$B$18+'Scénario référence'!$B$9+'Scénario référence'!$B$10)*A53*10/30+('Scénario référence'!$F$8+'Scénario référence'!$F$9)*10)</f>
        <v>10</v>
      </c>
      <c r="BV53" s="12">
        <f>VLOOKUP(A53,'Données projet'!$A$113:$I$133,2,0)</f>
        <v>320</v>
      </c>
      <c r="BW53" s="12">
        <f>VLOOKUP(A53,'Données projet'!$A$113:$I$133,9,0)</f>
        <v>11.9</v>
      </c>
      <c r="BX53" s="12">
        <f t="array" ref="BX53">INDEX(BW:BW,MIN(IF(ISNUMBER(BW53:BW249),ROW(BW53:BW249),"")))</f>
        <v>11.9</v>
      </c>
      <c r="BY53" s="12">
        <f>IF('Données projet'!$A$114&gt;35,BY52+BX53-CG52,IF(A53&lt;'Données projet'!$A$114,$BV$205^A53,IF(A53='Données projet'!$A$114,'Données projet'!$B$114,BY52+BX53-CG52)))</f>
        <v>319.99999999999977</v>
      </c>
      <c r="BZ53" s="13">
        <f>BY53*VLOOKUP('Données projet'!$B$12,Paramètres!$A$1:$I$89,3,0)*VLOOKUP('Données projet'!$B$12,Paramètres!$A$1:$I$89,5,0)</f>
        <v>183.03999999999988</v>
      </c>
      <c r="CA53" s="13">
        <f t="shared" si="39"/>
        <v>45.997869498106205</v>
      </c>
      <c r="CB53" s="20">
        <f t="shared" si="10"/>
        <v>398.90762270920141</v>
      </c>
      <c r="CC53" s="59">
        <f t="shared" si="11"/>
        <v>692.24095604253466</v>
      </c>
      <c r="CD53" s="59">
        <f ca="1">AVERAGE(OFFSET($CC$3,0,0,'Données projet'!$E$12+1,1))-AVERAGE(OFFSET($H$3,0,0,'Données projet'!$E$12+1,1))</f>
        <v>188.64374818906128</v>
      </c>
      <c r="CE53" s="59">
        <f t="shared" si="40"/>
        <v>211.95157880548652</v>
      </c>
      <c r="CF53" s="15">
        <f>IF(ISNA(VLOOKUP(A53,'Données projet'!$A$113:$I$133,3,0)),0,VLOOKUP(A53,'Données projet'!$A$113:$I$133,3,0))</f>
        <v>4</v>
      </c>
      <c r="CG53" s="15">
        <f>IF(ISNA(VLOOKUP(A53,'Données projet'!$A$113:$I$133,4,0)),0,VLOOKUP(A53,'Données projet'!$A$113:$I$133,4,0))</f>
        <v>75</v>
      </c>
      <c r="CH53" s="16">
        <f>IF(ISNA(VLOOKUP(A53,'Données projet'!$A$113:$I$133,5,0)),0%,VLOOKUP(A53,'Données projet'!$A$113:$I$133,5,0)*VLOOKUP('Données projet'!$B$12,Paramètres!$A$1:$I$89,7,0))</f>
        <v>0</v>
      </c>
      <c r="CI53" s="16">
        <f>IF(ISNA(VLOOKUP(A53,'Données projet'!$A$113:$I$133,6,0)),0%,VLOOKUP(A53,'Données projet'!$A$113:$I$133,6,0)*VLOOKUP('Données projet'!$B$12,Paramètres!$A$1:$I$89,7,0))</f>
        <v>0</v>
      </c>
      <c r="CJ53" s="16">
        <f>IF(ISNA(VLOOKUP(A53,'Données projet'!$A$113:$I$133,7,0)),0%,VLOOKUP(A53,'Données projet'!$A$113:$I$133,7,0))</f>
        <v>0</v>
      </c>
      <c r="CK53" s="21">
        <f>EXP(-LN(2)/35)*CK52+(1-EXP(-LN(2)/35))/(LN(2)/35)*CG53*CH53*VLOOKUP('Données projet'!$B$12,Paramètres!$A$1:$I$89,3,0)*0.475*44/12</f>
        <v>1.6544446987106933</v>
      </c>
      <c r="CL53" s="21">
        <f>EXP(-LN(2)/25)*CL52+(1-EXP(-LN(2)/25))/(LN(2)/25)*Calculateur!CG53*Calculateur!CI53*VLOOKUP('Données projet'!$B$12,Paramètres!$A$1:$I$89,3,0)*0.475*44/12</f>
        <v>8.2536953785821598</v>
      </c>
      <c r="CM53" s="21">
        <f>EXP(-LN(2)/2)*CM52+(1-EXP(-LN(2)/2))/(LN(2)/2)*CG53*CJ53*VLOOKUP('Données projet'!$B$12,Paramètres!$A$1:$I$89,3,0)*0.475*44/12</f>
        <v>2.074857148802366E-2</v>
      </c>
      <c r="CN53" s="22">
        <f t="shared" si="12"/>
        <v>9.9288886487808767</v>
      </c>
      <c r="CO53" s="75">
        <f>('Scénario référence'!$F$8+'Scénario référence'!$F$9+'Scénario référence'!$B$17+'Scénario référence'!$B$9+'Scénario référence'!$B$10)*70+IF((45+25*(1-EXP(-0.0175*A53)))&lt;70,'Scénario référence'!$B$16*(45+25*(1-EXP(-0.0175*A53))),70*'Scénario référence'!$B$16)+IF((32+38*(1-EXP(-0.0175*A53)))&lt;70,'Scénario référence'!$B$18*(32+38*(1-EXP(-0.0175*A53))),70*'Scénario référence'!$B$18)</f>
        <v>70</v>
      </c>
      <c r="CP53" s="12">
        <f>IF(A53&gt;30,10,('Scénario référence'!$B$16+'Scénario référence'!$B$17+'Scénario référence'!$B$18+'Scénario référence'!$B$9+'Scénario référence'!$B$10)*A53*10/30+('Scénario référence'!$F$8+'Scénario référence'!$F$9)*10)</f>
        <v>10</v>
      </c>
      <c r="CQ53" s="12" t="e">
        <f>VLOOKUP(A53,'Données projet'!$A$139:$I$159,2,0)</f>
        <v>#N/A</v>
      </c>
      <c r="CR53" s="12" t="e">
        <f>VLOOKUP(A53,'Données projet'!$A$139:$I$159,9,0)</f>
        <v>#N/A</v>
      </c>
      <c r="CS53" s="12">
        <f t="array" ref="CS53">INDEX(CR:CR,MIN(IF(ISNUMBER(CR53:CR249),ROW(CR53:CR249),"")))</f>
        <v>0</v>
      </c>
      <c r="CT53" s="12">
        <f>IF('Données projet'!$A$140&gt;35,CT52+CS53-DB52,IF(A53&lt;'Données projet'!$A$140,$CQ$205^A53,IF(A53='Données projet'!$A$140,'Données projet'!$B$140,CT52+CS53-DB52)))</f>
        <v>0</v>
      </c>
      <c r="CU53" s="17" t="e">
        <f>CT53*VLOOKUP('Données projet'!$B$13,Paramètres!$A$1:$I$89,3,0)*VLOOKUP('Données projet'!$B$13,Paramètres!$A$1:$I$89,5,0)</f>
        <v>#N/A</v>
      </c>
      <c r="CV53" s="13" t="e">
        <f t="shared" si="41"/>
        <v>#N/A</v>
      </c>
      <c r="CW53" s="20" t="e">
        <f t="shared" si="13"/>
        <v>#N/A</v>
      </c>
      <c r="CX53" s="59" t="e">
        <f t="shared" si="14"/>
        <v>#N/A</v>
      </c>
      <c r="CY53" s="59" t="e">
        <f ca="1">AVERAGE(OFFSET($CX$3,0,0,'Données projet'!$E$13+1,1))-AVERAGE(OFFSET($H$3,0,0,'Données projet'!$E$13+1,1))</f>
        <v>#N/A</v>
      </c>
      <c r="CZ53" s="59" t="e">
        <f t="shared" si="42"/>
        <v>#N/A</v>
      </c>
      <c r="DA53" s="15">
        <f>IF(ISNA(VLOOKUP(A53,'Données projet'!$A$139:$I$159,3,0)),0,VLOOKUP(A53,'Données projet'!$A$139:$I$159,3,0))</f>
        <v>0</v>
      </c>
      <c r="DB53" s="15">
        <f>IF(ISNA(VLOOKUP(A53,'Données projet'!$A$139:$I$159,4,0)),0,VLOOKUP(A53,'Données projet'!$A$139:$I$159,4,0))</f>
        <v>0</v>
      </c>
      <c r="DC53" s="16">
        <f>IF(ISNA(VLOOKUP(A53,'Données projet'!$A$139:$I$159,5,0)),0%,VLOOKUP(A53,'Données projet'!$A$139:$I$159,5,0)*VLOOKUP('Données projet'!$B$13,Paramètres!$A$1:$I$89,7,0))</f>
        <v>0</v>
      </c>
      <c r="DD53" s="16">
        <f>IF(ISNA(VLOOKUP(A53,'Données projet'!$A$139:$I$159,6,0)),0%,VLOOKUP(A53,'Données projet'!$A$139:$I$159,6,0)*VLOOKUP('Données projet'!$B$13,Paramètres!$A$1:$I$89,7,0))</f>
        <v>0</v>
      </c>
      <c r="DE53" s="16">
        <f>IF(ISNA(VLOOKUP(A53,'Données projet'!$A$139:$I$159,7,0)),0%,VLOOKUP(A53,'Données projet'!$A$139:$I$159,7,0))</f>
        <v>0</v>
      </c>
      <c r="DF53" s="21" t="e">
        <f>EXP(-LN(2)/35)*DF52+(1-EXP(-LN(2)/35))/(LN(2)/35)*DB53*DC53*VLOOKUP('Données projet'!$B$13,Paramètres!$A$1:$I$89,3,0)*0.475*44/12</f>
        <v>#N/A</v>
      </c>
      <c r="DG53" s="21" t="e">
        <f>EXP(-LN(2)/25)*DG52+(1-EXP(-LN(2)/25))/(LN(2)/25)*Calculateur!DB53*Calculateur!DD53*VLOOKUP('Données projet'!$B$13,Paramètres!$A$1:$I$89,3,0)*0.475*44/12</f>
        <v>#N/A</v>
      </c>
      <c r="DH53" s="21" t="e">
        <f>EXP(-LN(2)/2)*DH52+(1-EXP(-LN(2)/2))/(LN(2)/2)*DB53*DE53*VLOOKUP('Données projet'!$B$13,Paramètres!$A$1:$I$89,3,0)*0.475*44/12</f>
        <v>#N/A</v>
      </c>
      <c r="DI53" s="22" t="e">
        <f t="shared" si="15"/>
        <v>#N/A</v>
      </c>
      <c r="DJ53" s="75">
        <f>('Scénario référence'!$F$8+'Scénario référence'!$F$9+'Scénario référence'!$B$17+'Scénario référence'!$B$9+'Scénario référence'!$B$10)*70+IF((45+25*(1-EXP(-0.0175*A53)))&lt;70,'Scénario référence'!$B$16*(45+25*(1-EXP(-0.0175*A53))),70*'Scénario référence'!$B$16)+IF((32+38*(1-EXP(-0.0175*A53)))&lt;70,'Scénario référence'!$B$18*(32+38*(1-EXP(-0.0175*A53))),70*'Scénario référence'!$B$18)</f>
        <v>70</v>
      </c>
      <c r="DK53" s="12">
        <f>IF(A53&gt;30,10,('Scénario référence'!$B$16+'Scénario référence'!$B$17+'Scénario référence'!$B$18+'Scénario référence'!$B$9+'Scénario référence'!$B$10)*A53*10/30+('Scénario référence'!$F$8+'Scénario référence'!$F$9)*10)</f>
        <v>10</v>
      </c>
      <c r="DL53" s="12">
        <f>VLOOKUP(A53,'Données projet'!$A$165:$I$185,2,0)</f>
        <v>274</v>
      </c>
      <c r="DM53" s="12">
        <f>VLOOKUP(A53,'Données projet'!$A$165:$I$185,9,0)</f>
        <v>7.8</v>
      </c>
      <c r="DN53" s="12">
        <f t="array" ref="DN53">INDEX(DM:DM,MIN(IF(ISNUMBER(DM53:DM249),ROW(DM53:DM249),"")))</f>
        <v>7.8</v>
      </c>
      <c r="DO53" s="12">
        <f>IF('Données projet'!$A$166&gt;35,DO52+DN53-DW52,IF(A53&lt;'Données projet'!$A$166,$DL$205^A53,IF(A53='Données projet'!$A$166,'Données projet'!$B$166,DO52+DN53-DW52)))</f>
        <v>274</v>
      </c>
      <c r="DP53" s="17">
        <f>DO53*VLOOKUP('Données projet'!$B$14,Paramètres!$A$1:$I$89,3,0)*VLOOKUP('Données projet'!$B$14,Paramètres!$A$1:$I$89,5,0)</f>
        <v>179.5248</v>
      </c>
      <c r="DQ53" s="13">
        <f t="shared" si="43"/>
        <v>45.216446661458264</v>
      </c>
      <c r="DR53" s="20">
        <f t="shared" si="16"/>
        <v>391.42433793537316</v>
      </c>
      <c r="DS53" s="59">
        <f t="shared" si="17"/>
        <v>684.75767126870642</v>
      </c>
      <c r="DT53" s="59">
        <f ca="1">AVERAGE(OFFSET($DS$3,0,0,'Données projet'!$E$14+1,1))-AVERAGE(OFFSET($H$3,0,0,'Données projet'!$E$14+1,1))</f>
        <v>188.68915783955595</v>
      </c>
      <c r="DU53" s="59">
        <f t="shared" si="44"/>
        <v>240.82467772396944</v>
      </c>
      <c r="DV53" s="15">
        <f>IF(ISNA(VLOOKUP(A53,'Données projet'!$A$165:$I$185,3,0)),0,VLOOKUP(A53,'Données projet'!$A$165:$I$185,3,0))</f>
        <v>4</v>
      </c>
      <c r="DW53" s="15">
        <f>IF(ISNA(VLOOKUP(A53,'Données projet'!$A$165:$I$185,4,0)),0,VLOOKUP(A53,'Données projet'!$A$165:$I$185,4,0))</f>
        <v>55</v>
      </c>
      <c r="DX53" s="16">
        <f>IF(ISNA(VLOOKUP(A53,'Données projet'!$A$165:$I$185,5,0)),0%,VLOOKUP(A53,'Données projet'!$A$165:$I$185,5,0)*VLOOKUP('Données projet'!$B$14,Paramètres!$A$1:$I$89,7,0))</f>
        <v>0</v>
      </c>
      <c r="DY53" s="16">
        <f>IF(ISNA(VLOOKUP(A53,'Données projet'!$A$165:$I$185,6,0)),0%,VLOOKUP(A53,'Données projet'!$A$165:$I$185,6,0)*VLOOKUP('Données projet'!$B$14,Paramètres!$A$1:$I$89,7,0))</f>
        <v>0</v>
      </c>
      <c r="DZ53" s="16">
        <f>IF(ISNA(VLOOKUP(A53,'Données projet'!$A$165:$I$185,7,0)),0%,VLOOKUP(A53,'Données projet'!$A$165:$I$185,7,0))</f>
        <v>0</v>
      </c>
      <c r="EA53" s="21">
        <f>EXP(-LN(2)/35)*EA52+(1-EXP(-LN(2)/35))/(LN(2)/35)*DW53*DX53*VLOOKUP('Données projet'!$B$14,Paramètres!$A$1:$I$89,3,0)*0.475*44/12</f>
        <v>1.0479542388718825</v>
      </c>
      <c r="EB53" s="21">
        <f>EXP(-LN(2)/25)*EB52+(1-EXP(-LN(2)/25))/(LN(2)/25)*Calculateur!DW53*Calculateur!DY53*VLOOKUP('Données projet'!$B$14,Paramètres!$A$1:$I$89,3,0)*0.475*44/12</f>
        <v>4.6166354842856183</v>
      </c>
      <c r="EC53" s="21">
        <f>EXP(-LN(2)/2)*EC52+(1-EXP(-LN(2)/2))/(LN(2)/2)*DW53*DZ53*VLOOKUP('Données projet'!$B$14,Paramètres!$A$1:$I$89,3,0)*0.475*44/12</f>
        <v>1.3668367174030359E-2</v>
      </c>
      <c r="ED53" s="22">
        <f t="shared" si="18"/>
        <v>5.6782580903315321</v>
      </c>
      <c r="EE53" s="75">
        <f>('Scénario référence'!$F$8+'Scénario référence'!$F$9+'Scénario référence'!$B$17+'Scénario référence'!$B$9+'Scénario référence'!$B$10)*70+IF((45+25*(1-EXP(-0.0175*A53)))&lt;70,'Scénario référence'!$B$16*(45+25*(1-EXP(-0.0175*A53))),70*'Scénario référence'!$B$16)+IF((32+38*(1-EXP(-0.0175*A53)))&lt;70,'Scénario référence'!$B$18*(32+38*(1-EXP(-0.0175*A53))),70*'Scénario référence'!$B$18)</f>
        <v>70</v>
      </c>
      <c r="EF53" s="12">
        <f>IF(A53&gt;30,10,('Scénario référence'!$B$16+'Scénario référence'!$B$17+'Scénario référence'!$B$18+'Scénario référence'!$B$9+'Scénario référence'!$B$10)*A53*10/30+('Scénario référence'!$F$8+'Scénario référence'!$F$9)*10)</f>
        <v>10</v>
      </c>
      <c r="EG53" s="12">
        <f>VLOOKUP(A53,'Données projet'!$A$191:$I$211,2,0)</f>
        <v>220</v>
      </c>
      <c r="EH53" s="12">
        <f>VLOOKUP(A53,'Données projet'!$A$191:$I$211,9,0)</f>
        <v>7</v>
      </c>
      <c r="EI53" s="12">
        <f t="array" ref="EI53">INDEX(EH:EH,MIN(IF(ISNUMBER(EH53:EH249),ROW(EH53:EH249),"")))</f>
        <v>7</v>
      </c>
      <c r="EJ53" s="12">
        <f>IF('Données projet'!$A$192&gt;35,EJ52+EI53-ER52,IF(A53&lt;'Données projet'!$A$192,$EG$205^A53,IF(A53='Données projet'!$A$192,'Données projet'!$B$192,EJ52+EI53-ER52)))</f>
        <v>219.99999999999991</v>
      </c>
      <c r="EK53" s="17">
        <f>EJ53*VLOOKUP('Données projet'!$B$15,Paramètres!$A$1:$I$89,3,0)*VLOOKUP('Données projet'!$B$15,Paramètres!$A$1:$I$89,5,0)</f>
        <v>178.46399999999994</v>
      </c>
      <c r="EL53" s="13">
        <f t="shared" si="45"/>
        <v>44.980284206661821</v>
      </c>
      <c r="EM53" s="20">
        <f t="shared" si="19"/>
        <v>389.16546165993594</v>
      </c>
      <c r="EN53" s="59">
        <f t="shared" si="20"/>
        <v>682.49879499326926</v>
      </c>
      <c r="EO53" s="59">
        <f ca="1">AVERAGE(OFFSET($EN$3,0,0,'Données projet'!$E$15+1,1))-AVERAGE(OFFSET($H$3,0,0,'Données projet'!$E$15+1,1))</f>
        <v>205.5272583787887</v>
      </c>
      <c r="EP53" s="59">
        <f t="shared" si="46"/>
        <v>180.54762778843178</v>
      </c>
      <c r="EQ53" s="15">
        <f>IF(ISNA(VLOOKUP(A53,'Données projet'!$A$191:$I$211,3,0)),0,VLOOKUP(A53,'Données projet'!$A$191:$I$211,3,0))</f>
        <v>4</v>
      </c>
      <c r="ER53" s="15">
        <f>IF(ISNA(VLOOKUP(A53,'Données projet'!$A$191:$I$211,4,0)),0,VLOOKUP(A53,'Données projet'!$A$191:$I$211,4,0))</f>
        <v>34</v>
      </c>
      <c r="ES53" s="16">
        <f>IF(ISNA(VLOOKUP(A53,'Données projet'!$A$191:$I$211,5,0)),0%,VLOOKUP(A53,'Données projet'!$A$191:$I$211,5,0)*VLOOKUP('Données projet'!$B$15,Paramètres!$A$1:$I$89,7,0))</f>
        <v>0</v>
      </c>
      <c r="ET53" s="16">
        <f>IF(ISNA(VLOOKUP(A53,'Données projet'!$A$191:$I$211,6,0)),0%,VLOOKUP(A53,'Données projet'!$A$191:$I$211,6,0)*VLOOKUP('Données projet'!$B$15,Paramètres!$A$1:$I$89,7,0))</f>
        <v>0</v>
      </c>
      <c r="EU53" s="16">
        <f>IF(ISNA(VLOOKUP(A53,'Données projet'!$A$191:$I$211,7,0)),0%,VLOOKUP(A53,'Données projet'!$A$191:$I$211,7,0))</f>
        <v>0</v>
      </c>
      <c r="EV53" s="21">
        <f>EXP(-LN(2)/35)*EV52+(1-EXP(-LN(2)/35))/(LN(2)/35)*ER53*ES53*VLOOKUP('Données projet'!$B$15,Paramètres!$A$1:$I$89,3,0)*0.475*44/12</f>
        <v>0.67468291950227877</v>
      </c>
      <c r="EW53" s="21">
        <f>EXP(-LN(2)/25)*EW52+(1-EXP(-LN(2)/25))/(LN(2)/25)*Calculateur!ER53*Calculateur!ET53*VLOOKUP('Données projet'!$B$15,Paramètres!$A$1:$I$89,3,0)*0.475*44/12</f>
        <v>3.3333508697461274</v>
      </c>
      <c r="EX53" s="21">
        <f>EXP(-LN(2)/2)*EX52+(1-EXP(-LN(2)/2))/(LN(2)/2)*ER53*EU53*VLOOKUP('Données projet'!$B$15,Paramètres!$A$1:$I$89,3,0)*0.475*44/12</f>
        <v>8.8502778519335377E-3</v>
      </c>
      <c r="EY53" s="22">
        <f t="shared" si="21"/>
        <v>4.0168840671003396</v>
      </c>
      <c r="EZ53" s="75">
        <f>('Scénario référence'!$F$8+'Scénario référence'!$F$9+'Scénario référence'!$B$17+'Scénario référence'!$B$9+'Scénario référence'!$B$10)*70+IF((45+25*(1-EXP(-0.0175*A53)))&lt;70,'Scénario référence'!$B$16*(45+25*(1-EXP(-0.0175*A53))),70*'Scénario référence'!$B$16)+IF((32+38*(1-EXP(-0.0175*A53)))&lt;70,'Scénario référence'!$B$18*(32+38*(1-EXP(-0.0175*A53))),70*'Scénario référence'!$B$18)</f>
        <v>70</v>
      </c>
      <c r="FA53" s="12">
        <f>IF(A53&gt;30,10,('Scénario référence'!$B$16+'Scénario référence'!$B$17+'Scénario référence'!$B$18+'Scénario référence'!$B$9+'Scénario référence'!$B$10)*A53*10/30+('Scénario référence'!$F$8+'Scénario référence'!$F$9)*10)</f>
        <v>10</v>
      </c>
      <c r="FB53" s="12">
        <f>VLOOKUP(A53,'Données projet'!$A$217:$I$237,2,0)</f>
        <v>284</v>
      </c>
      <c r="FC53" s="12">
        <f>VLOOKUP(A53,'Données projet'!$A$217:$I$237,9,0)</f>
        <v>13.4</v>
      </c>
      <c r="FD53" s="12">
        <f t="array" ref="FD53">INDEX(FC:FC,MIN(IF(ISNUMBER(FC53:FC249),ROW(FC53:FC249),"")))</f>
        <v>13.4</v>
      </c>
      <c r="FE53" s="12">
        <f>IF('Données projet'!$A$218&gt;35,FE52+FD53-FM52,IF(A53&lt;'Données projet'!$A$218,$FB$205^A53,IF(A53='Données projet'!$A$218,'Données projet'!$B$218,FE52+FD53-FM52)))</f>
        <v>284.00000000000006</v>
      </c>
      <c r="FF53" s="17">
        <f>FE53*VLOOKUP('Données projet'!$B$16,Paramètres!$A$1:$I$89,3,0)*VLOOKUP('Données projet'!$B$16,Paramètres!$A$1:$I$89,5,0)</f>
        <v>243.67200000000008</v>
      </c>
      <c r="FG53" s="13">
        <f t="shared" si="47"/>
        <v>59.228879636606202</v>
      </c>
      <c r="FH53" s="20">
        <f t="shared" si="22"/>
        <v>527.55236536708924</v>
      </c>
      <c r="FI53" s="59">
        <f t="shared" si="23"/>
        <v>820.88569870042261</v>
      </c>
      <c r="FJ53" s="59">
        <f ca="1">AVERAGE(OFFSET($FI$3,0,0,'Données projet'!$E$16+1,1))-AVERAGE(OFFSET($H$3,0,0,'Données projet'!$E$16+1,1))</f>
        <v>383.97627237444709</v>
      </c>
      <c r="FK53" s="59">
        <f t="shared" si="48"/>
        <v>203.35476578922339</v>
      </c>
      <c r="FL53" s="15">
        <f>IF(ISNA(VLOOKUP(A53,'Données projet'!$A$217:$I$237,3,0)),0,VLOOKUP(A53,'Données projet'!$A$217:$I$237,3,0))</f>
        <v>4</v>
      </c>
      <c r="FM53" s="15">
        <f>IF(ISNA(VLOOKUP(A53,'Données projet'!$A$217:$I$237,4,0)),0,VLOOKUP(A53,'Données projet'!$A$217:$I$237,4,0))</f>
        <v>85</v>
      </c>
      <c r="FN53" s="16">
        <f>IF(ISNA(VLOOKUP(A53,'Données projet'!$A$217:$I$237,5,0)),0%,VLOOKUP(A53,'Données projet'!$A$217:$I$237,5,0)*VLOOKUP('Données projet'!$B$16,Paramètres!$A$1:$I$89,7,0))</f>
        <v>0</v>
      </c>
      <c r="FO53" s="16">
        <f>IF(ISNA(VLOOKUP(A53,'Données projet'!$A$217:$I$237,6,0)),0%,VLOOKUP(A53,'Données projet'!$A$217:$I$237,6,0)*VLOOKUP('Données projet'!$B$16,Paramètres!$A$1:$I$89,7,0))</f>
        <v>0</v>
      </c>
      <c r="FP53" s="16">
        <f>IF(ISNA(VLOOKUP(A53,'Données projet'!$A$217:$I$237,7,0)),0%,VLOOKUP(A53,'Données projet'!$A$217:$I$237,7,0))</f>
        <v>0</v>
      </c>
      <c r="FQ53" s="21">
        <f>EXP(-LN(2)/35)*FQ52+(1-EXP(-LN(2)/35))/(LN(2)/35)*FM53*FN53*VLOOKUP('Données projet'!$B$16,Paramètres!$A$1:$I$89,3,0)*0.475*44/12</f>
        <v>3.4675041765994781</v>
      </c>
      <c r="FR53" s="21">
        <f>EXP(-LN(2)/25)*FR52+(1-EXP(-LN(2)/25))/(LN(2)/25)*Calculateur!FM53*Calculateur!FO53*VLOOKUP('Données projet'!$B$16,Paramètres!$A$1:$I$89,3,0)*0.475*44/12</f>
        <v>3.3836956673482712</v>
      </c>
      <c r="FS53" s="21">
        <f>EXP(-LN(2)/2)*FS52+(1-EXP(-LN(2)/2))/(LN(2)/2)*FM53*FP53*VLOOKUP('Données projet'!$B$16,Paramètres!$A$1:$I$89,3,0)*0.475*44/12</f>
        <v>1.6256144074013566E-2</v>
      </c>
      <c r="FT53" s="22">
        <f t="shared" si="24"/>
        <v>6.8674559880217627</v>
      </c>
      <c r="FU53" s="75">
        <f>('Scénario référence'!$F$8+'Scénario référence'!$F$9+'Scénario référence'!$B$17+'Scénario référence'!$B$9+'Scénario référence'!$B$10)*70+IF((45+25*(1-EXP(-0.0175*A53)))&lt;70,'Scénario référence'!$B$16*(45+25*(1-EXP(-0.0175*A53))),70*'Scénario référence'!$B$16)+IF((32+38*(1-EXP(-0.0175*A53)))&lt;70,'Scénario référence'!$B$18*(32+38*(1-EXP(-0.0175*A53))),70*'Scénario référence'!$B$18)</f>
        <v>70</v>
      </c>
      <c r="FV53" s="12">
        <f>IF(A53&gt;30,10,('Scénario référence'!$B$16+'Scénario référence'!$B$17+'Scénario référence'!$B$18+'Scénario référence'!$B$9+'Scénario référence'!$B$10)*A53*10/30+('Scénario référence'!$F$8+'Scénario référence'!$F$9)*10)</f>
        <v>10</v>
      </c>
      <c r="FW53" s="12" t="e">
        <f>VLOOKUP(A53,'Données projet'!$A$243:$I$263,2,0)</f>
        <v>#N/A</v>
      </c>
      <c r="FX53" s="12" t="e">
        <f>VLOOKUP(A53,'Données projet'!$A$243:$I$263,9,0)</f>
        <v>#N/A</v>
      </c>
      <c r="FY53" s="12">
        <f t="array" ref="FY53">INDEX(FX:FX,MIN(IF(ISNUMBER(FX53:FX249),ROW(FX53:FX249),"")))</f>
        <v>8.8736263736263741</v>
      </c>
      <c r="FZ53" s="12">
        <f>IF('Données projet'!$A$244&gt;35,FZ52+FY53-GH52,IF(A53&lt;'Données projet'!$A$244,$FW$205^A53,IF(A53='Données projet'!$A$244,'Données projet'!$B$244,FZ52+FY53-GH52)))</f>
        <v>154.07417582417585</v>
      </c>
      <c r="GA53" s="17">
        <f>FZ53*VLOOKUP('Données projet'!$B$17,Paramètres!$A$1:$I$89,3,0)*VLOOKUP('Données projet'!$B$17,Paramètres!$A$1:$I$89,5,0)</f>
        <v>165.8454428571429</v>
      </c>
      <c r="GB53" s="13">
        <f t="shared" si="49"/>
        <v>42.158205346797551</v>
      </c>
      <c r="GC53" s="20">
        <f t="shared" si="25"/>
        <v>362.27302062186294</v>
      </c>
      <c r="GD53" s="59">
        <f t="shared" si="26"/>
        <v>655.60635395519625</v>
      </c>
      <c r="GE53" s="59">
        <f ca="1">AVERAGE(OFFSET($GD$3,0,0,'Données projet'!$E$17+1,1))-AVERAGE(OFFSET($H$3,0,0,'Données projet'!$E$17+1,1))</f>
        <v>286.77702855541287</v>
      </c>
      <c r="GF53" s="59">
        <f t="shared" si="50"/>
        <v>227.12211541860779</v>
      </c>
      <c r="GG53" s="15">
        <f>IF(ISNA(VLOOKUP(A53,'Données projet'!$A$243:$I$263,3,0)),0,VLOOKUP(A53,'Données projet'!$A$243:$I$263,3,0))</f>
        <v>0</v>
      </c>
      <c r="GH53" s="15">
        <f>IF(ISNA(VLOOKUP(A53,'Données projet'!$A$243:$I$263,4,0)),0,VLOOKUP(A53,'Données projet'!$A$243:$I$263,4,0))</f>
        <v>0</v>
      </c>
      <c r="GI53" s="16">
        <f>IF(ISNA(VLOOKUP(A53,'Données projet'!$A$243:$I$263,5,0)),0%,VLOOKUP(A53,'Données projet'!$A$243:$I$263,5,0)*VLOOKUP('Données projet'!$B$17,Paramètres!$A$1:$I$89,7,0))</f>
        <v>0</v>
      </c>
      <c r="GJ53" s="16">
        <f>IF(ISNA(VLOOKUP(A53,'Données projet'!$A$243:$I$263,6,0)),0%,VLOOKUP(A53,'Données projet'!$A$243:$I$263,6,0)*VLOOKUP('Données projet'!$B$17,Paramètres!$A$1:$I$89,7,0))</f>
        <v>0</v>
      </c>
      <c r="GK53" s="16">
        <f>IF(ISNA(VLOOKUP(A53,'Données projet'!$A$243:$I$263,7,0)),0%,VLOOKUP(A53,'Données projet'!$A$243:$I$263,7,0))</f>
        <v>0</v>
      </c>
      <c r="GL53" s="21">
        <f>EXP(-LN(2)/35)*GL52+(1-EXP(-LN(2)/35))/(LN(2)/35)*GH53*GI53*VLOOKUP('Données projet'!$B$17,Paramètres!$A$1:$I$89,3,0)*0.475*44/12</f>
        <v>0</v>
      </c>
      <c r="GM53" s="21">
        <f>EXP(-LN(2)/25)*GM52+(1-EXP(-LN(2)/25))/(LN(2)/25)*Calculateur!GH53*Calculateur!GJ53*VLOOKUP('Données projet'!$B$17,Paramètres!$A$1:$I$89,3,0)*0.475*44/12</f>
        <v>0</v>
      </c>
      <c r="GN53" s="21">
        <f>EXP(-LN(2)/2)*GN52+(1-EXP(-LN(2)/2))/(LN(2)/2)*GH53*GK53*VLOOKUP('Données projet'!$B$17,Paramètres!$A$1:$I$89,3,0)*0.475*44/12</f>
        <v>0</v>
      </c>
      <c r="GO53" s="21">
        <f t="shared" si="27"/>
        <v>0</v>
      </c>
      <c r="GP53" s="75">
        <f>('Scénario référence'!$F$8+'Scénario référence'!$F$9+'Scénario référence'!$B$17+'Scénario référence'!$B$9+'Scénario référence'!$B$10)*70+IF((45+25*(1-EXP(-0.0175*A53)))&lt;70,'Scénario référence'!$B$16*(45+25*(1-EXP(-0.0175*A53))),70*'Scénario référence'!$B$16)+IF((32+38*(1-EXP(-0.0175*A53)))&lt;70,'Scénario référence'!$B$18*(32+38*(1-EXP(-0.0175*A53))),70*'Scénario référence'!$B$18)</f>
        <v>70</v>
      </c>
      <c r="GQ53" s="12">
        <f>IF(A53&gt;30,10,('Scénario référence'!$B$16+'Scénario référence'!$B$17+'Scénario référence'!$B$18+'Scénario référence'!$B$9+'Scénario référence'!$B$10)*A53*10/30+('Scénario référence'!$F$8+'Scénario référence'!$F$9)*10)</f>
        <v>10</v>
      </c>
      <c r="GR53" s="12" t="e">
        <f>VLOOKUP(A53,'Données projet'!$A$269:$I$289,2,0)</f>
        <v>#N/A</v>
      </c>
      <c r="GS53" s="12" t="e">
        <f>VLOOKUP(A53,'Données projet'!$A$269:$I$289,9,0)</f>
        <v>#N/A</v>
      </c>
      <c r="GT53" s="12">
        <f t="array" ref="GT53">INDEX(GS:GS,MIN(IF(ISNUMBER(GS53:GS249),ROW(GS53:GS249),"")))</f>
        <v>8.8736263736263741</v>
      </c>
      <c r="GU53" s="12">
        <f>IF('Données projet'!$A$270&gt;35,GU52+GT53-HC52,IF(A53&lt;'Données projet'!$A$270,$GR$205^A53,IF(A53='Données projet'!$A$270,'Données projet'!$B$270,GU52+GT53-HC52)))</f>
        <v>154.07417582417585</v>
      </c>
      <c r="GV53" s="17">
        <f>GU53*VLOOKUP('Données projet'!$B$18,Paramètres!$A$1:$I$89,3,0)*VLOOKUP('Données projet'!$B$18,Paramètres!$A$1:$I$89,5,0)</f>
        <v>165.8454428571429</v>
      </c>
      <c r="GW53" s="13">
        <f t="shared" si="51"/>
        <v>42.158205346797551</v>
      </c>
      <c r="GX53" s="20">
        <f t="shared" si="28"/>
        <v>362.27302062186294</v>
      </c>
      <c r="GY53" s="59">
        <f t="shared" si="29"/>
        <v>655.60635395519625</v>
      </c>
      <c r="GZ53" s="59">
        <f ca="1">AVERAGE(OFFSET($GY$3,0,0,'Données projet'!$E$18+1,1))-AVERAGE(OFFSET($H$3,0,0,'Données projet'!$E$18+1,1))</f>
        <v>286.77702855541287</v>
      </c>
      <c r="HA53" s="59">
        <f t="shared" si="52"/>
        <v>227.12211541860779</v>
      </c>
      <c r="HB53" s="15">
        <f>IF(ISNA(VLOOKUP(A53,'Données projet'!$A$269:$I$289,3,0)),0,VLOOKUP(A53,'Données projet'!$A$269:$I$289,3,0))</f>
        <v>0</v>
      </c>
      <c r="HC53" s="15">
        <f>IF(ISNA(VLOOKUP(A53,'Données projet'!$A$269:$I$289,4,0)),0,VLOOKUP(A53,'Données projet'!$A$269:$I$289,4,0))</f>
        <v>0</v>
      </c>
      <c r="HD53" s="16">
        <f>IF(ISNA(VLOOKUP(A53,'Données projet'!$A$269:$I$289,5,0)),0%,VLOOKUP(A53,'Données projet'!$A$269:$I$289,5,0)*VLOOKUP('Données projet'!$B$18,Paramètres!$A$1:$I$89,7,0))</f>
        <v>0</v>
      </c>
      <c r="HE53" s="16">
        <f>IF(ISNA(VLOOKUP(A53,'Données projet'!$A$269:$I$289,6,0)),0%,VLOOKUP(A53,'Données projet'!$A$269:$I$289,6,0)*VLOOKUP('Données projet'!$B$18,Paramètres!$A$1:$I$89,7,0))</f>
        <v>0</v>
      </c>
      <c r="HF53" s="16">
        <f>IF(ISNA(VLOOKUP(A53,'Données projet'!$A$269:$I$289,7,0)),0%,VLOOKUP(A53,'Données projet'!$A$269:$I$289,7,0))</f>
        <v>0</v>
      </c>
      <c r="HG53" s="21">
        <f>EXP(-LN(2)/35)*HG52+(1-EXP(-LN(2)/35))/(LN(2)/35)*HC53*HD53*VLOOKUP('Données projet'!$B$18,Paramètres!$A$1:$I$89,3,0)*0.475*44/12</f>
        <v>0</v>
      </c>
      <c r="HH53" s="21">
        <f>EXP(-LN(2)/25)*HH52+(1-EXP(-LN(2)/25))/(LN(2)/25)*Calculateur!HC53*Calculateur!HE53*VLOOKUP('Données projet'!$B$18,Paramètres!$A$1:$I$89,3,0)*0.475*44/12</f>
        <v>0</v>
      </c>
      <c r="HI53" s="21">
        <f>EXP(-LN(2)/2)*HI52+(1-EXP(-LN(2)/2))/(LN(2)/2)*HC53*HF53*VLOOKUP('Données projet'!$B$18,Paramètres!$A$1:$I$89,3,0)*0.475*44/12</f>
        <v>0</v>
      </c>
      <c r="HJ53" s="22">
        <f t="shared" si="30"/>
        <v>0</v>
      </c>
    </row>
    <row r="54" spans="1:218" x14ac:dyDescent="0.25">
      <c r="A54" s="10">
        <f t="shared" si="31"/>
        <v>51</v>
      </c>
      <c r="B54" s="73">
        <f>'Scénario référence'!$B$16*5+'Scénario référence'!$B$17*0+'Scénario référence'!$B$18*5</f>
        <v>0</v>
      </c>
      <c r="C54" s="19">
        <f>Calculateur!C53+'Scénario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45.349200000000025</v>
      </c>
      <c r="D54" s="11">
        <f t="shared" si="32"/>
        <v>13.405931317559242</v>
      </c>
      <c r="E5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54" s="11">
        <f>IF(OR('Scénario référence'!$F$8&gt;0,'Scénario référence'!$F$9&gt;0),('Scénario référence'!$F$8+'Scénario référence'!$F$9)*10,0)</f>
        <v>10</v>
      </c>
      <c r="G54" s="11">
        <f>'Scénario référence'!$B$8*B54*44/12+'Scénario référence'!$B$9*(C54+D54)/0.475*44/12+'Scénario référence'!$B$10*(C54+D54)/0.475*44/12+'Scénario référence'!$F$8*(C54+D54)/0.475*44/12+'Scénario référence'!$F$9*(C54+D54)/0.475*44/12</f>
        <v>453.54838210045756</v>
      </c>
      <c r="H54" s="67">
        <f t="shared" si="1"/>
        <v>395.66518704474902</v>
      </c>
      <c r="I54" s="70">
        <f>('Scénario référence'!$F$8+'Scénario référence'!$F$9+'Scénario référence'!$B$17+'Scénario référence'!$B$9+'Scénario référence'!$B$10)*70+IF((45+25*(1-EXP(-0.0175*A54)))&lt;70,'Scénario référence'!$B$16*(45+25*(1-EXP(-0.0175*A54))),70*'Scénario référence'!$B$16)+IF((32+38*(1-EXP(-0.0175*A54)))&lt;70,'Scénario référence'!$B$18*(32+38*(1-EXP(-0.0175*A54))),70*'Scénario référence'!$B$18)</f>
        <v>70</v>
      </c>
      <c r="J54" s="13">
        <f>IF(A54&gt;30,10,('Scénario référence'!$B$16+'Scénario référence'!$B$17+'Scénario référence'!$B$18+'Scénario référence'!$B$9+'Scénario référence'!$B$10)*A54*10/30+('Scénario référence'!$F$8+'Scénario référence'!$F$9)*10)</f>
        <v>10</v>
      </c>
      <c r="K54" s="12" t="e">
        <f>VLOOKUP(A54,'Données projet'!$A$35:$I$55,2,0)</f>
        <v>#N/A</v>
      </c>
      <c r="L54" s="12" t="e">
        <f>VLOOKUP(A54,'Données projet'!$A$35:$I$55,9,0)</f>
        <v>#N/A</v>
      </c>
      <c r="M54" s="12">
        <f t="array" ref="M54">INDEX(L:L,MIN(IF(ISNUMBER(L54:L250),ROW(L54:L250),"")))</f>
        <v>20.507692307692299</v>
      </c>
      <c r="N54" s="13">
        <f>IF('Données projet'!$A$36&gt;35,N53+M54-V53,IF(A54&lt;'Données projet'!$A$36,$K$205^A54,IF(A54='Données projet'!$A$36,'Données projet'!$B$36,N53+M54-V53)))</f>
        <v>505.27692307692286</v>
      </c>
      <c r="O54" s="13">
        <f>N54*VLOOKUP('Données projet'!$B$9,Paramètres!$A$1:$I$89,3,0)*VLOOKUP('Données projet'!$B$9,Paramètres!$A$1:$I$89,5,0)</f>
        <v>282.44979999999987</v>
      </c>
      <c r="P54" s="13">
        <f t="shared" si="33"/>
        <v>67.484459274997945</v>
      </c>
      <c r="Q54" s="20">
        <f t="shared" si="53"/>
        <v>609.46883490395442</v>
      </c>
      <c r="R54" s="59">
        <f t="shared" si="0"/>
        <v>902.80216823728779</v>
      </c>
      <c r="S54" s="59">
        <f ca="1">AVERAGE(OFFSET($R$3,0,0,'Données projet'!$E$9+1,1))-AVERAGE(OFFSET($H$3,0,0,'Données projet'!$E$9+1,1))</f>
        <v>255.5374979188561</v>
      </c>
      <c r="T54" s="59">
        <f t="shared" si="34"/>
        <v>343.10418468620901</v>
      </c>
      <c r="U54" s="15">
        <f>IF(ISNA(VLOOKUP(A54,'Données projet'!$A$35:$I$55,3,0)),0,VLOOKUP(A54,'Données projet'!$A$35:$I$55,3,0))</f>
        <v>0</v>
      </c>
      <c r="V54" s="15">
        <f>IF(ISNA(VLOOKUP(A54,'Données projet'!$A$35:$I$55,4,0)),0,VLOOKUP(A54,'Données projet'!$A$35:$I$55,4,0))</f>
        <v>0</v>
      </c>
      <c r="W54" s="16">
        <f>IF(ISNA(VLOOKUP(A54,'Données projet'!$A$35:$I$55,5,0)),0%,VLOOKUP(A54,'Données projet'!$A$35:$I$55,5,0)*VLOOKUP('Données projet'!$B$9,Paramètres!$A$1:$I$89,7,0))</f>
        <v>0</v>
      </c>
      <c r="X54" s="16">
        <f>IF(ISNA(VLOOKUP(A54,'Données projet'!$A$35:$I$55,6,0)),0%,VLOOKUP(A54,'Données projet'!$A$35:$I$55,6,0)*VLOOKUP('Données projet'!$B$9,Paramètres!$A$1:$I$89,7,0))</f>
        <v>0</v>
      </c>
      <c r="Y54" s="16">
        <f>IF(ISNA(VLOOKUP(A54,'Données projet'!$A$35:$I$55,7,0)),0%,VLOOKUP(A54,'Données projet'!$A$35:$I$55,7,0))</f>
        <v>0</v>
      </c>
      <c r="Z54" s="21">
        <f>EXP(-LN(2)/35)*Z53+(1-EXP(-LN(2)/35))/(LN(2)/35)*V54*W54*VLOOKUP('Données projet'!$B$9,Paramètres!$A$1:$I$89,3,0)*0.475*44/12</f>
        <v>2.038666670819961</v>
      </c>
      <c r="AA54" s="21">
        <f>EXP(-LN(2)/25)*AA53+(1-EXP(-LN(2)/25))/(LN(2)/25)*Calculateur!V54*Calculateur!X54*VLOOKUP('Données projet'!$B$9,Paramètres!$A$1:$I$89,3,0)*0.475*44/12</f>
        <v>8.9160961232740839</v>
      </c>
      <c r="AB54" s="21">
        <f>EXP(-LN(2)/2)*AB53+(1-EXP(-LN(2)/2))/(LN(2)/2)*V54*Y54*VLOOKUP('Données projet'!$B$9,Paramètres!$A$1:$I$89,3,0)*0.475*44/12</f>
        <v>1.1688337534877743E-3</v>
      </c>
      <c r="AC54" s="22">
        <f t="shared" si="3"/>
        <v>10.955931627847532</v>
      </c>
      <c r="AD54" s="13">
        <f>('Scénario référence'!$F$8+'Scénario référence'!$F$9+'Scénario référence'!$B$17+'Scénario référence'!$B$9+'Scénario référence'!$B$10)*70+IF((45+25*(1-EXP(-0.0175*A54)))&lt;70,'Scénario référence'!$B$16*(45+25*(1-EXP(-0.0175*A54))),70*'Scénario référence'!$B$16)+IF((32+38*(1-EXP(-0.0175*A54)))&lt;70,'Scénario référence'!$B$18*(32+38*(1-EXP(-0.0175*A54))),70*'Scénario référence'!$B$18)</f>
        <v>70</v>
      </c>
      <c r="AE54" s="13">
        <f>IF(A54&gt;30,10,('Scénario référence'!$B$16+'Scénario référence'!$B$17+'Scénario référence'!$B$18+'Scénario référence'!$B$9+'Scénario référence'!$B$10)*A54*10/30+('Scénario référence'!$F$8+'Scénario référence'!$F$9)*10)</f>
        <v>10</v>
      </c>
      <c r="AF54" s="12" t="e">
        <f>VLOOKUP(A54,'Données projet'!$A$61:$I$81,2,0)</f>
        <v>#N/A</v>
      </c>
      <c r="AG54" s="12" t="e">
        <f>VLOOKUP(A54,'Données projet'!$A$61:$I$81,9,0)</f>
        <v>#N/A</v>
      </c>
      <c r="AH54" s="12">
        <f t="array" ref="AH54">INDEX(AG:AG,MIN(IF(ISNUMBER(AG54:AG250),ROW(AG54:AG250),"")))</f>
        <v>10</v>
      </c>
      <c r="AI54" s="13">
        <f>IF('Données projet'!$A$62&gt;35,AI53+AH54-AQ53,IF(A54&lt;'Données projet'!$A$62,$AF$205^A54,IF(A54='Données projet'!$A$62,'Données projet'!$B$62,AI53+AH54-AQ53)))</f>
        <v>313.99999999999989</v>
      </c>
      <c r="AJ54" s="13">
        <f>AI54*VLOOKUP('Données projet'!$B$10,Paramètres!$A$1:$I$89,3,0)*VLOOKUP('Données projet'!$B$10,Paramètres!$A$1:$I$89,5,0)</f>
        <v>195.93599999999992</v>
      </c>
      <c r="AK54" s="13">
        <f t="shared" si="35"/>
        <v>48.849959202565856</v>
      </c>
      <c r="AL54" s="20">
        <f t="shared" si="4"/>
        <v>426.33554561113533</v>
      </c>
      <c r="AM54" s="59">
        <f t="shared" si="5"/>
        <v>719.66887894446859</v>
      </c>
      <c r="AN54" s="59">
        <f ca="1">AVERAGE(OFFSET($AM$3,0,0,'Données projet'!$E$10+1,1))-AVERAGE(OFFSET($H$3,0,0,'Données projet'!$E$10+1,1))</f>
        <v>261.78489480911571</v>
      </c>
      <c r="AO54" s="59">
        <f t="shared" si="36"/>
        <v>297.50513563712764</v>
      </c>
      <c r="AP54" s="15">
        <f>IF(ISNA(VLOOKUP(A54,'Données projet'!$A$61:$I$81,3,0)),0,VLOOKUP(A54,'Données projet'!$A$61:$I$81,3,0))</f>
        <v>0</v>
      </c>
      <c r="AQ54" s="15">
        <f>IF(ISNA(VLOOKUP(A54,'Données projet'!$A$61:$I$81,4,0)),0,VLOOKUP(A54,'Données projet'!$A$61:$I$81,4,0))</f>
        <v>0</v>
      </c>
      <c r="AR54" s="16">
        <f>IF(ISNA(VLOOKUP(A54,'Données projet'!$A$61:$I$81,5,0)),0%,VLOOKUP(A54,'Données projet'!$A$61:$I$81,5,0)*VLOOKUP('Données projet'!$B$10,Paramètres!$A$1:$I$89,7,0))</f>
        <v>0</v>
      </c>
      <c r="AS54" s="16">
        <f>IF(ISNA(VLOOKUP(A54,'Données projet'!$A$61:$I$81,6,0)),0%,VLOOKUP(A54,'Données projet'!$A$61:$I$81,6,0)*VLOOKUP('Données projet'!$B$10,Paramètres!$A$1:$I$89,7,0))</f>
        <v>0</v>
      </c>
      <c r="AT54" s="16">
        <f>IF(ISNA(VLOOKUP(A54,'Données projet'!$A$61:$I$81,7,0)),0%,VLOOKUP(A54,'Données projet'!$A$61:$I$81,7,0))</f>
        <v>0</v>
      </c>
      <c r="AU54" s="21">
        <f>EXP(-LN(2)/35)*AU53+(1-EXP(-LN(2)/35))/(LN(2)/35)*AQ54*AR54*VLOOKUP('Données projet'!$B$10,Paramètres!$A$1:$I$89,3,0)*0.475*44/12</f>
        <v>5.5049766453159785</v>
      </c>
      <c r="AV54" s="21">
        <f>EXP(-LN(2)/25)*AV53+(1-EXP(-LN(2)/25))/(LN(2)/25)*Calculateur!AQ54*Calculateur!AS54*VLOOKUP('Données projet'!$B$10,Paramètres!$A$1:$I$89,3,0)*0.475*44/12</f>
        <v>15.569322366000099</v>
      </c>
      <c r="AW54" s="21">
        <f>EXP(-LN(2)/2)*AW53+(1-EXP(-LN(2)/2))/(LN(2)/2)*AQ54*AT54*VLOOKUP('Données projet'!$B$10,Paramètres!$A$1:$I$89,3,0)*0.475*44/12</f>
        <v>1.6849851290956515E-2</v>
      </c>
      <c r="AX54" s="21">
        <f t="shared" si="6"/>
        <v>21.091148862607035</v>
      </c>
      <c r="AY54" s="74">
        <f>('Scénario référence'!$F$8+'Scénario référence'!$F$9+'Scénario référence'!$B$17+'Scénario référence'!$B$9+'Scénario référence'!$B$10)*70+IF((45+25*(1-EXP(-0.0175*A54)))&lt;70,'Scénario référence'!$B$16*(45+25*(1-EXP(-0.0175*A54))),70*'Scénario référence'!$B$16)+IF((32+38*(1-EXP(-0.0175*A54)))&lt;70,'Scénario référence'!$B$18*(32+38*(1-EXP(-0.0175*A54))),70*'Scénario référence'!$B$18)</f>
        <v>70</v>
      </c>
      <c r="AZ54" s="12">
        <f>IF(A54&gt;30,10,('Scénario référence'!$B$16+'Scénario référence'!$B$17+'Scénario référence'!$B$18+'Scénario référence'!$B$9+'Scénario référence'!$B$10)*A54*10/30+('Scénario référence'!$F$8+'Scénario référence'!$F$9)*10)</f>
        <v>10</v>
      </c>
      <c r="BA54" s="12" t="e">
        <f>VLOOKUP(A54,'Données projet'!$A$87:$I$107,2,0)</f>
        <v>#N/A</v>
      </c>
      <c r="BB54" s="12" t="e">
        <f>VLOOKUP(A54,'Données projet'!$A$87:$I$107,9,0)</f>
        <v>#N/A</v>
      </c>
      <c r="BC54" s="12">
        <f t="array" ref="BC54">INDEX(BB:BB,MIN(IF(ISNUMBER(BB54:BB250),ROW(BB54:BB250),"")))</f>
        <v>18</v>
      </c>
      <c r="BD54" s="12">
        <f>IF('Données projet'!$A$88&gt;35,BD53+BC54-BL53,IF(A54&lt;'Données projet'!$A$88,$BA$205^A54,IF(A54='Données projet'!$A$88,'Données projet'!$B$88,BD53+BC54-BL53)))</f>
        <v>345.99999999999972</v>
      </c>
      <c r="BE54" s="13">
        <f>BD54*VLOOKUP('Données projet'!$B$11,Paramètres!$A$1:$I$89,3,0)*VLOOKUP('Données projet'!$B$11,Paramètres!$A$1:$I$89,5,0)</f>
        <v>206.90799999999984</v>
      </c>
      <c r="BF54" s="13">
        <f t="shared" si="37"/>
        <v>51.25932369987143</v>
      </c>
      <c r="BG54" s="20">
        <f t="shared" si="7"/>
        <v>449.6414221106092</v>
      </c>
      <c r="BH54" s="59">
        <f t="shared" si="8"/>
        <v>742.97475544394251</v>
      </c>
      <c r="BI54" s="59">
        <f ca="1">AVERAGE(OFFSET($BH$3,0,0,'Données projet'!$E$11+1,1))-AVERAGE(OFFSET($H$3,0,0,'Données projet'!$E$11+1,1))</f>
        <v>316.58509520829671</v>
      </c>
      <c r="BJ54" s="59">
        <f t="shared" si="38"/>
        <v>240.71332110643596</v>
      </c>
      <c r="BK54" s="15">
        <f>IF(ISNA(VLOOKUP(A54,'Données projet'!$A$87:$I$107,3,0)),0,VLOOKUP(A54,'Données projet'!$A$87:$I$107,3,0))</f>
        <v>0</v>
      </c>
      <c r="BL54" s="15">
        <f>IF(ISNA(VLOOKUP(A54,'Données projet'!$A$87:$I$107,4,0)),0,VLOOKUP(A54,'Données projet'!$A$87:$I$107,4,0))</f>
        <v>0</v>
      </c>
      <c r="BM54" s="16">
        <f>IF(ISNA(VLOOKUP(A54,'Données projet'!$A$87:$I$107,5,0)),0%,VLOOKUP(A54,'Données projet'!$A$87:$I$107,5,0)*VLOOKUP('Données projet'!$B$11,Paramètres!$A$1:$I$89,7,0))</f>
        <v>0</v>
      </c>
      <c r="BN54" s="16">
        <f>IF(ISNA(VLOOKUP(A54,'Données projet'!$A$87:$I$107,6,0)),0%,VLOOKUP(A54,'Données projet'!$A$87:$I$107,6,0)*VLOOKUP('Données projet'!$B$11,Paramètres!$A$1:$I$89,7,0))</f>
        <v>0</v>
      </c>
      <c r="BO54" s="16">
        <f>IF(ISNA(VLOOKUP(A54,'Données projet'!$A$87:$I$107,7,0)),0%,VLOOKUP(A54,'Données projet'!$A$87:$I$107,7,0))</f>
        <v>0</v>
      </c>
      <c r="BP54" s="21">
        <f>EXP(-LN(2)/35)*BP53+(1-EXP(-LN(2)/35))/(LN(2)/35)*BL54*BM54*VLOOKUP('Données projet'!$B$11,Paramètres!$A$1:$I$89,3,0)*0.475*44/12</f>
        <v>1.672177615662388</v>
      </c>
      <c r="BQ54" s="21">
        <f>EXP(-LN(2)/25)*BQ53+(1-EXP(-LN(2)/25))/(LN(2)/25)*Calculateur!BL54*Calculateur!BN54*VLOOKUP('Données projet'!$B$11,Paramètres!$A$1:$I$89,3,0)*0.475*44/12</f>
        <v>8.5293290749752799</v>
      </c>
      <c r="BR54" s="21">
        <f>EXP(-LN(2)/2)*BR53+(1-EXP(-LN(2)/2))/(LN(2)/2)*BL54*BO54*VLOOKUP('Données projet'!$B$11,Paramètres!$A$1:$I$89,3,0)*0.475*44/12</f>
        <v>1.5149861581713537E-2</v>
      </c>
      <c r="BS54" s="22">
        <f t="shared" si="9"/>
        <v>10.216656552219382</v>
      </c>
      <c r="BT54" s="75">
        <f>('Scénario référence'!$F$8+'Scénario référence'!$F$9+'Scénario référence'!$B$17+'Scénario référence'!$B$9+'Scénario référence'!$B$10)*70+IF((45+25*(1-EXP(-0.0175*A54)))&lt;70,'Scénario référence'!$B$16*(45+25*(1-EXP(-0.0175*A54))),70*'Scénario référence'!$B$16)+IF((32+38*(1-EXP(-0.0175*A54)))&lt;70,'Scénario référence'!$B$18*(32+38*(1-EXP(-0.0175*A54))),70*'Scénario référence'!$B$18)</f>
        <v>70</v>
      </c>
      <c r="BU54" s="12">
        <f>IF(A54&gt;30,10,('Scénario référence'!$B$16+'Scénario référence'!$B$17+'Scénario référence'!$B$18+'Scénario référence'!$B$9+'Scénario référence'!$B$10)*A54*10/30+('Scénario référence'!$F$8+'Scénario référence'!$F$9)*10)</f>
        <v>10</v>
      </c>
      <c r="BV54" s="12" t="e">
        <f>VLOOKUP(A54,'Données projet'!$A$113:$I$133,2,0)</f>
        <v>#N/A</v>
      </c>
      <c r="BW54" s="12" t="e">
        <f>VLOOKUP(A54,'Données projet'!$A$113:$I$133,9,0)</f>
        <v>#N/A</v>
      </c>
      <c r="BX54" s="12">
        <f t="array" ref="BX54">INDEX(BW:BW,MIN(IF(ISNUMBER(BW54:BW250),ROW(BW54:BW250),"")))</f>
        <v>9.5</v>
      </c>
      <c r="BY54" s="12">
        <f>IF('Données projet'!$A$114&gt;35,BY53+BX54-CG53,IF(A54&lt;'Données projet'!$A$114,$BV$205^A54,IF(A54='Données projet'!$A$114,'Données projet'!$B$114,BY53+BX54-CG53)))</f>
        <v>254.49999999999977</v>
      </c>
      <c r="BZ54" s="13">
        <f>BY54*VLOOKUP('Données projet'!$B$12,Paramètres!$A$1:$I$89,3,0)*VLOOKUP('Données projet'!$B$12,Paramètres!$A$1:$I$89,5,0)</f>
        <v>145.57399999999987</v>
      </c>
      <c r="CA54" s="13">
        <f t="shared" si="39"/>
        <v>37.571014680591603</v>
      </c>
      <c r="CB54" s="20">
        <f t="shared" si="10"/>
        <v>318.97756723536349</v>
      </c>
      <c r="CC54" s="59">
        <f t="shared" si="11"/>
        <v>612.31090056869675</v>
      </c>
      <c r="CD54" s="59">
        <f ca="1">AVERAGE(OFFSET($CC$3,0,0,'Données projet'!$E$12+1,1))-AVERAGE(OFFSET($H$3,0,0,'Données projet'!$E$12+1,1))</f>
        <v>188.64374818906128</v>
      </c>
      <c r="CE54" s="59">
        <f t="shared" si="40"/>
        <v>211.95157880548652</v>
      </c>
      <c r="CF54" s="15">
        <f>IF(ISNA(VLOOKUP(A54,'Données projet'!$A$113:$I$133,3,0)),0,VLOOKUP(A54,'Données projet'!$A$113:$I$133,3,0))</f>
        <v>0</v>
      </c>
      <c r="CG54" s="15">
        <f>IF(ISNA(VLOOKUP(A54,'Données projet'!$A$113:$I$133,4,0)),0,VLOOKUP(A54,'Données projet'!$A$113:$I$133,4,0))</f>
        <v>0</v>
      </c>
      <c r="CH54" s="16">
        <f>IF(ISNA(VLOOKUP(A54,'Données projet'!$A$113:$I$133,5,0)),0%,VLOOKUP(A54,'Données projet'!$A$113:$I$133,5,0)*VLOOKUP('Données projet'!$B$12,Paramètres!$A$1:$I$89,7,0))</f>
        <v>0</v>
      </c>
      <c r="CI54" s="16">
        <f>IF(ISNA(VLOOKUP(A54,'Données projet'!$A$113:$I$133,6,0)),0%,VLOOKUP(A54,'Données projet'!$A$113:$I$133,6,0)*VLOOKUP('Données projet'!$B$12,Paramètres!$A$1:$I$89,7,0))</f>
        <v>0</v>
      </c>
      <c r="CJ54" s="16">
        <f>IF(ISNA(VLOOKUP(A54,'Données projet'!$A$113:$I$133,7,0)),0%,VLOOKUP(A54,'Données projet'!$A$113:$I$133,7,0))</f>
        <v>0</v>
      </c>
      <c r="CK54" s="21">
        <f>EXP(-LN(2)/35)*CK53+(1-EXP(-LN(2)/35))/(LN(2)/35)*CG54*CH54*VLOOKUP('Données projet'!$B$12,Paramètres!$A$1:$I$89,3,0)*0.475*44/12</f>
        <v>1.6220020472806014</v>
      </c>
      <c r="CL54" s="21">
        <f>EXP(-LN(2)/25)*CL53+(1-EXP(-LN(2)/25))/(LN(2)/25)*Calculateur!CG54*Calculateur!CI54*VLOOKUP('Données projet'!$B$12,Paramètres!$A$1:$I$89,3,0)*0.475*44/12</f>
        <v>8.0279976444118546</v>
      </c>
      <c r="CM54" s="21">
        <f>EXP(-LN(2)/2)*CM53+(1-EXP(-LN(2)/2))/(LN(2)/2)*CG54*CJ54*VLOOKUP('Données projet'!$B$12,Paramètres!$A$1:$I$89,3,0)*0.475*44/12</f>
        <v>1.4671455599115386E-2</v>
      </c>
      <c r="CN54" s="22">
        <f t="shared" si="12"/>
        <v>9.6646711472915712</v>
      </c>
      <c r="CO54" s="75">
        <f>('Scénario référence'!$F$8+'Scénario référence'!$F$9+'Scénario référence'!$B$17+'Scénario référence'!$B$9+'Scénario référence'!$B$10)*70+IF((45+25*(1-EXP(-0.0175*A54)))&lt;70,'Scénario référence'!$B$16*(45+25*(1-EXP(-0.0175*A54))),70*'Scénario référence'!$B$16)+IF((32+38*(1-EXP(-0.0175*A54)))&lt;70,'Scénario référence'!$B$18*(32+38*(1-EXP(-0.0175*A54))),70*'Scénario référence'!$B$18)</f>
        <v>70</v>
      </c>
      <c r="CP54" s="12">
        <f>IF(A54&gt;30,10,('Scénario référence'!$B$16+'Scénario référence'!$B$17+'Scénario référence'!$B$18+'Scénario référence'!$B$9+'Scénario référence'!$B$10)*A54*10/30+('Scénario référence'!$F$8+'Scénario référence'!$F$9)*10)</f>
        <v>10</v>
      </c>
      <c r="CQ54" s="12" t="e">
        <f>VLOOKUP(A54,'Données projet'!$A$139:$I$159,2,0)</f>
        <v>#N/A</v>
      </c>
      <c r="CR54" s="12" t="e">
        <f>VLOOKUP(A54,'Données projet'!$A$139:$I$159,9,0)</f>
        <v>#N/A</v>
      </c>
      <c r="CS54" s="12">
        <f t="array" ref="CS54">INDEX(CR:CR,MIN(IF(ISNUMBER(CR54:CR250),ROW(CR54:CR250),"")))</f>
        <v>0</v>
      </c>
      <c r="CT54" s="12">
        <f>IF('Données projet'!$A$140&gt;35,CT53+CS54-DB53,IF(A54&lt;'Données projet'!$A$140,$CQ$205^A54,IF(A54='Données projet'!$A$140,'Données projet'!$B$140,CT53+CS54-DB53)))</f>
        <v>0</v>
      </c>
      <c r="CU54" s="17" t="e">
        <f>CT54*VLOOKUP('Données projet'!$B$13,Paramètres!$A$1:$I$89,3,0)*VLOOKUP('Données projet'!$B$13,Paramètres!$A$1:$I$89,5,0)</f>
        <v>#N/A</v>
      </c>
      <c r="CV54" s="13" t="e">
        <f t="shared" si="41"/>
        <v>#N/A</v>
      </c>
      <c r="CW54" s="20" t="e">
        <f t="shared" si="13"/>
        <v>#N/A</v>
      </c>
      <c r="CX54" s="59" t="e">
        <f t="shared" si="14"/>
        <v>#N/A</v>
      </c>
      <c r="CY54" s="59" t="e">
        <f ca="1">AVERAGE(OFFSET($CX$3,0,0,'Données projet'!$E$13+1,1))-AVERAGE(OFFSET($H$3,0,0,'Données projet'!$E$13+1,1))</f>
        <v>#N/A</v>
      </c>
      <c r="CZ54" s="59" t="e">
        <f t="shared" si="42"/>
        <v>#N/A</v>
      </c>
      <c r="DA54" s="15">
        <f>IF(ISNA(VLOOKUP(A54,'Données projet'!$A$139:$I$159,3,0)),0,VLOOKUP(A54,'Données projet'!$A$139:$I$159,3,0))</f>
        <v>0</v>
      </c>
      <c r="DB54" s="15">
        <f>IF(ISNA(VLOOKUP(A54,'Données projet'!$A$139:$I$159,4,0)),0,VLOOKUP(A54,'Données projet'!$A$139:$I$159,4,0))</f>
        <v>0</v>
      </c>
      <c r="DC54" s="16">
        <f>IF(ISNA(VLOOKUP(A54,'Données projet'!$A$139:$I$159,5,0)),0%,VLOOKUP(A54,'Données projet'!$A$139:$I$159,5,0)*VLOOKUP('Données projet'!$B$13,Paramètres!$A$1:$I$89,7,0))</f>
        <v>0</v>
      </c>
      <c r="DD54" s="16">
        <f>IF(ISNA(VLOOKUP(A54,'Données projet'!$A$139:$I$159,6,0)),0%,VLOOKUP(A54,'Données projet'!$A$139:$I$159,6,0)*VLOOKUP('Données projet'!$B$13,Paramètres!$A$1:$I$89,7,0))</f>
        <v>0</v>
      </c>
      <c r="DE54" s="16">
        <f>IF(ISNA(VLOOKUP(A54,'Données projet'!$A$139:$I$159,7,0)),0%,VLOOKUP(A54,'Données projet'!$A$139:$I$159,7,0))</f>
        <v>0</v>
      </c>
      <c r="DF54" s="21" t="e">
        <f>EXP(-LN(2)/35)*DF53+(1-EXP(-LN(2)/35))/(LN(2)/35)*DB54*DC54*VLOOKUP('Données projet'!$B$13,Paramètres!$A$1:$I$89,3,0)*0.475*44/12</f>
        <v>#N/A</v>
      </c>
      <c r="DG54" s="21" t="e">
        <f>EXP(-LN(2)/25)*DG53+(1-EXP(-LN(2)/25))/(LN(2)/25)*Calculateur!DB54*Calculateur!DD54*VLOOKUP('Données projet'!$B$13,Paramètres!$A$1:$I$89,3,0)*0.475*44/12</f>
        <v>#N/A</v>
      </c>
      <c r="DH54" s="21" t="e">
        <f>EXP(-LN(2)/2)*DH53+(1-EXP(-LN(2)/2))/(LN(2)/2)*DB54*DE54*VLOOKUP('Données projet'!$B$13,Paramètres!$A$1:$I$89,3,0)*0.475*44/12</f>
        <v>#N/A</v>
      </c>
      <c r="DI54" s="22" t="e">
        <f t="shared" si="15"/>
        <v>#N/A</v>
      </c>
      <c r="DJ54" s="75">
        <f>('Scénario référence'!$F$8+'Scénario référence'!$F$9+'Scénario référence'!$B$17+'Scénario référence'!$B$9+'Scénario référence'!$B$10)*70+IF((45+25*(1-EXP(-0.0175*A54)))&lt;70,'Scénario référence'!$B$16*(45+25*(1-EXP(-0.0175*A54))),70*'Scénario référence'!$B$16)+IF((32+38*(1-EXP(-0.0175*A54)))&lt;70,'Scénario référence'!$B$18*(32+38*(1-EXP(-0.0175*A54))),70*'Scénario référence'!$B$18)</f>
        <v>70</v>
      </c>
      <c r="DK54" s="12">
        <f>IF(A54&gt;30,10,('Scénario référence'!$B$16+'Scénario référence'!$B$17+'Scénario référence'!$B$18+'Scénario référence'!$B$9+'Scénario référence'!$B$10)*A54*10/30+('Scénario référence'!$F$8+'Scénario référence'!$F$9)*10)</f>
        <v>10</v>
      </c>
      <c r="DL54" s="12" t="e">
        <f>VLOOKUP(A54,'Données projet'!$A$165:$I$185,2,0)</f>
        <v>#N/A</v>
      </c>
      <c r="DM54" s="12" t="e">
        <f>VLOOKUP(A54,'Données projet'!$A$165:$I$185,9,0)</f>
        <v>#N/A</v>
      </c>
      <c r="DN54" s="12">
        <f t="array" ref="DN54">INDEX(DM:DM,MIN(IF(ISNUMBER(DM54:DM250),ROW(DM54:DM250),"")))</f>
        <v>6.6</v>
      </c>
      <c r="DO54" s="12">
        <f>IF('Données projet'!$A$166&gt;35,DO53+DN54-DW53,IF(A54&lt;'Données projet'!$A$166,$DL$205^A54,IF(A54='Données projet'!$A$166,'Données projet'!$B$166,DO53+DN54-DW53)))</f>
        <v>225.60000000000002</v>
      </c>
      <c r="DP54" s="17">
        <f>DO54*VLOOKUP('Données projet'!$B$14,Paramètres!$A$1:$I$89,3,0)*VLOOKUP('Données projet'!$B$14,Paramètres!$A$1:$I$89,5,0)</f>
        <v>147.81312000000003</v>
      </c>
      <c r="DQ54" s="13">
        <f t="shared" si="43"/>
        <v>38.081185298782486</v>
      </c>
      <c r="DR54" s="20">
        <f t="shared" si="16"/>
        <v>323.76591506204619</v>
      </c>
      <c r="DS54" s="59">
        <f t="shared" si="17"/>
        <v>617.0992483953795</v>
      </c>
      <c r="DT54" s="59">
        <f ca="1">AVERAGE(OFFSET($DS$3,0,0,'Données projet'!$E$14+1,1))-AVERAGE(OFFSET($H$3,0,0,'Données projet'!$E$14+1,1))</f>
        <v>188.68915783955595</v>
      </c>
      <c r="DU54" s="59">
        <f t="shared" si="44"/>
        <v>240.82467772396944</v>
      </c>
      <c r="DV54" s="15">
        <f>IF(ISNA(VLOOKUP(A54,'Données projet'!$A$165:$I$185,3,0)),0,VLOOKUP(A54,'Données projet'!$A$165:$I$185,3,0))</f>
        <v>0</v>
      </c>
      <c r="DW54" s="15">
        <f>IF(ISNA(VLOOKUP(A54,'Données projet'!$A$165:$I$185,4,0)),0,VLOOKUP(A54,'Données projet'!$A$165:$I$185,4,0))</f>
        <v>0</v>
      </c>
      <c r="DX54" s="16">
        <f>IF(ISNA(VLOOKUP(A54,'Données projet'!$A$165:$I$185,5,0)),0%,VLOOKUP(A54,'Données projet'!$A$165:$I$185,5,0)*VLOOKUP('Données projet'!$B$14,Paramètres!$A$1:$I$89,7,0))</f>
        <v>0</v>
      </c>
      <c r="DY54" s="16">
        <f>IF(ISNA(VLOOKUP(A54,'Données projet'!$A$165:$I$185,6,0)),0%,VLOOKUP(A54,'Données projet'!$A$165:$I$185,6,0)*VLOOKUP('Données projet'!$B$14,Paramètres!$A$1:$I$89,7,0))</f>
        <v>0</v>
      </c>
      <c r="DZ54" s="16">
        <f>IF(ISNA(VLOOKUP(A54,'Données projet'!$A$165:$I$185,7,0)),0%,VLOOKUP(A54,'Données projet'!$A$165:$I$185,7,0))</f>
        <v>0</v>
      </c>
      <c r="EA54" s="21">
        <f>EXP(-LN(2)/35)*EA53+(1-EXP(-LN(2)/35))/(LN(2)/35)*DW54*DX54*VLOOKUP('Données projet'!$B$14,Paramètres!$A$1:$I$89,3,0)*0.475*44/12</f>
        <v>1.027404495436576</v>
      </c>
      <c r="EB54" s="21">
        <f>EXP(-LN(2)/25)*EB53+(1-EXP(-LN(2)/25))/(LN(2)/25)*Calculateur!DW54*Calculateur!DY54*VLOOKUP('Données projet'!$B$14,Paramètres!$A$1:$I$89,3,0)*0.475*44/12</f>
        <v>4.4903933441895196</v>
      </c>
      <c r="EC54" s="21">
        <f>EXP(-LN(2)/2)*EC53+(1-EXP(-LN(2)/2))/(LN(2)/2)*DW54*DZ54*VLOOKUP('Données projet'!$B$14,Paramètres!$A$1:$I$89,3,0)*0.475*44/12</f>
        <v>9.6649951165044736E-3</v>
      </c>
      <c r="ED54" s="22">
        <f t="shared" si="18"/>
        <v>5.5274628347426003</v>
      </c>
      <c r="EE54" s="75">
        <f>('Scénario référence'!$F$8+'Scénario référence'!$F$9+'Scénario référence'!$B$17+'Scénario référence'!$B$9+'Scénario référence'!$B$10)*70+IF((45+25*(1-EXP(-0.0175*A54)))&lt;70,'Scénario référence'!$B$16*(45+25*(1-EXP(-0.0175*A54))),70*'Scénario référence'!$B$16)+IF((32+38*(1-EXP(-0.0175*A54)))&lt;70,'Scénario référence'!$B$18*(32+38*(1-EXP(-0.0175*A54))),70*'Scénario référence'!$B$18)</f>
        <v>70</v>
      </c>
      <c r="EF54" s="12">
        <f>IF(A54&gt;30,10,('Scénario référence'!$B$16+'Scénario référence'!$B$17+'Scénario référence'!$B$18+'Scénario référence'!$B$9+'Scénario référence'!$B$10)*A54*10/30+('Scénario référence'!$F$8+'Scénario référence'!$F$9)*10)</f>
        <v>10</v>
      </c>
      <c r="EG54" s="12" t="e">
        <f>VLOOKUP(A54,'Données projet'!$A$191:$I$211,2,0)</f>
        <v>#N/A</v>
      </c>
      <c r="EH54" s="12" t="e">
        <f>VLOOKUP(A54,'Données projet'!$A$191:$I$211,9,0)</f>
        <v>#N/A</v>
      </c>
      <c r="EI54" s="12">
        <f t="array" ref="EI54">INDEX(EH:EH,MIN(IF(ISNUMBER(EH54:EH250),ROW(EH54:EH250),"")))</f>
        <v>6.4</v>
      </c>
      <c r="EJ54" s="12">
        <f>IF('Données projet'!$A$192&gt;35,EJ53+EI54-ER53,IF(A54&lt;'Données projet'!$A$192,$EG$205^A54,IF(A54='Données projet'!$A$192,'Données projet'!$B$192,EJ53+EI54-ER53)))</f>
        <v>192.39999999999992</v>
      </c>
      <c r="EK54" s="17">
        <f>EJ54*VLOOKUP('Données projet'!$B$15,Paramètres!$A$1:$I$89,3,0)*VLOOKUP('Données projet'!$B$15,Paramètres!$A$1:$I$89,5,0)</f>
        <v>156.07487999999995</v>
      </c>
      <c r="EL54" s="13">
        <f t="shared" si="45"/>
        <v>39.955917913584059</v>
      </c>
      <c r="EM54" s="20">
        <f t="shared" si="19"/>
        <v>341.42030636615885</v>
      </c>
      <c r="EN54" s="59">
        <f t="shared" si="20"/>
        <v>634.75363969949217</v>
      </c>
      <c r="EO54" s="59">
        <f ca="1">AVERAGE(OFFSET($EN$3,0,0,'Données projet'!$E$15+1,1))-AVERAGE(OFFSET($H$3,0,0,'Données projet'!$E$15+1,1))</f>
        <v>205.5272583787887</v>
      </c>
      <c r="EP54" s="59">
        <f t="shared" si="46"/>
        <v>180.54762778843178</v>
      </c>
      <c r="EQ54" s="15">
        <f>IF(ISNA(VLOOKUP(A54,'Données projet'!$A$191:$I$211,3,0)),0,VLOOKUP(A54,'Données projet'!$A$191:$I$211,3,0))</f>
        <v>0</v>
      </c>
      <c r="ER54" s="15">
        <f>IF(ISNA(VLOOKUP(A54,'Données projet'!$A$191:$I$211,4,0)),0,VLOOKUP(A54,'Données projet'!$A$191:$I$211,4,0))</f>
        <v>0</v>
      </c>
      <c r="ES54" s="16">
        <f>IF(ISNA(VLOOKUP(A54,'Données projet'!$A$191:$I$211,5,0)),0%,VLOOKUP(A54,'Données projet'!$A$191:$I$211,5,0)*VLOOKUP('Données projet'!$B$15,Paramètres!$A$1:$I$89,7,0))</f>
        <v>0</v>
      </c>
      <c r="ET54" s="16">
        <f>IF(ISNA(VLOOKUP(A54,'Données projet'!$A$191:$I$211,6,0)),0%,VLOOKUP(A54,'Données projet'!$A$191:$I$211,6,0)*VLOOKUP('Données projet'!$B$15,Paramètres!$A$1:$I$89,7,0))</f>
        <v>0</v>
      </c>
      <c r="EU54" s="16">
        <f>IF(ISNA(VLOOKUP(A54,'Données projet'!$A$191:$I$211,7,0)),0%,VLOOKUP(A54,'Données projet'!$A$191:$I$211,7,0))</f>
        <v>0</v>
      </c>
      <c r="EV54" s="21">
        <f>EXP(-LN(2)/35)*EV53+(1-EXP(-LN(2)/35))/(LN(2)/35)*ER54*ES54*VLOOKUP('Données projet'!$B$15,Paramètres!$A$1:$I$89,3,0)*0.475*44/12</f>
        <v>0.6614527989667861</v>
      </c>
      <c r="EW54" s="21">
        <f>EXP(-LN(2)/25)*EW53+(1-EXP(-LN(2)/25))/(LN(2)/25)*Calculateur!ER54*Calculateur!ET54*VLOOKUP('Données projet'!$B$15,Paramètres!$A$1:$I$89,3,0)*0.475*44/12</f>
        <v>3.2422002149196159</v>
      </c>
      <c r="EX54" s="21">
        <f>EXP(-LN(2)/2)*EX53+(1-EXP(-LN(2)/2))/(LN(2)/2)*ER54*EU54*VLOOKUP('Données projet'!$B$15,Paramètres!$A$1:$I$89,3,0)*0.475*44/12</f>
        <v>6.2580914844873161E-3</v>
      </c>
      <c r="EY54" s="22">
        <f t="shared" si="21"/>
        <v>3.9099111053708895</v>
      </c>
      <c r="EZ54" s="75">
        <f>('Scénario référence'!$F$8+'Scénario référence'!$F$9+'Scénario référence'!$B$17+'Scénario référence'!$B$9+'Scénario référence'!$B$10)*70+IF((45+25*(1-EXP(-0.0175*A54)))&lt;70,'Scénario référence'!$B$16*(45+25*(1-EXP(-0.0175*A54))),70*'Scénario référence'!$B$16)+IF((32+38*(1-EXP(-0.0175*A54)))&lt;70,'Scénario référence'!$B$18*(32+38*(1-EXP(-0.0175*A54))),70*'Scénario référence'!$B$18)</f>
        <v>70</v>
      </c>
      <c r="FA54" s="12">
        <f>IF(A54&gt;30,10,('Scénario référence'!$B$16+'Scénario référence'!$B$17+'Scénario référence'!$B$18+'Scénario référence'!$B$9+'Scénario référence'!$B$10)*A54*10/30+('Scénario référence'!$F$8+'Scénario référence'!$F$9)*10)</f>
        <v>10</v>
      </c>
      <c r="FB54" s="12" t="e">
        <f>VLOOKUP(A54,'Données projet'!$A$217:$I$237,2,0)</f>
        <v>#N/A</v>
      </c>
      <c r="FC54" s="12" t="e">
        <f>VLOOKUP(A54,'Données projet'!$A$217:$I$237,9,0)</f>
        <v>#N/A</v>
      </c>
      <c r="FD54" s="12">
        <f t="array" ref="FD54">INDEX(FC:FC,MIN(IF(ISNUMBER(FC54:FC250),ROW(FC54:FC250),"")))</f>
        <v>13.4</v>
      </c>
      <c r="FE54" s="12">
        <f>IF('Données projet'!$A$218&gt;35,FE53+FD54-FM53,IF(A54&lt;'Données projet'!$A$218,$FB$205^A54,IF(A54='Données projet'!$A$218,'Données projet'!$B$218,FE53+FD54-FM53)))</f>
        <v>212.40000000000003</v>
      </c>
      <c r="FF54" s="17">
        <f>FE54*VLOOKUP('Données projet'!$B$16,Paramètres!$A$1:$I$89,3,0)*VLOOKUP('Données projet'!$B$16,Paramètres!$A$1:$I$89,5,0)</f>
        <v>182.23920000000004</v>
      </c>
      <c r="FG54" s="13">
        <f t="shared" si="47"/>
        <v>45.820007883742761</v>
      </c>
      <c r="FH54" s="20">
        <f t="shared" si="22"/>
        <v>397.20312039751872</v>
      </c>
      <c r="FI54" s="59">
        <f t="shared" si="23"/>
        <v>690.53645373085203</v>
      </c>
      <c r="FJ54" s="59">
        <f ca="1">AVERAGE(OFFSET($FI$3,0,0,'Données projet'!$E$16+1,1))-AVERAGE(OFFSET($H$3,0,0,'Données projet'!$E$16+1,1))</f>
        <v>383.97627237444709</v>
      </c>
      <c r="FK54" s="59">
        <f t="shared" si="48"/>
        <v>203.35476578922339</v>
      </c>
      <c r="FL54" s="15">
        <f>IF(ISNA(VLOOKUP(A54,'Données projet'!$A$217:$I$237,3,0)),0,VLOOKUP(A54,'Données projet'!$A$217:$I$237,3,0))</f>
        <v>0</v>
      </c>
      <c r="FM54" s="15">
        <f>IF(ISNA(VLOOKUP(A54,'Données projet'!$A$217:$I$237,4,0)),0,VLOOKUP(A54,'Données projet'!$A$217:$I$237,4,0))</f>
        <v>0</v>
      </c>
      <c r="FN54" s="16">
        <f>IF(ISNA(VLOOKUP(A54,'Données projet'!$A$217:$I$237,5,0)),0%,VLOOKUP(A54,'Données projet'!$A$217:$I$237,5,0)*VLOOKUP('Données projet'!$B$16,Paramètres!$A$1:$I$89,7,0))</f>
        <v>0</v>
      </c>
      <c r="FO54" s="16">
        <f>IF(ISNA(VLOOKUP(A54,'Données projet'!$A$217:$I$237,6,0)),0%,VLOOKUP(A54,'Données projet'!$A$217:$I$237,6,0)*VLOOKUP('Données projet'!$B$16,Paramètres!$A$1:$I$89,7,0))</f>
        <v>0</v>
      </c>
      <c r="FP54" s="16">
        <f>IF(ISNA(VLOOKUP(A54,'Données projet'!$A$217:$I$237,7,0)),0%,VLOOKUP(A54,'Données projet'!$A$217:$I$237,7,0))</f>
        <v>0</v>
      </c>
      <c r="FQ54" s="21">
        <f>EXP(-LN(2)/35)*FQ53+(1-EXP(-LN(2)/35))/(LN(2)/35)*FM54*FN54*VLOOKUP('Données projet'!$B$16,Paramètres!$A$1:$I$89,3,0)*0.475*44/12</f>
        <v>3.3995085346650744</v>
      </c>
      <c r="FR54" s="21">
        <f>EXP(-LN(2)/25)*FR53+(1-EXP(-LN(2)/25))/(LN(2)/25)*Calculateur!FM54*Calculateur!FO54*VLOOKUP('Données projet'!$B$16,Paramètres!$A$1:$I$89,3,0)*0.475*44/12</f>
        <v>3.2911683313838109</v>
      </c>
      <c r="FS54" s="21">
        <f>EXP(-LN(2)/2)*FS53+(1-EXP(-LN(2)/2))/(LN(2)/2)*FM54*FP54*VLOOKUP('Données projet'!$B$16,Paramètres!$A$1:$I$89,3,0)*0.475*44/12</f>
        <v>1.1494829710680502E-2</v>
      </c>
      <c r="FT54" s="22">
        <f t="shared" si="24"/>
        <v>6.7021716957595663</v>
      </c>
      <c r="FU54" s="75">
        <f>('Scénario référence'!$F$8+'Scénario référence'!$F$9+'Scénario référence'!$B$17+'Scénario référence'!$B$9+'Scénario référence'!$B$10)*70+IF((45+25*(1-EXP(-0.0175*A54)))&lt;70,'Scénario référence'!$B$16*(45+25*(1-EXP(-0.0175*A54))),70*'Scénario référence'!$B$16)+IF((32+38*(1-EXP(-0.0175*A54)))&lt;70,'Scénario référence'!$B$18*(32+38*(1-EXP(-0.0175*A54))),70*'Scénario référence'!$B$18)</f>
        <v>70</v>
      </c>
      <c r="FV54" s="12">
        <f>IF(A54&gt;30,10,('Scénario référence'!$B$16+'Scénario référence'!$B$17+'Scénario référence'!$B$18+'Scénario référence'!$B$9+'Scénario référence'!$B$10)*A54*10/30+('Scénario référence'!$F$8+'Scénario référence'!$F$9)*10)</f>
        <v>10</v>
      </c>
      <c r="FW54" s="12" t="e">
        <f>VLOOKUP(A54,'Données projet'!$A$243:$I$263,2,0)</f>
        <v>#N/A</v>
      </c>
      <c r="FX54" s="12" t="e">
        <f>VLOOKUP(A54,'Données projet'!$A$243:$I$263,9,0)</f>
        <v>#N/A</v>
      </c>
      <c r="FY54" s="12">
        <f t="array" ref="FY54">INDEX(FX:FX,MIN(IF(ISNUMBER(FX54:FX250),ROW(FX54:FX250),"")))</f>
        <v>8.8736263736263741</v>
      </c>
      <c r="FZ54" s="12">
        <f>IF('Données projet'!$A$244&gt;35,FZ53+FY54-GH53,IF(A54&lt;'Données projet'!$A$244,$FW$205^A54,IF(A54='Données projet'!$A$244,'Données projet'!$B$244,FZ53+FY54-GH53)))</f>
        <v>162.94780219780222</v>
      </c>
      <c r="GA54" s="17">
        <f>FZ54*VLOOKUP('Données projet'!$B$17,Paramètres!$A$1:$I$89,3,0)*VLOOKUP('Données projet'!$B$17,Paramètres!$A$1:$I$89,5,0)</f>
        <v>175.39701428571431</v>
      </c>
      <c r="GB54" s="13">
        <f t="shared" si="49"/>
        <v>44.296567810404312</v>
      </c>
      <c r="GC54" s="20">
        <f t="shared" si="25"/>
        <v>382.63298881740661</v>
      </c>
      <c r="GD54" s="59">
        <f t="shared" si="26"/>
        <v>675.96632215073987</v>
      </c>
      <c r="GE54" s="59">
        <f ca="1">AVERAGE(OFFSET($GD$3,0,0,'Données projet'!$E$17+1,1))-AVERAGE(OFFSET($H$3,0,0,'Données projet'!$E$17+1,1))</f>
        <v>286.77702855541287</v>
      </c>
      <c r="GF54" s="59">
        <f t="shared" si="50"/>
        <v>227.12211541860779</v>
      </c>
      <c r="GG54" s="15">
        <f>IF(ISNA(VLOOKUP(A54,'Données projet'!$A$243:$I$263,3,0)),0,VLOOKUP(A54,'Données projet'!$A$243:$I$263,3,0))</f>
        <v>0</v>
      </c>
      <c r="GH54" s="15">
        <f>IF(ISNA(VLOOKUP(A54,'Données projet'!$A$243:$I$263,4,0)),0,VLOOKUP(A54,'Données projet'!$A$243:$I$263,4,0))</f>
        <v>0</v>
      </c>
      <c r="GI54" s="16">
        <f>IF(ISNA(VLOOKUP(A54,'Données projet'!$A$243:$I$263,5,0)),0%,VLOOKUP(A54,'Données projet'!$A$243:$I$263,5,0)*VLOOKUP('Données projet'!$B$17,Paramètres!$A$1:$I$89,7,0))</f>
        <v>0</v>
      </c>
      <c r="GJ54" s="16">
        <f>IF(ISNA(VLOOKUP(A54,'Données projet'!$A$243:$I$263,6,0)),0%,VLOOKUP(A54,'Données projet'!$A$243:$I$263,6,0)*VLOOKUP('Données projet'!$B$17,Paramètres!$A$1:$I$89,7,0))</f>
        <v>0</v>
      </c>
      <c r="GK54" s="16">
        <f>IF(ISNA(VLOOKUP(A54,'Données projet'!$A$243:$I$263,7,0)),0%,VLOOKUP(A54,'Données projet'!$A$243:$I$263,7,0))</f>
        <v>0</v>
      </c>
      <c r="GL54" s="21">
        <f>EXP(-LN(2)/35)*GL53+(1-EXP(-LN(2)/35))/(LN(2)/35)*GH54*GI54*VLOOKUP('Données projet'!$B$17,Paramètres!$A$1:$I$89,3,0)*0.475*44/12</f>
        <v>0</v>
      </c>
      <c r="GM54" s="21">
        <f>EXP(-LN(2)/25)*GM53+(1-EXP(-LN(2)/25))/(LN(2)/25)*Calculateur!GH54*Calculateur!GJ54*VLOOKUP('Données projet'!$B$17,Paramètres!$A$1:$I$89,3,0)*0.475*44/12</f>
        <v>0</v>
      </c>
      <c r="GN54" s="21">
        <f>EXP(-LN(2)/2)*GN53+(1-EXP(-LN(2)/2))/(LN(2)/2)*GH54*GK54*VLOOKUP('Données projet'!$B$17,Paramètres!$A$1:$I$89,3,0)*0.475*44/12</f>
        <v>0</v>
      </c>
      <c r="GO54" s="21">
        <f t="shared" si="27"/>
        <v>0</v>
      </c>
      <c r="GP54" s="75">
        <f>('Scénario référence'!$F$8+'Scénario référence'!$F$9+'Scénario référence'!$B$17+'Scénario référence'!$B$9+'Scénario référence'!$B$10)*70+IF((45+25*(1-EXP(-0.0175*A54)))&lt;70,'Scénario référence'!$B$16*(45+25*(1-EXP(-0.0175*A54))),70*'Scénario référence'!$B$16)+IF((32+38*(1-EXP(-0.0175*A54)))&lt;70,'Scénario référence'!$B$18*(32+38*(1-EXP(-0.0175*A54))),70*'Scénario référence'!$B$18)</f>
        <v>70</v>
      </c>
      <c r="GQ54" s="12">
        <f>IF(A54&gt;30,10,('Scénario référence'!$B$16+'Scénario référence'!$B$17+'Scénario référence'!$B$18+'Scénario référence'!$B$9+'Scénario référence'!$B$10)*A54*10/30+('Scénario référence'!$F$8+'Scénario référence'!$F$9)*10)</f>
        <v>10</v>
      </c>
      <c r="GR54" s="12" t="e">
        <f>VLOOKUP(A54,'Données projet'!$A$269:$I$289,2,0)</f>
        <v>#N/A</v>
      </c>
      <c r="GS54" s="12" t="e">
        <f>VLOOKUP(A54,'Données projet'!$A$269:$I$289,9,0)</f>
        <v>#N/A</v>
      </c>
      <c r="GT54" s="12">
        <f t="array" ref="GT54">INDEX(GS:GS,MIN(IF(ISNUMBER(GS54:GS250),ROW(GS54:GS250),"")))</f>
        <v>8.8736263736263741</v>
      </c>
      <c r="GU54" s="12">
        <f>IF('Données projet'!$A$270&gt;35,GU53+GT54-HC53,IF(A54&lt;'Données projet'!$A$270,$GR$205^A54,IF(A54='Données projet'!$A$270,'Données projet'!$B$270,GU53+GT54-HC53)))</f>
        <v>162.94780219780222</v>
      </c>
      <c r="GV54" s="17">
        <f>GU54*VLOOKUP('Données projet'!$B$18,Paramètres!$A$1:$I$89,3,0)*VLOOKUP('Données projet'!$B$18,Paramètres!$A$1:$I$89,5,0)</f>
        <v>175.39701428571431</v>
      </c>
      <c r="GW54" s="13">
        <f t="shared" si="51"/>
        <v>44.296567810404312</v>
      </c>
      <c r="GX54" s="20">
        <f t="shared" si="28"/>
        <v>382.63298881740661</v>
      </c>
      <c r="GY54" s="59">
        <f t="shared" si="29"/>
        <v>675.96632215073987</v>
      </c>
      <c r="GZ54" s="59">
        <f ca="1">AVERAGE(OFFSET($GY$3,0,0,'Données projet'!$E$18+1,1))-AVERAGE(OFFSET($H$3,0,0,'Données projet'!$E$18+1,1))</f>
        <v>286.77702855541287</v>
      </c>
      <c r="HA54" s="59">
        <f t="shared" si="52"/>
        <v>227.12211541860779</v>
      </c>
      <c r="HB54" s="15">
        <f>IF(ISNA(VLOOKUP(A54,'Données projet'!$A$269:$I$289,3,0)),0,VLOOKUP(A54,'Données projet'!$A$269:$I$289,3,0))</f>
        <v>0</v>
      </c>
      <c r="HC54" s="15">
        <f>IF(ISNA(VLOOKUP(A54,'Données projet'!$A$269:$I$289,4,0)),0,VLOOKUP(A54,'Données projet'!$A$269:$I$289,4,0))</f>
        <v>0</v>
      </c>
      <c r="HD54" s="16">
        <f>IF(ISNA(VLOOKUP(A54,'Données projet'!$A$269:$I$289,5,0)),0%,VLOOKUP(A54,'Données projet'!$A$269:$I$289,5,0)*VLOOKUP('Données projet'!$B$18,Paramètres!$A$1:$I$89,7,0))</f>
        <v>0</v>
      </c>
      <c r="HE54" s="16">
        <f>IF(ISNA(VLOOKUP(A54,'Données projet'!$A$269:$I$289,6,0)),0%,VLOOKUP(A54,'Données projet'!$A$269:$I$289,6,0)*VLOOKUP('Données projet'!$B$18,Paramètres!$A$1:$I$89,7,0))</f>
        <v>0</v>
      </c>
      <c r="HF54" s="16">
        <f>IF(ISNA(VLOOKUP(A54,'Données projet'!$A$269:$I$289,7,0)),0%,VLOOKUP(A54,'Données projet'!$A$269:$I$289,7,0))</f>
        <v>0</v>
      </c>
      <c r="HG54" s="21">
        <f>EXP(-LN(2)/35)*HG53+(1-EXP(-LN(2)/35))/(LN(2)/35)*HC54*HD54*VLOOKUP('Données projet'!$B$18,Paramètres!$A$1:$I$89,3,0)*0.475*44/12</f>
        <v>0</v>
      </c>
      <c r="HH54" s="21">
        <f>EXP(-LN(2)/25)*HH53+(1-EXP(-LN(2)/25))/(LN(2)/25)*Calculateur!HC54*Calculateur!HE54*VLOOKUP('Données projet'!$B$18,Paramètres!$A$1:$I$89,3,0)*0.475*44/12</f>
        <v>0</v>
      </c>
      <c r="HI54" s="21">
        <f>EXP(-LN(2)/2)*HI53+(1-EXP(-LN(2)/2))/(LN(2)/2)*HC54*HF54*VLOOKUP('Données projet'!$B$18,Paramètres!$A$1:$I$89,3,0)*0.475*44/12</f>
        <v>0</v>
      </c>
      <c r="HJ54" s="22">
        <f t="shared" si="30"/>
        <v>0</v>
      </c>
    </row>
    <row r="55" spans="1:218" x14ac:dyDescent="0.25">
      <c r="A55" s="10">
        <f t="shared" si="31"/>
        <v>52</v>
      </c>
      <c r="B55" s="73">
        <f>'Scénario référence'!$B$16*5+'Scénario référence'!$B$17*0+'Scénario référence'!$B$18*5</f>
        <v>0</v>
      </c>
      <c r="C55" s="19">
        <f>Calculateur!C54+'Scénario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46.238400000000027</v>
      </c>
      <c r="D55" s="11">
        <f t="shared" si="32"/>
        <v>13.637932508790366</v>
      </c>
      <c r="E5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55" s="11">
        <f>IF(OR('Scénario référence'!$F$8&gt;0,'Scénario référence'!$F$9&gt;0),('Scénario référence'!$F$8+'Scénario référence'!$F$9)*10,0)</f>
        <v>10</v>
      </c>
      <c r="G55" s="11">
        <f>'Scénario référence'!$B$8*B55*44/12+'Scénario référence'!$B$9*(C55+D55)/0.475*44/12+'Scénario référence'!$B$10*(C55+D55)/0.475*44/12+'Scénario référence'!$F$8*(C55+D55)/0.475*44/12+'Scénario référence'!$F$9*(C55+D55)/0.475*44/12</f>
        <v>462.20326848890824</v>
      </c>
      <c r="H55" s="67">
        <f t="shared" si="1"/>
        <v>397.61794578614325</v>
      </c>
      <c r="I55" s="70">
        <f>('Scénario référence'!$F$8+'Scénario référence'!$F$9+'Scénario référence'!$B$17+'Scénario référence'!$B$9+'Scénario référence'!$B$10)*70+IF((45+25*(1-EXP(-0.0175*A55)))&lt;70,'Scénario référence'!$B$16*(45+25*(1-EXP(-0.0175*A55))),70*'Scénario référence'!$B$16)+IF((32+38*(1-EXP(-0.0175*A55)))&lt;70,'Scénario référence'!$B$18*(32+38*(1-EXP(-0.0175*A55))),70*'Scénario référence'!$B$18)</f>
        <v>70</v>
      </c>
      <c r="J55" s="13">
        <f>IF(A55&gt;30,10,('Scénario référence'!$B$16+'Scénario référence'!$B$17+'Scénario référence'!$B$18+'Scénario référence'!$B$9+'Scénario référence'!$B$10)*A55*10/30+('Scénario référence'!$F$8+'Scénario référence'!$F$9)*10)</f>
        <v>10</v>
      </c>
      <c r="K55" s="12" t="e">
        <f>VLOOKUP(A55,'Données projet'!$A$35:$I$55,2,0)</f>
        <v>#N/A</v>
      </c>
      <c r="L55" s="12" t="e">
        <f>VLOOKUP(A55,'Données projet'!$A$35:$I$55,9,0)</f>
        <v>#N/A</v>
      </c>
      <c r="M55" s="12">
        <f t="array" ref="M55">INDEX(L:L,MIN(IF(ISNUMBER(L55:L251),ROW(L55:L251),"")))</f>
        <v>20.507692307692299</v>
      </c>
      <c r="N55" s="13">
        <f>IF('Données projet'!$A$36&gt;35,N54+M55-V54,IF(A55&lt;'Données projet'!$A$36,$K$205^A55,IF(A55='Données projet'!$A$36,'Données projet'!$B$36,N54+M55-V54)))</f>
        <v>525.78461538461511</v>
      </c>
      <c r="O55" s="13">
        <f>N55*VLOOKUP('Données projet'!$B$9,Paramètres!$A$1:$I$89,3,0)*VLOOKUP('Données projet'!$B$9,Paramètres!$A$1:$I$89,5,0)</f>
        <v>293.91359999999986</v>
      </c>
      <c r="P55" s="13">
        <f t="shared" si="33"/>
        <v>69.899002171586702</v>
      </c>
      <c r="Q55" s="20">
        <f t="shared" si="53"/>
        <v>633.64028211551329</v>
      </c>
      <c r="R55" s="59">
        <f t="shared" si="0"/>
        <v>926.97361544884666</v>
      </c>
      <c r="S55" s="59">
        <f ca="1">AVERAGE(OFFSET($R$3,0,0,'Données projet'!$E$9+1,1))-AVERAGE(OFFSET($H$3,0,0,'Données projet'!$E$9+1,1))</f>
        <v>255.5374979188561</v>
      </c>
      <c r="T55" s="59">
        <f t="shared" si="34"/>
        <v>343.10418468620901</v>
      </c>
      <c r="U55" s="15">
        <f>IF(ISNA(VLOOKUP(A55,'Données projet'!$A$35:$I$55,3,0)),0,VLOOKUP(A55,'Données projet'!$A$35:$I$55,3,0))</f>
        <v>0</v>
      </c>
      <c r="V55" s="15">
        <f>IF(ISNA(VLOOKUP(A55,'Données projet'!$A$35:$I$55,4,0)),0,VLOOKUP(A55,'Données projet'!$A$35:$I$55,4,0))</f>
        <v>0</v>
      </c>
      <c r="W55" s="16">
        <f>IF(ISNA(VLOOKUP(A55,'Données projet'!$A$35:$I$55,5,0)),0%,VLOOKUP(A55,'Données projet'!$A$35:$I$55,5,0)*VLOOKUP('Données projet'!$B$9,Paramètres!$A$1:$I$89,7,0))</f>
        <v>0</v>
      </c>
      <c r="X55" s="16">
        <f>IF(ISNA(VLOOKUP(A55,'Données projet'!$A$35:$I$55,6,0)),0%,VLOOKUP(A55,'Données projet'!$A$35:$I$55,6,0)*VLOOKUP('Données projet'!$B$9,Paramètres!$A$1:$I$89,7,0))</f>
        <v>0</v>
      </c>
      <c r="Y55" s="16">
        <f>IF(ISNA(VLOOKUP(A55,'Données projet'!$A$35:$I$55,7,0)),0%,VLOOKUP(A55,'Données projet'!$A$35:$I$55,7,0))</f>
        <v>0</v>
      </c>
      <c r="Z55" s="21">
        <f>EXP(-LN(2)/35)*Z54+(1-EXP(-LN(2)/35))/(LN(2)/35)*V55*W55*VLOOKUP('Données projet'!$B$9,Paramètres!$A$1:$I$89,3,0)*0.475*44/12</f>
        <v>1.998689660869069</v>
      </c>
      <c r="AA55" s="21">
        <f>EXP(-LN(2)/25)*AA54+(1-EXP(-LN(2)/25))/(LN(2)/25)*Calculateur!V55*Calculateur!X55*VLOOKUP('Données projet'!$B$9,Paramètres!$A$1:$I$89,3,0)*0.475*44/12</f>
        <v>8.672285005906037</v>
      </c>
      <c r="AB55" s="21">
        <f>EXP(-LN(2)/2)*AB54+(1-EXP(-LN(2)/2))/(LN(2)/2)*V55*Y55*VLOOKUP('Données projet'!$B$9,Paramètres!$A$1:$I$89,3,0)*0.475*44/12</f>
        <v>8.2649027317093068E-4</v>
      </c>
      <c r="AC55" s="22">
        <f t="shared" si="3"/>
        <v>10.671801157048277</v>
      </c>
      <c r="AD55" s="13">
        <f>('Scénario référence'!$F$8+'Scénario référence'!$F$9+'Scénario référence'!$B$17+'Scénario référence'!$B$9+'Scénario référence'!$B$10)*70+IF((45+25*(1-EXP(-0.0175*A55)))&lt;70,'Scénario référence'!$B$16*(45+25*(1-EXP(-0.0175*A55))),70*'Scénario référence'!$B$16)+IF((32+38*(1-EXP(-0.0175*A55)))&lt;70,'Scénario référence'!$B$18*(32+38*(1-EXP(-0.0175*A55))),70*'Scénario référence'!$B$18)</f>
        <v>70</v>
      </c>
      <c r="AE55" s="13">
        <f>IF(A55&gt;30,10,('Scénario référence'!$B$16+'Scénario référence'!$B$17+'Scénario référence'!$B$18+'Scénario référence'!$B$9+'Scénario référence'!$B$10)*A55*10/30+('Scénario référence'!$F$8+'Scénario référence'!$F$9)*10)</f>
        <v>10</v>
      </c>
      <c r="AF55" s="12" t="e">
        <f>VLOOKUP(A55,'Données projet'!$A$61:$I$81,2,0)</f>
        <v>#N/A</v>
      </c>
      <c r="AG55" s="12" t="e">
        <f>VLOOKUP(A55,'Données projet'!$A$61:$I$81,9,0)</f>
        <v>#N/A</v>
      </c>
      <c r="AH55" s="12">
        <f t="array" ref="AH55">INDEX(AG:AG,MIN(IF(ISNUMBER(AG55:AG251),ROW(AG55:AG251),"")))</f>
        <v>10</v>
      </c>
      <c r="AI55" s="13">
        <f>IF('Données projet'!$A$62&gt;35,AI54+AH55-AQ54,IF(A55&lt;'Données projet'!$A$62,$AF$205^A55,IF(A55='Données projet'!$A$62,'Données projet'!$B$62,AI54+AH55-AQ54)))</f>
        <v>323.99999999999989</v>
      </c>
      <c r="AJ55" s="13">
        <f>AI55*VLOOKUP('Données projet'!$B$10,Paramètres!$A$1:$I$89,3,0)*VLOOKUP('Données projet'!$B$10,Paramètres!$A$1:$I$89,5,0)</f>
        <v>202.17599999999996</v>
      </c>
      <c r="AK55" s="13">
        <f t="shared" si="35"/>
        <v>50.22208506756467</v>
      </c>
      <c r="AL55" s="20">
        <f t="shared" si="4"/>
        <v>439.59333149267508</v>
      </c>
      <c r="AM55" s="59">
        <f t="shared" si="5"/>
        <v>732.92666482600839</v>
      </c>
      <c r="AN55" s="59">
        <f ca="1">AVERAGE(OFFSET($AM$3,0,0,'Données projet'!$E$10+1,1))-AVERAGE(OFFSET($H$3,0,0,'Données projet'!$E$10+1,1))</f>
        <v>261.78489480911571</v>
      </c>
      <c r="AO55" s="59">
        <f t="shared" si="36"/>
        <v>297.50513563712764</v>
      </c>
      <c r="AP55" s="15">
        <f>IF(ISNA(VLOOKUP(A55,'Données projet'!$A$61:$I$81,3,0)),0,VLOOKUP(A55,'Données projet'!$A$61:$I$81,3,0))</f>
        <v>0</v>
      </c>
      <c r="AQ55" s="15">
        <f>IF(ISNA(VLOOKUP(A55,'Données projet'!$A$61:$I$81,4,0)),0,VLOOKUP(A55,'Données projet'!$A$61:$I$81,4,0))</f>
        <v>0</v>
      </c>
      <c r="AR55" s="16">
        <f>IF(ISNA(VLOOKUP(A55,'Données projet'!$A$61:$I$81,5,0)),0%,VLOOKUP(A55,'Données projet'!$A$61:$I$81,5,0)*VLOOKUP('Données projet'!$B$10,Paramètres!$A$1:$I$89,7,0))</f>
        <v>0</v>
      </c>
      <c r="AS55" s="16">
        <f>IF(ISNA(VLOOKUP(A55,'Données projet'!$A$61:$I$81,6,0)),0%,VLOOKUP(A55,'Données projet'!$A$61:$I$81,6,0)*VLOOKUP('Données projet'!$B$10,Paramètres!$A$1:$I$89,7,0))</f>
        <v>0</v>
      </c>
      <c r="AT55" s="16">
        <f>IF(ISNA(VLOOKUP(A55,'Données projet'!$A$61:$I$81,7,0)),0%,VLOOKUP(A55,'Données projet'!$A$61:$I$81,7,0))</f>
        <v>0</v>
      </c>
      <c r="AU55" s="21">
        <f>EXP(-LN(2)/35)*AU54+(1-EXP(-LN(2)/35))/(LN(2)/35)*AQ55*AR55*VLOOKUP('Données projet'!$B$10,Paramètres!$A$1:$I$89,3,0)*0.475*44/12</f>
        <v>5.3970274110055403</v>
      </c>
      <c r="AV55" s="21">
        <f>EXP(-LN(2)/25)*AV54+(1-EXP(-LN(2)/25))/(LN(2)/25)*Calculateur!AQ55*Calculateur!AS55*VLOOKUP('Données projet'!$B$10,Paramètres!$A$1:$I$89,3,0)*0.475*44/12</f>
        <v>15.143578427146748</v>
      </c>
      <c r="AW55" s="21">
        <f>EXP(-LN(2)/2)*AW54+(1-EXP(-LN(2)/2))/(LN(2)/2)*AQ55*AT55*VLOOKUP('Données projet'!$B$10,Paramètres!$A$1:$I$89,3,0)*0.475*44/12</f>
        <v>1.1914644109820254E-2</v>
      </c>
      <c r="AX55" s="21">
        <f t="shared" si="6"/>
        <v>20.552520482262107</v>
      </c>
      <c r="AY55" s="74">
        <f>('Scénario référence'!$F$8+'Scénario référence'!$F$9+'Scénario référence'!$B$17+'Scénario référence'!$B$9+'Scénario référence'!$B$10)*70+IF((45+25*(1-EXP(-0.0175*A55)))&lt;70,'Scénario référence'!$B$16*(45+25*(1-EXP(-0.0175*A55))),70*'Scénario référence'!$B$16)+IF((32+38*(1-EXP(-0.0175*A55)))&lt;70,'Scénario référence'!$B$18*(32+38*(1-EXP(-0.0175*A55))),70*'Scénario référence'!$B$18)</f>
        <v>70</v>
      </c>
      <c r="AZ55" s="12">
        <f>IF(A55&gt;30,10,('Scénario référence'!$B$16+'Scénario référence'!$B$17+'Scénario référence'!$B$18+'Scénario référence'!$B$9+'Scénario référence'!$B$10)*A55*10/30+('Scénario référence'!$F$8+'Scénario référence'!$F$9)*10)</f>
        <v>10</v>
      </c>
      <c r="BA55" s="12" t="e">
        <f>VLOOKUP(A55,'Données projet'!$A$87:$I$107,2,0)</f>
        <v>#N/A</v>
      </c>
      <c r="BB55" s="12" t="e">
        <f>VLOOKUP(A55,'Données projet'!$A$87:$I$107,9,0)</f>
        <v>#N/A</v>
      </c>
      <c r="BC55" s="12">
        <f t="array" ref="BC55">INDEX(BB:BB,MIN(IF(ISNUMBER(BB55:BB251),ROW(BB55:BB251),"")))</f>
        <v>18</v>
      </c>
      <c r="BD55" s="12">
        <f>IF('Données projet'!$A$88&gt;35,BD54+BC55-BL54,IF(A55&lt;'Données projet'!$A$88,$BA$205^A55,IF(A55='Données projet'!$A$88,'Données projet'!$B$88,BD54+BC55-BL54)))</f>
        <v>363.99999999999972</v>
      </c>
      <c r="BE55" s="13">
        <f>BD55*VLOOKUP('Données projet'!$B$11,Paramètres!$A$1:$I$89,3,0)*VLOOKUP('Données projet'!$B$11,Paramètres!$A$1:$I$89,5,0)</f>
        <v>217.67199999999985</v>
      </c>
      <c r="BF55" s="13">
        <f t="shared" si="37"/>
        <v>53.60859357546002</v>
      </c>
      <c r="BG55" s="20">
        <f t="shared" si="7"/>
        <v>472.48036714392589</v>
      </c>
      <c r="BH55" s="59">
        <f t="shared" si="8"/>
        <v>765.8137004772592</v>
      </c>
      <c r="BI55" s="59">
        <f ca="1">AVERAGE(OFFSET($BH$3,0,0,'Données projet'!$E$11+1,1))-AVERAGE(OFFSET($H$3,0,0,'Données projet'!$E$11+1,1))</f>
        <v>316.58509520829671</v>
      </c>
      <c r="BJ55" s="59">
        <f t="shared" si="38"/>
        <v>240.71332110643596</v>
      </c>
      <c r="BK55" s="15">
        <f>IF(ISNA(VLOOKUP(A55,'Données projet'!$A$87:$I$107,3,0)),0,VLOOKUP(A55,'Données projet'!$A$87:$I$107,3,0))</f>
        <v>0</v>
      </c>
      <c r="BL55" s="15">
        <f>IF(ISNA(VLOOKUP(A55,'Données projet'!$A$87:$I$107,4,0)),0,VLOOKUP(A55,'Données projet'!$A$87:$I$107,4,0))</f>
        <v>0</v>
      </c>
      <c r="BM55" s="16">
        <f>IF(ISNA(VLOOKUP(A55,'Données projet'!$A$87:$I$107,5,0)),0%,VLOOKUP(A55,'Données projet'!$A$87:$I$107,5,0)*VLOOKUP('Données projet'!$B$11,Paramètres!$A$1:$I$89,7,0))</f>
        <v>0</v>
      </c>
      <c r="BN55" s="16">
        <f>IF(ISNA(VLOOKUP(A55,'Données projet'!$A$87:$I$107,6,0)),0%,VLOOKUP(A55,'Données projet'!$A$87:$I$107,6,0)*VLOOKUP('Données projet'!$B$11,Paramètres!$A$1:$I$89,7,0))</f>
        <v>0</v>
      </c>
      <c r="BO55" s="16">
        <f>IF(ISNA(VLOOKUP(A55,'Données projet'!$A$87:$I$107,7,0)),0%,VLOOKUP(A55,'Données projet'!$A$87:$I$107,7,0))</f>
        <v>0</v>
      </c>
      <c r="BP55" s="21">
        <f>EXP(-LN(2)/35)*BP54+(1-EXP(-LN(2)/35))/(LN(2)/35)*BL55*BM55*VLOOKUP('Données projet'!$B$11,Paramètres!$A$1:$I$89,3,0)*0.475*44/12</f>
        <v>1.6393872325468846</v>
      </c>
      <c r="BQ55" s="21">
        <f>EXP(-LN(2)/25)*BQ54+(1-EXP(-LN(2)/25))/(LN(2)/25)*Calculateur!BL55*Calculateur!BN55*VLOOKUP('Données projet'!$B$11,Paramètres!$A$1:$I$89,3,0)*0.475*44/12</f>
        <v>8.2960941228821596</v>
      </c>
      <c r="BR55" s="21">
        <f>EXP(-LN(2)/2)*BR54+(1-EXP(-LN(2)/2))/(LN(2)/2)*BL55*BO55*VLOOKUP('Données projet'!$B$11,Paramètres!$A$1:$I$89,3,0)*0.475*44/12</f>
        <v>1.0712569858467198E-2</v>
      </c>
      <c r="BS55" s="22">
        <f t="shared" si="9"/>
        <v>9.9461939252875116</v>
      </c>
      <c r="BT55" s="75">
        <f>('Scénario référence'!$F$8+'Scénario référence'!$F$9+'Scénario référence'!$B$17+'Scénario référence'!$B$9+'Scénario référence'!$B$10)*70+IF((45+25*(1-EXP(-0.0175*A55)))&lt;70,'Scénario référence'!$B$16*(45+25*(1-EXP(-0.0175*A55))),70*'Scénario référence'!$B$16)+IF((32+38*(1-EXP(-0.0175*A55)))&lt;70,'Scénario référence'!$B$18*(32+38*(1-EXP(-0.0175*A55))),70*'Scénario référence'!$B$18)</f>
        <v>70</v>
      </c>
      <c r="BU55" s="12">
        <f>IF(A55&gt;30,10,('Scénario référence'!$B$16+'Scénario référence'!$B$17+'Scénario référence'!$B$18+'Scénario référence'!$B$9+'Scénario référence'!$B$10)*A55*10/30+('Scénario référence'!$F$8+'Scénario référence'!$F$9)*10)</f>
        <v>10</v>
      </c>
      <c r="BV55" s="12" t="e">
        <f>VLOOKUP(A55,'Données projet'!$A$113:$I$133,2,0)</f>
        <v>#N/A</v>
      </c>
      <c r="BW55" s="12" t="e">
        <f>VLOOKUP(A55,'Données projet'!$A$113:$I$133,9,0)</f>
        <v>#N/A</v>
      </c>
      <c r="BX55" s="12">
        <f t="array" ref="BX55">INDEX(BW:BW,MIN(IF(ISNUMBER(BW55:BW251),ROW(BW55:BW251),"")))</f>
        <v>9.5</v>
      </c>
      <c r="BY55" s="12">
        <f>IF('Données projet'!$A$114&gt;35,BY54+BX55-CG54,IF(A55&lt;'Données projet'!$A$114,$BV$205^A55,IF(A55='Données projet'!$A$114,'Données projet'!$B$114,BY54+BX55-CG54)))</f>
        <v>263.99999999999977</v>
      </c>
      <c r="BZ55" s="13">
        <f>BY55*VLOOKUP('Données projet'!$B$12,Paramètres!$A$1:$I$89,3,0)*VLOOKUP('Données projet'!$B$12,Paramètres!$A$1:$I$89,5,0)</f>
        <v>151.00799999999987</v>
      </c>
      <c r="CA55" s="13">
        <f t="shared" si="39"/>
        <v>38.807567870348478</v>
      </c>
      <c r="CB55" s="20">
        <f t="shared" si="10"/>
        <v>330.59544737418997</v>
      </c>
      <c r="CC55" s="59">
        <f t="shared" si="11"/>
        <v>623.92878070752329</v>
      </c>
      <c r="CD55" s="59">
        <f ca="1">AVERAGE(OFFSET($CC$3,0,0,'Données projet'!$E$12+1,1))-AVERAGE(OFFSET($H$3,0,0,'Données projet'!$E$12+1,1))</f>
        <v>188.64374818906128</v>
      </c>
      <c r="CE55" s="59">
        <f t="shared" si="40"/>
        <v>211.95157880548652</v>
      </c>
      <c r="CF55" s="15">
        <f>IF(ISNA(VLOOKUP(A55,'Données projet'!$A$113:$I$133,3,0)),0,VLOOKUP(A55,'Données projet'!$A$113:$I$133,3,0))</f>
        <v>0</v>
      </c>
      <c r="CG55" s="15">
        <f>IF(ISNA(VLOOKUP(A55,'Données projet'!$A$113:$I$133,4,0)),0,VLOOKUP(A55,'Données projet'!$A$113:$I$133,4,0))</f>
        <v>0</v>
      </c>
      <c r="CH55" s="16">
        <f>IF(ISNA(VLOOKUP(A55,'Données projet'!$A$113:$I$133,5,0)),0%,VLOOKUP(A55,'Données projet'!$A$113:$I$133,5,0)*VLOOKUP('Données projet'!$B$12,Paramètres!$A$1:$I$89,7,0))</f>
        <v>0</v>
      </c>
      <c r="CI55" s="16">
        <f>IF(ISNA(VLOOKUP(A55,'Données projet'!$A$113:$I$133,6,0)),0%,VLOOKUP(A55,'Données projet'!$A$113:$I$133,6,0)*VLOOKUP('Données projet'!$B$12,Paramètres!$A$1:$I$89,7,0))</f>
        <v>0</v>
      </c>
      <c r="CJ55" s="16">
        <f>IF(ISNA(VLOOKUP(A55,'Données projet'!$A$113:$I$133,7,0)),0%,VLOOKUP(A55,'Données projet'!$A$113:$I$133,7,0))</f>
        <v>0</v>
      </c>
      <c r="CK55" s="21">
        <f>EXP(-LN(2)/35)*CK54+(1-EXP(-LN(2)/35))/(LN(2)/35)*CG55*CH55*VLOOKUP('Données projet'!$B$12,Paramètres!$A$1:$I$89,3,0)*0.475*44/12</f>
        <v>1.5901955764569899</v>
      </c>
      <c r="CL55" s="21">
        <f>EXP(-LN(2)/25)*CL54+(1-EXP(-LN(2)/25))/(LN(2)/25)*Calculateur!CG55*Calculateur!CI55*VLOOKUP('Données projet'!$B$12,Paramètres!$A$1:$I$89,3,0)*0.475*44/12</f>
        <v>7.8084716266513645</v>
      </c>
      <c r="CM55" s="21">
        <f>EXP(-LN(2)/2)*CM54+(1-EXP(-LN(2)/2))/(LN(2)/2)*CG55*CJ55*VLOOKUP('Données projet'!$B$12,Paramètres!$A$1:$I$89,3,0)*0.475*44/12</f>
        <v>1.0374285744011832E-2</v>
      </c>
      <c r="CN55" s="22">
        <f t="shared" si="12"/>
        <v>9.4090414888523668</v>
      </c>
      <c r="CO55" s="75">
        <f>('Scénario référence'!$F$8+'Scénario référence'!$F$9+'Scénario référence'!$B$17+'Scénario référence'!$B$9+'Scénario référence'!$B$10)*70+IF((45+25*(1-EXP(-0.0175*A55)))&lt;70,'Scénario référence'!$B$16*(45+25*(1-EXP(-0.0175*A55))),70*'Scénario référence'!$B$16)+IF((32+38*(1-EXP(-0.0175*A55)))&lt;70,'Scénario référence'!$B$18*(32+38*(1-EXP(-0.0175*A55))),70*'Scénario référence'!$B$18)</f>
        <v>70</v>
      </c>
      <c r="CP55" s="12">
        <f>IF(A55&gt;30,10,('Scénario référence'!$B$16+'Scénario référence'!$B$17+'Scénario référence'!$B$18+'Scénario référence'!$B$9+'Scénario référence'!$B$10)*A55*10/30+('Scénario référence'!$F$8+'Scénario référence'!$F$9)*10)</f>
        <v>10</v>
      </c>
      <c r="CQ55" s="12" t="e">
        <f>VLOOKUP(A55,'Données projet'!$A$139:$I$159,2,0)</f>
        <v>#N/A</v>
      </c>
      <c r="CR55" s="12" t="e">
        <f>VLOOKUP(A55,'Données projet'!$A$139:$I$159,9,0)</f>
        <v>#N/A</v>
      </c>
      <c r="CS55" s="12">
        <f t="array" ref="CS55">INDEX(CR:CR,MIN(IF(ISNUMBER(CR55:CR251),ROW(CR55:CR251),"")))</f>
        <v>0</v>
      </c>
      <c r="CT55" s="12">
        <f>IF('Données projet'!$A$140&gt;35,CT54+CS55-DB54,IF(A55&lt;'Données projet'!$A$140,$CQ$205^A55,IF(A55='Données projet'!$A$140,'Données projet'!$B$140,CT54+CS55-DB54)))</f>
        <v>0</v>
      </c>
      <c r="CU55" s="17" t="e">
        <f>CT55*VLOOKUP('Données projet'!$B$13,Paramètres!$A$1:$I$89,3,0)*VLOOKUP('Données projet'!$B$13,Paramètres!$A$1:$I$89,5,0)</f>
        <v>#N/A</v>
      </c>
      <c r="CV55" s="13" t="e">
        <f t="shared" si="41"/>
        <v>#N/A</v>
      </c>
      <c r="CW55" s="20" t="e">
        <f t="shared" si="13"/>
        <v>#N/A</v>
      </c>
      <c r="CX55" s="59" t="e">
        <f t="shared" si="14"/>
        <v>#N/A</v>
      </c>
      <c r="CY55" s="59" t="e">
        <f ca="1">AVERAGE(OFFSET($CX$3,0,0,'Données projet'!$E$13+1,1))-AVERAGE(OFFSET($H$3,0,0,'Données projet'!$E$13+1,1))</f>
        <v>#N/A</v>
      </c>
      <c r="CZ55" s="59" t="e">
        <f t="shared" si="42"/>
        <v>#N/A</v>
      </c>
      <c r="DA55" s="15">
        <f>IF(ISNA(VLOOKUP(A55,'Données projet'!$A$139:$I$159,3,0)),0,VLOOKUP(A55,'Données projet'!$A$139:$I$159,3,0))</f>
        <v>0</v>
      </c>
      <c r="DB55" s="15">
        <f>IF(ISNA(VLOOKUP(A55,'Données projet'!$A$139:$I$159,4,0)),0,VLOOKUP(A55,'Données projet'!$A$139:$I$159,4,0))</f>
        <v>0</v>
      </c>
      <c r="DC55" s="16">
        <f>IF(ISNA(VLOOKUP(A55,'Données projet'!$A$139:$I$159,5,0)),0%,VLOOKUP(A55,'Données projet'!$A$139:$I$159,5,0)*VLOOKUP('Données projet'!$B$13,Paramètres!$A$1:$I$89,7,0))</f>
        <v>0</v>
      </c>
      <c r="DD55" s="16">
        <f>IF(ISNA(VLOOKUP(A55,'Données projet'!$A$139:$I$159,6,0)),0%,VLOOKUP(A55,'Données projet'!$A$139:$I$159,6,0)*VLOOKUP('Données projet'!$B$13,Paramètres!$A$1:$I$89,7,0))</f>
        <v>0</v>
      </c>
      <c r="DE55" s="16">
        <f>IF(ISNA(VLOOKUP(A55,'Données projet'!$A$139:$I$159,7,0)),0%,VLOOKUP(A55,'Données projet'!$A$139:$I$159,7,0))</f>
        <v>0</v>
      </c>
      <c r="DF55" s="21" t="e">
        <f>EXP(-LN(2)/35)*DF54+(1-EXP(-LN(2)/35))/(LN(2)/35)*DB55*DC55*VLOOKUP('Données projet'!$B$13,Paramètres!$A$1:$I$89,3,0)*0.475*44/12</f>
        <v>#N/A</v>
      </c>
      <c r="DG55" s="21" t="e">
        <f>EXP(-LN(2)/25)*DG54+(1-EXP(-LN(2)/25))/(LN(2)/25)*Calculateur!DB55*Calculateur!DD55*VLOOKUP('Données projet'!$B$13,Paramètres!$A$1:$I$89,3,0)*0.475*44/12</f>
        <v>#N/A</v>
      </c>
      <c r="DH55" s="21" t="e">
        <f>EXP(-LN(2)/2)*DH54+(1-EXP(-LN(2)/2))/(LN(2)/2)*DB55*DE55*VLOOKUP('Données projet'!$B$13,Paramètres!$A$1:$I$89,3,0)*0.475*44/12</f>
        <v>#N/A</v>
      </c>
      <c r="DI55" s="22" t="e">
        <f t="shared" si="15"/>
        <v>#N/A</v>
      </c>
      <c r="DJ55" s="75">
        <f>('Scénario référence'!$F$8+'Scénario référence'!$F$9+'Scénario référence'!$B$17+'Scénario référence'!$B$9+'Scénario référence'!$B$10)*70+IF((45+25*(1-EXP(-0.0175*A55)))&lt;70,'Scénario référence'!$B$16*(45+25*(1-EXP(-0.0175*A55))),70*'Scénario référence'!$B$16)+IF((32+38*(1-EXP(-0.0175*A55)))&lt;70,'Scénario référence'!$B$18*(32+38*(1-EXP(-0.0175*A55))),70*'Scénario référence'!$B$18)</f>
        <v>70</v>
      </c>
      <c r="DK55" s="12">
        <f>IF(A55&gt;30,10,('Scénario référence'!$B$16+'Scénario référence'!$B$17+'Scénario référence'!$B$18+'Scénario référence'!$B$9+'Scénario référence'!$B$10)*A55*10/30+('Scénario référence'!$F$8+'Scénario référence'!$F$9)*10)</f>
        <v>10</v>
      </c>
      <c r="DL55" s="12" t="e">
        <f>VLOOKUP(A55,'Données projet'!$A$165:$I$185,2,0)</f>
        <v>#N/A</v>
      </c>
      <c r="DM55" s="12" t="e">
        <f>VLOOKUP(A55,'Données projet'!$A$165:$I$185,9,0)</f>
        <v>#N/A</v>
      </c>
      <c r="DN55" s="12">
        <f t="array" ref="DN55">INDEX(DM:DM,MIN(IF(ISNUMBER(DM55:DM251),ROW(DM55:DM251),"")))</f>
        <v>6.6</v>
      </c>
      <c r="DO55" s="12">
        <f>IF('Données projet'!$A$166&gt;35,DO54+DN55-DW54,IF(A55&lt;'Données projet'!$A$166,$DL$205^A55,IF(A55='Données projet'!$A$166,'Données projet'!$B$166,DO54+DN55-DW54)))</f>
        <v>232.20000000000002</v>
      </c>
      <c r="DP55" s="17">
        <f>DO55*VLOOKUP('Données projet'!$B$14,Paramètres!$A$1:$I$89,3,0)*VLOOKUP('Données projet'!$B$14,Paramètres!$A$1:$I$89,5,0)</f>
        <v>152.13744</v>
      </c>
      <c r="DQ55" s="13">
        <f t="shared" si="43"/>
        <v>39.063925813036093</v>
      </c>
      <c r="DR55" s="20">
        <f t="shared" si="16"/>
        <v>333.00904545770453</v>
      </c>
      <c r="DS55" s="59">
        <f t="shared" si="17"/>
        <v>626.34237879103785</v>
      </c>
      <c r="DT55" s="59">
        <f ca="1">AVERAGE(OFFSET($DS$3,0,0,'Données projet'!$E$14+1,1))-AVERAGE(OFFSET($H$3,0,0,'Données projet'!$E$14+1,1))</f>
        <v>188.68915783955595</v>
      </c>
      <c r="DU55" s="59">
        <f t="shared" si="44"/>
        <v>240.82467772396944</v>
      </c>
      <c r="DV55" s="15">
        <f>IF(ISNA(VLOOKUP(A55,'Données projet'!$A$165:$I$185,3,0)),0,VLOOKUP(A55,'Données projet'!$A$165:$I$185,3,0))</f>
        <v>0</v>
      </c>
      <c r="DW55" s="15">
        <f>IF(ISNA(VLOOKUP(A55,'Données projet'!$A$165:$I$185,4,0)),0,VLOOKUP(A55,'Données projet'!$A$165:$I$185,4,0))</f>
        <v>0</v>
      </c>
      <c r="DX55" s="16">
        <f>IF(ISNA(VLOOKUP(A55,'Données projet'!$A$165:$I$185,5,0)),0%,VLOOKUP(A55,'Données projet'!$A$165:$I$185,5,0)*VLOOKUP('Données projet'!$B$14,Paramètres!$A$1:$I$89,7,0))</f>
        <v>0</v>
      </c>
      <c r="DY55" s="16">
        <f>IF(ISNA(VLOOKUP(A55,'Données projet'!$A$165:$I$185,6,0)),0%,VLOOKUP(A55,'Données projet'!$A$165:$I$185,6,0)*VLOOKUP('Données projet'!$B$14,Paramètres!$A$1:$I$89,7,0))</f>
        <v>0</v>
      </c>
      <c r="DZ55" s="16">
        <f>IF(ISNA(VLOOKUP(A55,'Données projet'!$A$165:$I$185,7,0)),0%,VLOOKUP(A55,'Données projet'!$A$165:$I$185,7,0))</f>
        <v>0</v>
      </c>
      <c r="EA55" s="21">
        <f>EXP(-LN(2)/35)*EA54+(1-EXP(-LN(2)/35))/(LN(2)/35)*DW55*DX55*VLOOKUP('Données projet'!$B$14,Paramètres!$A$1:$I$89,3,0)*0.475*44/12</f>
        <v>1.0072577199359298</v>
      </c>
      <c r="EB55" s="21">
        <f>EXP(-LN(2)/25)*EB54+(1-EXP(-LN(2)/25))/(LN(2)/25)*Calculateur!DW55*Calculateur!DY55*VLOOKUP('Données projet'!$B$14,Paramètres!$A$1:$I$89,3,0)*0.475*44/12</f>
        <v>4.3676033020531344</v>
      </c>
      <c r="EC55" s="21">
        <f>EXP(-LN(2)/2)*EC54+(1-EXP(-LN(2)/2))/(LN(2)/2)*DW55*DZ55*VLOOKUP('Données projet'!$B$14,Paramètres!$A$1:$I$89,3,0)*0.475*44/12</f>
        <v>6.8341835870151793E-3</v>
      </c>
      <c r="ED55" s="22">
        <f t="shared" si="18"/>
        <v>5.3816952055760794</v>
      </c>
      <c r="EE55" s="75">
        <f>('Scénario référence'!$F$8+'Scénario référence'!$F$9+'Scénario référence'!$B$17+'Scénario référence'!$B$9+'Scénario référence'!$B$10)*70+IF((45+25*(1-EXP(-0.0175*A55)))&lt;70,'Scénario référence'!$B$16*(45+25*(1-EXP(-0.0175*A55))),70*'Scénario référence'!$B$16)+IF((32+38*(1-EXP(-0.0175*A55)))&lt;70,'Scénario référence'!$B$18*(32+38*(1-EXP(-0.0175*A55))),70*'Scénario référence'!$B$18)</f>
        <v>70</v>
      </c>
      <c r="EF55" s="12">
        <f>IF(A55&gt;30,10,('Scénario référence'!$B$16+'Scénario référence'!$B$17+'Scénario référence'!$B$18+'Scénario référence'!$B$9+'Scénario référence'!$B$10)*A55*10/30+('Scénario référence'!$F$8+'Scénario référence'!$F$9)*10)</f>
        <v>10</v>
      </c>
      <c r="EG55" s="12" t="e">
        <f>VLOOKUP(A55,'Données projet'!$A$191:$I$211,2,0)</f>
        <v>#N/A</v>
      </c>
      <c r="EH55" s="12" t="e">
        <f>VLOOKUP(A55,'Données projet'!$A$191:$I$211,9,0)</f>
        <v>#N/A</v>
      </c>
      <c r="EI55" s="12">
        <f t="array" ref="EI55">INDEX(EH:EH,MIN(IF(ISNUMBER(EH55:EH251),ROW(EH55:EH251),"")))</f>
        <v>6.4</v>
      </c>
      <c r="EJ55" s="12">
        <f>IF('Données projet'!$A$192&gt;35,EJ54+EI55-ER54,IF(A55&lt;'Données projet'!$A$192,$EG$205^A55,IF(A55='Données projet'!$A$192,'Données projet'!$B$192,EJ54+EI55-ER54)))</f>
        <v>198.79999999999993</v>
      </c>
      <c r="EK55" s="17">
        <f>EJ55*VLOOKUP('Données projet'!$B$15,Paramètres!$A$1:$I$89,3,0)*VLOOKUP('Données projet'!$B$15,Paramètres!$A$1:$I$89,5,0)</f>
        <v>161.26655999999994</v>
      </c>
      <c r="EL55" s="13">
        <f t="shared" si="45"/>
        <v>41.128060321982517</v>
      </c>
      <c r="EM55" s="20">
        <f t="shared" si="19"/>
        <v>352.5039637274528</v>
      </c>
      <c r="EN55" s="59">
        <f t="shared" si="20"/>
        <v>645.83729706078611</v>
      </c>
      <c r="EO55" s="59">
        <f ca="1">AVERAGE(OFFSET($EN$3,0,0,'Données projet'!$E$15+1,1))-AVERAGE(OFFSET($H$3,0,0,'Données projet'!$E$15+1,1))</f>
        <v>205.5272583787887</v>
      </c>
      <c r="EP55" s="59">
        <f t="shared" si="46"/>
        <v>180.54762778843178</v>
      </c>
      <c r="EQ55" s="15">
        <f>IF(ISNA(VLOOKUP(A55,'Données projet'!$A$191:$I$211,3,0)),0,VLOOKUP(A55,'Données projet'!$A$191:$I$211,3,0))</f>
        <v>0</v>
      </c>
      <c r="ER55" s="15">
        <f>IF(ISNA(VLOOKUP(A55,'Données projet'!$A$191:$I$211,4,0)),0,VLOOKUP(A55,'Données projet'!$A$191:$I$211,4,0))</f>
        <v>0</v>
      </c>
      <c r="ES55" s="16">
        <f>IF(ISNA(VLOOKUP(A55,'Données projet'!$A$191:$I$211,5,0)),0%,VLOOKUP(A55,'Données projet'!$A$191:$I$211,5,0)*VLOOKUP('Données projet'!$B$15,Paramètres!$A$1:$I$89,7,0))</f>
        <v>0</v>
      </c>
      <c r="ET55" s="16">
        <f>IF(ISNA(VLOOKUP(A55,'Données projet'!$A$191:$I$211,6,0)),0%,VLOOKUP(A55,'Données projet'!$A$191:$I$211,6,0)*VLOOKUP('Données projet'!$B$15,Paramètres!$A$1:$I$89,7,0))</f>
        <v>0</v>
      </c>
      <c r="EU55" s="16">
        <f>IF(ISNA(VLOOKUP(A55,'Données projet'!$A$191:$I$211,7,0)),0%,VLOOKUP(A55,'Données projet'!$A$191:$I$211,7,0))</f>
        <v>0</v>
      </c>
      <c r="EV55" s="21">
        <f>EXP(-LN(2)/35)*EV54+(1-EXP(-LN(2)/35))/(LN(2)/35)*ER55*ES55*VLOOKUP('Données projet'!$B$15,Paramètres!$A$1:$I$89,3,0)*0.475*44/12</f>
        <v>0.64848211302541781</v>
      </c>
      <c r="EW55" s="21">
        <f>EXP(-LN(2)/25)*EW54+(1-EXP(-LN(2)/25))/(LN(2)/25)*Calculateur!ER55*Calculateur!ET55*VLOOKUP('Données projet'!$B$15,Paramètres!$A$1:$I$89,3,0)*0.475*44/12</f>
        <v>3.1535420795427398</v>
      </c>
      <c r="EX55" s="21">
        <f>EXP(-LN(2)/2)*EX54+(1-EXP(-LN(2)/2))/(LN(2)/2)*ER55*EU55*VLOOKUP('Données projet'!$B$15,Paramètres!$A$1:$I$89,3,0)*0.475*44/12</f>
        <v>4.4251389259667689E-3</v>
      </c>
      <c r="EY55" s="22">
        <f t="shared" si="21"/>
        <v>3.8064493314941243</v>
      </c>
      <c r="EZ55" s="75">
        <f>('Scénario référence'!$F$8+'Scénario référence'!$F$9+'Scénario référence'!$B$17+'Scénario référence'!$B$9+'Scénario référence'!$B$10)*70+IF((45+25*(1-EXP(-0.0175*A55)))&lt;70,'Scénario référence'!$B$16*(45+25*(1-EXP(-0.0175*A55))),70*'Scénario référence'!$B$16)+IF((32+38*(1-EXP(-0.0175*A55)))&lt;70,'Scénario référence'!$B$18*(32+38*(1-EXP(-0.0175*A55))),70*'Scénario référence'!$B$18)</f>
        <v>70</v>
      </c>
      <c r="FA55" s="12">
        <f>IF(A55&gt;30,10,('Scénario référence'!$B$16+'Scénario référence'!$B$17+'Scénario référence'!$B$18+'Scénario référence'!$B$9+'Scénario référence'!$B$10)*A55*10/30+('Scénario référence'!$F$8+'Scénario référence'!$F$9)*10)</f>
        <v>10</v>
      </c>
      <c r="FB55" s="12" t="e">
        <f>VLOOKUP(A55,'Données projet'!$A$217:$I$237,2,0)</f>
        <v>#N/A</v>
      </c>
      <c r="FC55" s="12" t="e">
        <f>VLOOKUP(A55,'Données projet'!$A$217:$I$237,9,0)</f>
        <v>#N/A</v>
      </c>
      <c r="FD55" s="12">
        <f t="array" ref="FD55">INDEX(FC:FC,MIN(IF(ISNUMBER(FC55:FC251),ROW(FC55:FC251),"")))</f>
        <v>13.4</v>
      </c>
      <c r="FE55" s="12">
        <f>IF('Données projet'!$A$218&gt;35,FE54+FD55-FM54,IF(A55&lt;'Données projet'!$A$218,$FB$205^A55,IF(A55='Données projet'!$A$218,'Données projet'!$B$218,FE54+FD55-FM54)))</f>
        <v>225.80000000000004</v>
      </c>
      <c r="FF55" s="17">
        <f>FE55*VLOOKUP('Données projet'!$B$16,Paramètres!$A$1:$I$89,3,0)*VLOOKUP('Données projet'!$B$16,Paramètres!$A$1:$I$89,5,0)</f>
        <v>193.73640000000006</v>
      </c>
      <c r="FG55" s="13">
        <f t="shared" si="47"/>
        <v>48.365079242263079</v>
      </c>
      <c r="FH55" s="20">
        <f t="shared" si="22"/>
        <v>421.66007634694159</v>
      </c>
      <c r="FI55" s="59">
        <f t="shared" si="23"/>
        <v>714.99340968027491</v>
      </c>
      <c r="FJ55" s="59">
        <f ca="1">AVERAGE(OFFSET($FI$3,0,0,'Données projet'!$E$16+1,1))-AVERAGE(OFFSET($H$3,0,0,'Données projet'!$E$16+1,1))</f>
        <v>383.97627237444709</v>
      </c>
      <c r="FK55" s="59">
        <f t="shared" si="48"/>
        <v>203.35476578922339</v>
      </c>
      <c r="FL55" s="15">
        <f>IF(ISNA(VLOOKUP(A55,'Données projet'!$A$217:$I$237,3,0)),0,VLOOKUP(A55,'Données projet'!$A$217:$I$237,3,0))</f>
        <v>0</v>
      </c>
      <c r="FM55" s="15">
        <f>IF(ISNA(VLOOKUP(A55,'Données projet'!$A$217:$I$237,4,0)),0,VLOOKUP(A55,'Données projet'!$A$217:$I$237,4,0))</f>
        <v>0</v>
      </c>
      <c r="FN55" s="16">
        <f>IF(ISNA(VLOOKUP(A55,'Données projet'!$A$217:$I$237,5,0)),0%,VLOOKUP(A55,'Données projet'!$A$217:$I$237,5,0)*VLOOKUP('Données projet'!$B$16,Paramètres!$A$1:$I$89,7,0))</f>
        <v>0</v>
      </c>
      <c r="FO55" s="16">
        <f>IF(ISNA(VLOOKUP(A55,'Données projet'!$A$217:$I$237,6,0)),0%,VLOOKUP(A55,'Données projet'!$A$217:$I$237,6,0)*VLOOKUP('Données projet'!$B$16,Paramètres!$A$1:$I$89,7,0))</f>
        <v>0</v>
      </c>
      <c r="FP55" s="16">
        <f>IF(ISNA(VLOOKUP(A55,'Données projet'!$A$217:$I$237,7,0)),0%,VLOOKUP(A55,'Données projet'!$A$217:$I$237,7,0))</f>
        <v>0</v>
      </c>
      <c r="FQ55" s="21">
        <f>EXP(-LN(2)/35)*FQ54+(1-EXP(-LN(2)/35))/(LN(2)/35)*FM55*FN55*VLOOKUP('Données projet'!$B$16,Paramètres!$A$1:$I$89,3,0)*0.475*44/12</f>
        <v>3.3328462457957579</v>
      </c>
      <c r="FR55" s="21">
        <f>EXP(-LN(2)/25)*FR54+(1-EXP(-LN(2)/25))/(LN(2)/25)*Calculateur!FM55*Calculateur!FO55*VLOOKUP('Données projet'!$B$16,Paramètres!$A$1:$I$89,3,0)*0.475*44/12</f>
        <v>3.2011711602871</v>
      </c>
      <c r="FS55" s="21">
        <f>EXP(-LN(2)/2)*FS54+(1-EXP(-LN(2)/2))/(LN(2)/2)*FM55*FP55*VLOOKUP('Données projet'!$B$16,Paramètres!$A$1:$I$89,3,0)*0.475*44/12</f>
        <v>8.1280720370067831E-3</v>
      </c>
      <c r="FT55" s="22">
        <f t="shared" si="24"/>
        <v>6.5421454781198651</v>
      </c>
      <c r="FU55" s="75">
        <f>('Scénario référence'!$F$8+'Scénario référence'!$F$9+'Scénario référence'!$B$17+'Scénario référence'!$B$9+'Scénario référence'!$B$10)*70+IF((45+25*(1-EXP(-0.0175*A55)))&lt;70,'Scénario référence'!$B$16*(45+25*(1-EXP(-0.0175*A55))),70*'Scénario référence'!$B$16)+IF((32+38*(1-EXP(-0.0175*A55)))&lt;70,'Scénario référence'!$B$18*(32+38*(1-EXP(-0.0175*A55))),70*'Scénario référence'!$B$18)</f>
        <v>70</v>
      </c>
      <c r="FV55" s="12">
        <f>IF(A55&gt;30,10,('Scénario référence'!$B$16+'Scénario référence'!$B$17+'Scénario référence'!$B$18+'Scénario référence'!$B$9+'Scénario référence'!$B$10)*A55*10/30+('Scénario référence'!$F$8+'Scénario référence'!$F$9)*10)</f>
        <v>10</v>
      </c>
      <c r="FW55" s="12" t="e">
        <f>VLOOKUP(A55,'Données projet'!$A$243:$I$263,2,0)</f>
        <v>#N/A</v>
      </c>
      <c r="FX55" s="12" t="e">
        <f>VLOOKUP(A55,'Données projet'!$A$243:$I$263,9,0)</f>
        <v>#N/A</v>
      </c>
      <c r="FY55" s="12">
        <f t="array" ref="FY55">INDEX(FX:FX,MIN(IF(ISNUMBER(FX55:FX251),ROW(FX55:FX251),"")))</f>
        <v>8.8736263736263741</v>
      </c>
      <c r="FZ55" s="12">
        <f>IF('Données projet'!$A$244&gt;35,FZ54+FY55-GH54,IF(A55&lt;'Données projet'!$A$244,$FW$205^A55,IF(A55='Données projet'!$A$244,'Données projet'!$B$244,FZ54+FY55-GH54)))</f>
        <v>171.82142857142858</v>
      </c>
      <c r="GA55" s="17">
        <f>FZ55*VLOOKUP('Données projet'!$B$17,Paramètres!$A$1:$I$89,3,0)*VLOOKUP('Données projet'!$B$17,Paramètres!$A$1:$I$89,5,0)</f>
        <v>184.94858571428571</v>
      </c>
      <c r="GB55" s="13">
        <f t="shared" si="49"/>
        <v>46.42141148275023</v>
      </c>
      <c r="GC55" s="20">
        <f t="shared" si="25"/>
        <v>402.96941178483758</v>
      </c>
      <c r="GD55" s="59">
        <f t="shared" si="26"/>
        <v>696.30274511817083</v>
      </c>
      <c r="GE55" s="59">
        <f ca="1">AVERAGE(OFFSET($GD$3,0,0,'Données projet'!$E$17+1,1))-AVERAGE(OFFSET($H$3,0,0,'Données projet'!$E$17+1,1))</f>
        <v>286.77702855541287</v>
      </c>
      <c r="GF55" s="59">
        <f t="shared" si="50"/>
        <v>227.12211541860779</v>
      </c>
      <c r="GG55" s="15">
        <f>IF(ISNA(VLOOKUP(A55,'Données projet'!$A$243:$I$263,3,0)),0,VLOOKUP(A55,'Données projet'!$A$243:$I$263,3,0))</f>
        <v>0</v>
      </c>
      <c r="GH55" s="15">
        <f>IF(ISNA(VLOOKUP(A55,'Données projet'!$A$243:$I$263,4,0)),0,VLOOKUP(A55,'Données projet'!$A$243:$I$263,4,0))</f>
        <v>0</v>
      </c>
      <c r="GI55" s="16">
        <f>IF(ISNA(VLOOKUP(A55,'Données projet'!$A$243:$I$263,5,0)),0%,VLOOKUP(A55,'Données projet'!$A$243:$I$263,5,0)*VLOOKUP('Données projet'!$B$17,Paramètres!$A$1:$I$89,7,0))</f>
        <v>0</v>
      </c>
      <c r="GJ55" s="16">
        <f>IF(ISNA(VLOOKUP(A55,'Données projet'!$A$243:$I$263,6,0)),0%,VLOOKUP(A55,'Données projet'!$A$243:$I$263,6,0)*VLOOKUP('Données projet'!$B$17,Paramètres!$A$1:$I$89,7,0))</f>
        <v>0</v>
      </c>
      <c r="GK55" s="16">
        <f>IF(ISNA(VLOOKUP(A55,'Données projet'!$A$243:$I$263,7,0)),0%,VLOOKUP(A55,'Données projet'!$A$243:$I$263,7,0))</f>
        <v>0</v>
      </c>
      <c r="GL55" s="21">
        <f>EXP(-LN(2)/35)*GL54+(1-EXP(-LN(2)/35))/(LN(2)/35)*GH55*GI55*VLOOKUP('Données projet'!$B$17,Paramètres!$A$1:$I$89,3,0)*0.475*44/12</f>
        <v>0</v>
      </c>
      <c r="GM55" s="21">
        <f>EXP(-LN(2)/25)*GM54+(1-EXP(-LN(2)/25))/(LN(2)/25)*Calculateur!GH55*Calculateur!GJ55*VLOOKUP('Données projet'!$B$17,Paramètres!$A$1:$I$89,3,0)*0.475*44/12</f>
        <v>0</v>
      </c>
      <c r="GN55" s="21">
        <f>EXP(-LN(2)/2)*GN54+(1-EXP(-LN(2)/2))/(LN(2)/2)*GH55*GK55*VLOOKUP('Données projet'!$B$17,Paramètres!$A$1:$I$89,3,0)*0.475*44/12</f>
        <v>0</v>
      </c>
      <c r="GO55" s="21">
        <f t="shared" si="27"/>
        <v>0</v>
      </c>
      <c r="GP55" s="75">
        <f>('Scénario référence'!$F$8+'Scénario référence'!$F$9+'Scénario référence'!$B$17+'Scénario référence'!$B$9+'Scénario référence'!$B$10)*70+IF((45+25*(1-EXP(-0.0175*A55)))&lt;70,'Scénario référence'!$B$16*(45+25*(1-EXP(-0.0175*A55))),70*'Scénario référence'!$B$16)+IF((32+38*(1-EXP(-0.0175*A55)))&lt;70,'Scénario référence'!$B$18*(32+38*(1-EXP(-0.0175*A55))),70*'Scénario référence'!$B$18)</f>
        <v>70</v>
      </c>
      <c r="GQ55" s="12">
        <f>IF(A55&gt;30,10,('Scénario référence'!$B$16+'Scénario référence'!$B$17+'Scénario référence'!$B$18+'Scénario référence'!$B$9+'Scénario référence'!$B$10)*A55*10/30+('Scénario référence'!$F$8+'Scénario référence'!$F$9)*10)</f>
        <v>10</v>
      </c>
      <c r="GR55" s="12" t="e">
        <f>VLOOKUP(A55,'Données projet'!$A$269:$I$289,2,0)</f>
        <v>#N/A</v>
      </c>
      <c r="GS55" s="12" t="e">
        <f>VLOOKUP(A55,'Données projet'!$A$269:$I$289,9,0)</f>
        <v>#N/A</v>
      </c>
      <c r="GT55" s="12">
        <f t="array" ref="GT55">INDEX(GS:GS,MIN(IF(ISNUMBER(GS55:GS251),ROW(GS55:GS251),"")))</f>
        <v>8.8736263736263741</v>
      </c>
      <c r="GU55" s="12">
        <f>IF('Données projet'!$A$270&gt;35,GU54+GT55-HC54,IF(A55&lt;'Données projet'!$A$270,$GR$205^A55,IF(A55='Données projet'!$A$270,'Données projet'!$B$270,GU54+GT55-HC54)))</f>
        <v>171.82142857142858</v>
      </c>
      <c r="GV55" s="17">
        <f>GU55*VLOOKUP('Données projet'!$B$18,Paramètres!$A$1:$I$89,3,0)*VLOOKUP('Données projet'!$B$18,Paramètres!$A$1:$I$89,5,0)</f>
        <v>184.94858571428571</v>
      </c>
      <c r="GW55" s="13">
        <f t="shared" si="51"/>
        <v>46.42141148275023</v>
      </c>
      <c r="GX55" s="20">
        <f t="shared" si="28"/>
        <v>402.96941178483758</v>
      </c>
      <c r="GY55" s="59">
        <f t="shared" si="29"/>
        <v>696.30274511817083</v>
      </c>
      <c r="GZ55" s="59">
        <f ca="1">AVERAGE(OFFSET($GY$3,0,0,'Données projet'!$E$18+1,1))-AVERAGE(OFFSET($H$3,0,0,'Données projet'!$E$18+1,1))</f>
        <v>286.77702855541287</v>
      </c>
      <c r="HA55" s="59">
        <f t="shared" si="52"/>
        <v>227.12211541860779</v>
      </c>
      <c r="HB55" s="15">
        <f>IF(ISNA(VLOOKUP(A55,'Données projet'!$A$269:$I$289,3,0)),0,VLOOKUP(A55,'Données projet'!$A$269:$I$289,3,0))</f>
        <v>0</v>
      </c>
      <c r="HC55" s="15">
        <f>IF(ISNA(VLOOKUP(A55,'Données projet'!$A$269:$I$289,4,0)),0,VLOOKUP(A55,'Données projet'!$A$269:$I$289,4,0))</f>
        <v>0</v>
      </c>
      <c r="HD55" s="16">
        <f>IF(ISNA(VLOOKUP(A55,'Données projet'!$A$269:$I$289,5,0)),0%,VLOOKUP(A55,'Données projet'!$A$269:$I$289,5,0)*VLOOKUP('Données projet'!$B$18,Paramètres!$A$1:$I$89,7,0))</f>
        <v>0</v>
      </c>
      <c r="HE55" s="16">
        <f>IF(ISNA(VLOOKUP(A55,'Données projet'!$A$269:$I$289,6,0)),0%,VLOOKUP(A55,'Données projet'!$A$269:$I$289,6,0)*VLOOKUP('Données projet'!$B$18,Paramètres!$A$1:$I$89,7,0))</f>
        <v>0</v>
      </c>
      <c r="HF55" s="16">
        <f>IF(ISNA(VLOOKUP(A55,'Données projet'!$A$269:$I$289,7,0)),0%,VLOOKUP(A55,'Données projet'!$A$269:$I$289,7,0))</f>
        <v>0</v>
      </c>
      <c r="HG55" s="21">
        <f>EXP(-LN(2)/35)*HG54+(1-EXP(-LN(2)/35))/(LN(2)/35)*HC55*HD55*VLOOKUP('Données projet'!$B$18,Paramètres!$A$1:$I$89,3,0)*0.475*44/12</f>
        <v>0</v>
      </c>
      <c r="HH55" s="21">
        <f>EXP(-LN(2)/25)*HH54+(1-EXP(-LN(2)/25))/(LN(2)/25)*Calculateur!HC55*Calculateur!HE55*VLOOKUP('Données projet'!$B$18,Paramètres!$A$1:$I$89,3,0)*0.475*44/12</f>
        <v>0</v>
      </c>
      <c r="HI55" s="21">
        <f>EXP(-LN(2)/2)*HI54+(1-EXP(-LN(2)/2))/(LN(2)/2)*HC55*HF55*VLOOKUP('Données projet'!$B$18,Paramètres!$A$1:$I$89,3,0)*0.475*44/12</f>
        <v>0</v>
      </c>
      <c r="HJ55" s="22">
        <f t="shared" si="30"/>
        <v>0</v>
      </c>
    </row>
    <row r="56" spans="1:218" x14ac:dyDescent="0.25">
      <c r="A56" s="10">
        <f t="shared" si="31"/>
        <v>53</v>
      </c>
      <c r="B56" s="73">
        <f>'Scénario référence'!$B$16*5+'Scénario référence'!$B$17*0+'Scénario référence'!$B$18*5</f>
        <v>0</v>
      </c>
      <c r="C56" s="19">
        <f>Calculateur!C55+'Scénario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47.127600000000029</v>
      </c>
      <c r="D56" s="11">
        <f t="shared" si="32"/>
        <v>13.869414921287754</v>
      </c>
      <c r="E5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56" s="11">
        <f>IF(OR('Scénario référence'!$F$8&gt;0,'Scénario référence'!$F$9&gt;0),('Scénario référence'!$F$8+'Scénario référence'!$F$9)*10,0)</f>
        <v>10</v>
      </c>
      <c r="G56" s="11">
        <f>'Scénario référence'!$B$8*B56*44/12+'Scénario référence'!$B$9*(C56+D56)/0.475*44/12+'Scénario référence'!$B$10*(C56+D56)/0.475*44/12+'Scénario référence'!$F$8*(C56+D56)/0.475*44/12+'Scénario référence'!$F$9*(C56+D56)/0.475*44/12</f>
        <v>470.85415026958998</v>
      </c>
      <c r="H56" s="67">
        <f t="shared" si="1"/>
        <v>399.56980098790956</v>
      </c>
      <c r="I56" s="70">
        <f>('Scénario référence'!$F$8+'Scénario référence'!$F$9+'Scénario référence'!$B$17+'Scénario référence'!$B$9+'Scénario référence'!$B$10)*70+IF((45+25*(1-EXP(-0.0175*A56)))&lt;70,'Scénario référence'!$B$16*(45+25*(1-EXP(-0.0175*A56))),70*'Scénario référence'!$B$16)+IF((32+38*(1-EXP(-0.0175*A56)))&lt;70,'Scénario référence'!$B$18*(32+38*(1-EXP(-0.0175*A56))),70*'Scénario référence'!$B$18)</f>
        <v>70</v>
      </c>
      <c r="J56" s="13">
        <f>IF(A56&gt;30,10,('Scénario référence'!$B$16+'Scénario référence'!$B$17+'Scénario référence'!$B$18+'Scénario référence'!$B$9+'Scénario référence'!$B$10)*A56*10/30+('Scénario référence'!$F$8+'Scénario référence'!$F$9)*10)</f>
        <v>10</v>
      </c>
      <c r="K56" s="12" t="e">
        <f>VLOOKUP(A56,'Données projet'!$A$35:$I$55,2,0)</f>
        <v>#N/A</v>
      </c>
      <c r="L56" s="12" t="e">
        <f>VLOOKUP(A56,'Données projet'!$A$35:$I$55,9,0)</f>
        <v>#N/A</v>
      </c>
      <c r="M56" s="12">
        <f t="array" ref="M56">INDEX(L:L,MIN(IF(ISNUMBER(L56:L252),ROW(L56:L252),"")))</f>
        <v>20.507692307692299</v>
      </c>
      <c r="N56" s="13">
        <f>IF('Données projet'!$A$36&gt;35,N55+M56-V55,IF(A56&lt;'Données projet'!$A$36,$K$205^A56,IF(A56='Données projet'!$A$36,'Données projet'!$B$36,N55+M56-V55)))</f>
        <v>546.29230769230742</v>
      </c>
      <c r="O56" s="13">
        <f>N56*VLOOKUP('Données projet'!$B$9,Paramètres!$A$1:$I$89,3,0)*VLOOKUP('Données projet'!$B$9,Paramètres!$A$1:$I$89,5,0)</f>
        <v>305.37739999999985</v>
      </c>
      <c r="P56" s="13">
        <f t="shared" si="33"/>
        <v>72.302604807906476</v>
      </c>
      <c r="Q56" s="20">
        <f t="shared" si="53"/>
        <v>657.79267504043685</v>
      </c>
      <c r="R56" s="59">
        <f t="shared" si="0"/>
        <v>951.12600837377022</v>
      </c>
      <c r="S56" s="59">
        <f ca="1">AVERAGE(OFFSET($R$3,0,0,'Données projet'!$E$9+1,1))-AVERAGE(OFFSET($H$3,0,0,'Données projet'!$E$9+1,1))</f>
        <v>255.5374979188561</v>
      </c>
      <c r="T56" s="59">
        <f t="shared" si="34"/>
        <v>343.10418468620901</v>
      </c>
      <c r="U56" s="15">
        <f>IF(ISNA(VLOOKUP(A56,'Données projet'!$A$35:$I$55,3,0)),0,VLOOKUP(A56,'Données projet'!$A$35:$I$55,3,0))</f>
        <v>0</v>
      </c>
      <c r="V56" s="15">
        <f>IF(ISNA(VLOOKUP(A56,'Données projet'!$A$35:$I$55,4,0)),0,VLOOKUP(A56,'Données projet'!$A$35:$I$55,4,0))</f>
        <v>0</v>
      </c>
      <c r="W56" s="16">
        <f>IF(ISNA(VLOOKUP(A56,'Données projet'!$A$35:$I$55,5,0)),0%,VLOOKUP(A56,'Données projet'!$A$35:$I$55,5,0)*VLOOKUP('Données projet'!$B$9,Paramètres!$A$1:$I$89,7,0))</f>
        <v>0</v>
      </c>
      <c r="X56" s="16">
        <f>IF(ISNA(VLOOKUP(A56,'Données projet'!$A$35:$I$55,6,0)),0%,VLOOKUP(A56,'Données projet'!$A$35:$I$55,6,0)*VLOOKUP('Données projet'!$B$9,Paramètres!$A$1:$I$89,7,0))</f>
        <v>0</v>
      </c>
      <c r="Y56" s="16">
        <f>IF(ISNA(VLOOKUP(A56,'Données projet'!$A$35:$I$55,7,0)),0%,VLOOKUP(A56,'Données projet'!$A$35:$I$55,7,0))</f>
        <v>0</v>
      </c>
      <c r="Z56" s="21">
        <f>EXP(-LN(2)/35)*Z55+(1-EXP(-LN(2)/35))/(LN(2)/35)*V56*W56*VLOOKUP('Données projet'!$B$9,Paramètres!$A$1:$I$89,3,0)*0.475*44/12</f>
        <v>1.9594965756997456</v>
      </c>
      <c r="AA56" s="21">
        <f>EXP(-LN(2)/25)*AA55+(1-EXP(-LN(2)/25))/(LN(2)/25)*Calculateur!V56*Calculateur!X56*VLOOKUP('Données projet'!$B$9,Paramètres!$A$1:$I$89,3,0)*0.475*44/12</f>
        <v>8.4351409163638884</v>
      </c>
      <c r="AB56" s="21">
        <f>EXP(-LN(2)/2)*AB55+(1-EXP(-LN(2)/2))/(LN(2)/2)*V56*Y56*VLOOKUP('Données projet'!$B$9,Paramètres!$A$1:$I$89,3,0)*0.475*44/12</f>
        <v>5.8441687674388716E-4</v>
      </c>
      <c r="AC56" s="22">
        <f t="shared" si="3"/>
        <v>10.395221908940378</v>
      </c>
      <c r="AD56" s="13">
        <f>('Scénario référence'!$F$8+'Scénario référence'!$F$9+'Scénario référence'!$B$17+'Scénario référence'!$B$9+'Scénario référence'!$B$10)*70+IF((45+25*(1-EXP(-0.0175*A56)))&lt;70,'Scénario référence'!$B$16*(45+25*(1-EXP(-0.0175*A56))),70*'Scénario référence'!$B$16)+IF((32+38*(1-EXP(-0.0175*A56)))&lt;70,'Scénario référence'!$B$18*(32+38*(1-EXP(-0.0175*A56))),70*'Scénario référence'!$B$18)</f>
        <v>70</v>
      </c>
      <c r="AE56" s="13">
        <f>IF(A56&gt;30,10,('Scénario référence'!$B$16+'Scénario référence'!$B$17+'Scénario référence'!$B$18+'Scénario référence'!$B$9+'Scénario référence'!$B$10)*A56*10/30+('Scénario référence'!$F$8+'Scénario référence'!$F$9)*10)</f>
        <v>10</v>
      </c>
      <c r="AF56" s="12" t="e">
        <f>VLOOKUP(A56,'Données projet'!$A$61:$I$81,2,0)</f>
        <v>#N/A</v>
      </c>
      <c r="AG56" s="12" t="e">
        <f>VLOOKUP(A56,'Données projet'!$A$61:$I$81,9,0)</f>
        <v>#N/A</v>
      </c>
      <c r="AH56" s="12">
        <f t="array" ref="AH56">INDEX(AG:AG,MIN(IF(ISNUMBER(AG56:AG252),ROW(AG56:AG252),"")))</f>
        <v>10</v>
      </c>
      <c r="AI56" s="13">
        <f>IF('Données projet'!$A$62&gt;35,AI55+AH56-AQ55,IF(A56&lt;'Données projet'!$A$62,$AF$205^A56,IF(A56='Données projet'!$A$62,'Données projet'!$B$62,AI55+AH56-AQ55)))</f>
        <v>333.99999999999989</v>
      </c>
      <c r="AJ56" s="13">
        <f>AI56*VLOOKUP('Données projet'!$B$10,Paramètres!$A$1:$I$89,3,0)*VLOOKUP('Données projet'!$B$10,Paramètres!$A$1:$I$89,5,0)</f>
        <v>208.41599999999991</v>
      </c>
      <c r="AK56" s="13">
        <f t="shared" si="35"/>
        <v>51.589289462027516</v>
      </c>
      <c r="AL56" s="20">
        <f t="shared" si="4"/>
        <v>452.84254581303099</v>
      </c>
      <c r="AM56" s="59">
        <f t="shared" si="5"/>
        <v>746.17587914636431</v>
      </c>
      <c r="AN56" s="59">
        <f ca="1">AVERAGE(OFFSET($AM$3,0,0,'Données projet'!$E$10+1,1))-AVERAGE(OFFSET($H$3,0,0,'Données projet'!$E$10+1,1))</f>
        <v>261.78489480911571</v>
      </c>
      <c r="AO56" s="59">
        <f t="shared" si="36"/>
        <v>297.50513563712764</v>
      </c>
      <c r="AP56" s="15">
        <f>IF(ISNA(VLOOKUP(A56,'Données projet'!$A$61:$I$81,3,0)),0,VLOOKUP(A56,'Données projet'!$A$61:$I$81,3,0))</f>
        <v>0</v>
      </c>
      <c r="AQ56" s="15">
        <f>IF(ISNA(VLOOKUP(A56,'Données projet'!$A$61:$I$81,4,0)),0,VLOOKUP(A56,'Données projet'!$A$61:$I$81,4,0))</f>
        <v>0</v>
      </c>
      <c r="AR56" s="16">
        <f>IF(ISNA(VLOOKUP(A56,'Données projet'!$A$61:$I$81,5,0)),0%,VLOOKUP(A56,'Données projet'!$A$61:$I$81,5,0)*VLOOKUP('Données projet'!$B$10,Paramètres!$A$1:$I$89,7,0))</f>
        <v>0</v>
      </c>
      <c r="AS56" s="16">
        <f>IF(ISNA(VLOOKUP(A56,'Données projet'!$A$61:$I$81,6,0)),0%,VLOOKUP(A56,'Données projet'!$A$61:$I$81,6,0)*VLOOKUP('Données projet'!$B$10,Paramètres!$A$1:$I$89,7,0))</f>
        <v>0</v>
      </c>
      <c r="AT56" s="16">
        <f>IF(ISNA(VLOOKUP(A56,'Données projet'!$A$61:$I$81,7,0)),0%,VLOOKUP(A56,'Données projet'!$A$61:$I$81,7,0))</f>
        <v>0</v>
      </c>
      <c r="AU56" s="21">
        <f>EXP(-LN(2)/35)*AU55+(1-EXP(-LN(2)/35))/(LN(2)/35)*AQ56*AR56*VLOOKUP('Données projet'!$B$10,Paramètres!$A$1:$I$89,3,0)*0.475*44/12</f>
        <v>5.2911949953373982</v>
      </c>
      <c r="AV56" s="21">
        <f>EXP(-LN(2)/25)*AV55+(1-EXP(-LN(2)/25))/(LN(2)/25)*Calculateur!AQ56*Calculateur!AS56*VLOOKUP('Données projet'!$B$10,Paramètres!$A$1:$I$89,3,0)*0.475*44/12</f>
        <v>14.729476478690241</v>
      </c>
      <c r="AW56" s="21">
        <f>EXP(-LN(2)/2)*AW55+(1-EXP(-LN(2)/2))/(LN(2)/2)*AQ56*AT56*VLOOKUP('Données projet'!$B$10,Paramètres!$A$1:$I$89,3,0)*0.475*44/12</f>
        <v>8.4249256454782574E-3</v>
      </c>
      <c r="AX56" s="21">
        <f t="shared" si="6"/>
        <v>20.029096399673119</v>
      </c>
      <c r="AY56" s="74">
        <f>('Scénario référence'!$F$8+'Scénario référence'!$F$9+'Scénario référence'!$B$17+'Scénario référence'!$B$9+'Scénario référence'!$B$10)*70+IF((45+25*(1-EXP(-0.0175*A56)))&lt;70,'Scénario référence'!$B$16*(45+25*(1-EXP(-0.0175*A56))),70*'Scénario référence'!$B$16)+IF((32+38*(1-EXP(-0.0175*A56)))&lt;70,'Scénario référence'!$B$18*(32+38*(1-EXP(-0.0175*A56))),70*'Scénario référence'!$B$18)</f>
        <v>70</v>
      </c>
      <c r="AZ56" s="12">
        <f>IF(A56&gt;30,10,('Scénario référence'!$B$16+'Scénario référence'!$B$17+'Scénario référence'!$B$18+'Scénario référence'!$B$9+'Scénario référence'!$B$10)*A56*10/30+('Scénario référence'!$F$8+'Scénario référence'!$F$9)*10)</f>
        <v>10</v>
      </c>
      <c r="BA56" s="12" t="e">
        <f>VLOOKUP(A56,'Données projet'!$A$87:$I$107,2,0)</f>
        <v>#N/A</v>
      </c>
      <c r="BB56" s="12" t="e">
        <f>VLOOKUP(A56,'Données projet'!$A$87:$I$107,9,0)</f>
        <v>#N/A</v>
      </c>
      <c r="BC56" s="12">
        <f t="array" ref="BC56">INDEX(BB:BB,MIN(IF(ISNUMBER(BB56:BB252),ROW(BB56:BB252),"")))</f>
        <v>18</v>
      </c>
      <c r="BD56" s="12">
        <f>IF('Données projet'!$A$88&gt;35,BD55+BC56-BL55,IF(A56&lt;'Données projet'!$A$88,$BA$205^A56,IF(A56='Données projet'!$A$88,'Données projet'!$B$88,BD55+BC56-BL55)))</f>
        <v>381.99999999999972</v>
      </c>
      <c r="BE56" s="13">
        <f>BD56*VLOOKUP('Données projet'!$B$11,Paramètres!$A$1:$I$89,3,0)*VLOOKUP('Données projet'!$B$11,Paramètres!$A$1:$I$89,5,0)</f>
        <v>228.43599999999986</v>
      </c>
      <c r="BF56" s="13">
        <f t="shared" si="37"/>
        <v>55.944373989427987</v>
      </c>
      <c r="BG56" s="20">
        <f t="shared" si="7"/>
        <v>495.29581803158686</v>
      </c>
      <c r="BH56" s="59">
        <f t="shared" si="8"/>
        <v>788.62915136492018</v>
      </c>
      <c r="BI56" s="59">
        <f ca="1">AVERAGE(OFFSET($BH$3,0,0,'Données projet'!$E$11+1,1))-AVERAGE(OFFSET($H$3,0,0,'Données projet'!$E$11+1,1))</f>
        <v>316.58509520829671</v>
      </c>
      <c r="BJ56" s="59">
        <f t="shared" si="38"/>
        <v>240.71332110643596</v>
      </c>
      <c r="BK56" s="15">
        <f>IF(ISNA(VLOOKUP(A56,'Données projet'!$A$87:$I$107,3,0)),0,VLOOKUP(A56,'Données projet'!$A$87:$I$107,3,0))</f>
        <v>0</v>
      </c>
      <c r="BL56" s="15">
        <f>IF(ISNA(VLOOKUP(A56,'Données projet'!$A$87:$I$107,4,0)),0,VLOOKUP(A56,'Données projet'!$A$87:$I$107,4,0))</f>
        <v>0</v>
      </c>
      <c r="BM56" s="16">
        <f>IF(ISNA(VLOOKUP(A56,'Données projet'!$A$87:$I$107,5,0)),0%,VLOOKUP(A56,'Données projet'!$A$87:$I$107,5,0)*VLOOKUP('Données projet'!$B$11,Paramètres!$A$1:$I$89,7,0))</f>
        <v>0</v>
      </c>
      <c r="BN56" s="16">
        <f>IF(ISNA(VLOOKUP(A56,'Données projet'!$A$87:$I$107,6,0)),0%,VLOOKUP(A56,'Données projet'!$A$87:$I$107,6,0)*VLOOKUP('Données projet'!$B$11,Paramètres!$A$1:$I$89,7,0))</f>
        <v>0</v>
      </c>
      <c r="BO56" s="16">
        <f>IF(ISNA(VLOOKUP(A56,'Données projet'!$A$87:$I$107,7,0)),0%,VLOOKUP(A56,'Données projet'!$A$87:$I$107,7,0))</f>
        <v>0</v>
      </c>
      <c r="BP56" s="21">
        <f>EXP(-LN(2)/35)*BP55+(1-EXP(-LN(2)/35))/(LN(2)/35)*BL56*BM56*VLOOKUP('Données projet'!$B$11,Paramètres!$A$1:$I$89,3,0)*0.475*44/12</f>
        <v>1.6072398488441173</v>
      </c>
      <c r="BQ56" s="21">
        <f>EXP(-LN(2)/25)*BQ55+(1-EXP(-LN(2)/25))/(LN(2)/25)*Calculateur!BL56*Calculateur!BN56*VLOOKUP('Données projet'!$B$11,Paramètres!$A$1:$I$89,3,0)*0.475*44/12</f>
        <v>8.0692369928193184</v>
      </c>
      <c r="BR56" s="21">
        <f>EXP(-LN(2)/2)*BR55+(1-EXP(-LN(2)/2))/(LN(2)/2)*BL56*BO56*VLOOKUP('Données projet'!$B$11,Paramètres!$A$1:$I$89,3,0)*0.475*44/12</f>
        <v>7.5749307908567704E-3</v>
      </c>
      <c r="BS56" s="22">
        <f t="shared" si="9"/>
        <v>9.6840517724542909</v>
      </c>
      <c r="BT56" s="75">
        <f>('Scénario référence'!$F$8+'Scénario référence'!$F$9+'Scénario référence'!$B$17+'Scénario référence'!$B$9+'Scénario référence'!$B$10)*70+IF((45+25*(1-EXP(-0.0175*A56)))&lt;70,'Scénario référence'!$B$16*(45+25*(1-EXP(-0.0175*A56))),70*'Scénario référence'!$B$16)+IF((32+38*(1-EXP(-0.0175*A56)))&lt;70,'Scénario référence'!$B$18*(32+38*(1-EXP(-0.0175*A56))),70*'Scénario référence'!$B$18)</f>
        <v>70</v>
      </c>
      <c r="BU56" s="12">
        <f>IF(A56&gt;30,10,('Scénario référence'!$B$16+'Scénario référence'!$B$17+'Scénario référence'!$B$18+'Scénario référence'!$B$9+'Scénario référence'!$B$10)*A56*10/30+('Scénario référence'!$F$8+'Scénario référence'!$F$9)*10)</f>
        <v>10</v>
      </c>
      <c r="BV56" s="12" t="e">
        <f>VLOOKUP(A56,'Données projet'!$A$113:$I$133,2,0)</f>
        <v>#N/A</v>
      </c>
      <c r="BW56" s="12" t="e">
        <f>VLOOKUP(A56,'Données projet'!$A$113:$I$133,9,0)</f>
        <v>#N/A</v>
      </c>
      <c r="BX56" s="12">
        <f t="array" ref="BX56">INDEX(BW:BW,MIN(IF(ISNUMBER(BW56:BW252),ROW(BW56:BW252),"")))</f>
        <v>9.5</v>
      </c>
      <c r="BY56" s="12">
        <f>IF('Données projet'!$A$114&gt;35,BY55+BX56-CG55,IF(A56&lt;'Données projet'!$A$114,$BV$205^A56,IF(A56='Données projet'!$A$114,'Données projet'!$B$114,BY55+BX56-CG55)))</f>
        <v>273.49999999999977</v>
      </c>
      <c r="BZ56" s="13">
        <f>BY56*VLOOKUP('Données projet'!$B$12,Paramètres!$A$1:$I$89,3,0)*VLOOKUP('Données projet'!$B$12,Paramètres!$A$1:$I$89,5,0)</f>
        <v>156.44199999999989</v>
      </c>
      <c r="CA56" s="13">
        <f t="shared" si="39"/>
        <v>40.03895124220525</v>
      </c>
      <c r="CB56" s="20">
        <f t="shared" si="10"/>
        <v>342.20432341350721</v>
      </c>
      <c r="CC56" s="59">
        <f t="shared" si="11"/>
        <v>635.53765674684053</v>
      </c>
      <c r="CD56" s="59">
        <f ca="1">AVERAGE(OFFSET($CC$3,0,0,'Données projet'!$E$12+1,1))-AVERAGE(OFFSET($H$3,0,0,'Données projet'!$E$12+1,1))</f>
        <v>188.64374818906128</v>
      </c>
      <c r="CE56" s="59">
        <f t="shared" si="40"/>
        <v>211.95157880548652</v>
      </c>
      <c r="CF56" s="15">
        <f>IF(ISNA(VLOOKUP(A56,'Données projet'!$A$113:$I$133,3,0)),0,VLOOKUP(A56,'Données projet'!$A$113:$I$133,3,0))</f>
        <v>0</v>
      </c>
      <c r="CG56" s="15">
        <f>IF(ISNA(VLOOKUP(A56,'Données projet'!$A$113:$I$133,4,0)),0,VLOOKUP(A56,'Données projet'!$A$113:$I$133,4,0))</f>
        <v>0</v>
      </c>
      <c r="CH56" s="16">
        <f>IF(ISNA(VLOOKUP(A56,'Données projet'!$A$113:$I$133,5,0)),0%,VLOOKUP(A56,'Données projet'!$A$113:$I$133,5,0)*VLOOKUP('Données projet'!$B$12,Paramètres!$A$1:$I$89,7,0))</f>
        <v>0</v>
      </c>
      <c r="CI56" s="16">
        <f>IF(ISNA(VLOOKUP(A56,'Données projet'!$A$113:$I$133,6,0)),0%,VLOOKUP(A56,'Données projet'!$A$113:$I$133,6,0)*VLOOKUP('Données projet'!$B$12,Paramètres!$A$1:$I$89,7,0))</f>
        <v>0</v>
      </c>
      <c r="CJ56" s="16">
        <f>IF(ISNA(VLOOKUP(A56,'Données projet'!$A$113:$I$133,7,0)),0%,VLOOKUP(A56,'Données projet'!$A$113:$I$133,7,0))</f>
        <v>0</v>
      </c>
      <c r="CK56" s="21">
        <f>EXP(-LN(2)/35)*CK55+(1-EXP(-LN(2)/35))/(LN(2)/35)*CG56*CH56*VLOOKUP('Données projet'!$B$12,Paramètres!$A$1:$I$89,3,0)*0.475*44/12</f>
        <v>1.5590128111261981</v>
      </c>
      <c r="CL56" s="21">
        <f>EXP(-LN(2)/25)*CL55+(1-EXP(-LN(2)/25))/(LN(2)/25)*Calculateur!CG56*Calculateur!CI56*VLOOKUP('Données projet'!$B$12,Paramètres!$A$1:$I$89,3,0)*0.475*44/12</f>
        <v>7.5949485593909065</v>
      </c>
      <c r="CM56" s="21">
        <f>EXP(-LN(2)/2)*CM55+(1-EXP(-LN(2)/2))/(LN(2)/2)*CG56*CJ56*VLOOKUP('Données projet'!$B$12,Paramètres!$A$1:$I$89,3,0)*0.475*44/12</f>
        <v>7.3357277995576946E-3</v>
      </c>
      <c r="CN56" s="22">
        <f t="shared" si="12"/>
        <v>9.1612970983166608</v>
      </c>
      <c r="CO56" s="75">
        <f>('Scénario référence'!$F$8+'Scénario référence'!$F$9+'Scénario référence'!$B$17+'Scénario référence'!$B$9+'Scénario référence'!$B$10)*70+IF((45+25*(1-EXP(-0.0175*A56)))&lt;70,'Scénario référence'!$B$16*(45+25*(1-EXP(-0.0175*A56))),70*'Scénario référence'!$B$16)+IF((32+38*(1-EXP(-0.0175*A56)))&lt;70,'Scénario référence'!$B$18*(32+38*(1-EXP(-0.0175*A56))),70*'Scénario référence'!$B$18)</f>
        <v>70</v>
      </c>
      <c r="CP56" s="12">
        <f>IF(A56&gt;30,10,('Scénario référence'!$B$16+'Scénario référence'!$B$17+'Scénario référence'!$B$18+'Scénario référence'!$B$9+'Scénario référence'!$B$10)*A56*10/30+('Scénario référence'!$F$8+'Scénario référence'!$F$9)*10)</f>
        <v>10</v>
      </c>
      <c r="CQ56" s="12" t="e">
        <f>VLOOKUP(A56,'Données projet'!$A$139:$I$159,2,0)</f>
        <v>#N/A</v>
      </c>
      <c r="CR56" s="12" t="e">
        <f>VLOOKUP(A56,'Données projet'!$A$139:$I$159,9,0)</f>
        <v>#N/A</v>
      </c>
      <c r="CS56" s="12">
        <f t="array" ref="CS56">INDEX(CR:CR,MIN(IF(ISNUMBER(CR56:CR252),ROW(CR56:CR252),"")))</f>
        <v>0</v>
      </c>
      <c r="CT56" s="12">
        <f>IF('Données projet'!$A$140&gt;35,CT55+CS56-DB55,IF(A56&lt;'Données projet'!$A$140,$CQ$205^A56,IF(A56='Données projet'!$A$140,'Données projet'!$B$140,CT55+CS56-DB55)))</f>
        <v>0</v>
      </c>
      <c r="CU56" s="17" t="e">
        <f>CT56*VLOOKUP('Données projet'!$B$13,Paramètres!$A$1:$I$89,3,0)*VLOOKUP('Données projet'!$B$13,Paramètres!$A$1:$I$89,5,0)</f>
        <v>#N/A</v>
      </c>
      <c r="CV56" s="13" t="e">
        <f t="shared" si="41"/>
        <v>#N/A</v>
      </c>
      <c r="CW56" s="20" t="e">
        <f t="shared" si="13"/>
        <v>#N/A</v>
      </c>
      <c r="CX56" s="59" t="e">
        <f t="shared" si="14"/>
        <v>#N/A</v>
      </c>
      <c r="CY56" s="59" t="e">
        <f ca="1">AVERAGE(OFFSET($CX$3,0,0,'Données projet'!$E$13+1,1))-AVERAGE(OFFSET($H$3,0,0,'Données projet'!$E$13+1,1))</f>
        <v>#N/A</v>
      </c>
      <c r="CZ56" s="59" t="e">
        <f t="shared" si="42"/>
        <v>#N/A</v>
      </c>
      <c r="DA56" s="15">
        <f>IF(ISNA(VLOOKUP(A56,'Données projet'!$A$139:$I$159,3,0)),0,VLOOKUP(A56,'Données projet'!$A$139:$I$159,3,0))</f>
        <v>0</v>
      </c>
      <c r="DB56" s="15">
        <f>IF(ISNA(VLOOKUP(A56,'Données projet'!$A$139:$I$159,4,0)),0,VLOOKUP(A56,'Données projet'!$A$139:$I$159,4,0))</f>
        <v>0</v>
      </c>
      <c r="DC56" s="16">
        <f>IF(ISNA(VLOOKUP(A56,'Données projet'!$A$139:$I$159,5,0)),0%,VLOOKUP(A56,'Données projet'!$A$139:$I$159,5,0)*VLOOKUP('Données projet'!$B$13,Paramètres!$A$1:$I$89,7,0))</f>
        <v>0</v>
      </c>
      <c r="DD56" s="16">
        <f>IF(ISNA(VLOOKUP(A56,'Données projet'!$A$139:$I$159,6,0)),0%,VLOOKUP(A56,'Données projet'!$A$139:$I$159,6,0)*VLOOKUP('Données projet'!$B$13,Paramètres!$A$1:$I$89,7,0))</f>
        <v>0</v>
      </c>
      <c r="DE56" s="16">
        <f>IF(ISNA(VLOOKUP(A56,'Données projet'!$A$139:$I$159,7,0)),0%,VLOOKUP(A56,'Données projet'!$A$139:$I$159,7,0))</f>
        <v>0</v>
      </c>
      <c r="DF56" s="21" t="e">
        <f>EXP(-LN(2)/35)*DF55+(1-EXP(-LN(2)/35))/(LN(2)/35)*DB56*DC56*VLOOKUP('Données projet'!$B$13,Paramètres!$A$1:$I$89,3,0)*0.475*44/12</f>
        <v>#N/A</v>
      </c>
      <c r="DG56" s="21" t="e">
        <f>EXP(-LN(2)/25)*DG55+(1-EXP(-LN(2)/25))/(LN(2)/25)*Calculateur!DB56*Calculateur!DD56*VLOOKUP('Données projet'!$B$13,Paramètres!$A$1:$I$89,3,0)*0.475*44/12</f>
        <v>#N/A</v>
      </c>
      <c r="DH56" s="21" t="e">
        <f>EXP(-LN(2)/2)*DH55+(1-EXP(-LN(2)/2))/(LN(2)/2)*DB56*DE56*VLOOKUP('Données projet'!$B$13,Paramètres!$A$1:$I$89,3,0)*0.475*44/12</f>
        <v>#N/A</v>
      </c>
      <c r="DI56" s="22" t="e">
        <f t="shared" si="15"/>
        <v>#N/A</v>
      </c>
      <c r="DJ56" s="75">
        <f>('Scénario référence'!$F$8+'Scénario référence'!$F$9+'Scénario référence'!$B$17+'Scénario référence'!$B$9+'Scénario référence'!$B$10)*70+IF((45+25*(1-EXP(-0.0175*A56)))&lt;70,'Scénario référence'!$B$16*(45+25*(1-EXP(-0.0175*A56))),70*'Scénario référence'!$B$16)+IF((32+38*(1-EXP(-0.0175*A56)))&lt;70,'Scénario référence'!$B$18*(32+38*(1-EXP(-0.0175*A56))),70*'Scénario référence'!$B$18)</f>
        <v>70</v>
      </c>
      <c r="DK56" s="12">
        <f>IF(A56&gt;30,10,('Scénario référence'!$B$16+'Scénario référence'!$B$17+'Scénario référence'!$B$18+'Scénario référence'!$B$9+'Scénario référence'!$B$10)*A56*10/30+('Scénario référence'!$F$8+'Scénario référence'!$F$9)*10)</f>
        <v>10</v>
      </c>
      <c r="DL56" s="12" t="e">
        <f>VLOOKUP(A56,'Données projet'!$A$165:$I$185,2,0)</f>
        <v>#N/A</v>
      </c>
      <c r="DM56" s="12" t="e">
        <f>VLOOKUP(A56,'Données projet'!$A$165:$I$185,9,0)</f>
        <v>#N/A</v>
      </c>
      <c r="DN56" s="12">
        <f t="array" ref="DN56">INDEX(DM:DM,MIN(IF(ISNUMBER(DM56:DM252),ROW(DM56:DM252),"")))</f>
        <v>6.6</v>
      </c>
      <c r="DO56" s="12">
        <f>IF('Données projet'!$A$166&gt;35,DO55+DN56-DW55,IF(A56&lt;'Données projet'!$A$166,$DL$205^A56,IF(A56='Données projet'!$A$166,'Données projet'!$B$166,DO55+DN56-DW55)))</f>
        <v>238.8</v>
      </c>
      <c r="DP56" s="17">
        <f>DO56*VLOOKUP('Données projet'!$B$14,Paramètres!$A$1:$I$89,3,0)*VLOOKUP('Données projet'!$B$14,Paramètres!$A$1:$I$89,5,0)</f>
        <v>156.46176000000003</v>
      </c>
      <c r="DQ56" s="13">
        <f t="shared" si="43"/>
        <v>40.043419814502997</v>
      </c>
      <c r="DR56" s="20">
        <f t="shared" si="16"/>
        <v>342.24652151025947</v>
      </c>
      <c r="DS56" s="59">
        <f t="shared" si="17"/>
        <v>635.57985484359278</v>
      </c>
      <c r="DT56" s="59">
        <f ca="1">AVERAGE(OFFSET($DS$3,0,0,'Données projet'!$E$14+1,1))-AVERAGE(OFFSET($H$3,0,0,'Données projet'!$E$14+1,1))</f>
        <v>188.68915783955595</v>
      </c>
      <c r="DU56" s="59">
        <f t="shared" si="44"/>
        <v>240.82467772396944</v>
      </c>
      <c r="DV56" s="15">
        <f>IF(ISNA(VLOOKUP(A56,'Données projet'!$A$165:$I$185,3,0)),0,VLOOKUP(A56,'Données projet'!$A$165:$I$185,3,0))</f>
        <v>0</v>
      </c>
      <c r="DW56" s="15">
        <f>IF(ISNA(VLOOKUP(A56,'Données projet'!$A$165:$I$185,4,0)),0,VLOOKUP(A56,'Données projet'!$A$165:$I$185,4,0))</f>
        <v>0</v>
      </c>
      <c r="DX56" s="16">
        <f>IF(ISNA(VLOOKUP(A56,'Données projet'!$A$165:$I$185,5,0)),0%,VLOOKUP(A56,'Données projet'!$A$165:$I$185,5,0)*VLOOKUP('Données projet'!$B$14,Paramètres!$A$1:$I$89,7,0))</f>
        <v>0</v>
      </c>
      <c r="DY56" s="16">
        <f>IF(ISNA(VLOOKUP(A56,'Données projet'!$A$165:$I$185,6,0)),0%,VLOOKUP(A56,'Données projet'!$A$165:$I$185,6,0)*VLOOKUP('Données projet'!$B$14,Paramètres!$A$1:$I$89,7,0))</f>
        <v>0</v>
      </c>
      <c r="DZ56" s="16">
        <f>IF(ISNA(VLOOKUP(A56,'Données projet'!$A$165:$I$185,7,0)),0%,VLOOKUP(A56,'Données projet'!$A$165:$I$185,7,0))</f>
        <v>0</v>
      </c>
      <c r="EA56" s="21">
        <f>EXP(-LN(2)/35)*EA55+(1-EXP(-LN(2)/35))/(LN(2)/35)*DW56*DX56*VLOOKUP('Données projet'!$B$14,Paramètres!$A$1:$I$89,3,0)*0.475*44/12</f>
        <v>0.98750601041453179</v>
      </c>
      <c r="EB56" s="21">
        <f>EXP(-LN(2)/25)*EB55+(1-EXP(-LN(2)/25))/(LN(2)/25)*Calculateur!DW56*Calculateur!DY56*VLOOKUP('Données projet'!$B$14,Paramètres!$A$1:$I$89,3,0)*0.475*44/12</f>
        <v>4.2481709600762159</v>
      </c>
      <c r="EC56" s="21">
        <f>EXP(-LN(2)/2)*EC55+(1-EXP(-LN(2)/2))/(LN(2)/2)*DW56*DZ56*VLOOKUP('Données projet'!$B$14,Paramètres!$A$1:$I$89,3,0)*0.475*44/12</f>
        <v>4.8324975582522368E-3</v>
      </c>
      <c r="ED56" s="22">
        <f t="shared" si="18"/>
        <v>5.2405094680489999</v>
      </c>
      <c r="EE56" s="75">
        <f>('Scénario référence'!$F$8+'Scénario référence'!$F$9+'Scénario référence'!$B$17+'Scénario référence'!$B$9+'Scénario référence'!$B$10)*70+IF((45+25*(1-EXP(-0.0175*A56)))&lt;70,'Scénario référence'!$B$16*(45+25*(1-EXP(-0.0175*A56))),70*'Scénario référence'!$B$16)+IF((32+38*(1-EXP(-0.0175*A56)))&lt;70,'Scénario référence'!$B$18*(32+38*(1-EXP(-0.0175*A56))),70*'Scénario référence'!$B$18)</f>
        <v>70</v>
      </c>
      <c r="EF56" s="12">
        <f>IF(A56&gt;30,10,('Scénario référence'!$B$16+'Scénario référence'!$B$17+'Scénario référence'!$B$18+'Scénario référence'!$B$9+'Scénario référence'!$B$10)*A56*10/30+('Scénario référence'!$F$8+'Scénario référence'!$F$9)*10)</f>
        <v>10</v>
      </c>
      <c r="EG56" s="12" t="e">
        <f>VLOOKUP(A56,'Données projet'!$A$191:$I$211,2,0)</f>
        <v>#N/A</v>
      </c>
      <c r="EH56" s="12" t="e">
        <f>VLOOKUP(A56,'Données projet'!$A$191:$I$211,9,0)</f>
        <v>#N/A</v>
      </c>
      <c r="EI56" s="12">
        <f t="array" ref="EI56">INDEX(EH:EH,MIN(IF(ISNUMBER(EH56:EH252),ROW(EH56:EH252),"")))</f>
        <v>6.4</v>
      </c>
      <c r="EJ56" s="12">
        <f>IF('Données projet'!$A$192&gt;35,EJ55+EI56-ER55,IF(A56&lt;'Données projet'!$A$192,$EG$205^A56,IF(A56='Données projet'!$A$192,'Données projet'!$B$192,EJ55+EI56-ER55)))</f>
        <v>205.19999999999993</v>
      </c>
      <c r="EK56" s="17">
        <f>EJ56*VLOOKUP('Données projet'!$B$15,Paramètres!$A$1:$I$89,3,0)*VLOOKUP('Données projet'!$B$15,Paramètres!$A$1:$I$89,5,0)</f>
        <v>166.45823999999996</v>
      </c>
      <c r="EL56" s="13">
        <f t="shared" si="45"/>
        <v>42.295817799452642</v>
      </c>
      <c r="EM56" s="20">
        <f t="shared" si="19"/>
        <v>363.5799840007133</v>
      </c>
      <c r="EN56" s="59">
        <f t="shared" si="20"/>
        <v>656.91331733404661</v>
      </c>
      <c r="EO56" s="59">
        <f ca="1">AVERAGE(OFFSET($EN$3,0,0,'Données projet'!$E$15+1,1))-AVERAGE(OFFSET($H$3,0,0,'Données projet'!$E$15+1,1))</f>
        <v>205.5272583787887</v>
      </c>
      <c r="EP56" s="59">
        <f t="shared" si="46"/>
        <v>180.54762778843178</v>
      </c>
      <c r="EQ56" s="15">
        <f>IF(ISNA(VLOOKUP(A56,'Données projet'!$A$191:$I$211,3,0)),0,VLOOKUP(A56,'Données projet'!$A$191:$I$211,3,0))</f>
        <v>0</v>
      </c>
      <c r="ER56" s="15">
        <f>IF(ISNA(VLOOKUP(A56,'Données projet'!$A$191:$I$211,4,0)),0,VLOOKUP(A56,'Données projet'!$A$191:$I$211,4,0))</f>
        <v>0</v>
      </c>
      <c r="ES56" s="16">
        <f>IF(ISNA(VLOOKUP(A56,'Données projet'!$A$191:$I$211,5,0)),0%,VLOOKUP(A56,'Données projet'!$A$191:$I$211,5,0)*VLOOKUP('Données projet'!$B$15,Paramètres!$A$1:$I$89,7,0))</f>
        <v>0</v>
      </c>
      <c r="ET56" s="16">
        <f>IF(ISNA(VLOOKUP(A56,'Données projet'!$A$191:$I$211,6,0)),0%,VLOOKUP(A56,'Données projet'!$A$191:$I$211,6,0)*VLOOKUP('Données projet'!$B$15,Paramètres!$A$1:$I$89,7,0))</f>
        <v>0</v>
      </c>
      <c r="EU56" s="16">
        <f>IF(ISNA(VLOOKUP(A56,'Données projet'!$A$191:$I$211,7,0)),0%,VLOOKUP(A56,'Données projet'!$A$191:$I$211,7,0))</f>
        <v>0</v>
      </c>
      <c r="EV56" s="21">
        <f>EXP(-LN(2)/35)*EV55+(1-EXP(-LN(2)/35))/(LN(2)/35)*ER56*ES56*VLOOKUP('Données projet'!$B$15,Paramètres!$A$1:$I$89,3,0)*0.475*44/12</f>
        <v>0.63576577432402248</v>
      </c>
      <c r="EW56" s="21">
        <f>EXP(-LN(2)/25)*EW55+(1-EXP(-LN(2)/25))/(LN(2)/25)*Calculateur!ER56*Calculateur!ET56*VLOOKUP('Données projet'!$B$15,Paramètres!$A$1:$I$89,3,0)*0.475*44/12</f>
        <v>3.0673083055400729</v>
      </c>
      <c r="EX56" s="21">
        <f>EXP(-LN(2)/2)*EX55+(1-EXP(-LN(2)/2))/(LN(2)/2)*ER56*EU56*VLOOKUP('Données projet'!$B$15,Paramètres!$A$1:$I$89,3,0)*0.475*44/12</f>
        <v>3.129045742243658E-3</v>
      </c>
      <c r="EY56" s="22">
        <f t="shared" si="21"/>
        <v>3.706203125606339</v>
      </c>
      <c r="EZ56" s="75">
        <f>('Scénario référence'!$F$8+'Scénario référence'!$F$9+'Scénario référence'!$B$17+'Scénario référence'!$B$9+'Scénario référence'!$B$10)*70+IF((45+25*(1-EXP(-0.0175*A56)))&lt;70,'Scénario référence'!$B$16*(45+25*(1-EXP(-0.0175*A56))),70*'Scénario référence'!$B$16)+IF((32+38*(1-EXP(-0.0175*A56)))&lt;70,'Scénario référence'!$B$18*(32+38*(1-EXP(-0.0175*A56))),70*'Scénario référence'!$B$18)</f>
        <v>70</v>
      </c>
      <c r="FA56" s="12">
        <f>IF(A56&gt;30,10,('Scénario référence'!$B$16+'Scénario référence'!$B$17+'Scénario référence'!$B$18+'Scénario référence'!$B$9+'Scénario référence'!$B$10)*A56*10/30+('Scénario référence'!$F$8+'Scénario référence'!$F$9)*10)</f>
        <v>10</v>
      </c>
      <c r="FB56" s="12" t="e">
        <f>VLOOKUP(A56,'Données projet'!$A$217:$I$237,2,0)</f>
        <v>#N/A</v>
      </c>
      <c r="FC56" s="12" t="e">
        <f>VLOOKUP(A56,'Données projet'!$A$217:$I$237,9,0)</f>
        <v>#N/A</v>
      </c>
      <c r="FD56" s="12">
        <f t="array" ref="FD56">INDEX(FC:FC,MIN(IF(ISNUMBER(FC56:FC252),ROW(FC56:FC252),"")))</f>
        <v>13.4</v>
      </c>
      <c r="FE56" s="12">
        <f>IF('Données projet'!$A$218&gt;35,FE55+FD56-FM55,IF(A56&lt;'Données projet'!$A$218,$FB$205^A56,IF(A56='Données projet'!$A$218,'Données projet'!$B$218,FE55+FD56-FM55)))</f>
        <v>239.20000000000005</v>
      </c>
      <c r="FF56" s="17">
        <f>FE56*VLOOKUP('Données projet'!$B$16,Paramètres!$A$1:$I$89,3,0)*VLOOKUP('Données projet'!$B$16,Paramètres!$A$1:$I$89,5,0)</f>
        <v>205.23360000000005</v>
      </c>
      <c r="FG56" s="13">
        <f t="shared" si="47"/>
        <v>50.892619716943095</v>
      </c>
      <c r="FH56" s="20">
        <f t="shared" si="22"/>
        <v>446.08649934034253</v>
      </c>
      <c r="FI56" s="59">
        <f t="shared" si="23"/>
        <v>739.41983267367584</v>
      </c>
      <c r="FJ56" s="59">
        <f ca="1">AVERAGE(OFFSET($FI$3,0,0,'Données projet'!$E$16+1,1))-AVERAGE(OFFSET($H$3,0,0,'Données projet'!$E$16+1,1))</f>
        <v>383.97627237444709</v>
      </c>
      <c r="FK56" s="59">
        <f t="shared" si="48"/>
        <v>203.35476578922339</v>
      </c>
      <c r="FL56" s="15">
        <f>IF(ISNA(VLOOKUP(A56,'Données projet'!$A$217:$I$237,3,0)),0,VLOOKUP(A56,'Données projet'!$A$217:$I$237,3,0))</f>
        <v>0</v>
      </c>
      <c r="FM56" s="15">
        <f>IF(ISNA(VLOOKUP(A56,'Données projet'!$A$217:$I$237,4,0)),0,VLOOKUP(A56,'Données projet'!$A$217:$I$237,4,0))</f>
        <v>0</v>
      </c>
      <c r="FN56" s="16">
        <f>IF(ISNA(VLOOKUP(A56,'Données projet'!$A$217:$I$237,5,0)),0%,VLOOKUP(A56,'Données projet'!$A$217:$I$237,5,0)*VLOOKUP('Données projet'!$B$16,Paramètres!$A$1:$I$89,7,0))</f>
        <v>0</v>
      </c>
      <c r="FO56" s="16">
        <f>IF(ISNA(VLOOKUP(A56,'Données projet'!$A$217:$I$237,6,0)),0%,VLOOKUP(A56,'Données projet'!$A$217:$I$237,6,0)*VLOOKUP('Données projet'!$B$16,Paramètres!$A$1:$I$89,7,0))</f>
        <v>0</v>
      </c>
      <c r="FP56" s="16">
        <f>IF(ISNA(VLOOKUP(A56,'Données projet'!$A$217:$I$237,7,0)),0%,VLOOKUP(A56,'Données projet'!$A$217:$I$237,7,0))</f>
        <v>0</v>
      </c>
      <c r="FQ56" s="21">
        <f>EXP(-LN(2)/35)*FQ55+(1-EXP(-LN(2)/35))/(LN(2)/35)*FM56*FN56*VLOOKUP('Données projet'!$B$16,Paramètres!$A$1:$I$89,3,0)*0.475*44/12</f>
        <v>3.2674911637511874</v>
      </c>
      <c r="FR56" s="21">
        <f>EXP(-LN(2)/25)*FR55+(1-EXP(-LN(2)/25))/(LN(2)/25)*Calculateur!FM56*Calculateur!FO56*VLOOKUP('Données projet'!$B$16,Paramètres!$A$1:$I$89,3,0)*0.475*44/12</f>
        <v>3.1136349665667744</v>
      </c>
      <c r="FS56" s="21">
        <f>EXP(-LN(2)/2)*FS55+(1-EXP(-LN(2)/2))/(LN(2)/2)*FM56*FP56*VLOOKUP('Données projet'!$B$16,Paramètres!$A$1:$I$89,3,0)*0.475*44/12</f>
        <v>5.7474148553402511E-3</v>
      </c>
      <c r="FT56" s="22">
        <f t="shared" si="24"/>
        <v>6.3868735451733025</v>
      </c>
      <c r="FU56" s="75">
        <f>('Scénario référence'!$F$8+'Scénario référence'!$F$9+'Scénario référence'!$B$17+'Scénario référence'!$B$9+'Scénario référence'!$B$10)*70+IF((45+25*(1-EXP(-0.0175*A56)))&lt;70,'Scénario référence'!$B$16*(45+25*(1-EXP(-0.0175*A56))),70*'Scénario référence'!$B$16)+IF((32+38*(1-EXP(-0.0175*A56)))&lt;70,'Scénario référence'!$B$18*(32+38*(1-EXP(-0.0175*A56))),70*'Scénario référence'!$B$18)</f>
        <v>70</v>
      </c>
      <c r="FV56" s="12">
        <f>IF(A56&gt;30,10,('Scénario référence'!$B$16+'Scénario référence'!$B$17+'Scénario référence'!$B$18+'Scénario référence'!$B$9+'Scénario référence'!$B$10)*A56*10/30+('Scénario référence'!$F$8+'Scénario référence'!$F$9)*10)</f>
        <v>10</v>
      </c>
      <c r="FW56" s="12" t="e">
        <f>VLOOKUP(A56,'Données projet'!$A$243:$I$263,2,0)</f>
        <v>#N/A</v>
      </c>
      <c r="FX56" s="12" t="e">
        <f>VLOOKUP(A56,'Données projet'!$A$243:$I$263,9,0)</f>
        <v>#N/A</v>
      </c>
      <c r="FY56" s="12">
        <f t="array" ref="FY56">INDEX(FX:FX,MIN(IF(ISNUMBER(FX56:FX252),ROW(FX56:FX252),"")))</f>
        <v>8.8736263736263741</v>
      </c>
      <c r="FZ56" s="12">
        <f>IF('Données projet'!$A$244&gt;35,FZ55+FY56-GH55,IF(A56&lt;'Données projet'!$A$244,$FW$205^A56,IF(A56='Données projet'!$A$244,'Données projet'!$B$244,FZ55+FY56-GH55)))</f>
        <v>180.69505494505495</v>
      </c>
      <c r="GA56" s="17">
        <f>FZ56*VLOOKUP('Données projet'!$B$17,Paramètres!$A$1:$I$89,3,0)*VLOOKUP('Données projet'!$B$17,Paramètres!$A$1:$I$89,5,0)</f>
        <v>194.50015714285715</v>
      </c>
      <c r="GB56" s="13">
        <f t="shared" si="49"/>
        <v>48.533514172404466</v>
      </c>
      <c r="GC56" s="20">
        <f t="shared" si="25"/>
        <v>423.283644207414</v>
      </c>
      <c r="GD56" s="59">
        <f t="shared" si="26"/>
        <v>716.61697754074726</v>
      </c>
      <c r="GE56" s="59">
        <f ca="1">AVERAGE(OFFSET($GD$3,0,0,'Données projet'!$E$17+1,1))-AVERAGE(OFFSET($H$3,0,0,'Données projet'!$E$17+1,1))</f>
        <v>286.77702855541287</v>
      </c>
      <c r="GF56" s="59">
        <f t="shared" si="50"/>
        <v>227.12211541860779</v>
      </c>
      <c r="GG56" s="15">
        <f>IF(ISNA(VLOOKUP(A56,'Données projet'!$A$243:$I$263,3,0)),0,VLOOKUP(A56,'Données projet'!$A$243:$I$263,3,0))</f>
        <v>0</v>
      </c>
      <c r="GH56" s="15">
        <f>IF(ISNA(VLOOKUP(A56,'Données projet'!$A$243:$I$263,4,0)),0,VLOOKUP(A56,'Données projet'!$A$243:$I$263,4,0))</f>
        <v>0</v>
      </c>
      <c r="GI56" s="16">
        <f>IF(ISNA(VLOOKUP(A56,'Données projet'!$A$243:$I$263,5,0)),0%,VLOOKUP(A56,'Données projet'!$A$243:$I$263,5,0)*VLOOKUP('Données projet'!$B$17,Paramètres!$A$1:$I$89,7,0))</f>
        <v>0</v>
      </c>
      <c r="GJ56" s="16">
        <f>IF(ISNA(VLOOKUP(A56,'Données projet'!$A$243:$I$263,6,0)),0%,VLOOKUP(A56,'Données projet'!$A$243:$I$263,6,0)*VLOOKUP('Données projet'!$B$17,Paramètres!$A$1:$I$89,7,0))</f>
        <v>0</v>
      </c>
      <c r="GK56" s="16">
        <f>IF(ISNA(VLOOKUP(A56,'Données projet'!$A$243:$I$263,7,0)),0%,VLOOKUP(A56,'Données projet'!$A$243:$I$263,7,0))</f>
        <v>0</v>
      </c>
      <c r="GL56" s="21">
        <f>EXP(-LN(2)/35)*GL55+(1-EXP(-LN(2)/35))/(LN(2)/35)*GH56*GI56*VLOOKUP('Données projet'!$B$17,Paramètres!$A$1:$I$89,3,0)*0.475*44/12</f>
        <v>0</v>
      </c>
      <c r="GM56" s="21">
        <f>EXP(-LN(2)/25)*GM55+(1-EXP(-LN(2)/25))/(LN(2)/25)*Calculateur!GH56*Calculateur!GJ56*VLOOKUP('Données projet'!$B$17,Paramètres!$A$1:$I$89,3,0)*0.475*44/12</f>
        <v>0</v>
      </c>
      <c r="GN56" s="21">
        <f>EXP(-LN(2)/2)*GN55+(1-EXP(-LN(2)/2))/(LN(2)/2)*GH56*GK56*VLOOKUP('Données projet'!$B$17,Paramètres!$A$1:$I$89,3,0)*0.475*44/12</f>
        <v>0</v>
      </c>
      <c r="GO56" s="21">
        <f t="shared" si="27"/>
        <v>0</v>
      </c>
      <c r="GP56" s="75">
        <f>('Scénario référence'!$F$8+'Scénario référence'!$F$9+'Scénario référence'!$B$17+'Scénario référence'!$B$9+'Scénario référence'!$B$10)*70+IF((45+25*(1-EXP(-0.0175*A56)))&lt;70,'Scénario référence'!$B$16*(45+25*(1-EXP(-0.0175*A56))),70*'Scénario référence'!$B$16)+IF((32+38*(1-EXP(-0.0175*A56)))&lt;70,'Scénario référence'!$B$18*(32+38*(1-EXP(-0.0175*A56))),70*'Scénario référence'!$B$18)</f>
        <v>70</v>
      </c>
      <c r="GQ56" s="12">
        <f>IF(A56&gt;30,10,('Scénario référence'!$B$16+'Scénario référence'!$B$17+'Scénario référence'!$B$18+'Scénario référence'!$B$9+'Scénario référence'!$B$10)*A56*10/30+('Scénario référence'!$F$8+'Scénario référence'!$F$9)*10)</f>
        <v>10</v>
      </c>
      <c r="GR56" s="12" t="e">
        <f>VLOOKUP(A56,'Données projet'!$A$269:$I$289,2,0)</f>
        <v>#N/A</v>
      </c>
      <c r="GS56" s="12" t="e">
        <f>VLOOKUP(A56,'Données projet'!$A$269:$I$289,9,0)</f>
        <v>#N/A</v>
      </c>
      <c r="GT56" s="12">
        <f t="array" ref="GT56">INDEX(GS:GS,MIN(IF(ISNUMBER(GS56:GS252),ROW(GS56:GS252),"")))</f>
        <v>8.8736263736263741</v>
      </c>
      <c r="GU56" s="12">
        <f>IF('Données projet'!$A$270&gt;35,GU55+GT56-HC55,IF(A56&lt;'Données projet'!$A$270,$GR$205^A56,IF(A56='Données projet'!$A$270,'Données projet'!$B$270,GU55+GT56-HC55)))</f>
        <v>180.69505494505495</v>
      </c>
      <c r="GV56" s="17">
        <f>GU56*VLOOKUP('Données projet'!$B$18,Paramètres!$A$1:$I$89,3,0)*VLOOKUP('Données projet'!$B$18,Paramètres!$A$1:$I$89,5,0)</f>
        <v>194.50015714285715</v>
      </c>
      <c r="GW56" s="13">
        <f t="shared" si="51"/>
        <v>48.533514172404466</v>
      </c>
      <c r="GX56" s="20">
        <f t="shared" si="28"/>
        <v>423.283644207414</v>
      </c>
      <c r="GY56" s="59">
        <f t="shared" si="29"/>
        <v>716.61697754074726</v>
      </c>
      <c r="GZ56" s="59">
        <f ca="1">AVERAGE(OFFSET($GY$3,0,0,'Données projet'!$E$18+1,1))-AVERAGE(OFFSET($H$3,0,0,'Données projet'!$E$18+1,1))</f>
        <v>286.77702855541287</v>
      </c>
      <c r="HA56" s="59">
        <f t="shared" si="52"/>
        <v>227.12211541860779</v>
      </c>
      <c r="HB56" s="15">
        <f>IF(ISNA(VLOOKUP(A56,'Données projet'!$A$269:$I$289,3,0)),0,VLOOKUP(A56,'Données projet'!$A$269:$I$289,3,0))</f>
        <v>0</v>
      </c>
      <c r="HC56" s="15">
        <f>IF(ISNA(VLOOKUP(A56,'Données projet'!$A$269:$I$289,4,0)),0,VLOOKUP(A56,'Données projet'!$A$269:$I$289,4,0))</f>
        <v>0</v>
      </c>
      <c r="HD56" s="16">
        <f>IF(ISNA(VLOOKUP(A56,'Données projet'!$A$269:$I$289,5,0)),0%,VLOOKUP(A56,'Données projet'!$A$269:$I$289,5,0)*VLOOKUP('Données projet'!$B$18,Paramètres!$A$1:$I$89,7,0))</f>
        <v>0</v>
      </c>
      <c r="HE56" s="16">
        <f>IF(ISNA(VLOOKUP(A56,'Données projet'!$A$269:$I$289,6,0)),0%,VLOOKUP(A56,'Données projet'!$A$269:$I$289,6,0)*VLOOKUP('Données projet'!$B$18,Paramètres!$A$1:$I$89,7,0))</f>
        <v>0</v>
      </c>
      <c r="HF56" s="16">
        <f>IF(ISNA(VLOOKUP(A56,'Données projet'!$A$269:$I$289,7,0)),0%,VLOOKUP(A56,'Données projet'!$A$269:$I$289,7,0))</f>
        <v>0</v>
      </c>
      <c r="HG56" s="21">
        <f>EXP(-LN(2)/35)*HG55+(1-EXP(-LN(2)/35))/(LN(2)/35)*HC56*HD56*VLOOKUP('Données projet'!$B$18,Paramètres!$A$1:$I$89,3,0)*0.475*44/12</f>
        <v>0</v>
      </c>
      <c r="HH56" s="21">
        <f>EXP(-LN(2)/25)*HH55+(1-EXP(-LN(2)/25))/(LN(2)/25)*Calculateur!HC56*Calculateur!HE56*VLOOKUP('Données projet'!$B$18,Paramètres!$A$1:$I$89,3,0)*0.475*44/12</f>
        <v>0</v>
      </c>
      <c r="HI56" s="21">
        <f>EXP(-LN(2)/2)*HI55+(1-EXP(-LN(2)/2))/(LN(2)/2)*HC56*HF56*VLOOKUP('Données projet'!$B$18,Paramètres!$A$1:$I$89,3,0)*0.475*44/12</f>
        <v>0</v>
      </c>
      <c r="HJ56" s="22">
        <f t="shared" si="30"/>
        <v>0</v>
      </c>
    </row>
    <row r="57" spans="1:218" x14ac:dyDescent="0.25">
      <c r="A57" s="10">
        <f t="shared" si="31"/>
        <v>54</v>
      </c>
      <c r="B57" s="73">
        <f>'Scénario référence'!$B$16*5+'Scénario référence'!$B$17*0+'Scénario référence'!$B$18*5</f>
        <v>0</v>
      </c>
      <c r="C57" s="19">
        <f>Calculateur!C56+'Scénario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48.016800000000032</v>
      </c>
      <c r="D57" s="11">
        <f t="shared" si="32"/>
        <v>14.100389472000563</v>
      </c>
      <c r="E5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57" s="11">
        <f>IF(OR('Scénario référence'!$F$8&gt;0,'Scénario référence'!$F$9&gt;0),('Scénario référence'!$F$8+'Scénario référence'!$F$9)*10,0)</f>
        <v>10</v>
      </c>
      <c r="G57" s="11">
        <f>'Scénario référence'!$B$8*B57*44/12+'Scénario référence'!$B$9*(C57+D57)/0.475*44/12+'Scénario référence'!$B$10*(C57+D57)/0.475*44/12+'Scénario référence'!$F$8*(C57+D57)/0.475*44/12+'Scénario référence'!$F$9*(C57+D57)/0.475*44/12</f>
        <v>479.50111171368889</v>
      </c>
      <c r="H57" s="67">
        <f t="shared" si="1"/>
        <v>401.52077166373437</v>
      </c>
      <c r="I57" s="70">
        <f>('Scénario référence'!$F$8+'Scénario référence'!$F$9+'Scénario référence'!$B$17+'Scénario référence'!$B$9+'Scénario référence'!$B$10)*70+IF((45+25*(1-EXP(-0.0175*A57)))&lt;70,'Scénario référence'!$B$16*(45+25*(1-EXP(-0.0175*A57))),70*'Scénario référence'!$B$16)+IF((32+38*(1-EXP(-0.0175*A57)))&lt;70,'Scénario référence'!$B$18*(32+38*(1-EXP(-0.0175*A57))),70*'Scénario référence'!$B$18)</f>
        <v>70</v>
      </c>
      <c r="J57" s="13">
        <f>IF(A57&gt;30,10,('Scénario référence'!$B$16+'Scénario référence'!$B$17+'Scénario référence'!$B$18+'Scénario référence'!$B$9+'Scénario référence'!$B$10)*A57*10/30+('Scénario référence'!$F$8+'Scénario référence'!$F$9)*10)</f>
        <v>10</v>
      </c>
      <c r="K57" s="12">
        <f>VLOOKUP(A57,'Données projet'!$A$35:$I$55,2,0)</f>
        <v>566.79999999999995</v>
      </c>
      <c r="L57" s="12">
        <f>VLOOKUP(A57,'Données projet'!$A$35:$I$55,9,0)</f>
        <v>20.507692307692299</v>
      </c>
      <c r="M57" s="12">
        <f t="array" ref="M57">INDEX(L:L,MIN(IF(ISNUMBER(L57:L253),ROW(L57:L253),"")))</f>
        <v>20.507692307692299</v>
      </c>
      <c r="N57" s="13">
        <f>IF('Données projet'!$A$36&gt;35,N56+M57-V56,IF(A57&lt;'Données projet'!$A$36,$K$205^A57,IF(A57='Données projet'!$A$36,'Données projet'!$B$36,N56+M57-V56)))</f>
        <v>566.79999999999973</v>
      </c>
      <c r="O57" s="13">
        <f>N57*VLOOKUP('Données projet'!$B$9,Paramètres!$A$1:$I$89,3,0)*VLOOKUP('Données projet'!$B$9,Paramètres!$A$1:$I$89,5,0)</f>
        <v>316.84119999999984</v>
      </c>
      <c r="P57" s="13">
        <f t="shared" si="33"/>
        <v>74.695724902330795</v>
      </c>
      <c r="Q57" s="20">
        <f t="shared" si="53"/>
        <v>681.92681087155916</v>
      </c>
      <c r="R57" s="59">
        <f t="shared" si="0"/>
        <v>975.26014420489241</v>
      </c>
      <c r="S57" s="59">
        <f ca="1">AVERAGE(OFFSET($R$3,0,0,'Données projet'!$E$9+1,1))-AVERAGE(OFFSET($H$3,0,0,'Données projet'!$E$9+1,1))</f>
        <v>255.5374979188561</v>
      </c>
      <c r="T57" s="59">
        <f t="shared" si="34"/>
        <v>343.10418468620901</v>
      </c>
      <c r="U57" s="15">
        <f>IF(ISNA(VLOOKUP(A57,'Données projet'!$A$35:$I$55,3,0)),0,VLOOKUP(A57,'Données projet'!$A$35:$I$55,3,0))</f>
        <v>7</v>
      </c>
      <c r="V57" s="15">
        <f>IF(ISNA(VLOOKUP(A57,'Données projet'!$A$35:$I$55,4,0)),0,VLOOKUP(A57,'Données projet'!$A$35:$I$55,4,0))</f>
        <v>566.79999999999995</v>
      </c>
      <c r="W57" s="16">
        <f>IF(ISNA(VLOOKUP(A57,'Données projet'!$A$35:$I$55,5,0)),0%,VLOOKUP(A57,'Données projet'!$A$35:$I$55,5,0)*VLOOKUP('Données projet'!$B$9,Paramètres!$A$1:$I$89,7,0))</f>
        <v>0</v>
      </c>
      <c r="X57" s="16">
        <f>IF(ISNA(VLOOKUP(A57,'Données projet'!$A$35:$I$55,6,0)),0%,VLOOKUP(A57,'Données projet'!$A$35:$I$55,6,0)*VLOOKUP('Données projet'!$B$9,Paramètres!$A$1:$I$89,7,0))</f>
        <v>0</v>
      </c>
      <c r="Y57" s="16">
        <f>IF(ISNA(VLOOKUP(A57,'Données projet'!$A$35:$I$55,7,0)),0%,VLOOKUP(A57,'Données projet'!$A$35:$I$55,7,0))</f>
        <v>0</v>
      </c>
      <c r="Z57" s="21">
        <f>EXP(-LN(2)/35)*Z56+(1-EXP(-LN(2)/35))/(LN(2)/35)*V57*W57*VLOOKUP('Données projet'!$B$9,Paramètres!$A$1:$I$89,3,0)*0.475*44/12</f>
        <v>1.9210720430251711</v>
      </c>
      <c r="AA57" s="21">
        <f>EXP(-LN(2)/25)*AA56+(1-EXP(-LN(2)/25))/(LN(2)/25)*Calculateur!V57*Calculateur!X57*VLOOKUP('Données projet'!$B$9,Paramètres!$A$1:$I$89,3,0)*0.475*44/12</f>
        <v>8.2044815444211352</v>
      </c>
      <c r="AB57" s="21">
        <f>EXP(-LN(2)/2)*AB56+(1-EXP(-LN(2)/2))/(LN(2)/2)*V57*Y57*VLOOKUP('Données projet'!$B$9,Paramètres!$A$1:$I$89,3,0)*0.475*44/12</f>
        <v>4.1324513658546534E-4</v>
      </c>
      <c r="AC57" s="22">
        <f t="shared" si="3"/>
        <v>10.125966832582892</v>
      </c>
      <c r="AD57" s="13">
        <f>('Scénario référence'!$F$8+'Scénario référence'!$F$9+'Scénario référence'!$B$17+'Scénario référence'!$B$9+'Scénario référence'!$B$10)*70+IF((45+25*(1-EXP(-0.0175*A57)))&lt;70,'Scénario référence'!$B$16*(45+25*(1-EXP(-0.0175*A57))),70*'Scénario référence'!$B$16)+IF((32+38*(1-EXP(-0.0175*A57)))&lt;70,'Scénario référence'!$B$18*(32+38*(1-EXP(-0.0175*A57))),70*'Scénario référence'!$B$18)</f>
        <v>70</v>
      </c>
      <c r="AE57" s="13">
        <f>IF(A57&gt;30,10,('Scénario référence'!$B$16+'Scénario référence'!$B$17+'Scénario référence'!$B$18+'Scénario référence'!$B$9+'Scénario référence'!$B$10)*A57*10/30+('Scénario référence'!$F$8+'Scénario référence'!$F$9)*10)</f>
        <v>10</v>
      </c>
      <c r="AF57" s="12" t="e">
        <f>VLOOKUP(A57,'Données projet'!$A$61:$I$81,2,0)</f>
        <v>#N/A</v>
      </c>
      <c r="AG57" s="12" t="e">
        <f>VLOOKUP(A57,'Données projet'!$A$61:$I$81,9,0)</f>
        <v>#N/A</v>
      </c>
      <c r="AH57" s="12">
        <f t="array" ref="AH57">INDEX(AG:AG,MIN(IF(ISNUMBER(AG57:AG253),ROW(AG57:AG253),"")))</f>
        <v>10</v>
      </c>
      <c r="AI57" s="13">
        <f>IF('Données projet'!$A$62&gt;35,AI56+AH57-AQ56,IF(A57&lt;'Données projet'!$A$62,$AF$205^A57,IF(A57='Données projet'!$A$62,'Données projet'!$B$62,AI56+AH57-AQ56)))</f>
        <v>343.99999999999989</v>
      </c>
      <c r="AJ57" s="13">
        <f>AI57*VLOOKUP('Données projet'!$B$10,Paramètres!$A$1:$I$89,3,0)*VLOOKUP('Données projet'!$B$10,Paramètres!$A$1:$I$89,5,0)</f>
        <v>214.65599999999995</v>
      </c>
      <c r="AK57" s="13">
        <f t="shared" si="35"/>
        <v>52.951736650296546</v>
      </c>
      <c r="AL57" s="20">
        <f t="shared" si="4"/>
        <v>466.08347466593301</v>
      </c>
      <c r="AM57" s="59">
        <f t="shared" si="5"/>
        <v>759.41680799926633</v>
      </c>
      <c r="AN57" s="59">
        <f ca="1">AVERAGE(OFFSET($AM$3,0,0,'Données projet'!$E$10+1,1))-AVERAGE(OFFSET($H$3,0,0,'Données projet'!$E$10+1,1))</f>
        <v>261.78489480911571</v>
      </c>
      <c r="AO57" s="59">
        <f t="shared" si="36"/>
        <v>297.50513563712764</v>
      </c>
      <c r="AP57" s="15">
        <f>IF(ISNA(VLOOKUP(A57,'Données projet'!$A$61:$I$81,3,0)),0,VLOOKUP(A57,'Données projet'!$A$61:$I$81,3,0))</f>
        <v>0</v>
      </c>
      <c r="AQ57" s="15">
        <f>IF(ISNA(VLOOKUP(A57,'Données projet'!$A$61:$I$81,4,0)),0,VLOOKUP(A57,'Données projet'!$A$61:$I$81,4,0))</f>
        <v>0</v>
      </c>
      <c r="AR57" s="16">
        <f>IF(ISNA(VLOOKUP(A57,'Données projet'!$A$61:$I$81,5,0)),0%,VLOOKUP(A57,'Données projet'!$A$61:$I$81,5,0)*VLOOKUP('Données projet'!$B$10,Paramètres!$A$1:$I$89,7,0))</f>
        <v>0</v>
      </c>
      <c r="AS57" s="16">
        <f>IF(ISNA(VLOOKUP(A57,'Données projet'!$A$61:$I$81,6,0)),0%,VLOOKUP(A57,'Données projet'!$A$61:$I$81,6,0)*VLOOKUP('Données projet'!$B$10,Paramètres!$A$1:$I$89,7,0))</f>
        <v>0</v>
      </c>
      <c r="AT57" s="16">
        <f>IF(ISNA(VLOOKUP(A57,'Données projet'!$A$61:$I$81,7,0)),0%,VLOOKUP(A57,'Données projet'!$A$61:$I$81,7,0))</f>
        <v>0</v>
      </c>
      <c r="AU57" s="21">
        <f>EXP(-LN(2)/35)*AU56+(1-EXP(-LN(2)/35))/(LN(2)/35)*AQ57*AR57*VLOOKUP('Données projet'!$B$10,Paramètres!$A$1:$I$89,3,0)*0.475*44/12</f>
        <v>5.1874378887891082</v>
      </c>
      <c r="AV57" s="21">
        <f>EXP(-LN(2)/25)*AV56+(1-EXP(-LN(2)/25))/(LN(2)/25)*Calculateur!AQ57*Calculateur!AS57*VLOOKUP('Données projet'!$B$10,Paramètres!$A$1:$I$89,3,0)*0.475*44/12</f>
        <v>14.326698169790953</v>
      </c>
      <c r="AW57" s="21">
        <f>EXP(-LN(2)/2)*AW56+(1-EXP(-LN(2)/2))/(LN(2)/2)*AQ57*AT57*VLOOKUP('Données projet'!$B$10,Paramètres!$A$1:$I$89,3,0)*0.475*44/12</f>
        <v>5.9573220549101269E-3</v>
      </c>
      <c r="AX57" s="21">
        <f t="shared" si="6"/>
        <v>19.520093380634972</v>
      </c>
      <c r="AY57" s="74">
        <f>('Scénario référence'!$F$8+'Scénario référence'!$F$9+'Scénario référence'!$B$17+'Scénario référence'!$B$9+'Scénario référence'!$B$10)*70+IF((45+25*(1-EXP(-0.0175*A57)))&lt;70,'Scénario référence'!$B$16*(45+25*(1-EXP(-0.0175*A57))),70*'Scénario référence'!$B$16)+IF((32+38*(1-EXP(-0.0175*A57)))&lt;70,'Scénario référence'!$B$18*(32+38*(1-EXP(-0.0175*A57))),70*'Scénario référence'!$B$18)</f>
        <v>70</v>
      </c>
      <c r="AZ57" s="12">
        <f>IF(A57&gt;30,10,('Scénario référence'!$B$16+'Scénario référence'!$B$17+'Scénario référence'!$B$18+'Scénario référence'!$B$9+'Scénario référence'!$B$10)*A57*10/30+('Scénario référence'!$F$8+'Scénario référence'!$F$9)*10)</f>
        <v>10</v>
      </c>
      <c r="BA57" s="12" t="e">
        <f>VLOOKUP(A57,'Données projet'!$A$87:$I$107,2,0)</f>
        <v>#N/A</v>
      </c>
      <c r="BB57" s="12" t="e">
        <f>VLOOKUP(A57,'Données projet'!$A$87:$I$107,9,0)</f>
        <v>#N/A</v>
      </c>
      <c r="BC57" s="12">
        <f t="array" ref="BC57">INDEX(BB:BB,MIN(IF(ISNUMBER(BB57:BB253),ROW(BB57:BB253),"")))</f>
        <v>18</v>
      </c>
      <c r="BD57" s="12">
        <f>IF('Données projet'!$A$88&gt;35,BD56+BC57-BL56,IF(A57&lt;'Données projet'!$A$88,$BA$205^A57,IF(A57='Données projet'!$A$88,'Données projet'!$B$88,BD56+BC57-BL56)))</f>
        <v>399.99999999999972</v>
      </c>
      <c r="BE57" s="13">
        <f>BD57*VLOOKUP('Données projet'!$B$11,Paramètres!$A$1:$I$89,3,0)*VLOOKUP('Données projet'!$B$11,Paramètres!$A$1:$I$89,5,0)</f>
        <v>239.19999999999985</v>
      </c>
      <c r="BF57" s="13">
        <f t="shared" si="37"/>
        <v>58.267373151570702</v>
      </c>
      <c r="BG57" s="20">
        <f t="shared" si="7"/>
        <v>518.08900823898523</v>
      </c>
      <c r="BH57" s="59">
        <f t="shared" si="8"/>
        <v>811.4223415723186</v>
      </c>
      <c r="BI57" s="59">
        <f ca="1">AVERAGE(OFFSET($BH$3,0,0,'Données projet'!$E$11+1,1))-AVERAGE(OFFSET($H$3,0,0,'Données projet'!$E$11+1,1))</f>
        <v>316.58509520829671</v>
      </c>
      <c r="BJ57" s="59">
        <f t="shared" si="38"/>
        <v>240.71332110643596</v>
      </c>
      <c r="BK57" s="15">
        <f>IF(ISNA(VLOOKUP(A57,'Données projet'!$A$87:$I$107,3,0)),0,VLOOKUP(A57,'Données projet'!$A$87:$I$107,3,0))</f>
        <v>0</v>
      </c>
      <c r="BL57" s="15">
        <f>IF(ISNA(VLOOKUP(A57,'Données projet'!$A$87:$I$107,4,0)),0,VLOOKUP(A57,'Données projet'!$A$87:$I$107,4,0))</f>
        <v>0</v>
      </c>
      <c r="BM57" s="16">
        <f>IF(ISNA(VLOOKUP(A57,'Données projet'!$A$87:$I$107,5,0)),0%,VLOOKUP(A57,'Données projet'!$A$87:$I$107,5,0)*VLOOKUP('Données projet'!$B$11,Paramètres!$A$1:$I$89,7,0))</f>
        <v>0</v>
      </c>
      <c r="BN57" s="16">
        <f>IF(ISNA(VLOOKUP(A57,'Données projet'!$A$87:$I$107,6,0)),0%,VLOOKUP(A57,'Données projet'!$A$87:$I$107,6,0)*VLOOKUP('Données projet'!$B$11,Paramètres!$A$1:$I$89,7,0))</f>
        <v>0</v>
      </c>
      <c r="BO57" s="16">
        <f>IF(ISNA(VLOOKUP(A57,'Données projet'!$A$87:$I$107,7,0)),0%,VLOOKUP(A57,'Données projet'!$A$87:$I$107,7,0))</f>
        <v>0</v>
      </c>
      <c r="BP57" s="21">
        <f>EXP(-LN(2)/35)*BP56+(1-EXP(-LN(2)/35))/(LN(2)/35)*BL57*BM57*VLOOKUP('Données projet'!$B$11,Paramètres!$A$1:$I$89,3,0)*0.475*44/12</f>
        <v>1.5757228557277934</v>
      </c>
      <c r="BQ57" s="21">
        <f>EXP(-LN(2)/25)*BQ56+(1-EXP(-LN(2)/25))/(LN(2)/25)*Calculateur!BL57*Calculateur!BN57*VLOOKUP('Données projet'!$B$11,Paramètres!$A$1:$I$89,3,0)*0.475*44/12</f>
        <v>7.8485832829079429</v>
      </c>
      <c r="BR57" s="21">
        <f>EXP(-LN(2)/2)*BR56+(1-EXP(-LN(2)/2))/(LN(2)/2)*BL57*BO57*VLOOKUP('Données projet'!$B$11,Paramètres!$A$1:$I$89,3,0)*0.475*44/12</f>
        <v>5.3562849292336E-3</v>
      </c>
      <c r="BS57" s="22">
        <f t="shared" si="9"/>
        <v>9.4296624235649684</v>
      </c>
      <c r="BT57" s="75">
        <f>('Scénario référence'!$F$8+'Scénario référence'!$F$9+'Scénario référence'!$B$17+'Scénario référence'!$B$9+'Scénario référence'!$B$10)*70+IF((45+25*(1-EXP(-0.0175*A57)))&lt;70,'Scénario référence'!$B$16*(45+25*(1-EXP(-0.0175*A57))),70*'Scénario référence'!$B$16)+IF((32+38*(1-EXP(-0.0175*A57)))&lt;70,'Scénario référence'!$B$18*(32+38*(1-EXP(-0.0175*A57))),70*'Scénario référence'!$B$18)</f>
        <v>70</v>
      </c>
      <c r="BU57" s="12">
        <f>IF(A57&gt;30,10,('Scénario référence'!$B$16+'Scénario référence'!$B$17+'Scénario référence'!$B$18+'Scénario référence'!$B$9+'Scénario référence'!$B$10)*A57*10/30+('Scénario référence'!$F$8+'Scénario référence'!$F$9)*10)</f>
        <v>10</v>
      </c>
      <c r="BV57" s="12" t="e">
        <f>VLOOKUP(A57,'Données projet'!$A$113:$I$133,2,0)</f>
        <v>#N/A</v>
      </c>
      <c r="BW57" s="12" t="e">
        <f>VLOOKUP(A57,'Données projet'!$A$113:$I$133,9,0)</f>
        <v>#N/A</v>
      </c>
      <c r="BX57" s="12">
        <f t="array" ref="BX57">INDEX(BW:BW,MIN(IF(ISNUMBER(BW57:BW253),ROW(BW57:BW253),"")))</f>
        <v>9.5</v>
      </c>
      <c r="BY57" s="12">
        <f>IF('Données projet'!$A$114&gt;35,BY56+BX57-CG56,IF(A57&lt;'Données projet'!$A$114,$BV$205^A57,IF(A57='Données projet'!$A$114,'Données projet'!$B$114,BY56+BX57-CG56)))</f>
        <v>282.99999999999977</v>
      </c>
      <c r="BZ57" s="13">
        <f>BY57*VLOOKUP('Données projet'!$B$12,Paramètres!$A$1:$I$89,3,0)*VLOOKUP('Données projet'!$B$12,Paramètres!$A$1:$I$89,5,0)</f>
        <v>161.87599999999986</v>
      </c>
      <c r="CA57" s="13">
        <f t="shared" si="39"/>
        <v>41.265364948757565</v>
      </c>
      <c r="CB57" s="20">
        <f t="shared" si="10"/>
        <v>353.80454395241918</v>
      </c>
      <c r="CC57" s="59">
        <f t="shared" si="11"/>
        <v>647.13787728575244</v>
      </c>
      <c r="CD57" s="59">
        <f ca="1">AVERAGE(OFFSET($CC$3,0,0,'Données projet'!$E$12+1,1))-AVERAGE(OFFSET($H$3,0,0,'Données projet'!$E$12+1,1))</f>
        <v>188.64374818906128</v>
      </c>
      <c r="CE57" s="59">
        <f t="shared" si="40"/>
        <v>211.95157880548652</v>
      </c>
      <c r="CF57" s="15">
        <f>IF(ISNA(VLOOKUP(A57,'Données projet'!$A$113:$I$133,3,0)),0,VLOOKUP(A57,'Données projet'!$A$113:$I$133,3,0))</f>
        <v>0</v>
      </c>
      <c r="CG57" s="15">
        <f>IF(ISNA(VLOOKUP(A57,'Données projet'!$A$113:$I$133,4,0)),0,VLOOKUP(A57,'Données projet'!$A$113:$I$133,4,0))</f>
        <v>0</v>
      </c>
      <c r="CH57" s="16">
        <f>IF(ISNA(VLOOKUP(A57,'Données projet'!$A$113:$I$133,5,0)),0%,VLOOKUP(A57,'Données projet'!$A$113:$I$133,5,0)*VLOOKUP('Données projet'!$B$12,Paramètres!$A$1:$I$89,7,0))</f>
        <v>0</v>
      </c>
      <c r="CI57" s="16">
        <f>IF(ISNA(VLOOKUP(A57,'Données projet'!$A$113:$I$133,6,0)),0%,VLOOKUP(A57,'Données projet'!$A$113:$I$133,6,0)*VLOOKUP('Données projet'!$B$12,Paramètres!$A$1:$I$89,7,0))</f>
        <v>0</v>
      </c>
      <c r="CJ57" s="16">
        <f>IF(ISNA(VLOOKUP(A57,'Données projet'!$A$113:$I$133,7,0)),0%,VLOOKUP(A57,'Données projet'!$A$113:$I$133,7,0))</f>
        <v>0</v>
      </c>
      <c r="CK57" s="21">
        <f>EXP(-LN(2)/35)*CK56+(1-EXP(-LN(2)/35))/(LN(2)/35)*CG57*CH57*VLOOKUP('Données projet'!$B$12,Paramètres!$A$1:$I$89,3,0)*0.475*44/12</f>
        <v>1.5284415208039341</v>
      </c>
      <c r="CL57" s="21">
        <f>EXP(-LN(2)/25)*CL56+(1-EXP(-LN(2)/25))/(LN(2)/25)*Calculateur!CG57*Calculateur!CI57*VLOOKUP('Données projet'!$B$12,Paramètres!$A$1:$I$89,3,0)*0.475*44/12</f>
        <v>7.3872642916333762</v>
      </c>
      <c r="CM57" s="21">
        <f>EXP(-LN(2)/2)*CM56+(1-EXP(-LN(2)/2))/(LN(2)/2)*CG57*CJ57*VLOOKUP('Données projet'!$B$12,Paramètres!$A$1:$I$89,3,0)*0.475*44/12</f>
        <v>5.1871428720059167E-3</v>
      </c>
      <c r="CN57" s="22">
        <f t="shared" si="12"/>
        <v>8.9208929553093146</v>
      </c>
      <c r="CO57" s="75">
        <f>('Scénario référence'!$F$8+'Scénario référence'!$F$9+'Scénario référence'!$B$17+'Scénario référence'!$B$9+'Scénario référence'!$B$10)*70+IF((45+25*(1-EXP(-0.0175*A57)))&lt;70,'Scénario référence'!$B$16*(45+25*(1-EXP(-0.0175*A57))),70*'Scénario référence'!$B$16)+IF((32+38*(1-EXP(-0.0175*A57)))&lt;70,'Scénario référence'!$B$18*(32+38*(1-EXP(-0.0175*A57))),70*'Scénario référence'!$B$18)</f>
        <v>70</v>
      </c>
      <c r="CP57" s="12">
        <f>IF(A57&gt;30,10,('Scénario référence'!$B$16+'Scénario référence'!$B$17+'Scénario référence'!$B$18+'Scénario référence'!$B$9+'Scénario référence'!$B$10)*A57*10/30+('Scénario référence'!$F$8+'Scénario référence'!$F$9)*10)</f>
        <v>10</v>
      </c>
      <c r="CQ57" s="12" t="e">
        <f>VLOOKUP(A57,'Données projet'!$A$139:$I$159,2,0)</f>
        <v>#N/A</v>
      </c>
      <c r="CR57" s="12" t="e">
        <f>VLOOKUP(A57,'Données projet'!$A$139:$I$159,9,0)</f>
        <v>#N/A</v>
      </c>
      <c r="CS57" s="12">
        <f t="array" ref="CS57">INDEX(CR:CR,MIN(IF(ISNUMBER(CR57:CR253),ROW(CR57:CR253),"")))</f>
        <v>0</v>
      </c>
      <c r="CT57" s="12">
        <f>IF('Données projet'!$A$140&gt;35,CT56+CS57-DB56,IF(A57&lt;'Données projet'!$A$140,$CQ$205^A57,IF(A57='Données projet'!$A$140,'Données projet'!$B$140,CT56+CS57-DB56)))</f>
        <v>0</v>
      </c>
      <c r="CU57" s="17" t="e">
        <f>CT57*VLOOKUP('Données projet'!$B$13,Paramètres!$A$1:$I$89,3,0)*VLOOKUP('Données projet'!$B$13,Paramètres!$A$1:$I$89,5,0)</f>
        <v>#N/A</v>
      </c>
      <c r="CV57" s="13" t="e">
        <f t="shared" si="41"/>
        <v>#N/A</v>
      </c>
      <c r="CW57" s="20" t="e">
        <f t="shared" si="13"/>
        <v>#N/A</v>
      </c>
      <c r="CX57" s="59" t="e">
        <f t="shared" si="14"/>
        <v>#N/A</v>
      </c>
      <c r="CY57" s="59" t="e">
        <f ca="1">AVERAGE(OFFSET($CX$3,0,0,'Données projet'!$E$13+1,1))-AVERAGE(OFFSET($H$3,0,0,'Données projet'!$E$13+1,1))</f>
        <v>#N/A</v>
      </c>
      <c r="CZ57" s="59" t="e">
        <f t="shared" si="42"/>
        <v>#N/A</v>
      </c>
      <c r="DA57" s="15">
        <f>IF(ISNA(VLOOKUP(A57,'Données projet'!$A$139:$I$159,3,0)),0,VLOOKUP(A57,'Données projet'!$A$139:$I$159,3,0))</f>
        <v>0</v>
      </c>
      <c r="DB57" s="15">
        <f>IF(ISNA(VLOOKUP(A57,'Données projet'!$A$139:$I$159,4,0)),0,VLOOKUP(A57,'Données projet'!$A$139:$I$159,4,0))</f>
        <v>0</v>
      </c>
      <c r="DC57" s="16">
        <f>IF(ISNA(VLOOKUP(A57,'Données projet'!$A$139:$I$159,5,0)),0%,VLOOKUP(A57,'Données projet'!$A$139:$I$159,5,0)*VLOOKUP('Données projet'!$B$13,Paramètres!$A$1:$I$89,7,0))</f>
        <v>0</v>
      </c>
      <c r="DD57" s="16">
        <f>IF(ISNA(VLOOKUP(A57,'Données projet'!$A$139:$I$159,6,0)),0%,VLOOKUP(A57,'Données projet'!$A$139:$I$159,6,0)*VLOOKUP('Données projet'!$B$13,Paramètres!$A$1:$I$89,7,0))</f>
        <v>0</v>
      </c>
      <c r="DE57" s="16">
        <f>IF(ISNA(VLOOKUP(A57,'Données projet'!$A$139:$I$159,7,0)),0%,VLOOKUP(A57,'Données projet'!$A$139:$I$159,7,0))</f>
        <v>0</v>
      </c>
      <c r="DF57" s="21" t="e">
        <f>EXP(-LN(2)/35)*DF56+(1-EXP(-LN(2)/35))/(LN(2)/35)*DB57*DC57*VLOOKUP('Données projet'!$B$13,Paramètres!$A$1:$I$89,3,0)*0.475*44/12</f>
        <v>#N/A</v>
      </c>
      <c r="DG57" s="21" t="e">
        <f>EXP(-LN(2)/25)*DG56+(1-EXP(-LN(2)/25))/(LN(2)/25)*Calculateur!DB57*Calculateur!DD57*VLOOKUP('Données projet'!$B$13,Paramètres!$A$1:$I$89,3,0)*0.475*44/12</f>
        <v>#N/A</v>
      </c>
      <c r="DH57" s="21" t="e">
        <f>EXP(-LN(2)/2)*DH56+(1-EXP(-LN(2)/2))/(LN(2)/2)*DB57*DE57*VLOOKUP('Données projet'!$B$13,Paramètres!$A$1:$I$89,3,0)*0.475*44/12</f>
        <v>#N/A</v>
      </c>
      <c r="DI57" s="22" t="e">
        <f t="shared" si="15"/>
        <v>#N/A</v>
      </c>
      <c r="DJ57" s="75">
        <f>('Scénario référence'!$F$8+'Scénario référence'!$F$9+'Scénario référence'!$B$17+'Scénario référence'!$B$9+'Scénario référence'!$B$10)*70+IF((45+25*(1-EXP(-0.0175*A57)))&lt;70,'Scénario référence'!$B$16*(45+25*(1-EXP(-0.0175*A57))),70*'Scénario référence'!$B$16)+IF((32+38*(1-EXP(-0.0175*A57)))&lt;70,'Scénario référence'!$B$18*(32+38*(1-EXP(-0.0175*A57))),70*'Scénario référence'!$B$18)</f>
        <v>70</v>
      </c>
      <c r="DK57" s="12">
        <f>IF(A57&gt;30,10,('Scénario référence'!$B$16+'Scénario référence'!$B$17+'Scénario référence'!$B$18+'Scénario référence'!$B$9+'Scénario référence'!$B$10)*A57*10/30+('Scénario référence'!$F$8+'Scénario référence'!$F$9)*10)</f>
        <v>10</v>
      </c>
      <c r="DL57" s="12" t="e">
        <f>VLOOKUP(A57,'Données projet'!$A$165:$I$185,2,0)</f>
        <v>#N/A</v>
      </c>
      <c r="DM57" s="12" t="e">
        <f>VLOOKUP(A57,'Données projet'!$A$165:$I$185,9,0)</f>
        <v>#N/A</v>
      </c>
      <c r="DN57" s="12">
        <f t="array" ref="DN57">INDEX(DM:DM,MIN(IF(ISNUMBER(DM57:DM253),ROW(DM57:DM253),"")))</f>
        <v>6.6</v>
      </c>
      <c r="DO57" s="12">
        <f>IF('Données projet'!$A$166&gt;35,DO56+DN57-DW56,IF(A57&lt;'Données projet'!$A$166,$DL$205^A57,IF(A57='Données projet'!$A$166,'Données projet'!$B$166,DO56+DN57-DW56)))</f>
        <v>245.4</v>
      </c>
      <c r="DP57" s="17">
        <f>DO57*VLOOKUP('Données projet'!$B$14,Paramètres!$A$1:$I$89,3,0)*VLOOKUP('Données projet'!$B$14,Paramètres!$A$1:$I$89,5,0)</f>
        <v>160.78608</v>
      </c>
      <c r="DQ57" s="13">
        <f t="shared" si="43"/>
        <v>41.019767340071489</v>
      </c>
      <c r="DR57" s="20">
        <f t="shared" si="16"/>
        <v>351.47851745062457</v>
      </c>
      <c r="DS57" s="59">
        <f t="shared" si="17"/>
        <v>644.81185078395788</v>
      </c>
      <c r="DT57" s="59">
        <f ca="1">AVERAGE(OFFSET($DS$3,0,0,'Données projet'!$E$14+1,1))-AVERAGE(OFFSET($H$3,0,0,'Données projet'!$E$14+1,1))</f>
        <v>188.68915783955595</v>
      </c>
      <c r="DU57" s="59">
        <f t="shared" si="44"/>
        <v>240.82467772396944</v>
      </c>
      <c r="DV57" s="15">
        <f>IF(ISNA(VLOOKUP(A57,'Données projet'!$A$165:$I$185,3,0)),0,VLOOKUP(A57,'Données projet'!$A$165:$I$185,3,0))</f>
        <v>0</v>
      </c>
      <c r="DW57" s="15">
        <f>IF(ISNA(VLOOKUP(A57,'Données projet'!$A$165:$I$185,4,0)),0,VLOOKUP(A57,'Données projet'!$A$165:$I$185,4,0))</f>
        <v>0</v>
      </c>
      <c r="DX57" s="16">
        <f>IF(ISNA(VLOOKUP(A57,'Données projet'!$A$165:$I$185,5,0)),0%,VLOOKUP(A57,'Données projet'!$A$165:$I$185,5,0)*VLOOKUP('Données projet'!$B$14,Paramètres!$A$1:$I$89,7,0))</f>
        <v>0</v>
      </c>
      <c r="DY57" s="16">
        <f>IF(ISNA(VLOOKUP(A57,'Données projet'!$A$165:$I$185,6,0)),0%,VLOOKUP(A57,'Données projet'!$A$165:$I$185,6,0)*VLOOKUP('Données projet'!$B$14,Paramètres!$A$1:$I$89,7,0))</f>
        <v>0</v>
      </c>
      <c r="DZ57" s="16">
        <f>IF(ISNA(VLOOKUP(A57,'Données projet'!$A$165:$I$185,7,0)),0%,VLOOKUP(A57,'Données projet'!$A$165:$I$185,7,0))</f>
        <v>0</v>
      </c>
      <c r="EA57" s="21">
        <f>EXP(-LN(2)/35)*EA56+(1-EXP(-LN(2)/35))/(LN(2)/35)*DW57*DX57*VLOOKUP('Données projet'!$B$14,Paramètres!$A$1:$I$89,3,0)*0.475*44/12</f>
        <v>0.9681416198694951</v>
      </c>
      <c r="EB57" s="21">
        <f>EXP(-LN(2)/25)*EB56+(1-EXP(-LN(2)/25))/(LN(2)/25)*Calculateur!DW57*Calculateur!DY57*VLOOKUP('Données projet'!$B$14,Paramètres!$A$1:$I$89,3,0)*0.475*44/12</f>
        <v>4.1320045017713305</v>
      </c>
      <c r="EC57" s="21">
        <f>EXP(-LN(2)/2)*EC56+(1-EXP(-LN(2)/2))/(LN(2)/2)*DW57*DZ57*VLOOKUP('Données projet'!$B$14,Paramètres!$A$1:$I$89,3,0)*0.475*44/12</f>
        <v>3.4170917935075896E-3</v>
      </c>
      <c r="ED57" s="22">
        <f t="shared" si="18"/>
        <v>5.1035632134343336</v>
      </c>
      <c r="EE57" s="75">
        <f>('Scénario référence'!$F$8+'Scénario référence'!$F$9+'Scénario référence'!$B$17+'Scénario référence'!$B$9+'Scénario référence'!$B$10)*70+IF((45+25*(1-EXP(-0.0175*A57)))&lt;70,'Scénario référence'!$B$16*(45+25*(1-EXP(-0.0175*A57))),70*'Scénario référence'!$B$16)+IF((32+38*(1-EXP(-0.0175*A57)))&lt;70,'Scénario référence'!$B$18*(32+38*(1-EXP(-0.0175*A57))),70*'Scénario référence'!$B$18)</f>
        <v>70</v>
      </c>
      <c r="EF57" s="12">
        <f>IF(A57&gt;30,10,('Scénario référence'!$B$16+'Scénario référence'!$B$17+'Scénario référence'!$B$18+'Scénario référence'!$B$9+'Scénario référence'!$B$10)*A57*10/30+('Scénario référence'!$F$8+'Scénario référence'!$F$9)*10)</f>
        <v>10</v>
      </c>
      <c r="EG57" s="12" t="e">
        <f>VLOOKUP(A57,'Données projet'!$A$191:$I$211,2,0)</f>
        <v>#N/A</v>
      </c>
      <c r="EH57" s="12" t="e">
        <f>VLOOKUP(A57,'Données projet'!$A$191:$I$211,9,0)</f>
        <v>#N/A</v>
      </c>
      <c r="EI57" s="12">
        <f t="array" ref="EI57">INDEX(EH:EH,MIN(IF(ISNUMBER(EH57:EH253),ROW(EH57:EH253),"")))</f>
        <v>6.4</v>
      </c>
      <c r="EJ57" s="12">
        <f>IF('Données projet'!$A$192&gt;35,EJ56+EI57-ER56,IF(A57&lt;'Données projet'!$A$192,$EG$205^A57,IF(A57='Données projet'!$A$192,'Données projet'!$B$192,EJ56+EI57-ER56)))</f>
        <v>211.59999999999994</v>
      </c>
      <c r="EK57" s="17">
        <f>EJ57*VLOOKUP('Données projet'!$B$15,Paramètres!$A$1:$I$89,3,0)*VLOOKUP('Données projet'!$B$15,Paramètres!$A$1:$I$89,5,0)</f>
        <v>171.64991999999995</v>
      </c>
      <c r="EL57" s="13">
        <f t="shared" si="45"/>
        <v>43.45934280040629</v>
      </c>
      <c r="EM57" s="20">
        <f t="shared" si="19"/>
        <v>374.64863271070755</v>
      </c>
      <c r="EN57" s="59">
        <f t="shared" si="20"/>
        <v>667.98196604404086</v>
      </c>
      <c r="EO57" s="59">
        <f ca="1">AVERAGE(OFFSET($EN$3,0,0,'Données projet'!$E$15+1,1))-AVERAGE(OFFSET($H$3,0,0,'Données projet'!$E$15+1,1))</f>
        <v>205.5272583787887</v>
      </c>
      <c r="EP57" s="59">
        <f t="shared" si="46"/>
        <v>180.54762778843178</v>
      </c>
      <c r="EQ57" s="15">
        <f>IF(ISNA(VLOOKUP(A57,'Données projet'!$A$191:$I$211,3,0)),0,VLOOKUP(A57,'Données projet'!$A$191:$I$211,3,0))</f>
        <v>0</v>
      </c>
      <c r="ER57" s="15">
        <f>IF(ISNA(VLOOKUP(A57,'Données projet'!$A$191:$I$211,4,0)),0,VLOOKUP(A57,'Données projet'!$A$191:$I$211,4,0))</f>
        <v>0</v>
      </c>
      <c r="ES57" s="16">
        <f>IF(ISNA(VLOOKUP(A57,'Données projet'!$A$191:$I$211,5,0)),0%,VLOOKUP(A57,'Données projet'!$A$191:$I$211,5,0)*VLOOKUP('Données projet'!$B$15,Paramètres!$A$1:$I$89,7,0))</f>
        <v>0</v>
      </c>
      <c r="ET57" s="16">
        <f>IF(ISNA(VLOOKUP(A57,'Données projet'!$A$191:$I$211,6,0)),0%,VLOOKUP(A57,'Données projet'!$A$191:$I$211,6,0)*VLOOKUP('Données projet'!$B$15,Paramètres!$A$1:$I$89,7,0))</f>
        <v>0</v>
      </c>
      <c r="EU57" s="16">
        <f>IF(ISNA(VLOOKUP(A57,'Données projet'!$A$191:$I$211,7,0)),0%,VLOOKUP(A57,'Données projet'!$A$191:$I$211,7,0))</f>
        <v>0</v>
      </c>
      <c r="EV57" s="21">
        <f>EXP(-LN(2)/35)*EV56+(1-EXP(-LN(2)/35))/(LN(2)/35)*ER57*ES57*VLOOKUP('Données projet'!$B$15,Paramètres!$A$1:$I$89,3,0)*0.475*44/12</f>
        <v>0.62329879526836074</v>
      </c>
      <c r="EW57" s="21">
        <f>EXP(-LN(2)/25)*EW56+(1-EXP(-LN(2)/25))/(LN(2)/25)*Calculateur!ER57*Calculateur!ET57*VLOOKUP('Données projet'!$B$15,Paramètres!$A$1:$I$89,3,0)*0.475*44/12</f>
        <v>2.9834325986223464</v>
      </c>
      <c r="EX57" s="21">
        <f>EXP(-LN(2)/2)*EX56+(1-EXP(-LN(2)/2))/(LN(2)/2)*ER57*EU57*VLOOKUP('Données projet'!$B$15,Paramètres!$A$1:$I$89,3,0)*0.475*44/12</f>
        <v>2.2125694629833844E-3</v>
      </c>
      <c r="EY57" s="22">
        <f t="shared" si="21"/>
        <v>3.6089439633536906</v>
      </c>
      <c r="EZ57" s="75">
        <f>('Scénario référence'!$F$8+'Scénario référence'!$F$9+'Scénario référence'!$B$17+'Scénario référence'!$B$9+'Scénario référence'!$B$10)*70+IF((45+25*(1-EXP(-0.0175*A57)))&lt;70,'Scénario référence'!$B$16*(45+25*(1-EXP(-0.0175*A57))),70*'Scénario référence'!$B$16)+IF((32+38*(1-EXP(-0.0175*A57)))&lt;70,'Scénario référence'!$B$18*(32+38*(1-EXP(-0.0175*A57))),70*'Scénario référence'!$B$18)</f>
        <v>70</v>
      </c>
      <c r="FA57" s="12">
        <f>IF(A57&gt;30,10,('Scénario référence'!$B$16+'Scénario référence'!$B$17+'Scénario référence'!$B$18+'Scénario référence'!$B$9+'Scénario référence'!$B$10)*A57*10/30+('Scénario référence'!$F$8+'Scénario référence'!$F$9)*10)</f>
        <v>10</v>
      </c>
      <c r="FB57" s="12" t="e">
        <f>VLOOKUP(A57,'Données projet'!$A$217:$I$237,2,0)</f>
        <v>#N/A</v>
      </c>
      <c r="FC57" s="12" t="e">
        <f>VLOOKUP(A57,'Données projet'!$A$217:$I$237,9,0)</f>
        <v>#N/A</v>
      </c>
      <c r="FD57" s="12">
        <f t="array" ref="FD57">INDEX(FC:FC,MIN(IF(ISNUMBER(FC57:FC253),ROW(FC57:FC253),"")))</f>
        <v>13.4</v>
      </c>
      <c r="FE57" s="12">
        <f>IF('Données projet'!$A$218&gt;35,FE56+FD57-FM56,IF(A57&lt;'Données projet'!$A$218,$FB$205^A57,IF(A57='Données projet'!$A$218,'Données projet'!$B$218,FE56+FD57-FM56)))</f>
        <v>252.60000000000005</v>
      </c>
      <c r="FF57" s="17">
        <f>FE57*VLOOKUP('Données projet'!$B$16,Paramètres!$A$1:$I$89,3,0)*VLOOKUP('Données projet'!$B$16,Paramètres!$A$1:$I$89,5,0)</f>
        <v>216.73080000000007</v>
      </c>
      <c r="FG57" s="13">
        <f t="shared" si="47"/>
        <v>53.403723312094641</v>
      </c>
      <c r="FH57" s="20">
        <f t="shared" si="22"/>
        <v>470.48429476856495</v>
      </c>
      <c r="FI57" s="59">
        <f t="shared" si="23"/>
        <v>763.81762810189821</v>
      </c>
      <c r="FJ57" s="59">
        <f ca="1">AVERAGE(OFFSET($FI$3,0,0,'Données projet'!$E$16+1,1))-AVERAGE(OFFSET($H$3,0,0,'Données projet'!$E$16+1,1))</f>
        <v>383.97627237444709</v>
      </c>
      <c r="FK57" s="59">
        <f t="shared" si="48"/>
        <v>203.35476578922339</v>
      </c>
      <c r="FL57" s="15">
        <f>IF(ISNA(VLOOKUP(A57,'Données projet'!$A$217:$I$237,3,0)),0,VLOOKUP(A57,'Données projet'!$A$217:$I$237,3,0))</f>
        <v>0</v>
      </c>
      <c r="FM57" s="15">
        <f>IF(ISNA(VLOOKUP(A57,'Données projet'!$A$217:$I$237,4,0)),0,VLOOKUP(A57,'Données projet'!$A$217:$I$237,4,0))</f>
        <v>0</v>
      </c>
      <c r="FN57" s="16">
        <f>IF(ISNA(VLOOKUP(A57,'Données projet'!$A$217:$I$237,5,0)),0%,VLOOKUP(A57,'Données projet'!$A$217:$I$237,5,0)*VLOOKUP('Données projet'!$B$16,Paramètres!$A$1:$I$89,7,0))</f>
        <v>0</v>
      </c>
      <c r="FO57" s="16">
        <f>IF(ISNA(VLOOKUP(A57,'Données projet'!$A$217:$I$237,6,0)),0%,VLOOKUP(A57,'Données projet'!$A$217:$I$237,6,0)*VLOOKUP('Données projet'!$B$16,Paramètres!$A$1:$I$89,7,0))</f>
        <v>0</v>
      </c>
      <c r="FP57" s="16">
        <f>IF(ISNA(VLOOKUP(A57,'Données projet'!$A$217:$I$237,7,0)),0%,VLOOKUP(A57,'Données projet'!$A$217:$I$237,7,0))</f>
        <v>0</v>
      </c>
      <c r="FQ57" s="21">
        <f>EXP(-LN(2)/35)*FQ56+(1-EXP(-LN(2)/35))/(LN(2)/35)*FM57*FN57*VLOOKUP('Données projet'!$B$16,Paramètres!$A$1:$I$89,3,0)*0.475*44/12</f>
        <v>3.2034176550028466</v>
      </c>
      <c r="FR57" s="21">
        <f>EXP(-LN(2)/25)*FR56+(1-EXP(-LN(2)/25))/(LN(2)/25)*Calculateur!FM57*Calculateur!FO57*VLOOKUP('Données projet'!$B$16,Paramètres!$A$1:$I$89,3,0)*0.475*44/12</f>
        <v>3.0284924546670595</v>
      </c>
      <c r="FS57" s="21">
        <f>EXP(-LN(2)/2)*FS56+(1-EXP(-LN(2)/2))/(LN(2)/2)*FM57*FP57*VLOOKUP('Données projet'!$B$16,Paramètres!$A$1:$I$89,3,0)*0.475*44/12</f>
        <v>4.0640360185033916E-3</v>
      </c>
      <c r="FT57" s="22">
        <f t="shared" si="24"/>
        <v>6.2359741456884095</v>
      </c>
      <c r="FU57" s="75">
        <f>('Scénario référence'!$F$8+'Scénario référence'!$F$9+'Scénario référence'!$B$17+'Scénario référence'!$B$9+'Scénario référence'!$B$10)*70+IF((45+25*(1-EXP(-0.0175*A57)))&lt;70,'Scénario référence'!$B$16*(45+25*(1-EXP(-0.0175*A57))),70*'Scénario référence'!$B$16)+IF((32+38*(1-EXP(-0.0175*A57)))&lt;70,'Scénario référence'!$B$18*(32+38*(1-EXP(-0.0175*A57))),70*'Scénario référence'!$B$18)</f>
        <v>70</v>
      </c>
      <c r="FV57" s="12">
        <f>IF(A57&gt;30,10,('Scénario référence'!$B$16+'Scénario référence'!$B$17+'Scénario référence'!$B$18+'Scénario référence'!$B$9+'Scénario référence'!$B$10)*A57*10/30+('Scénario référence'!$F$8+'Scénario référence'!$F$9)*10)</f>
        <v>10</v>
      </c>
      <c r="FW57" s="12" t="e">
        <f>VLOOKUP(A57,'Données projet'!$A$243:$I$263,2,0)</f>
        <v>#N/A</v>
      </c>
      <c r="FX57" s="12" t="e">
        <f>VLOOKUP(A57,'Données projet'!$A$243:$I$263,9,0)</f>
        <v>#N/A</v>
      </c>
      <c r="FY57" s="12">
        <f t="array" ref="FY57">INDEX(FX:FX,MIN(IF(ISNUMBER(FX57:FX253),ROW(FX57:FX253),"")))</f>
        <v>8.8736263736263741</v>
      </c>
      <c r="FZ57" s="12">
        <f>IF('Données projet'!$A$244&gt;35,FZ56+FY57-GH56,IF(A57&lt;'Données projet'!$A$244,$FW$205^A57,IF(A57='Données projet'!$A$244,'Données projet'!$B$244,FZ56+FY57-GH56)))</f>
        <v>189.56868131868131</v>
      </c>
      <c r="GA57" s="17">
        <f>FZ57*VLOOKUP('Données projet'!$B$17,Paramètres!$A$1:$I$89,3,0)*VLOOKUP('Données projet'!$B$17,Paramètres!$A$1:$I$89,5,0)</f>
        <v>204.05172857142855</v>
      </c>
      <c r="GB57" s="13">
        <f t="shared" si="49"/>
        <v>50.633572978386333</v>
      </c>
      <c r="GC57" s="20">
        <f t="shared" si="25"/>
        <v>443.57690019926093</v>
      </c>
      <c r="GD57" s="59">
        <f t="shared" si="26"/>
        <v>736.91023353259425</v>
      </c>
      <c r="GE57" s="59">
        <f ca="1">AVERAGE(OFFSET($GD$3,0,0,'Données projet'!$E$17+1,1))-AVERAGE(OFFSET($H$3,0,0,'Données projet'!$E$17+1,1))</f>
        <v>286.77702855541287</v>
      </c>
      <c r="GF57" s="59">
        <f t="shared" si="50"/>
        <v>227.12211541860779</v>
      </c>
      <c r="GG57" s="15">
        <f>IF(ISNA(VLOOKUP(A57,'Données projet'!$A$243:$I$263,3,0)),0,VLOOKUP(A57,'Données projet'!$A$243:$I$263,3,0))</f>
        <v>0</v>
      </c>
      <c r="GH57" s="15">
        <f>IF(ISNA(VLOOKUP(A57,'Données projet'!$A$243:$I$263,4,0)),0,VLOOKUP(A57,'Données projet'!$A$243:$I$263,4,0))</f>
        <v>0</v>
      </c>
      <c r="GI57" s="16">
        <f>IF(ISNA(VLOOKUP(A57,'Données projet'!$A$243:$I$263,5,0)),0%,VLOOKUP(A57,'Données projet'!$A$243:$I$263,5,0)*VLOOKUP('Données projet'!$B$17,Paramètres!$A$1:$I$89,7,0))</f>
        <v>0</v>
      </c>
      <c r="GJ57" s="16">
        <f>IF(ISNA(VLOOKUP(A57,'Données projet'!$A$243:$I$263,6,0)),0%,VLOOKUP(A57,'Données projet'!$A$243:$I$263,6,0)*VLOOKUP('Données projet'!$B$17,Paramètres!$A$1:$I$89,7,0))</f>
        <v>0</v>
      </c>
      <c r="GK57" s="16">
        <f>IF(ISNA(VLOOKUP(A57,'Données projet'!$A$243:$I$263,7,0)),0%,VLOOKUP(A57,'Données projet'!$A$243:$I$263,7,0))</f>
        <v>0</v>
      </c>
      <c r="GL57" s="21">
        <f>EXP(-LN(2)/35)*GL56+(1-EXP(-LN(2)/35))/(LN(2)/35)*GH57*GI57*VLOOKUP('Données projet'!$B$17,Paramètres!$A$1:$I$89,3,0)*0.475*44/12</f>
        <v>0</v>
      </c>
      <c r="GM57" s="21">
        <f>EXP(-LN(2)/25)*GM56+(1-EXP(-LN(2)/25))/(LN(2)/25)*Calculateur!GH57*Calculateur!GJ57*VLOOKUP('Données projet'!$B$17,Paramètres!$A$1:$I$89,3,0)*0.475*44/12</f>
        <v>0</v>
      </c>
      <c r="GN57" s="21">
        <f>EXP(-LN(2)/2)*GN56+(1-EXP(-LN(2)/2))/(LN(2)/2)*GH57*GK57*VLOOKUP('Données projet'!$B$17,Paramètres!$A$1:$I$89,3,0)*0.475*44/12</f>
        <v>0</v>
      </c>
      <c r="GO57" s="21">
        <f t="shared" si="27"/>
        <v>0</v>
      </c>
      <c r="GP57" s="75">
        <f>('Scénario référence'!$F$8+'Scénario référence'!$F$9+'Scénario référence'!$B$17+'Scénario référence'!$B$9+'Scénario référence'!$B$10)*70+IF((45+25*(1-EXP(-0.0175*A57)))&lt;70,'Scénario référence'!$B$16*(45+25*(1-EXP(-0.0175*A57))),70*'Scénario référence'!$B$16)+IF((32+38*(1-EXP(-0.0175*A57)))&lt;70,'Scénario référence'!$B$18*(32+38*(1-EXP(-0.0175*A57))),70*'Scénario référence'!$B$18)</f>
        <v>70</v>
      </c>
      <c r="GQ57" s="12">
        <f>IF(A57&gt;30,10,('Scénario référence'!$B$16+'Scénario référence'!$B$17+'Scénario référence'!$B$18+'Scénario référence'!$B$9+'Scénario référence'!$B$10)*A57*10/30+('Scénario référence'!$F$8+'Scénario référence'!$F$9)*10)</f>
        <v>10</v>
      </c>
      <c r="GR57" s="12" t="e">
        <f>VLOOKUP(A57,'Données projet'!$A$269:$I$289,2,0)</f>
        <v>#N/A</v>
      </c>
      <c r="GS57" s="12" t="e">
        <f>VLOOKUP(A57,'Données projet'!$A$269:$I$289,9,0)</f>
        <v>#N/A</v>
      </c>
      <c r="GT57" s="12">
        <f t="array" ref="GT57">INDEX(GS:GS,MIN(IF(ISNUMBER(GS57:GS253),ROW(GS57:GS253),"")))</f>
        <v>8.8736263736263741</v>
      </c>
      <c r="GU57" s="12">
        <f>IF('Données projet'!$A$270&gt;35,GU56+GT57-HC56,IF(A57&lt;'Données projet'!$A$270,$GR$205^A57,IF(A57='Données projet'!$A$270,'Données projet'!$B$270,GU56+GT57-HC56)))</f>
        <v>189.56868131868131</v>
      </c>
      <c r="GV57" s="17">
        <f>GU57*VLOOKUP('Données projet'!$B$18,Paramètres!$A$1:$I$89,3,0)*VLOOKUP('Données projet'!$B$18,Paramètres!$A$1:$I$89,5,0)</f>
        <v>204.05172857142855</v>
      </c>
      <c r="GW57" s="13">
        <f t="shared" si="51"/>
        <v>50.633572978386333</v>
      </c>
      <c r="GX57" s="20">
        <f t="shared" si="28"/>
        <v>443.57690019926093</v>
      </c>
      <c r="GY57" s="59">
        <f t="shared" si="29"/>
        <v>736.91023353259425</v>
      </c>
      <c r="GZ57" s="59">
        <f ca="1">AVERAGE(OFFSET($GY$3,0,0,'Données projet'!$E$18+1,1))-AVERAGE(OFFSET($H$3,0,0,'Données projet'!$E$18+1,1))</f>
        <v>286.77702855541287</v>
      </c>
      <c r="HA57" s="59">
        <f t="shared" si="52"/>
        <v>227.12211541860779</v>
      </c>
      <c r="HB57" s="15">
        <f>IF(ISNA(VLOOKUP(A57,'Données projet'!$A$269:$I$289,3,0)),0,VLOOKUP(A57,'Données projet'!$A$269:$I$289,3,0))</f>
        <v>0</v>
      </c>
      <c r="HC57" s="15">
        <f>IF(ISNA(VLOOKUP(A57,'Données projet'!$A$269:$I$289,4,0)),0,VLOOKUP(A57,'Données projet'!$A$269:$I$289,4,0))</f>
        <v>0</v>
      </c>
      <c r="HD57" s="16">
        <f>IF(ISNA(VLOOKUP(A57,'Données projet'!$A$269:$I$289,5,0)),0%,VLOOKUP(A57,'Données projet'!$A$269:$I$289,5,0)*VLOOKUP('Données projet'!$B$18,Paramètres!$A$1:$I$89,7,0))</f>
        <v>0</v>
      </c>
      <c r="HE57" s="16">
        <f>IF(ISNA(VLOOKUP(A57,'Données projet'!$A$269:$I$289,6,0)),0%,VLOOKUP(A57,'Données projet'!$A$269:$I$289,6,0)*VLOOKUP('Données projet'!$B$18,Paramètres!$A$1:$I$89,7,0))</f>
        <v>0</v>
      </c>
      <c r="HF57" s="16">
        <f>IF(ISNA(VLOOKUP(A57,'Données projet'!$A$269:$I$289,7,0)),0%,VLOOKUP(A57,'Données projet'!$A$269:$I$289,7,0))</f>
        <v>0</v>
      </c>
      <c r="HG57" s="21">
        <f>EXP(-LN(2)/35)*HG56+(1-EXP(-LN(2)/35))/(LN(2)/35)*HC57*HD57*VLOOKUP('Données projet'!$B$18,Paramètres!$A$1:$I$89,3,0)*0.475*44/12</f>
        <v>0</v>
      </c>
      <c r="HH57" s="21">
        <f>EXP(-LN(2)/25)*HH56+(1-EXP(-LN(2)/25))/(LN(2)/25)*Calculateur!HC57*Calculateur!HE57*VLOOKUP('Données projet'!$B$18,Paramètres!$A$1:$I$89,3,0)*0.475*44/12</f>
        <v>0</v>
      </c>
      <c r="HI57" s="21">
        <f>EXP(-LN(2)/2)*HI56+(1-EXP(-LN(2)/2))/(LN(2)/2)*HC57*HF57*VLOOKUP('Données projet'!$B$18,Paramètres!$A$1:$I$89,3,0)*0.475*44/12</f>
        <v>0</v>
      </c>
      <c r="HJ57" s="22">
        <f t="shared" si="30"/>
        <v>0</v>
      </c>
    </row>
    <row r="58" spans="1:218" x14ac:dyDescent="0.25">
      <c r="A58" s="10">
        <f t="shared" si="31"/>
        <v>55</v>
      </c>
      <c r="B58" s="73">
        <f>'Scénario référence'!$B$16*5+'Scénario référence'!$B$17*0+'Scénario référence'!$B$18*5</f>
        <v>0</v>
      </c>
      <c r="C58" s="19">
        <f>Calculateur!C57+'Scénario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48.906000000000034</v>
      </c>
      <c r="D58" s="11">
        <f t="shared" si="32"/>
        <v>14.330866650402033</v>
      </c>
      <c r="E5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58" s="11">
        <f>IF(OR('Scénario référence'!$F$8&gt;0,'Scénario référence'!$F$9&gt;0),('Scénario référence'!$F$8+'Scénario référence'!$F$9)*10,0)</f>
        <v>10</v>
      </c>
      <c r="G58" s="11">
        <f>'Scénario référence'!$B$8*B58*44/12+'Scénario référence'!$B$9*(C58+D58)/0.475*44/12+'Scénario référence'!$B$10*(C58+D58)/0.475*44/12+'Scénario référence'!$F$8*(C58+D58)/0.475*44/12+'Scénario référence'!$F$9*(C58+D58)/0.475*44/12</f>
        <v>488.14423379257738</v>
      </c>
      <c r="H58" s="67">
        <f t="shared" si="1"/>
        <v>403.47087608278355</v>
      </c>
      <c r="I58" s="70">
        <f>('Scénario référence'!$F$8+'Scénario référence'!$F$9+'Scénario référence'!$B$17+'Scénario référence'!$B$9+'Scénario référence'!$B$10)*70+IF((45+25*(1-EXP(-0.0175*A58)))&lt;70,'Scénario référence'!$B$16*(45+25*(1-EXP(-0.0175*A58))),70*'Scénario référence'!$B$16)+IF((32+38*(1-EXP(-0.0175*A58)))&lt;70,'Scénario référence'!$B$18*(32+38*(1-EXP(-0.0175*A58))),70*'Scénario référence'!$B$18)</f>
        <v>70</v>
      </c>
      <c r="J58" s="13">
        <f>IF(A58&gt;30,10,('Scénario référence'!$B$16+'Scénario référence'!$B$17+'Scénario référence'!$B$18+'Scénario référence'!$B$9+'Scénario référence'!$B$10)*A58*10/30+('Scénario référence'!$F$8+'Scénario référence'!$F$9)*10)</f>
        <v>10</v>
      </c>
      <c r="K58" s="12" t="e">
        <f>VLOOKUP(A58,'Données projet'!$A$35:$I$55,2,0)</f>
        <v>#N/A</v>
      </c>
      <c r="L58" s="12" t="e">
        <f>VLOOKUP(A58,'Données projet'!$A$35:$I$55,9,0)</f>
        <v>#N/A</v>
      </c>
      <c r="M58" s="12">
        <f t="array" ref="M58">INDEX(L:L,MIN(IF(ISNUMBER(L58:L254),ROW(L58:L254),"")))</f>
        <v>0</v>
      </c>
      <c r="N58" s="13">
        <f>IF('Données projet'!$A$36&gt;35,N57+M58-V57,IF(A58&lt;'Données projet'!$A$36,$K$205^A58,IF(A58='Données projet'!$A$36,'Données projet'!$B$36,N57+M58-V57)))</f>
        <v>-2.2737367544323206E-13</v>
      </c>
      <c r="O58" s="13">
        <f>N58*VLOOKUP('Données projet'!$B$9,Paramètres!$A$1:$I$89,3,0)*VLOOKUP('Données projet'!$B$9,Paramètres!$A$1:$I$89,5,0)</f>
        <v>-1.2710188457276673E-13</v>
      </c>
      <c r="P58" s="13" t="e">
        <f t="shared" si="33"/>
        <v>#NUM!</v>
      </c>
      <c r="Q58" s="20" t="e">
        <f t="shared" si="53"/>
        <v>#NUM!</v>
      </c>
      <c r="R58" s="59" t="e">
        <f t="shared" si="0"/>
        <v>#NUM!</v>
      </c>
      <c r="S58" s="59">
        <f ca="1">AVERAGE(OFFSET($R$3,0,0,'Données projet'!$E$9+1,1))-AVERAGE(OFFSET($H$3,0,0,'Données projet'!$E$9+1,1))</f>
        <v>255.5374979188561</v>
      </c>
      <c r="T58" s="59">
        <f t="shared" si="34"/>
        <v>343.10418468620901</v>
      </c>
      <c r="U58" s="15">
        <f>IF(ISNA(VLOOKUP(A58,'Données projet'!$A$35:$I$55,3,0)),0,VLOOKUP(A58,'Données projet'!$A$35:$I$55,3,0))</f>
        <v>0</v>
      </c>
      <c r="V58" s="15">
        <f>IF(ISNA(VLOOKUP(A58,'Données projet'!$A$35:$I$55,4,0)),0,VLOOKUP(A58,'Données projet'!$A$35:$I$55,4,0))</f>
        <v>0</v>
      </c>
      <c r="W58" s="16">
        <f>IF(ISNA(VLOOKUP(A58,'Données projet'!$A$35:$I$55,5,0)),0%,VLOOKUP(A58,'Données projet'!$A$35:$I$55,5,0)*VLOOKUP('Données projet'!$B$9,Paramètres!$A$1:$I$89,7,0))</f>
        <v>0</v>
      </c>
      <c r="X58" s="16">
        <f>IF(ISNA(VLOOKUP(A58,'Données projet'!$A$35:$I$55,6,0)),0%,VLOOKUP(A58,'Données projet'!$A$35:$I$55,6,0)*VLOOKUP('Données projet'!$B$9,Paramètres!$A$1:$I$89,7,0))</f>
        <v>0</v>
      </c>
      <c r="Y58" s="16">
        <f>IF(ISNA(VLOOKUP(A58,'Données projet'!$A$35:$I$55,7,0)),0%,VLOOKUP(A58,'Données projet'!$A$35:$I$55,7,0))</f>
        <v>0</v>
      </c>
      <c r="Z58" s="21">
        <f>EXP(-LN(2)/35)*Z57+(1-EXP(-LN(2)/35))/(LN(2)/35)*V58*W58*VLOOKUP('Données projet'!$B$9,Paramètres!$A$1:$I$89,3,0)*0.475*44/12</f>
        <v>1.8834009919996941</v>
      </c>
      <c r="AA58" s="21">
        <f>EXP(-LN(2)/25)*AA57+(1-EXP(-LN(2)/25))/(LN(2)/25)*Calculateur!V58*Calculateur!X58*VLOOKUP('Données projet'!$B$9,Paramètres!$A$1:$I$89,3,0)*0.475*44/12</f>
        <v>7.9801295651340061</v>
      </c>
      <c r="AB58" s="21">
        <f>EXP(-LN(2)/2)*AB57+(1-EXP(-LN(2)/2))/(LN(2)/2)*V58*Y58*VLOOKUP('Données projet'!$B$9,Paramètres!$A$1:$I$89,3,0)*0.475*44/12</f>
        <v>2.9220843837194358E-4</v>
      </c>
      <c r="AC58" s="22">
        <f t="shared" si="3"/>
        <v>9.8638227655720723</v>
      </c>
      <c r="AD58" s="13">
        <f>('Scénario référence'!$F$8+'Scénario référence'!$F$9+'Scénario référence'!$B$17+'Scénario référence'!$B$9+'Scénario référence'!$B$10)*70+IF((45+25*(1-EXP(-0.0175*A58)))&lt;70,'Scénario référence'!$B$16*(45+25*(1-EXP(-0.0175*A58))),70*'Scénario référence'!$B$16)+IF((32+38*(1-EXP(-0.0175*A58)))&lt;70,'Scénario référence'!$B$18*(32+38*(1-EXP(-0.0175*A58))),70*'Scénario référence'!$B$18)</f>
        <v>70</v>
      </c>
      <c r="AE58" s="13">
        <f>IF(A58&gt;30,10,('Scénario référence'!$B$16+'Scénario référence'!$B$17+'Scénario référence'!$B$18+'Scénario référence'!$B$9+'Scénario référence'!$B$10)*A58*10/30+('Scénario référence'!$F$8+'Scénario référence'!$F$9)*10)</f>
        <v>10</v>
      </c>
      <c r="AF58" s="12" t="e">
        <f>VLOOKUP(A58,'Données projet'!$A$61:$I$81,2,0)</f>
        <v>#N/A</v>
      </c>
      <c r="AG58" s="12" t="e">
        <f>VLOOKUP(A58,'Données projet'!$A$61:$I$81,9,0)</f>
        <v>#N/A</v>
      </c>
      <c r="AH58" s="12">
        <f t="array" ref="AH58">INDEX(AG:AG,MIN(IF(ISNUMBER(AG58:AG254),ROW(AG58:AG254),"")))</f>
        <v>10</v>
      </c>
      <c r="AI58" s="13">
        <f>IF('Données projet'!$A$62&gt;35,AI57+AH58-AQ57,IF(A58&lt;'Données projet'!$A$62,$AF$205^A58,IF(A58='Données projet'!$A$62,'Données projet'!$B$62,AI57+AH58-AQ57)))</f>
        <v>353.99999999999989</v>
      </c>
      <c r="AJ58" s="13">
        <f>AI58*VLOOKUP('Données projet'!$B$10,Paramètres!$A$1:$I$89,3,0)*VLOOKUP('Données projet'!$B$10,Paramètres!$A$1:$I$89,5,0)</f>
        <v>220.89599999999993</v>
      </c>
      <c r="AK58" s="13">
        <f t="shared" si="35"/>
        <v>54.309580803412238</v>
      </c>
      <c r="AL58" s="20">
        <f t="shared" si="4"/>
        <v>479.31638656594276</v>
      </c>
      <c r="AM58" s="59">
        <f t="shared" si="5"/>
        <v>772.64971989927608</v>
      </c>
      <c r="AN58" s="59">
        <f ca="1">AVERAGE(OFFSET($AM$3,0,0,'Données projet'!$E$10+1,1))-AVERAGE(OFFSET($H$3,0,0,'Données projet'!$E$10+1,1))</f>
        <v>261.78489480911571</v>
      </c>
      <c r="AO58" s="59">
        <f t="shared" si="36"/>
        <v>297.50513563712764</v>
      </c>
      <c r="AP58" s="15">
        <f>IF(ISNA(VLOOKUP(A58,'Données projet'!$A$61:$I$81,3,0)),0,VLOOKUP(A58,'Données projet'!$A$61:$I$81,3,0))</f>
        <v>0</v>
      </c>
      <c r="AQ58" s="15">
        <f>IF(ISNA(VLOOKUP(A58,'Données projet'!$A$61:$I$81,4,0)),0,VLOOKUP(A58,'Données projet'!$A$61:$I$81,4,0))</f>
        <v>0</v>
      </c>
      <c r="AR58" s="16">
        <f>IF(ISNA(VLOOKUP(A58,'Données projet'!$A$61:$I$81,5,0)),0%,VLOOKUP(A58,'Données projet'!$A$61:$I$81,5,0)*VLOOKUP('Données projet'!$B$10,Paramètres!$A$1:$I$89,7,0))</f>
        <v>0</v>
      </c>
      <c r="AS58" s="16">
        <f>IF(ISNA(VLOOKUP(A58,'Données projet'!$A$61:$I$81,6,0)),0%,VLOOKUP(A58,'Données projet'!$A$61:$I$81,6,0)*VLOOKUP('Données projet'!$B$10,Paramètres!$A$1:$I$89,7,0))</f>
        <v>0</v>
      </c>
      <c r="AT58" s="16">
        <f>IF(ISNA(VLOOKUP(A58,'Données projet'!$A$61:$I$81,7,0)),0%,VLOOKUP(A58,'Données projet'!$A$61:$I$81,7,0))</f>
        <v>0</v>
      </c>
      <c r="AU58" s="21">
        <f>EXP(-LN(2)/35)*AU57+(1-EXP(-LN(2)/35))/(LN(2)/35)*AQ58*AR58*VLOOKUP('Données projet'!$B$10,Paramètres!$A$1:$I$89,3,0)*0.475*44/12</f>
        <v>5.0857153958146446</v>
      </c>
      <c r="AV58" s="21">
        <f>EXP(-LN(2)/25)*AV57+(1-EXP(-LN(2)/25))/(LN(2)/25)*Calculateur!AQ58*Calculateur!AS58*VLOOKUP('Données projet'!$B$10,Paramètres!$A$1:$I$89,3,0)*0.475*44/12</f>
        <v>13.934933854929707</v>
      </c>
      <c r="AW58" s="21">
        <f>EXP(-LN(2)/2)*AW57+(1-EXP(-LN(2)/2))/(LN(2)/2)*AQ58*AT58*VLOOKUP('Données projet'!$B$10,Paramètres!$A$1:$I$89,3,0)*0.475*44/12</f>
        <v>4.2124628227391287E-3</v>
      </c>
      <c r="AX58" s="21">
        <f t="shared" si="6"/>
        <v>19.024861713567091</v>
      </c>
      <c r="AY58" s="74">
        <f>('Scénario référence'!$F$8+'Scénario référence'!$F$9+'Scénario référence'!$B$17+'Scénario référence'!$B$9+'Scénario référence'!$B$10)*70+IF((45+25*(1-EXP(-0.0175*A58)))&lt;70,'Scénario référence'!$B$16*(45+25*(1-EXP(-0.0175*A58))),70*'Scénario référence'!$B$16)+IF((32+38*(1-EXP(-0.0175*A58)))&lt;70,'Scénario référence'!$B$18*(32+38*(1-EXP(-0.0175*A58))),70*'Scénario référence'!$B$18)</f>
        <v>70</v>
      </c>
      <c r="AZ58" s="12">
        <f>IF(A58&gt;30,10,('Scénario référence'!$B$16+'Scénario référence'!$B$17+'Scénario référence'!$B$18+'Scénario référence'!$B$9+'Scénario référence'!$B$10)*A58*10/30+('Scénario référence'!$F$8+'Scénario référence'!$F$9)*10)</f>
        <v>10</v>
      </c>
      <c r="BA58" s="12" t="e">
        <f>VLOOKUP(A58,'Données projet'!$A$87:$I$107,2,0)</f>
        <v>#N/A</v>
      </c>
      <c r="BB58" s="12" t="e">
        <f>VLOOKUP(A58,'Données projet'!$A$87:$I$107,9,0)</f>
        <v>#N/A</v>
      </c>
      <c r="BC58" s="12">
        <f t="array" ref="BC58">INDEX(BB:BB,MIN(IF(ISNUMBER(BB58:BB254),ROW(BB58:BB254),"")))</f>
        <v>18</v>
      </c>
      <c r="BD58" s="12">
        <f>IF('Données projet'!$A$88&gt;35,BD57+BC58-BL57,IF(A58&lt;'Données projet'!$A$88,$BA$205^A58,IF(A58='Données projet'!$A$88,'Données projet'!$B$88,BD57+BC58-BL57)))</f>
        <v>417.99999999999972</v>
      </c>
      <c r="BE58" s="13">
        <f>BD58*VLOOKUP('Données projet'!$B$11,Paramètres!$A$1:$I$89,3,0)*VLOOKUP('Données projet'!$B$11,Paramètres!$A$1:$I$89,5,0)</f>
        <v>249.96399999999986</v>
      </c>
      <c r="BF58" s="13">
        <f t="shared" si="37"/>
        <v>60.578231929558321</v>
      </c>
      <c r="BG58" s="20">
        <f t="shared" si="7"/>
        <v>540.86105394398044</v>
      </c>
      <c r="BH58" s="59">
        <f t="shared" si="8"/>
        <v>834.19438727731381</v>
      </c>
      <c r="BI58" s="59">
        <f ca="1">AVERAGE(OFFSET($BH$3,0,0,'Données projet'!$E$11+1,1))-AVERAGE(OFFSET($H$3,0,0,'Données projet'!$E$11+1,1))</f>
        <v>316.58509520829671</v>
      </c>
      <c r="BJ58" s="59">
        <f t="shared" si="38"/>
        <v>240.71332110643596</v>
      </c>
      <c r="BK58" s="15">
        <f>IF(ISNA(VLOOKUP(A58,'Données projet'!$A$87:$I$107,3,0)),0,VLOOKUP(A58,'Données projet'!$A$87:$I$107,3,0))</f>
        <v>0</v>
      </c>
      <c r="BL58" s="15">
        <f>IF(ISNA(VLOOKUP(A58,'Données projet'!$A$87:$I$107,4,0)),0,VLOOKUP(A58,'Données projet'!$A$87:$I$107,4,0))</f>
        <v>0</v>
      </c>
      <c r="BM58" s="16">
        <f>IF(ISNA(VLOOKUP(A58,'Données projet'!$A$87:$I$107,5,0)),0%,VLOOKUP(A58,'Données projet'!$A$87:$I$107,5,0)*VLOOKUP('Données projet'!$B$11,Paramètres!$A$1:$I$89,7,0))</f>
        <v>0</v>
      </c>
      <c r="BN58" s="16">
        <f>IF(ISNA(VLOOKUP(A58,'Données projet'!$A$87:$I$107,6,0)),0%,VLOOKUP(A58,'Données projet'!$A$87:$I$107,6,0)*VLOOKUP('Données projet'!$B$11,Paramètres!$A$1:$I$89,7,0))</f>
        <v>0</v>
      </c>
      <c r="BO58" s="16">
        <f>IF(ISNA(VLOOKUP(A58,'Données projet'!$A$87:$I$107,7,0)),0%,VLOOKUP(A58,'Données projet'!$A$87:$I$107,7,0))</f>
        <v>0</v>
      </c>
      <c r="BP58" s="21">
        <f>EXP(-LN(2)/35)*BP57+(1-EXP(-LN(2)/35))/(LN(2)/35)*BL58*BM58*VLOOKUP('Données projet'!$B$11,Paramètres!$A$1:$I$89,3,0)*0.475*44/12</f>
        <v>1.544823891623013</v>
      </c>
      <c r="BQ58" s="21">
        <f>EXP(-LN(2)/25)*BQ57+(1-EXP(-LN(2)/25))/(LN(2)/25)*Calculateur!BL58*Calculateur!BN58*VLOOKUP('Données projet'!$B$11,Paramètres!$A$1:$I$89,3,0)*0.475*44/12</f>
        <v>7.633963360297769</v>
      </c>
      <c r="BR58" s="21">
        <f>EXP(-LN(2)/2)*BR57+(1-EXP(-LN(2)/2))/(LN(2)/2)*BL58*BO58*VLOOKUP('Données projet'!$B$11,Paramètres!$A$1:$I$89,3,0)*0.475*44/12</f>
        <v>3.7874653954283856E-3</v>
      </c>
      <c r="BS58" s="22">
        <f t="shared" si="9"/>
        <v>9.1825747173162107</v>
      </c>
      <c r="BT58" s="75">
        <f>('Scénario référence'!$F$8+'Scénario référence'!$F$9+'Scénario référence'!$B$17+'Scénario référence'!$B$9+'Scénario référence'!$B$10)*70+IF((45+25*(1-EXP(-0.0175*A58)))&lt;70,'Scénario référence'!$B$16*(45+25*(1-EXP(-0.0175*A58))),70*'Scénario référence'!$B$16)+IF((32+38*(1-EXP(-0.0175*A58)))&lt;70,'Scénario référence'!$B$18*(32+38*(1-EXP(-0.0175*A58))),70*'Scénario référence'!$B$18)</f>
        <v>70</v>
      </c>
      <c r="BU58" s="12">
        <f>IF(A58&gt;30,10,('Scénario référence'!$B$16+'Scénario référence'!$B$17+'Scénario référence'!$B$18+'Scénario référence'!$B$9+'Scénario référence'!$B$10)*A58*10/30+('Scénario référence'!$F$8+'Scénario référence'!$F$9)*10)</f>
        <v>10</v>
      </c>
      <c r="BV58" s="12" t="e">
        <f>VLOOKUP(A58,'Données projet'!$A$113:$I$133,2,0)</f>
        <v>#N/A</v>
      </c>
      <c r="BW58" s="12" t="e">
        <f>VLOOKUP(A58,'Données projet'!$A$113:$I$133,9,0)</f>
        <v>#N/A</v>
      </c>
      <c r="BX58" s="12">
        <f t="array" ref="BX58">INDEX(BW:BW,MIN(IF(ISNUMBER(BW58:BW254),ROW(BW58:BW254),"")))</f>
        <v>9.5</v>
      </c>
      <c r="BY58" s="12">
        <f>IF('Données projet'!$A$114&gt;35,BY57+BX58-CG57,IF(A58&lt;'Données projet'!$A$114,$BV$205^A58,IF(A58='Données projet'!$A$114,'Données projet'!$B$114,BY57+BX58-CG57)))</f>
        <v>292.49999999999977</v>
      </c>
      <c r="BZ58" s="13">
        <f>BY58*VLOOKUP('Données projet'!$B$12,Paramètres!$A$1:$I$89,3,0)*VLOOKUP('Données projet'!$B$12,Paramètres!$A$1:$I$89,5,0)</f>
        <v>167.30999999999989</v>
      </c>
      <c r="CA58" s="13">
        <f t="shared" si="39"/>
        <v>42.486994942347515</v>
      </c>
      <c r="CB58" s="20">
        <f t="shared" si="10"/>
        <v>365.39643285792175</v>
      </c>
      <c r="CC58" s="59">
        <f t="shared" si="11"/>
        <v>658.72976619125507</v>
      </c>
      <c r="CD58" s="59">
        <f ca="1">AVERAGE(OFFSET($CC$3,0,0,'Données projet'!$E$12+1,1))-AVERAGE(OFFSET($H$3,0,0,'Données projet'!$E$12+1,1))</f>
        <v>188.64374818906128</v>
      </c>
      <c r="CE58" s="59">
        <f t="shared" si="40"/>
        <v>211.95157880548652</v>
      </c>
      <c r="CF58" s="15">
        <f>IF(ISNA(VLOOKUP(A58,'Données projet'!$A$113:$I$133,3,0)),0,VLOOKUP(A58,'Données projet'!$A$113:$I$133,3,0))</f>
        <v>0</v>
      </c>
      <c r="CG58" s="15">
        <f>IF(ISNA(VLOOKUP(A58,'Données projet'!$A$113:$I$133,4,0)),0,VLOOKUP(A58,'Données projet'!$A$113:$I$133,4,0))</f>
        <v>0</v>
      </c>
      <c r="CH58" s="16">
        <f>IF(ISNA(VLOOKUP(A58,'Données projet'!$A$113:$I$133,5,0)),0%,VLOOKUP(A58,'Données projet'!$A$113:$I$133,5,0)*VLOOKUP('Données projet'!$B$12,Paramètres!$A$1:$I$89,7,0))</f>
        <v>0</v>
      </c>
      <c r="CI58" s="16">
        <f>IF(ISNA(VLOOKUP(A58,'Données projet'!$A$113:$I$133,6,0)),0%,VLOOKUP(A58,'Données projet'!$A$113:$I$133,6,0)*VLOOKUP('Données projet'!$B$12,Paramètres!$A$1:$I$89,7,0))</f>
        <v>0</v>
      </c>
      <c r="CJ58" s="16">
        <f>IF(ISNA(VLOOKUP(A58,'Données projet'!$A$113:$I$133,7,0)),0%,VLOOKUP(A58,'Données projet'!$A$113:$I$133,7,0))</f>
        <v>0</v>
      </c>
      <c r="CK58" s="21">
        <f>EXP(-LN(2)/35)*CK57+(1-EXP(-LN(2)/35))/(LN(2)/35)*CG58*CH58*VLOOKUP('Données projet'!$B$12,Paramètres!$A$1:$I$89,3,0)*0.475*44/12</f>
        <v>1.498469714838244</v>
      </c>
      <c r="CL58" s="21">
        <f>EXP(-LN(2)/25)*CL57+(1-EXP(-LN(2)/25))/(LN(2)/25)*Calculateur!CG58*Calculateur!CI58*VLOOKUP('Données projet'!$B$12,Paramètres!$A$1:$I$89,3,0)*0.475*44/12</f>
        <v>7.1852591610993164</v>
      </c>
      <c r="CM58" s="21">
        <f>EXP(-LN(2)/2)*CM57+(1-EXP(-LN(2)/2))/(LN(2)/2)*CG58*CJ58*VLOOKUP('Données projet'!$B$12,Paramètres!$A$1:$I$89,3,0)*0.475*44/12</f>
        <v>3.6678638997788477E-3</v>
      </c>
      <c r="CN58" s="22">
        <f t="shared" si="12"/>
        <v>8.6873967398373395</v>
      </c>
      <c r="CO58" s="75">
        <f>('Scénario référence'!$F$8+'Scénario référence'!$F$9+'Scénario référence'!$B$17+'Scénario référence'!$B$9+'Scénario référence'!$B$10)*70+IF((45+25*(1-EXP(-0.0175*A58)))&lt;70,'Scénario référence'!$B$16*(45+25*(1-EXP(-0.0175*A58))),70*'Scénario référence'!$B$16)+IF((32+38*(1-EXP(-0.0175*A58)))&lt;70,'Scénario référence'!$B$18*(32+38*(1-EXP(-0.0175*A58))),70*'Scénario référence'!$B$18)</f>
        <v>70</v>
      </c>
      <c r="CP58" s="12">
        <f>IF(A58&gt;30,10,('Scénario référence'!$B$16+'Scénario référence'!$B$17+'Scénario référence'!$B$18+'Scénario référence'!$B$9+'Scénario référence'!$B$10)*A58*10/30+('Scénario référence'!$F$8+'Scénario référence'!$F$9)*10)</f>
        <v>10</v>
      </c>
      <c r="CQ58" s="12" t="e">
        <f>VLOOKUP(A58,'Données projet'!$A$139:$I$159,2,0)</f>
        <v>#N/A</v>
      </c>
      <c r="CR58" s="12" t="e">
        <f>VLOOKUP(A58,'Données projet'!$A$139:$I$159,9,0)</f>
        <v>#N/A</v>
      </c>
      <c r="CS58" s="12">
        <f t="array" ref="CS58">INDEX(CR:CR,MIN(IF(ISNUMBER(CR58:CR254),ROW(CR58:CR254),"")))</f>
        <v>0</v>
      </c>
      <c r="CT58" s="12">
        <f>IF('Données projet'!$A$140&gt;35,CT57+CS58-DB57,IF(A58&lt;'Données projet'!$A$140,$CQ$205^A58,IF(A58='Données projet'!$A$140,'Données projet'!$B$140,CT57+CS58-DB57)))</f>
        <v>0</v>
      </c>
      <c r="CU58" s="17" t="e">
        <f>CT58*VLOOKUP('Données projet'!$B$13,Paramètres!$A$1:$I$89,3,0)*VLOOKUP('Données projet'!$B$13,Paramètres!$A$1:$I$89,5,0)</f>
        <v>#N/A</v>
      </c>
      <c r="CV58" s="13" t="e">
        <f t="shared" si="41"/>
        <v>#N/A</v>
      </c>
      <c r="CW58" s="20" t="e">
        <f t="shared" si="13"/>
        <v>#N/A</v>
      </c>
      <c r="CX58" s="59" t="e">
        <f t="shared" si="14"/>
        <v>#N/A</v>
      </c>
      <c r="CY58" s="59" t="e">
        <f ca="1">AVERAGE(OFFSET($CX$3,0,0,'Données projet'!$E$13+1,1))-AVERAGE(OFFSET($H$3,0,0,'Données projet'!$E$13+1,1))</f>
        <v>#N/A</v>
      </c>
      <c r="CZ58" s="59" t="e">
        <f t="shared" si="42"/>
        <v>#N/A</v>
      </c>
      <c r="DA58" s="15">
        <f>IF(ISNA(VLOOKUP(A58,'Données projet'!$A$139:$I$159,3,0)),0,VLOOKUP(A58,'Données projet'!$A$139:$I$159,3,0))</f>
        <v>0</v>
      </c>
      <c r="DB58" s="15">
        <f>IF(ISNA(VLOOKUP(A58,'Données projet'!$A$139:$I$159,4,0)),0,VLOOKUP(A58,'Données projet'!$A$139:$I$159,4,0))</f>
        <v>0</v>
      </c>
      <c r="DC58" s="16">
        <f>IF(ISNA(VLOOKUP(A58,'Données projet'!$A$139:$I$159,5,0)),0%,VLOOKUP(A58,'Données projet'!$A$139:$I$159,5,0)*VLOOKUP('Données projet'!$B$13,Paramètres!$A$1:$I$89,7,0))</f>
        <v>0</v>
      </c>
      <c r="DD58" s="16">
        <f>IF(ISNA(VLOOKUP(A58,'Données projet'!$A$139:$I$159,6,0)),0%,VLOOKUP(A58,'Données projet'!$A$139:$I$159,6,0)*VLOOKUP('Données projet'!$B$13,Paramètres!$A$1:$I$89,7,0))</f>
        <v>0</v>
      </c>
      <c r="DE58" s="16">
        <f>IF(ISNA(VLOOKUP(A58,'Données projet'!$A$139:$I$159,7,0)),0%,VLOOKUP(A58,'Données projet'!$A$139:$I$159,7,0))</f>
        <v>0</v>
      </c>
      <c r="DF58" s="21" t="e">
        <f>EXP(-LN(2)/35)*DF57+(1-EXP(-LN(2)/35))/(LN(2)/35)*DB58*DC58*VLOOKUP('Données projet'!$B$13,Paramètres!$A$1:$I$89,3,0)*0.475*44/12</f>
        <v>#N/A</v>
      </c>
      <c r="DG58" s="21" t="e">
        <f>EXP(-LN(2)/25)*DG57+(1-EXP(-LN(2)/25))/(LN(2)/25)*Calculateur!DB58*Calculateur!DD58*VLOOKUP('Données projet'!$B$13,Paramètres!$A$1:$I$89,3,0)*0.475*44/12</f>
        <v>#N/A</v>
      </c>
      <c r="DH58" s="21" t="e">
        <f>EXP(-LN(2)/2)*DH57+(1-EXP(-LN(2)/2))/(LN(2)/2)*DB58*DE58*VLOOKUP('Données projet'!$B$13,Paramètres!$A$1:$I$89,3,0)*0.475*44/12</f>
        <v>#N/A</v>
      </c>
      <c r="DI58" s="22" t="e">
        <f t="shared" si="15"/>
        <v>#N/A</v>
      </c>
      <c r="DJ58" s="75">
        <f>('Scénario référence'!$F$8+'Scénario référence'!$F$9+'Scénario référence'!$B$17+'Scénario référence'!$B$9+'Scénario référence'!$B$10)*70+IF((45+25*(1-EXP(-0.0175*A58)))&lt;70,'Scénario référence'!$B$16*(45+25*(1-EXP(-0.0175*A58))),70*'Scénario référence'!$B$16)+IF((32+38*(1-EXP(-0.0175*A58)))&lt;70,'Scénario référence'!$B$18*(32+38*(1-EXP(-0.0175*A58))),70*'Scénario référence'!$B$18)</f>
        <v>70</v>
      </c>
      <c r="DK58" s="12">
        <f>IF(A58&gt;30,10,('Scénario référence'!$B$16+'Scénario référence'!$B$17+'Scénario référence'!$B$18+'Scénario référence'!$B$9+'Scénario référence'!$B$10)*A58*10/30+('Scénario référence'!$F$8+'Scénario référence'!$F$9)*10)</f>
        <v>10</v>
      </c>
      <c r="DL58" s="12" t="e">
        <f>VLOOKUP(A58,'Données projet'!$A$165:$I$185,2,0)</f>
        <v>#N/A</v>
      </c>
      <c r="DM58" s="12" t="e">
        <f>VLOOKUP(A58,'Données projet'!$A$165:$I$185,9,0)</f>
        <v>#N/A</v>
      </c>
      <c r="DN58" s="12">
        <f t="array" ref="DN58">INDEX(DM:DM,MIN(IF(ISNUMBER(DM58:DM254),ROW(DM58:DM254),"")))</f>
        <v>6.6</v>
      </c>
      <c r="DO58" s="12">
        <f>IF('Données projet'!$A$166&gt;35,DO57+DN58-DW57,IF(A58&lt;'Données projet'!$A$166,$DL$205^A58,IF(A58='Données projet'!$A$166,'Données projet'!$B$166,DO57+DN58-DW57)))</f>
        <v>252</v>
      </c>
      <c r="DP58" s="17">
        <f>DO58*VLOOKUP('Données projet'!$B$14,Paramètres!$A$1:$I$89,3,0)*VLOOKUP('Données projet'!$B$14,Paramètres!$A$1:$I$89,5,0)</f>
        <v>165.1104</v>
      </c>
      <c r="DQ58" s="13">
        <f t="shared" si="43"/>
        <v>41.993062739333446</v>
      </c>
      <c r="DR58" s="20">
        <f t="shared" si="16"/>
        <v>360.70519760433905</v>
      </c>
      <c r="DS58" s="59">
        <f t="shared" si="17"/>
        <v>654.03853093767236</v>
      </c>
      <c r="DT58" s="59">
        <f ca="1">AVERAGE(OFFSET($DS$3,0,0,'Données projet'!$E$14+1,1))-AVERAGE(OFFSET($H$3,0,0,'Données projet'!$E$14+1,1))</f>
        <v>188.68915783955595</v>
      </c>
      <c r="DU58" s="59">
        <f t="shared" si="44"/>
        <v>240.82467772396944</v>
      </c>
      <c r="DV58" s="15">
        <f>IF(ISNA(VLOOKUP(A58,'Données projet'!$A$165:$I$185,3,0)),0,VLOOKUP(A58,'Données projet'!$A$165:$I$185,3,0))</f>
        <v>0</v>
      </c>
      <c r="DW58" s="15">
        <f>IF(ISNA(VLOOKUP(A58,'Données projet'!$A$165:$I$185,4,0)),0,VLOOKUP(A58,'Données projet'!$A$165:$I$185,4,0))</f>
        <v>0</v>
      </c>
      <c r="DX58" s="16">
        <f>IF(ISNA(VLOOKUP(A58,'Données projet'!$A$165:$I$185,5,0)),0%,VLOOKUP(A58,'Données projet'!$A$165:$I$185,5,0)*VLOOKUP('Données projet'!$B$14,Paramètres!$A$1:$I$89,7,0))</f>
        <v>0</v>
      </c>
      <c r="DY58" s="16">
        <f>IF(ISNA(VLOOKUP(A58,'Données projet'!$A$165:$I$185,6,0)),0%,VLOOKUP(A58,'Données projet'!$A$165:$I$185,6,0)*VLOOKUP('Données projet'!$B$14,Paramètres!$A$1:$I$89,7,0))</f>
        <v>0</v>
      </c>
      <c r="DZ58" s="16">
        <f>IF(ISNA(VLOOKUP(A58,'Données projet'!$A$165:$I$185,7,0)),0%,VLOOKUP(A58,'Données projet'!$A$165:$I$185,7,0))</f>
        <v>0</v>
      </c>
      <c r="EA58" s="21">
        <f>EXP(-LN(2)/35)*EA57+(1-EXP(-LN(2)/35))/(LN(2)/35)*DW58*DX58*VLOOKUP('Données projet'!$B$14,Paramètres!$A$1:$I$89,3,0)*0.475*44/12</f>
        <v>0.94915695321193461</v>
      </c>
      <c r="EB58" s="21">
        <f>EXP(-LN(2)/25)*EB57+(1-EXP(-LN(2)/25))/(LN(2)/25)*Calculateur!DW58*Calculateur!DY58*VLOOKUP('Données projet'!$B$14,Paramètres!$A$1:$I$89,3,0)*0.475*44/12</f>
        <v>4.0190146213777203</v>
      </c>
      <c r="EC58" s="21">
        <f>EXP(-LN(2)/2)*EC57+(1-EXP(-LN(2)/2))/(LN(2)/2)*DW58*DZ58*VLOOKUP('Données projet'!$B$14,Paramètres!$A$1:$I$89,3,0)*0.475*44/12</f>
        <v>2.4162487791261184E-3</v>
      </c>
      <c r="ED58" s="22">
        <f t="shared" si="18"/>
        <v>4.9705878233687812</v>
      </c>
      <c r="EE58" s="75">
        <f>('Scénario référence'!$F$8+'Scénario référence'!$F$9+'Scénario référence'!$B$17+'Scénario référence'!$B$9+'Scénario référence'!$B$10)*70+IF((45+25*(1-EXP(-0.0175*A58)))&lt;70,'Scénario référence'!$B$16*(45+25*(1-EXP(-0.0175*A58))),70*'Scénario référence'!$B$16)+IF((32+38*(1-EXP(-0.0175*A58)))&lt;70,'Scénario référence'!$B$18*(32+38*(1-EXP(-0.0175*A58))),70*'Scénario référence'!$B$18)</f>
        <v>70</v>
      </c>
      <c r="EF58" s="12">
        <f>IF(A58&gt;30,10,('Scénario référence'!$B$16+'Scénario référence'!$B$17+'Scénario référence'!$B$18+'Scénario référence'!$B$9+'Scénario référence'!$B$10)*A58*10/30+('Scénario référence'!$F$8+'Scénario référence'!$F$9)*10)</f>
        <v>10</v>
      </c>
      <c r="EG58" s="12" t="e">
        <f>VLOOKUP(A58,'Données projet'!$A$191:$I$211,2,0)</f>
        <v>#N/A</v>
      </c>
      <c r="EH58" s="12" t="e">
        <f>VLOOKUP(A58,'Données projet'!$A$191:$I$211,9,0)</f>
        <v>#N/A</v>
      </c>
      <c r="EI58" s="12">
        <f t="array" ref="EI58">INDEX(EH:EH,MIN(IF(ISNUMBER(EH58:EH254),ROW(EH58:EH254),"")))</f>
        <v>6.4</v>
      </c>
      <c r="EJ58" s="12">
        <f>IF('Données projet'!$A$192&gt;35,EJ57+EI58-ER57,IF(A58&lt;'Données projet'!$A$192,$EG$205^A58,IF(A58='Données projet'!$A$192,'Données projet'!$B$192,EJ57+EI58-ER57)))</f>
        <v>217.99999999999994</v>
      </c>
      <c r="EK58" s="17">
        <f>EJ58*VLOOKUP('Données projet'!$B$15,Paramètres!$A$1:$I$89,3,0)*VLOOKUP('Données projet'!$B$15,Paramètres!$A$1:$I$89,5,0)</f>
        <v>176.84159999999997</v>
      </c>
      <c r="EL58" s="13">
        <f t="shared" si="45"/>
        <v>44.618778032982917</v>
      </c>
      <c r="EM58" s="20">
        <f t="shared" si="19"/>
        <v>385.71015840744514</v>
      </c>
      <c r="EN58" s="59">
        <f t="shared" si="20"/>
        <v>679.04349174077845</v>
      </c>
      <c r="EO58" s="59">
        <f ca="1">AVERAGE(OFFSET($EN$3,0,0,'Données projet'!$E$15+1,1))-AVERAGE(OFFSET($H$3,0,0,'Données projet'!$E$15+1,1))</f>
        <v>205.5272583787887</v>
      </c>
      <c r="EP58" s="59">
        <f t="shared" si="46"/>
        <v>180.54762778843178</v>
      </c>
      <c r="EQ58" s="15">
        <f>IF(ISNA(VLOOKUP(A58,'Données projet'!$A$191:$I$211,3,0)),0,VLOOKUP(A58,'Données projet'!$A$191:$I$211,3,0))</f>
        <v>0</v>
      </c>
      <c r="ER58" s="15">
        <f>IF(ISNA(VLOOKUP(A58,'Données projet'!$A$191:$I$211,4,0)),0,VLOOKUP(A58,'Données projet'!$A$191:$I$211,4,0))</f>
        <v>0</v>
      </c>
      <c r="ES58" s="16">
        <f>IF(ISNA(VLOOKUP(A58,'Données projet'!$A$191:$I$211,5,0)),0%,VLOOKUP(A58,'Données projet'!$A$191:$I$211,5,0)*VLOOKUP('Données projet'!$B$15,Paramètres!$A$1:$I$89,7,0))</f>
        <v>0</v>
      </c>
      <c r="ET58" s="16">
        <f>IF(ISNA(VLOOKUP(A58,'Données projet'!$A$191:$I$211,6,0)),0%,VLOOKUP(A58,'Données projet'!$A$191:$I$211,6,0)*VLOOKUP('Données projet'!$B$15,Paramètres!$A$1:$I$89,7,0))</f>
        <v>0</v>
      </c>
      <c r="EU58" s="16">
        <f>IF(ISNA(VLOOKUP(A58,'Données projet'!$A$191:$I$211,7,0)),0%,VLOOKUP(A58,'Données projet'!$A$191:$I$211,7,0))</f>
        <v>0</v>
      </c>
      <c r="EV58" s="21">
        <f>EXP(-LN(2)/35)*EV57+(1-EXP(-LN(2)/35))/(LN(2)/35)*ER58*ES58*VLOOKUP('Données projet'!$B$15,Paramètres!$A$1:$I$89,3,0)*0.475*44/12</f>
        <v>0.61107628606787412</v>
      </c>
      <c r="EW58" s="21">
        <f>EXP(-LN(2)/25)*EW57+(1-EXP(-LN(2)/25))/(LN(2)/25)*Calculateur!ER58*Calculateur!ET58*VLOOKUP('Données projet'!$B$15,Paramètres!$A$1:$I$89,3,0)*0.475*44/12</f>
        <v>2.9018504773211169</v>
      </c>
      <c r="EX58" s="21">
        <f>EXP(-LN(2)/2)*EX57+(1-EXP(-LN(2)/2))/(LN(2)/2)*ER58*EU58*VLOOKUP('Données projet'!$B$15,Paramètres!$A$1:$I$89,3,0)*0.475*44/12</f>
        <v>1.564522871121829E-3</v>
      </c>
      <c r="EY58" s="22">
        <f t="shared" si="21"/>
        <v>3.5144912862601125</v>
      </c>
      <c r="EZ58" s="75">
        <f>('Scénario référence'!$F$8+'Scénario référence'!$F$9+'Scénario référence'!$B$17+'Scénario référence'!$B$9+'Scénario référence'!$B$10)*70+IF((45+25*(1-EXP(-0.0175*A58)))&lt;70,'Scénario référence'!$B$16*(45+25*(1-EXP(-0.0175*A58))),70*'Scénario référence'!$B$16)+IF((32+38*(1-EXP(-0.0175*A58)))&lt;70,'Scénario référence'!$B$18*(32+38*(1-EXP(-0.0175*A58))),70*'Scénario référence'!$B$18)</f>
        <v>70</v>
      </c>
      <c r="FA58" s="12">
        <f>IF(A58&gt;30,10,('Scénario référence'!$B$16+'Scénario référence'!$B$17+'Scénario référence'!$B$18+'Scénario référence'!$B$9+'Scénario référence'!$B$10)*A58*10/30+('Scénario référence'!$F$8+'Scénario référence'!$F$9)*10)</f>
        <v>10</v>
      </c>
      <c r="FB58" s="12" t="e">
        <f>VLOOKUP(A58,'Données projet'!$A$217:$I$237,2,0)</f>
        <v>#N/A</v>
      </c>
      <c r="FC58" s="12" t="e">
        <f>VLOOKUP(A58,'Données projet'!$A$217:$I$237,9,0)</f>
        <v>#N/A</v>
      </c>
      <c r="FD58" s="12">
        <f t="array" ref="FD58">INDEX(FC:FC,MIN(IF(ISNUMBER(FC58:FC254),ROW(FC58:FC254),"")))</f>
        <v>13.4</v>
      </c>
      <c r="FE58" s="12">
        <f>IF('Données projet'!$A$218&gt;35,FE57+FD58-FM57,IF(A58&lt;'Données projet'!$A$218,$FB$205^A58,IF(A58='Données projet'!$A$218,'Données projet'!$B$218,FE57+FD58-FM57)))</f>
        <v>266.00000000000006</v>
      </c>
      <c r="FF58" s="17">
        <f>FE58*VLOOKUP('Données projet'!$B$16,Paramètres!$A$1:$I$89,3,0)*VLOOKUP('Données projet'!$B$16,Paramètres!$A$1:$I$89,5,0)</f>
        <v>228.22800000000007</v>
      </c>
      <c r="FG58" s="13">
        <f t="shared" si="47"/>
        <v>55.899361406374481</v>
      </c>
      <c r="FH58" s="20">
        <f t="shared" si="22"/>
        <v>494.85515444943576</v>
      </c>
      <c r="FI58" s="59">
        <f t="shared" si="23"/>
        <v>788.18848778276902</v>
      </c>
      <c r="FJ58" s="59">
        <f ca="1">AVERAGE(OFFSET($FI$3,0,0,'Données projet'!$E$16+1,1))-AVERAGE(OFFSET($H$3,0,0,'Données projet'!$E$16+1,1))</f>
        <v>383.97627237444709</v>
      </c>
      <c r="FK58" s="59">
        <f t="shared" si="48"/>
        <v>203.35476578922339</v>
      </c>
      <c r="FL58" s="15">
        <f>IF(ISNA(VLOOKUP(A58,'Données projet'!$A$217:$I$237,3,0)),0,VLOOKUP(A58,'Données projet'!$A$217:$I$237,3,0))</f>
        <v>0</v>
      </c>
      <c r="FM58" s="15">
        <f>IF(ISNA(VLOOKUP(A58,'Données projet'!$A$217:$I$237,4,0)),0,VLOOKUP(A58,'Données projet'!$A$217:$I$237,4,0))</f>
        <v>0</v>
      </c>
      <c r="FN58" s="16">
        <f>IF(ISNA(VLOOKUP(A58,'Données projet'!$A$217:$I$237,5,0)),0%,VLOOKUP(A58,'Données projet'!$A$217:$I$237,5,0)*VLOOKUP('Données projet'!$B$16,Paramètres!$A$1:$I$89,7,0))</f>
        <v>0</v>
      </c>
      <c r="FO58" s="16">
        <f>IF(ISNA(VLOOKUP(A58,'Données projet'!$A$217:$I$237,6,0)),0%,VLOOKUP(A58,'Données projet'!$A$217:$I$237,6,0)*VLOOKUP('Données projet'!$B$16,Paramètres!$A$1:$I$89,7,0))</f>
        <v>0</v>
      </c>
      <c r="FP58" s="16">
        <f>IF(ISNA(VLOOKUP(A58,'Données projet'!$A$217:$I$237,7,0)),0%,VLOOKUP(A58,'Données projet'!$A$217:$I$237,7,0))</f>
        <v>0</v>
      </c>
      <c r="FQ58" s="21">
        <f>EXP(-LN(2)/35)*FQ57+(1-EXP(-LN(2)/35))/(LN(2)/35)*FM58*FN58*VLOOKUP('Données projet'!$B$16,Paramètres!$A$1:$I$89,3,0)*0.475*44/12</f>
        <v>3.1406005886800794</v>
      </c>
      <c r="FR58" s="21">
        <f>EXP(-LN(2)/25)*FR57+(1-EXP(-LN(2)/25))/(LN(2)/25)*Calculateur!FM58*Calculateur!FO58*VLOOKUP('Données projet'!$B$16,Paramètres!$A$1:$I$89,3,0)*0.475*44/12</f>
        <v>2.9456781692326923</v>
      </c>
      <c r="FS58" s="21">
        <f>EXP(-LN(2)/2)*FS57+(1-EXP(-LN(2)/2))/(LN(2)/2)*FM58*FP58*VLOOKUP('Données projet'!$B$16,Paramètres!$A$1:$I$89,3,0)*0.475*44/12</f>
        <v>2.8737074276701255E-3</v>
      </c>
      <c r="FT58" s="22">
        <f t="shared" si="24"/>
        <v>6.0891524653404421</v>
      </c>
      <c r="FU58" s="75">
        <f>('Scénario référence'!$F$8+'Scénario référence'!$F$9+'Scénario référence'!$B$17+'Scénario référence'!$B$9+'Scénario référence'!$B$10)*70+IF((45+25*(1-EXP(-0.0175*A58)))&lt;70,'Scénario référence'!$B$16*(45+25*(1-EXP(-0.0175*A58))),70*'Scénario référence'!$B$16)+IF((32+38*(1-EXP(-0.0175*A58)))&lt;70,'Scénario référence'!$B$18*(32+38*(1-EXP(-0.0175*A58))),70*'Scénario référence'!$B$18)</f>
        <v>70</v>
      </c>
      <c r="FV58" s="12">
        <f>IF(A58&gt;30,10,('Scénario référence'!$B$16+'Scénario référence'!$B$17+'Scénario référence'!$B$18+'Scénario référence'!$B$9+'Scénario référence'!$B$10)*A58*10/30+('Scénario référence'!$F$8+'Scénario référence'!$F$9)*10)</f>
        <v>10</v>
      </c>
      <c r="FW58" s="12">
        <f>VLOOKUP(A58,'Données projet'!$A$243:$I$263,2,0)</f>
        <v>198.44230769230768</v>
      </c>
      <c r="FX58" s="12">
        <f>VLOOKUP(A58,'Données projet'!$A$243:$I$263,9,0)</f>
        <v>8.8736263736263741</v>
      </c>
      <c r="FY58" s="12">
        <f t="array" ref="FY58">INDEX(FX:FX,MIN(IF(ISNUMBER(FX58:FX254),ROW(FX58:FX254),"")))</f>
        <v>8.8736263736263741</v>
      </c>
      <c r="FZ58" s="12">
        <f>IF('Données projet'!$A$244&gt;35,FZ57+FY58-GH57,IF(A58&lt;'Données projet'!$A$244,$FW$205^A58,IF(A58='Données projet'!$A$244,'Données projet'!$B$244,FZ57+FY58-GH57)))</f>
        <v>198.44230769230768</v>
      </c>
      <c r="GA58" s="17">
        <f>FZ58*VLOOKUP('Données projet'!$B$17,Paramètres!$A$1:$I$89,3,0)*VLOOKUP('Données projet'!$B$17,Paramètres!$A$1:$I$89,5,0)</f>
        <v>213.60329999999999</v>
      </c>
      <c r="GB58" s="13">
        <f t="shared" si="49"/>
        <v>52.722216049800402</v>
      </c>
      <c r="GC58" s="20">
        <f t="shared" si="25"/>
        <v>463.85027378673567</v>
      </c>
      <c r="GD58" s="59">
        <f t="shared" si="26"/>
        <v>757.18360712006893</v>
      </c>
      <c r="GE58" s="59">
        <f ca="1">AVERAGE(OFFSET($GD$3,0,0,'Données projet'!$E$17+1,1))-AVERAGE(OFFSET($H$3,0,0,'Données projet'!$E$17+1,1))</f>
        <v>286.77702855541287</v>
      </c>
      <c r="GF58" s="59">
        <f t="shared" si="50"/>
        <v>227.12211541860779</v>
      </c>
      <c r="GG58" s="15">
        <f>IF(ISNA(VLOOKUP(A58,'Données projet'!$A$243:$I$263,3,0)),0,VLOOKUP(A58,'Données projet'!$A$243:$I$263,3,0))</f>
        <v>4</v>
      </c>
      <c r="GH58" s="15">
        <f>IF(ISNA(VLOOKUP(A58,'Données projet'!$A$243:$I$263,4,0)),0,VLOOKUP(A58,'Données projet'!$A$243:$I$263,4,0))</f>
        <v>45.147435897435898</v>
      </c>
      <c r="GI58" s="16">
        <f>IF(ISNA(VLOOKUP(A58,'Données projet'!$A$243:$I$263,5,0)),0%,VLOOKUP(A58,'Données projet'!$A$243:$I$263,5,0)*VLOOKUP('Données projet'!$B$17,Paramètres!$A$1:$I$89,7,0))</f>
        <v>0</v>
      </c>
      <c r="GJ58" s="16">
        <f>IF(ISNA(VLOOKUP(A58,'Données projet'!$A$243:$I$263,6,0)),0%,VLOOKUP(A58,'Données projet'!$A$243:$I$263,6,0)*VLOOKUP('Données projet'!$B$17,Paramètres!$A$1:$I$89,7,0))</f>
        <v>0</v>
      </c>
      <c r="GK58" s="16">
        <f>IF(ISNA(VLOOKUP(A58,'Données projet'!$A$243:$I$263,7,0)),0%,VLOOKUP(A58,'Données projet'!$A$243:$I$263,7,0))</f>
        <v>0</v>
      </c>
      <c r="GL58" s="21">
        <f>EXP(-LN(2)/35)*GL57+(1-EXP(-LN(2)/35))/(LN(2)/35)*GH58*GI58*VLOOKUP('Données projet'!$B$17,Paramètres!$A$1:$I$89,3,0)*0.475*44/12</f>
        <v>0</v>
      </c>
      <c r="GM58" s="21">
        <f>EXP(-LN(2)/25)*GM57+(1-EXP(-LN(2)/25))/(LN(2)/25)*Calculateur!GH58*Calculateur!GJ58*VLOOKUP('Données projet'!$B$17,Paramètres!$A$1:$I$89,3,0)*0.475*44/12</f>
        <v>0</v>
      </c>
      <c r="GN58" s="21">
        <f>EXP(-LN(2)/2)*GN57+(1-EXP(-LN(2)/2))/(LN(2)/2)*GH58*GK58*VLOOKUP('Données projet'!$B$17,Paramètres!$A$1:$I$89,3,0)*0.475*44/12</f>
        <v>0</v>
      </c>
      <c r="GO58" s="21">
        <f t="shared" si="27"/>
        <v>0</v>
      </c>
      <c r="GP58" s="75">
        <f>('Scénario référence'!$F$8+'Scénario référence'!$F$9+'Scénario référence'!$B$17+'Scénario référence'!$B$9+'Scénario référence'!$B$10)*70+IF((45+25*(1-EXP(-0.0175*A58)))&lt;70,'Scénario référence'!$B$16*(45+25*(1-EXP(-0.0175*A58))),70*'Scénario référence'!$B$16)+IF((32+38*(1-EXP(-0.0175*A58)))&lt;70,'Scénario référence'!$B$18*(32+38*(1-EXP(-0.0175*A58))),70*'Scénario référence'!$B$18)</f>
        <v>70</v>
      </c>
      <c r="GQ58" s="12">
        <f>IF(A58&gt;30,10,('Scénario référence'!$B$16+'Scénario référence'!$B$17+'Scénario référence'!$B$18+'Scénario référence'!$B$9+'Scénario référence'!$B$10)*A58*10/30+('Scénario référence'!$F$8+'Scénario référence'!$F$9)*10)</f>
        <v>10</v>
      </c>
      <c r="GR58" s="12">
        <f>VLOOKUP(A58,'Données projet'!$A$269:$I$289,2,0)</f>
        <v>198.44230769230768</v>
      </c>
      <c r="GS58" s="12">
        <f>VLOOKUP(A58,'Données projet'!$A$269:$I$289,9,0)</f>
        <v>8.8736263736263741</v>
      </c>
      <c r="GT58" s="12">
        <f t="array" ref="GT58">INDEX(GS:GS,MIN(IF(ISNUMBER(GS58:GS254),ROW(GS58:GS254),"")))</f>
        <v>8.8736263736263741</v>
      </c>
      <c r="GU58" s="12">
        <f>IF('Données projet'!$A$270&gt;35,GU57+GT58-HC57,IF(A58&lt;'Données projet'!$A$270,$GR$205^A58,IF(A58='Données projet'!$A$270,'Données projet'!$B$270,GU57+GT58-HC57)))</f>
        <v>198.44230769230768</v>
      </c>
      <c r="GV58" s="17">
        <f>GU58*VLOOKUP('Données projet'!$B$18,Paramètres!$A$1:$I$89,3,0)*VLOOKUP('Données projet'!$B$18,Paramètres!$A$1:$I$89,5,0)</f>
        <v>213.60329999999999</v>
      </c>
      <c r="GW58" s="13">
        <f t="shared" si="51"/>
        <v>52.722216049800402</v>
      </c>
      <c r="GX58" s="20">
        <f t="shared" si="28"/>
        <v>463.85027378673567</v>
      </c>
      <c r="GY58" s="59">
        <f t="shared" si="29"/>
        <v>757.18360712006893</v>
      </c>
      <c r="GZ58" s="59">
        <f ca="1">AVERAGE(OFFSET($GY$3,0,0,'Données projet'!$E$18+1,1))-AVERAGE(OFFSET($H$3,0,0,'Données projet'!$E$18+1,1))</f>
        <v>286.77702855541287</v>
      </c>
      <c r="HA58" s="59">
        <f t="shared" si="52"/>
        <v>227.12211541860779</v>
      </c>
      <c r="HB58" s="15">
        <f>IF(ISNA(VLOOKUP(A58,'Données projet'!$A$269:$I$289,3,0)),0,VLOOKUP(A58,'Données projet'!$A$269:$I$289,3,0))</f>
        <v>4</v>
      </c>
      <c r="HC58" s="15">
        <f>IF(ISNA(VLOOKUP(A58,'Données projet'!$A$269:$I$289,4,0)),0,VLOOKUP(A58,'Données projet'!$A$269:$I$289,4,0))</f>
        <v>45.147435897435898</v>
      </c>
      <c r="HD58" s="16">
        <f>IF(ISNA(VLOOKUP(A58,'Données projet'!$A$269:$I$289,5,0)),0%,VLOOKUP(A58,'Données projet'!$A$269:$I$289,5,0)*VLOOKUP('Données projet'!$B$18,Paramètres!$A$1:$I$89,7,0))</f>
        <v>0</v>
      </c>
      <c r="HE58" s="16">
        <f>IF(ISNA(VLOOKUP(A58,'Données projet'!$A$269:$I$289,6,0)),0%,VLOOKUP(A58,'Données projet'!$A$269:$I$289,6,0)*VLOOKUP('Données projet'!$B$18,Paramètres!$A$1:$I$89,7,0))</f>
        <v>0</v>
      </c>
      <c r="HF58" s="16">
        <f>IF(ISNA(VLOOKUP(A58,'Données projet'!$A$269:$I$289,7,0)),0%,VLOOKUP(A58,'Données projet'!$A$269:$I$289,7,0))</f>
        <v>0</v>
      </c>
      <c r="HG58" s="21">
        <f>EXP(-LN(2)/35)*HG57+(1-EXP(-LN(2)/35))/(LN(2)/35)*HC58*HD58*VLOOKUP('Données projet'!$B$18,Paramètres!$A$1:$I$89,3,0)*0.475*44/12</f>
        <v>0</v>
      </c>
      <c r="HH58" s="21">
        <f>EXP(-LN(2)/25)*HH57+(1-EXP(-LN(2)/25))/(LN(2)/25)*Calculateur!HC58*Calculateur!HE58*VLOOKUP('Données projet'!$B$18,Paramètres!$A$1:$I$89,3,0)*0.475*44/12</f>
        <v>0</v>
      </c>
      <c r="HI58" s="21">
        <f>EXP(-LN(2)/2)*HI57+(1-EXP(-LN(2)/2))/(LN(2)/2)*HC58*HF58*VLOOKUP('Données projet'!$B$18,Paramètres!$A$1:$I$89,3,0)*0.475*44/12</f>
        <v>0</v>
      </c>
      <c r="HJ58" s="22">
        <f t="shared" si="30"/>
        <v>0</v>
      </c>
    </row>
    <row r="59" spans="1:218" x14ac:dyDescent="0.25">
      <c r="A59" s="10">
        <f t="shared" si="31"/>
        <v>56</v>
      </c>
      <c r="B59" s="73">
        <f>'Scénario référence'!$B$16*5+'Scénario référence'!$B$17*0+'Scénario référence'!$B$18*5</f>
        <v>0</v>
      </c>
      <c r="C59" s="19">
        <f>Calculateur!C58+'Scénario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49.795200000000037</v>
      </c>
      <c r="D59" s="11">
        <f t="shared" si="32"/>
        <v>14.560856542690786</v>
      </c>
      <c r="E5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59" s="11">
        <f>IF(OR('Scénario référence'!$F$8&gt;0,'Scénario référence'!$F$9&gt;0),('Scénario référence'!$F$8+'Scénario référence'!$F$9)*10,0)</f>
        <v>10</v>
      </c>
      <c r="G59" s="11">
        <f>'Scénario référence'!$B$8*B59*44/12+'Scénario référence'!$B$9*(C59+D59)/0.475*44/12+'Scénario référence'!$B$10*(C59+D59)/0.475*44/12+'Scénario référence'!$F$8*(C59+D59)/0.475*44/12+'Scénario référence'!$F$9*(C59+D59)/0.475*44/12</f>
        <v>496.78359436463097</v>
      </c>
      <c r="H59" s="67">
        <f t="shared" si="1"/>
        <v>405.42013181185314</v>
      </c>
      <c r="I59" s="70">
        <f>('Scénario référence'!$F$8+'Scénario référence'!$F$9+'Scénario référence'!$B$17+'Scénario référence'!$B$9+'Scénario référence'!$B$10)*70+IF((45+25*(1-EXP(-0.0175*A59)))&lt;70,'Scénario référence'!$B$16*(45+25*(1-EXP(-0.0175*A59))),70*'Scénario référence'!$B$16)+IF((32+38*(1-EXP(-0.0175*A59)))&lt;70,'Scénario référence'!$B$18*(32+38*(1-EXP(-0.0175*A59))),70*'Scénario référence'!$B$18)</f>
        <v>70</v>
      </c>
      <c r="J59" s="13">
        <f>IF(A59&gt;30,10,('Scénario référence'!$B$16+'Scénario référence'!$B$17+'Scénario référence'!$B$18+'Scénario référence'!$B$9+'Scénario référence'!$B$10)*A59*10/30+('Scénario référence'!$F$8+'Scénario référence'!$F$9)*10)</f>
        <v>10</v>
      </c>
      <c r="K59" s="12" t="e">
        <f>VLOOKUP(A59,'Données projet'!$A$35:$I$55,2,0)</f>
        <v>#N/A</v>
      </c>
      <c r="L59" s="12" t="e">
        <f>VLOOKUP(A59,'Données projet'!$A$35:$I$55,9,0)</f>
        <v>#N/A</v>
      </c>
      <c r="M59" s="12">
        <f t="array" ref="M59">INDEX(L:L,MIN(IF(ISNUMBER(L59:L255),ROW(L59:L255),"")))</f>
        <v>0</v>
      </c>
      <c r="N59" s="13">
        <f>IF('Données projet'!$A$36&gt;35,N58+M59-V58,IF(A59&lt;'Données projet'!$A$36,$K$205^A59,IF(A59='Données projet'!$A$36,'Données projet'!$B$36,N58+M59-V58)))</f>
        <v>-2.2737367544323206E-13</v>
      </c>
      <c r="O59" s="13">
        <f>N59*VLOOKUP('Données projet'!$B$9,Paramètres!$A$1:$I$89,3,0)*VLOOKUP('Données projet'!$B$9,Paramètres!$A$1:$I$89,5,0)</f>
        <v>-1.2710188457276673E-13</v>
      </c>
      <c r="P59" s="13" t="e">
        <f t="shared" si="33"/>
        <v>#NUM!</v>
      </c>
      <c r="Q59" s="20" t="e">
        <f t="shared" si="53"/>
        <v>#NUM!</v>
      </c>
      <c r="R59" s="59" t="e">
        <f t="shared" si="0"/>
        <v>#NUM!</v>
      </c>
      <c r="S59" s="59">
        <f ca="1">AVERAGE(OFFSET($R$3,0,0,'Données projet'!$E$9+1,1))-AVERAGE(OFFSET($H$3,0,0,'Données projet'!$E$9+1,1))</f>
        <v>255.5374979188561</v>
      </c>
      <c r="T59" s="59">
        <f t="shared" si="34"/>
        <v>343.10418468620901</v>
      </c>
      <c r="U59" s="15">
        <f>IF(ISNA(VLOOKUP(A59,'Données projet'!$A$35:$I$55,3,0)),0,VLOOKUP(A59,'Données projet'!$A$35:$I$55,3,0))</f>
        <v>0</v>
      </c>
      <c r="V59" s="15">
        <f>IF(ISNA(VLOOKUP(A59,'Données projet'!$A$35:$I$55,4,0)),0,VLOOKUP(A59,'Données projet'!$A$35:$I$55,4,0))</f>
        <v>0</v>
      </c>
      <c r="W59" s="16">
        <f>IF(ISNA(VLOOKUP(A59,'Données projet'!$A$35:$I$55,5,0)),0%,VLOOKUP(A59,'Données projet'!$A$35:$I$55,5,0)*VLOOKUP('Données projet'!$B$9,Paramètres!$A$1:$I$89,7,0))</f>
        <v>0</v>
      </c>
      <c r="X59" s="16">
        <f>IF(ISNA(VLOOKUP(A59,'Données projet'!$A$35:$I$55,6,0)),0%,VLOOKUP(A59,'Données projet'!$A$35:$I$55,6,0)*VLOOKUP('Données projet'!$B$9,Paramètres!$A$1:$I$89,7,0))</f>
        <v>0</v>
      </c>
      <c r="Y59" s="16">
        <f>IF(ISNA(VLOOKUP(A59,'Données projet'!$A$35:$I$55,7,0)),0%,VLOOKUP(A59,'Données projet'!$A$35:$I$55,7,0))</f>
        <v>0</v>
      </c>
      <c r="Z59" s="21">
        <f>EXP(-LN(2)/35)*Z58+(1-EXP(-LN(2)/35))/(LN(2)/35)*V59*W59*VLOOKUP('Données projet'!$B$9,Paramètres!$A$1:$I$89,3,0)*0.475*44/12</f>
        <v>1.8464686473077545</v>
      </c>
      <c r="AA59" s="21">
        <f>EXP(-LN(2)/25)*AA58+(1-EXP(-LN(2)/25))/(LN(2)/25)*Calculateur!V59*Calculateur!X59*VLOOKUP('Données projet'!$B$9,Paramètres!$A$1:$I$89,3,0)*0.475*44/12</f>
        <v>7.7619125025186415</v>
      </c>
      <c r="AB59" s="21">
        <f>EXP(-LN(2)/2)*AB58+(1-EXP(-LN(2)/2))/(LN(2)/2)*V59*Y59*VLOOKUP('Données projet'!$B$9,Paramètres!$A$1:$I$89,3,0)*0.475*44/12</f>
        <v>2.0662256829273267E-4</v>
      </c>
      <c r="AC59" s="22">
        <f t="shared" si="3"/>
        <v>9.6085877723946886</v>
      </c>
      <c r="AD59" s="13">
        <f>('Scénario référence'!$F$8+'Scénario référence'!$F$9+'Scénario référence'!$B$17+'Scénario référence'!$B$9+'Scénario référence'!$B$10)*70+IF((45+25*(1-EXP(-0.0175*A59)))&lt;70,'Scénario référence'!$B$16*(45+25*(1-EXP(-0.0175*A59))),70*'Scénario référence'!$B$16)+IF((32+38*(1-EXP(-0.0175*A59)))&lt;70,'Scénario référence'!$B$18*(32+38*(1-EXP(-0.0175*A59))),70*'Scénario référence'!$B$18)</f>
        <v>70</v>
      </c>
      <c r="AE59" s="13">
        <f>IF(A59&gt;30,10,('Scénario référence'!$B$16+'Scénario référence'!$B$17+'Scénario référence'!$B$18+'Scénario référence'!$B$9+'Scénario référence'!$B$10)*A59*10/30+('Scénario référence'!$F$8+'Scénario référence'!$F$9)*10)</f>
        <v>10</v>
      </c>
      <c r="AF59" s="12" t="e">
        <f>VLOOKUP(A59,'Données projet'!$A$61:$I$81,2,0)</f>
        <v>#N/A</v>
      </c>
      <c r="AG59" s="12" t="e">
        <f>VLOOKUP(A59,'Données projet'!$A$61:$I$81,9,0)</f>
        <v>#N/A</v>
      </c>
      <c r="AH59" s="12">
        <f t="array" ref="AH59">INDEX(AG:AG,MIN(IF(ISNUMBER(AG59:AG255),ROW(AG59:AG255),"")))</f>
        <v>10</v>
      </c>
      <c r="AI59" s="13">
        <f>IF('Données projet'!$A$62&gt;35,AI58+AH59-AQ58,IF(A59&lt;'Données projet'!$A$62,$AF$205^A59,IF(A59='Données projet'!$A$62,'Données projet'!$B$62,AI58+AH59-AQ58)))</f>
        <v>363.99999999999989</v>
      </c>
      <c r="AJ59" s="13">
        <f>AI59*VLOOKUP('Données projet'!$B$10,Paramètres!$A$1:$I$89,3,0)*VLOOKUP('Données projet'!$B$10,Paramètres!$A$1:$I$89,5,0)</f>
        <v>227.13599999999994</v>
      </c>
      <c r="AK59" s="13">
        <f t="shared" si="35"/>
        <v>55.662966886685133</v>
      </c>
      <c r="AL59" s="20">
        <f t="shared" si="4"/>
        <v>492.54153399430987</v>
      </c>
      <c r="AM59" s="59">
        <f t="shared" si="5"/>
        <v>785.87486732764319</v>
      </c>
      <c r="AN59" s="59">
        <f ca="1">AVERAGE(OFFSET($AM$3,0,0,'Données projet'!$E$10+1,1))-AVERAGE(OFFSET($H$3,0,0,'Données projet'!$E$10+1,1))</f>
        <v>261.78489480911571</v>
      </c>
      <c r="AO59" s="59">
        <f t="shared" si="36"/>
        <v>297.50513563712764</v>
      </c>
      <c r="AP59" s="15">
        <f>IF(ISNA(VLOOKUP(A59,'Données projet'!$A$61:$I$81,3,0)),0,VLOOKUP(A59,'Données projet'!$A$61:$I$81,3,0))</f>
        <v>0</v>
      </c>
      <c r="AQ59" s="15">
        <f>IF(ISNA(VLOOKUP(A59,'Données projet'!$A$61:$I$81,4,0)),0,VLOOKUP(A59,'Données projet'!$A$61:$I$81,4,0))</f>
        <v>0</v>
      </c>
      <c r="AR59" s="16">
        <f>IF(ISNA(VLOOKUP(A59,'Données projet'!$A$61:$I$81,5,0)),0%,VLOOKUP(A59,'Données projet'!$A$61:$I$81,5,0)*VLOOKUP('Données projet'!$B$10,Paramètres!$A$1:$I$89,7,0))</f>
        <v>0</v>
      </c>
      <c r="AS59" s="16">
        <f>IF(ISNA(VLOOKUP(A59,'Données projet'!$A$61:$I$81,6,0)),0%,VLOOKUP(A59,'Données projet'!$A$61:$I$81,6,0)*VLOOKUP('Données projet'!$B$10,Paramètres!$A$1:$I$89,7,0))</f>
        <v>0</v>
      </c>
      <c r="AT59" s="16">
        <f>IF(ISNA(VLOOKUP(A59,'Données projet'!$A$61:$I$81,7,0)),0%,VLOOKUP(A59,'Données projet'!$A$61:$I$81,7,0))</f>
        <v>0</v>
      </c>
      <c r="AU59" s="21">
        <f>EXP(-LN(2)/35)*AU58+(1-EXP(-LN(2)/35))/(LN(2)/35)*AQ59*AR59*VLOOKUP('Données projet'!$B$10,Paramètres!$A$1:$I$89,3,0)*0.475*44/12</f>
        <v>4.9859876188828158</v>
      </c>
      <c r="AV59" s="21">
        <f>EXP(-LN(2)/25)*AV58+(1-EXP(-LN(2)/25))/(LN(2)/25)*Calculateur!AQ59*Calculateur!AS59*VLOOKUP('Données projet'!$B$10,Paramètres!$A$1:$I$89,3,0)*0.475*44/12</f>
        <v>13.553882355860331</v>
      </c>
      <c r="AW59" s="21">
        <f>EXP(-LN(2)/2)*AW58+(1-EXP(-LN(2)/2))/(LN(2)/2)*AQ59*AT59*VLOOKUP('Données projet'!$B$10,Paramètres!$A$1:$I$89,3,0)*0.475*44/12</f>
        <v>2.9786610274550635E-3</v>
      </c>
      <c r="AX59" s="21">
        <f t="shared" si="6"/>
        <v>18.542848635770603</v>
      </c>
      <c r="AY59" s="74">
        <f>('Scénario référence'!$F$8+'Scénario référence'!$F$9+'Scénario référence'!$B$17+'Scénario référence'!$B$9+'Scénario référence'!$B$10)*70+IF((45+25*(1-EXP(-0.0175*A59)))&lt;70,'Scénario référence'!$B$16*(45+25*(1-EXP(-0.0175*A59))),70*'Scénario référence'!$B$16)+IF((32+38*(1-EXP(-0.0175*A59)))&lt;70,'Scénario référence'!$B$18*(32+38*(1-EXP(-0.0175*A59))),70*'Scénario référence'!$B$18)</f>
        <v>70</v>
      </c>
      <c r="AZ59" s="12">
        <f>IF(A59&gt;30,10,('Scénario référence'!$B$16+'Scénario référence'!$B$17+'Scénario référence'!$B$18+'Scénario référence'!$B$9+'Scénario référence'!$B$10)*A59*10/30+('Scénario référence'!$F$8+'Scénario référence'!$F$9)*10)</f>
        <v>10</v>
      </c>
      <c r="BA59" s="12" t="e">
        <f>VLOOKUP(A59,'Données projet'!$A$87:$I$107,2,0)</f>
        <v>#N/A</v>
      </c>
      <c r="BB59" s="12" t="e">
        <f>VLOOKUP(A59,'Données projet'!$A$87:$I$107,9,0)</f>
        <v>#N/A</v>
      </c>
      <c r="BC59" s="12">
        <f t="array" ref="BC59">INDEX(BB:BB,MIN(IF(ISNUMBER(BB59:BB255),ROW(BB59:BB255),"")))</f>
        <v>18</v>
      </c>
      <c r="BD59" s="12">
        <f>IF('Données projet'!$A$88&gt;35,BD58+BC59-BL58,IF(A59&lt;'Données projet'!$A$88,$BA$205^A59,IF(A59='Données projet'!$A$88,'Données projet'!$B$88,BD58+BC59-BL58)))</f>
        <v>435.99999999999972</v>
      </c>
      <c r="BE59" s="13">
        <f>BD59*VLOOKUP('Données projet'!$B$11,Paramètres!$A$1:$I$89,3,0)*VLOOKUP('Données projet'!$B$11,Paramètres!$A$1:$I$89,5,0)</f>
        <v>260.72799999999984</v>
      </c>
      <c r="BF59" s="13">
        <f t="shared" si="37"/>
        <v>62.87753287516481</v>
      </c>
      <c r="BG59" s="20">
        <f t="shared" si="7"/>
        <v>563.61296975757841</v>
      </c>
      <c r="BH59" s="59">
        <f t="shared" si="8"/>
        <v>856.94630309091167</v>
      </c>
      <c r="BI59" s="59">
        <f ca="1">AVERAGE(OFFSET($BH$3,0,0,'Données projet'!$E$11+1,1))-AVERAGE(OFFSET($H$3,0,0,'Données projet'!$E$11+1,1))</f>
        <v>316.58509520829671</v>
      </c>
      <c r="BJ59" s="59">
        <f t="shared" si="38"/>
        <v>240.71332110643596</v>
      </c>
      <c r="BK59" s="15">
        <f>IF(ISNA(VLOOKUP(A59,'Données projet'!$A$87:$I$107,3,0)),0,VLOOKUP(A59,'Données projet'!$A$87:$I$107,3,0))</f>
        <v>0</v>
      </c>
      <c r="BL59" s="15">
        <f>IF(ISNA(VLOOKUP(A59,'Données projet'!$A$87:$I$107,4,0)),0,VLOOKUP(A59,'Données projet'!$A$87:$I$107,4,0))</f>
        <v>0</v>
      </c>
      <c r="BM59" s="16">
        <f>IF(ISNA(VLOOKUP(A59,'Données projet'!$A$87:$I$107,5,0)),0%,VLOOKUP(A59,'Données projet'!$A$87:$I$107,5,0)*VLOOKUP('Données projet'!$B$11,Paramètres!$A$1:$I$89,7,0))</f>
        <v>0</v>
      </c>
      <c r="BN59" s="16">
        <f>IF(ISNA(VLOOKUP(A59,'Données projet'!$A$87:$I$107,6,0)),0%,VLOOKUP(A59,'Données projet'!$A$87:$I$107,6,0)*VLOOKUP('Données projet'!$B$11,Paramètres!$A$1:$I$89,7,0))</f>
        <v>0</v>
      </c>
      <c r="BO59" s="16">
        <f>IF(ISNA(VLOOKUP(A59,'Données projet'!$A$87:$I$107,7,0)),0%,VLOOKUP(A59,'Données projet'!$A$87:$I$107,7,0))</f>
        <v>0</v>
      </c>
      <c r="BP59" s="21">
        <f>EXP(-LN(2)/35)*BP58+(1-EXP(-LN(2)/35))/(LN(2)/35)*BL59*BM59*VLOOKUP('Données projet'!$B$11,Paramètres!$A$1:$I$89,3,0)*0.475*44/12</f>
        <v>1.5145308373578201</v>
      </c>
      <c r="BQ59" s="21">
        <f>EXP(-LN(2)/25)*BQ58+(1-EXP(-LN(2)/25))/(LN(2)/25)*Calculateur!BL59*Calculateur!BN59*VLOOKUP('Données projet'!$B$11,Paramètres!$A$1:$I$89,3,0)*0.475*44/12</f>
        <v>7.4252122307577411</v>
      </c>
      <c r="BR59" s="21">
        <f>EXP(-LN(2)/2)*BR58+(1-EXP(-LN(2)/2))/(LN(2)/2)*BL59*BO59*VLOOKUP('Données projet'!$B$11,Paramètres!$A$1:$I$89,3,0)*0.475*44/12</f>
        <v>2.6781424646168004E-3</v>
      </c>
      <c r="BS59" s="22">
        <f t="shared" si="9"/>
        <v>8.9424212105801786</v>
      </c>
      <c r="BT59" s="75">
        <f>('Scénario référence'!$F$8+'Scénario référence'!$F$9+'Scénario référence'!$B$17+'Scénario référence'!$B$9+'Scénario référence'!$B$10)*70+IF((45+25*(1-EXP(-0.0175*A59)))&lt;70,'Scénario référence'!$B$16*(45+25*(1-EXP(-0.0175*A59))),70*'Scénario référence'!$B$16)+IF((32+38*(1-EXP(-0.0175*A59)))&lt;70,'Scénario référence'!$B$18*(32+38*(1-EXP(-0.0175*A59))),70*'Scénario référence'!$B$18)</f>
        <v>70</v>
      </c>
      <c r="BU59" s="12">
        <f>IF(A59&gt;30,10,('Scénario référence'!$B$16+'Scénario référence'!$B$17+'Scénario référence'!$B$18+'Scénario référence'!$B$9+'Scénario référence'!$B$10)*A59*10/30+('Scénario référence'!$F$8+'Scénario référence'!$F$9)*10)</f>
        <v>10</v>
      </c>
      <c r="BV59" s="12" t="e">
        <f>VLOOKUP(A59,'Données projet'!$A$113:$I$133,2,0)</f>
        <v>#N/A</v>
      </c>
      <c r="BW59" s="12" t="e">
        <f>VLOOKUP(A59,'Données projet'!$A$113:$I$133,9,0)</f>
        <v>#N/A</v>
      </c>
      <c r="BX59" s="12">
        <f t="array" ref="BX59">INDEX(BW:BW,MIN(IF(ISNUMBER(BW59:BW255),ROW(BW59:BW255),"")))</f>
        <v>9.5</v>
      </c>
      <c r="BY59" s="12">
        <f>IF('Données projet'!$A$114&gt;35,BY58+BX59-CG58,IF(A59&lt;'Données projet'!$A$114,$BV$205^A59,IF(A59='Données projet'!$A$114,'Données projet'!$B$114,BY58+BX59-CG58)))</f>
        <v>301.99999999999977</v>
      </c>
      <c r="BZ59" s="13">
        <f>BY59*VLOOKUP('Données projet'!$B$12,Paramètres!$A$1:$I$89,3,0)*VLOOKUP('Données projet'!$B$12,Paramètres!$A$1:$I$89,5,0)</f>
        <v>172.74399999999989</v>
      </c>
      <c r="CA59" s="13">
        <f t="shared" si="39"/>
        <v>43.704014410679235</v>
      </c>
      <c r="CB59" s="20">
        <f t="shared" si="10"/>
        <v>376.98029176526614</v>
      </c>
      <c r="CC59" s="59">
        <f t="shared" si="11"/>
        <v>670.31362509859946</v>
      </c>
      <c r="CD59" s="59">
        <f ca="1">AVERAGE(OFFSET($CC$3,0,0,'Données projet'!$E$12+1,1))-AVERAGE(OFFSET($H$3,0,0,'Données projet'!$E$12+1,1))</f>
        <v>188.64374818906128</v>
      </c>
      <c r="CE59" s="59">
        <f t="shared" si="40"/>
        <v>211.95157880548652</v>
      </c>
      <c r="CF59" s="15">
        <f>IF(ISNA(VLOOKUP(A59,'Données projet'!$A$113:$I$133,3,0)),0,VLOOKUP(A59,'Données projet'!$A$113:$I$133,3,0))</f>
        <v>0</v>
      </c>
      <c r="CG59" s="15">
        <f>IF(ISNA(VLOOKUP(A59,'Données projet'!$A$113:$I$133,4,0)),0,VLOOKUP(A59,'Données projet'!$A$113:$I$133,4,0))</f>
        <v>0</v>
      </c>
      <c r="CH59" s="16">
        <f>IF(ISNA(VLOOKUP(A59,'Données projet'!$A$113:$I$133,5,0)),0%,VLOOKUP(A59,'Données projet'!$A$113:$I$133,5,0)*VLOOKUP('Données projet'!$B$12,Paramètres!$A$1:$I$89,7,0))</f>
        <v>0</v>
      </c>
      <c r="CI59" s="16">
        <f>IF(ISNA(VLOOKUP(A59,'Données projet'!$A$113:$I$133,6,0)),0%,VLOOKUP(A59,'Données projet'!$A$113:$I$133,6,0)*VLOOKUP('Données projet'!$B$12,Paramètres!$A$1:$I$89,7,0))</f>
        <v>0</v>
      </c>
      <c r="CJ59" s="16">
        <f>IF(ISNA(VLOOKUP(A59,'Données projet'!$A$113:$I$133,7,0)),0%,VLOOKUP(A59,'Données projet'!$A$113:$I$133,7,0))</f>
        <v>0</v>
      </c>
      <c r="CK59" s="21">
        <f>EXP(-LN(2)/35)*CK58+(1-EXP(-LN(2)/35))/(LN(2)/35)*CG59*CH59*VLOOKUP('Données projet'!$B$12,Paramètres!$A$1:$I$89,3,0)*0.475*44/12</f>
        <v>1.4690856377065444</v>
      </c>
      <c r="CL59" s="21">
        <f>EXP(-LN(2)/25)*CL58+(1-EXP(-LN(2)/25))/(LN(2)/25)*Calculateur!CG59*Calculateur!CI59*VLOOKUP('Données projet'!$B$12,Paramètres!$A$1:$I$89,3,0)*0.475*44/12</f>
        <v>6.9887778714826982</v>
      </c>
      <c r="CM59" s="21">
        <f>EXP(-LN(2)/2)*CM58+(1-EXP(-LN(2)/2))/(LN(2)/2)*CG59*CJ59*VLOOKUP('Données projet'!$B$12,Paramètres!$A$1:$I$89,3,0)*0.475*44/12</f>
        <v>2.5935714360029588E-3</v>
      </c>
      <c r="CN59" s="22">
        <f t="shared" si="12"/>
        <v>8.4604570806252468</v>
      </c>
      <c r="CO59" s="75">
        <f>('Scénario référence'!$F$8+'Scénario référence'!$F$9+'Scénario référence'!$B$17+'Scénario référence'!$B$9+'Scénario référence'!$B$10)*70+IF((45+25*(1-EXP(-0.0175*A59)))&lt;70,'Scénario référence'!$B$16*(45+25*(1-EXP(-0.0175*A59))),70*'Scénario référence'!$B$16)+IF((32+38*(1-EXP(-0.0175*A59)))&lt;70,'Scénario référence'!$B$18*(32+38*(1-EXP(-0.0175*A59))),70*'Scénario référence'!$B$18)</f>
        <v>70</v>
      </c>
      <c r="CP59" s="12">
        <f>IF(A59&gt;30,10,('Scénario référence'!$B$16+'Scénario référence'!$B$17+'Scénario référence'!$B$18+'Scénario référence'!$B$9+'Scénario référence'!$B$10)*A59*10/30+('Scénario référence'!$F$8+'Scénario référence'!$F$9)*10)</f>
        <v>10</v>
      </c>
      <c r="CQ59" s="12" t="e">
        <f>VLOOKUP(A59,'Données projet'!$A$139:$I$159,2,0)</f>
        <v>#N/A</v>
      </c>
      <c r="CR59" s="12" t="e">
        <f>VLOOKUP(A59,'Données projet'!$A$139:$I$159,9,0)</f>
        <v>#N/A</v>
      </c>
      <c r="CS59" s="12">
        <f t="array" ref="CS59">INDEX(CR:CR,MIN(IF(ISNUMBER(CR59:CR255),ROW(CR59:CR255),"")))</f>
        <v>0</v>
      </c>
      <c r="CT59" s="12">
        <f>IF('Données projet'!$A$140&gt;35,CT58+CS59-DB58,IF(A59&lt;'Données projet'!$A$140,$CQ$205^A59,IF(A59='Données projet'!$A$140,'Données projet'!$B$140,CT58+CS59-DB58)))</f>
        <v>0</v>
      </c>
      <c r="CU59" s="17" t="e">
        <f>CT59*VLOOKUP('Données projet'!$B$13,Paramètres!$A$1:$I$89,3,0)*VLOOKUP('Données projet'!$B$13,Paramètres!$A$1:$I$89,5,0)</f>
        <v>#N/A</v>
      </c>
      <c r="CV59" s="13" t="e">
        <f t="shared" si="41"/>
        <v>#N/A</v>
      </c>
      <c r="CW59" s="20" t="e">
        <f t="shared" si="13"/>
        <v>#N/A</v>
      </c>
      <c r="CX59" s="59" t="e">
        <f t="shared" si="14"/>
        <v>#N/A</v>
      </c>
      <c r="CY59" s="59" t="e">
        <f ca="1">AVERAGE(OFFSET($CX$3,0,0,'Données projet'!$E$13+1,1))-AVERAGE(OFFSET($H$3,0,0,'Données projet'!$E$13+1,1))</f>
        <v>#N/A</v>
      </c>
      <c r="CZ59" s="59" t="e">
        <f t="shared" si="42"/>
        <v>#N/A</v>
      </c>
      <c r="DA59" s="15">
        <f>IF(ISNA(VLOOKUP(A59,'Données projet'!$A$139:$I$159,3,0)),0,VLOOKUP(A59,'Données projet'!$A$139:$I$159,3,0))</f>
        <v>0</v>
      </c>
      <c r="DB59" s="15">
        <f>IF(ISNA(VLOOKUP(A59,'Données projet'!$A$139:$I$159,4,0)),0,VLOOKUP(A59,'Données projet'!$A$139:$I$159,4,0))</f>
        <v>0</v>
      </c>
      <c r="DC59" s="16">
        <f>IF(ISNA(VLOOKUP(A59,'Données projet'!$A$139:$I$159,5,0)),0%,VLOOKUP(A59,'Données projet'!$A$139:$I$159,5,0)*VLOOKUP('Données projet'!$B$13,Paramètres!$A$1:$I$89,7,0))</f>
        <v>0</v>
      </c>
      <c r="DD59" s="16">
        <f>IF(ISNA(VLOOKUP(A59,'Données projet'!$A$139:$I$159,6,0)),0%,VLOOKUP(A59,'Données projet'!$A$139:$I$159,6,0)*VLOOKUP('Données projet'!$B$13,Paramètres!$A$1:$I$89,7,0))</f>
        <v>0</v>
      </c>
      <c r="DE59" s="16">
        <f>IF(ISNA(VLOOKUP(A59,'Données projet'!$A$139:$I$159,7,0)),0%,VLOOKUP(A59,'Données projet'!$A$139:$I$159,7,0))</f>
        <v>0</v>
      </c>
      <c r="DF59" s="21" t="e">
        <f>EXP(-LN(2)/35)*DF58+(1-EXP(-LN(2)/35))/(LN(2)/35)*DB59*DC59*VLOOKUP('Données projet'!$B$13,Paramètres!$A$1:$I$89,3,0)*0.475*44/12</f>
        <v>#N/A</v>
      </c>
      <c r="DG59" s="21" t="e">
        <f>EXP(-LN(2)/25)*DG58+(1-EXP(-LN(2)/25))/(LN(2)/25)*Calculateur!DB59*Calculateur!DD59*VLOOKUP('Données projet'!$B$13,Paramètres!$A$1:$I$89,3,0)*0.475*44/12</f>
        <v>#N/A</v>
      </c>
      <c r="DH59" s="21" t="e">
        <f>EXP(-LN(2)/2)*DH58+(1-EXP(-LN(2)/2))/(LN(2)/2)*DB59*DE59*VLOOKUP('Données projet'!$B$13,Paramètres!$A$1:$I$89,3,0)*0.475*44/12</f>
        <v>#N/A</v>
      </c>
      <c r="DI59" s="22" t="e">
        <f t="shared" si="15"/>
        <v>#N/A</v>
      </c>
      <c r="DJ59" s="75">
        <f>('Scénario référence'!$F$8+'Scénario référence'!$F$9+'Scénario référence'!$B$17+'Scénario référence'!$B$9+'Scénario référence'!$B$10)*70+IF((45+25*(1-EXP(-0.0175*A59)))&lt;70,'Scénario référence'!$B$16*(45+25*(1-EXP(-0.0175*A59))),70*'Scénario référence'!$B$16)+IF((32+38*(1-EXP(-0.0175*A59)))&lt;70,'Scénario référence'!$B$18*(32+38*(1-EXP(-0.0175*A59))),70*'Scénario référence'!$B$18)</f>
        <v>70</v>
      </c>
      <c r="DK59" s="12">
        <f>IF(A59&gt;30,10,('Scénario référence'!$B$16+'Scénario référence'!$B$17+'Scénario référence'!$B$18+'Scénario référence'!$B$9+'Scénario référence'!$B$10)*A59*10/30+('Scénario référence'!$F$8+'Scénario référence'!$F$9)*10)</f>
        <v>10</v>
      </c>
      <c r="DL59" s="12" t="e">
        <f>VLOOKUP(A59,'Données projet'!$A$165:$I$185,2,0)</f>
        <v>#N/A</v>
      </c>
      <c r="DM59" s="12" t="e">
        <f>VLOOKUP(A59,'Données projet'!$A$165:$I$185,9,0)</f>
        <v>#N/A</v>
      </c>
      <c r="DN59" s="12">
        <f t="array" ref="DN59">INDEX(DM:DM,MIN(IF(ISNUMBER(DM59:DM255),ROW(DM59:DM255),"")))</f>
        <v>6.6</v>
      </c>
      <c r="DO59" s="12">
        <f>IF('Données projet'!$A$166&gt;35,DO58+DN59-DW58,IF(A59&lt;'Données projet'!$A$166,$DL$205^A59,IF(A59='Données projet'!$A$166,'Données projet'!$B$166,DO58+DN59-DW58)))</f>
        <v>258.60000000000002</v>
      </c>
      <c r="DP59" s="17">
        <f>DO59*VLOOKUP('Données projet'!$B$14,Paramètres!$A$1:$I$89,3,0)*VLOOKUP('Données projet'!$B$14,Paramètres!$A$1:$I$89,5,0)</f>
        <v>169.43472000000003</v>
      </c>
      <c r="DQ59" s="13">
        <f t="shared" si="43"/>
        <v>42.963395138288874</v>
      </c>
      <c r="DR59" s="20">
        <f t="shared" si="16"/>
        <v>369.9267171991865</v>
      </c>
      <c r="DS59" s="59">
        <f t="shared" si="17"/>
        <v>663.26005053251981</v>
      </c>
      <c r="DT59" s="59">
        <f ca="1">AVERAGE(OFFSET($DS$3,0,0,'Données projet'!$E$14+1,1))-AVERAGE(OFFSET($H$3,0,0,'Données projet'!$E$14+1,1))</f>
        <v>188.68915783955595</v>
      </c>
      <c r="DU59" s="59">
        <f t="shared" si="44"/>
        <v>240.82467772396944</v>
      </c>
      <c r="DV59" s="15">
        <f>IF(ISNA(VLOOKUP(A59,'Données projet'!$A$165:$I$185,3,0)),0,VLOOKUP(A59,'Données projet'!$A$165:$I$185,3,0))</f>
        <v>0</v>
      </c>
      <c r="DW59" s="15">
        <f>IF(ISNA(VLOOKUP(A59,'Données projet'!$A$165:$I$185,4,0)),0,VLOOKUP(A59,'Données projet'!$A$165:$I$185,4,0))</f>
        <v>0</v>
      </c>
      <c r="DX59" s="16">
        <f>IF(ISNA(VLOOKUP(A59,'Données projet'!$A$165:$I$185,5,0)),0%,VLOOKUP(A59,'Données projet'!$A$165:$I$185,5,0)*VLOOKUP('Données projet'!$B$14,Paramètres!$A$1:$I$89,7,0))</f>
        <v>0</v>
      </c>
      <c r="DY59" s="16">
        <f>IF(ISNA(VLOOKUP(A59,'Données projet'!$A$165:$I$185,6,0)),0%,VLOOKUP(A59,'Données projet'!$A$165:$I$185,6,0)*VLOOKUP('Données projet'!$B$14,Paramètres!$A$1:$I$89,7,0))</f>
        <v>0</v>
      </c>
      <c r="DZ59" s="16">
        <f>IF(ISNA(VLOOKUP(A59,'Données projet'!$A$165:$I$185,7,0)),0%,VLOOKUP(A59,'Données projet'!$A$165:$I$185,7,0))</f>
        <v>0</v>
      </c>
      <c r="EA59" s="21">
        <f>EXP(-LN(2)/35)*EA58+(1-EXP(-LN(2)/35))/(LN(2)/35)*DW59*DX59*VLOOKUP('Données projet'!$B$14,Paramètres!$A$1:$I$89,3,0)*0.475*44/12</f>
        <v>0.93054456428802557</v>
      </c>
      <c r="EB59" s="21">
        <f>EXP(-LN(2)/25)*EB58+(1-EXP(-LN(2)/25))/(LN(2)/25)*Calculateur!DW59*Calculateur!DY59*VLOOKUP('Données projet'!$B$14,Paramètres!$A$1:$I$89,3,0)*0.475*44/12</f>
        <v>3.9091144552053532</v>
      </c>
      <c r="EC59" s="21">
        <f>EXP(-LN(2)/2)*EC58+(1-EXP(-LN(2)/2))/(LN(2)/2)*DW59*DZ59*VLOOKUP('Données projet'!$B$14,Paramètres!$A$1:$I$89,3,0)*0.475*44/12</f>
        <v>1.7085458967537948E-3</v>
      </c>
      <c r="ED59" s="22">
        <f t="shared" si="18"/>
        <v>4.841367565390132</v>
      </c>
      <c r="EE59" s="75">
        <f>('Scénario référence'!$F$8+'Scénario référence'!$F$9+'Scénario référence'!$B$17+'Scénario référence'!$B$9+'Scénario référence'!$B$10)*70+IF((45+25*(1-EXP(-0.0175*A59)))&lt;70,'Scénario référence'!$B$16*(45+25*(1-EXP(-0.0175*A59))),70*'Scénario référence'!$B$16)+IF((32+38*(1-EXP(-0.0175*A59)))&lt;70,'Scénario référence'!$B$18*(32+38*(1-EXP(-0.0175*A59))),70*'Scénario référence'!$B$18)</f>
        <v>70</v>
      </c>
      <c r="EF59" s="12">
        <f>IF(A59&gt;30,10,('Scénario référence'!$B$16+'Scénario référence'!$B$17+'Scénario référence'!$B$18+'Scénario référence'!$B$9+'Scénario référence'!$B$10)*A59*10/30+('Scénario référence'!$F$8+'Scénario référence'!$F$9)*10)</f>
        <v>10</v>
      </c>
      <c r="EG59" s="12" t="e">
        <f>VLOOKUP(A59,'Données projet'!$A$191:$I$211,2,0)</f>
        <v>#N/A</v>
      </c>
      <c r="EH59" s="12" t="e">
        <f>VLOOKUP(A59,'Données projet'!$A$191:$I$211,9,0)</f>
        <v>#N/A</v>
      </c>
      <c r="EI59" s="12">
        <f t="array" ref="EI59">INDEX(EH:EH,MIN(IF(ISNUMBER(EH59:EH255),ROW(EH59:EH255),"")))</f>
        <v>6.4</v>
      </c>
      <c r="EJ59" s="12">
        <f>IF('Données projet'!$A$192&gt;35,EJ58+EI59-ER58,IF(A59&lt;'Données projet'!$A$192,$EG$205^A59,IF(A59='Données projet'!$A$192,'Données projet'!$B$192,EJ58+EI59-ER58)))</f>
        <v>224.39999999999995</v>
      </c>
      <c r="EK59" s="17">
        <f>EJ59*VLOOKUP('Données projet'!$B$15,Paramètres!$A$1:$I$89,3,0)*VLOOKUP('Données projet'!$B$15,Paramètres!$A$1:$I$89,5,0)</f>
        <v>182.03327999999996</v>
      </c>
      <c r="EL59" s="13">
        <f t="shared" si="45"/>
        <v>45.774257349740239</v>
      </c>
      <c r="EM59" s="20">
        <f t="shared" si="19"/>
        <v>396.76479421746416</v>
      </c>
      <c r="EN59" s="59">
        <f t="shared" si="20"/>
        <v>690.09812755079747</v>
      </c>
      <c r="EO59" s="59">
        <f ca="1">AVERAGE(OFFSET($EN$3,0,0,'Données projet'!$E$15+1,1))-AVERAGE(OFFSET($H$3,0,0,'Données projet'!$E$15+1,1))</f>
        <v>205.5272583787887</v>
      </c>
      <c r="EP59" s="59">
        <f t="shared" si="46"/>
        <v>180.54762778843178</v>
      </c>
      <c r="EQ59" s="15">
        <f>IF(ISNA(VLOOKUP(A59,'Données projet'!$A$191:$I$211,3,0)),0,VLOOKUP(A59,'Données projet'!$A$191:$I$211,3,0))</f>
        <v>0</v>
      </c>
      <c r="ER59" s="15">
        <f>IF(ISNA(VLOOKUP(A59,'Données projet'!$A$191:$I$211,4,0)),0,VLOOKUP(A59,'Données projet'!$A$191:$I$211,4,0))</f>
        <v>0</v>
      </c>
      <c r="ES59" s="16">
        <f>IF(ISNA(VLOOKUP(A59,'Données projet'!$A$191:$I$211,5,0)),0%,VLOOKUP(A59,'Données projet'!$A$191:$I$211,5,0)*VLOOKUP('Données projet'!$B$15,Paramètres!$A$1:$I$89,7,0))</f>
        <v>0</v>
      </c>
      <c r="ET59" s="16">
        <f>IF(ISNA(VLOOKUP(A59,'Données projet'!$A$191:$I$211,6,0)),0%,VLOOKUP(A59,'Données projet'!$A$191:$I$211,6,0)*VLOOKUP('Données projet'!$B$15,Paramètres!$A$1:$I$89,7,0))</f>
        <v>0</v>
      </c>
      <c r="EU59" s="16">
        <f>IF(ISNA(VLOOKUP(A59,'Données projet'!$A$191:$I$211,7,0)),0%,VLOOKUP(A59,'Données projet'!$A$191:$I$211,7,0))</f>
        <v>0</v>
      </c>
      <c r="EV59" s="21">
        <f>EXP(-LN(2)/35)*EV58+(1-EXP(-LN(2)/35))/(LN(2)/35)*ER59*ES59*VLOOKUP('Données projet'!$B$15,Paramètres!$A$1:$I$89,3,0)*0.475*44/12</f>
        <v>0.59909345281781456</v>
      </c>
      <c r="EW59" s="21">
        <f>EXP(-LN(2)/25)*EW58+(1-EXP(-LN(2)/25))/(LN(2)/25)*Calculateur!ER59*Calculateur!ET59*VLOOKUP('Données projet'!$B$15,Paramètres!$A$1:$I$89,3,0)*0.475*44/12</f>
        <v>2.8224992234170867</v>
      </c>
      <c r="EX59" s="21">
        <f>EXP(-LN(2)/2)*EX58+(1-EXP(-LN(2)/2))/(LN(2)/2)*ER59*EU59*VLOOKUP('Données projet'!$B$15,Paramètres!$A$1:$I$89,3,0)*0.475*44/12</f>
        <v>1.1062847314916922E-3</v>
      </c>
      <c r="EY59" s="22">
        <f t="shared" si="21"/>
        <v>3.4226989609663931</v>
      </c>
      <c r="EZ59" s="75">
        <f>('Scénario référence'!$F$8+'Scénario référence'!$F$9+'Scénario référence'!$B$17+'Scénario référence'!$B$9+'Scénario référence'!$B$10)*70+IF((45+25*(1-EXP(-0.0175*A59)))&lt;70,'Scénario référence'!$B$16*(45+25*(1-EXP(-0.0175*A59))),70*'Scénario référence'!$B$16)+IF((32+38*(1-EXP(-0.0175*A59)))&lt;70,'Scénario référence'!$B$18*(32+38*(1-EXP(-0.0175*A59))),70*'Scénario référence'!$B$18)</f>
        <v>70</v>
      </c>
      <c r="FA59" s="12">
        <f>IF(A59&gt;30,10,('Scénario référence'!$B$16+'Scénario référence'!$B$17+'Scénario référence'!$B$18+'Scénario référence'!$B$9+'Scénario référence'!$B$10)*A59*10/30+('Scénario référence'!$F$8+'Scénario référence'!$F$9)*10)</f>
        <v>10</v>
      </c>
      <c r="FB59" s="12" t="e">
        <f>VLOOKUP(A59,'Données projet'!$A$217:$I$237,2,0)</f>
        <v>#N/A</v>
      </c>
      <c r="FC59" s="12" t="e">
        <f>VLOOKUP(A59,'Données projet'!$A$217:$I$237,9,0)</f>
        <v>#N/A</v>
      </c>
      <c r="FD59" s="12">
        <f t="array" ref="FD59">INDEX(FC:FC,MIN(IF(ISNUMBER(FC59:FC255),ROW(FC59:FC255),"")))</f>
        <v>13.4</v>
      </c>
      <c r="FE59" s="12">
        <f>IF('Données projet'!$A$218&gt;35,FE58+FD59-FM58,IF(A59&lt;'Données projet'!$A$218,$FB$205^A59,IF(A59='Données projet'!$A$218,'Données projet'!$B$218,FE58+FD59-FM58)))</f>
        <v>279.40000000000003</v>
      </c>
      <c r="FF59" s="17">
        <f>FE59*VLOOKUP('Données projet'!$B$16,Paramètres!$A$1:$I$89,3,0)*VLOOKUP('Données projet'!$B$16,Paramètres!$A$1:$I$89,5,0)</f>
        <v>239.72520000000009</v>
      </c>
      <c r="FG59" s="13">
        <f t="shared" si="47"/>
        <v>58.380401981874698</v>
      </c>
      <c r="FH59" s="20">
        <f t="shared" si="22"/>
        <v>519.20059011843182</v>
      </c>
      <c r="FI59" s="59">
        <f t="shared" si="23"/>
        <v>812.53392345176508</v>
      </c>
      <c r="FJ59" s="59">
        <f ca="1">AVERAGE(OFFSET($FI$3,0,0,'Données projet'!$E$16+1,1))-AVERAGE(OFFSET($H$3,0,0,'Données projet'!$E$16+1,1))</f>
        <v>383.97627237444709</v>
      </c>
      <c r="FK59" s="59">
        <f t="shared" si="48"/>
        <v>203.35476578922339</v>
      </c>
      <c r="FL59" s="15">
        <f>IF(ISNA(VLOOKUP(A59,'Données projet'!$A$217:$I$237,3,0)),0,VLOOKUP(A59,'Données projet'!$A$217:$I$237,3,0))</f>
        <v>0</v>
      </c>
      <c r="FM59" s="15">
        <f>IF(ISNA(VLOOKUP(A59,'Données projet'!$A$217:$I$237,4,0)),0,VLOOKUP(A59,'Données projet'!$A$217:$I$237,4,0))</f>
        <v>0</v>
      </c>
      <c r="FN59" s="16">
        <f>IF(ISNA(VLOOKUP(A59,'Données projet'!$A$217:$I$237,5,0)),0%,VLOOKUP(A59,'Données projet'!$A$217:$I$237,5,0)*VLOOKUP('Données projet'!$B$16,Paramètres!$A$1:$I$89,7,0))</f>
        <v>0</v>
      </c>
      <c r="FO59" s="16">
        <f>IF(ISNA(VLOOKUP(A59,'Données projet'!$A$217:$I$237,6,0)),0%,VLOOKUP(A59,'Données projet'!$A$217:$I$237,6,0)*VLOOKUP('Données projet'!$B$16,Paramètres!$A$1:$I$89,7,0))</f>
        <v>0</v>
      </c>
      <c r="FP59" s="16">
        <f>IF(ISNA(VLOOKUP(A59,'Données projet'!$A$217:$I$237,7,0)),0%,VLOOKUP(A59,'Données projet'!$A$217:$I$237,7,0))</f>
        <v>0</v>
      </c>
      <c r="FQ59" s="21">
        <f>EXP(-LN(2)/35)*FQ58+(1-EXP(-LN(2)/35))/(LN(2)/35)*FM59*FN59*VLOOKUP('Données projet'!$B$16,Paramètres!$A$1:$I$89,3,0)*0.475*44/12</f>
        <v>3.0790153267132747</v>
      </c>
      <c r="FR59" s="21">
        <f>EXP(-LN(2)/25)*FR58+(1-EXP(-LN(2)/25))/(LN(2)/25)*Calculateur!FM59*Calculateur!FO59*VLOOKUP('Données projet'!$B$16,Paramètres!$A$1:$I$89,3,0)*0.475*44/12</f>
        <v>2.8651284447885419</v>
      </c>
      <c r="FS59" s="21">
        <f>EXP(-LN(2)/2)*FS58+(1-EXP(-LN(2)/2))/(LN(2)/2)*FM59*FP59*VLOOKUP('Données projet'!$B$16,Paramètres!$A$1:$I$89,3,0)*0.475*44/12</f>
        <v>2.0320180092516958E-3</v>
      </c>
      <c r="FT59" s="22">
        <f t="shared" si="24"/>
        <v>5.9461757895110683</v>
      </c>
      <c r="FU59" s="75">
        <f>('Scénario référence'!$F$8+'Scénario référence'!$F$9+'Scénario référence'!$B$17+'Scénario référence'!$B$9+'Scénario référence'!$B$10)*70+IF((45+25*(1-EXP(-0.0175*A59)))&lt;70,'Scénario référence'!$B$16*(45+25*(1-EXP(-0.0175*A59))),70*'Scénario référence'!$B$16)+IF((32+38*(1-EXP(-0.0175*A59)))&lt;70,'Scénario référence'!$B$18*(32+38*(1-EXP(-0.0175*A59))),70*'Scénario référence'!$B$18)</f>
        <v>70</v>
      </c>
      <c r="FV59" s="12">
        <f>IF(A59&gt;30,10,('Scénario référence'!$B$16+'Scénario référence'!$B$17+'Scénario référence'!$B$18+'Scénario référence'!$B$9+'Scénario référence'!$B$10)*A59*10/30+('Scénario référence'!$F$8+'Scénario référence'!$F$9)*10)</f>
        <v>10</v>
      </c>
      <c r="FW59" s="12" t="e">
        <f>VLOOKUP(A59,'Données projet'!$A$243:$I$263,2,0)</f>
        <v>#N/A</v>
      </c>
      <c r="FX59" s="12" t="e">
        <f>VLOOKUP(A59,'Données projet'!$A$243:$I$263,9,0)</f>
        <v>#N/A</v>
      </c>
      <c r="FY59" s="12">
        <f t="array" ref="FY59">INDEX(FX:FX,MIN(IF(ISNUMBER(FX59:FX255),ROW(FX59:FX255),"")))</f>
        <v>8.374198717948719</v>
      </c>
      <c r="FZ59" s="12">
        <f>IF('Données projet'!$A$244&gt;35,FZ58+FY59-GH58,IF(A59&lt;'Données projet'!$A$244,$FW$205^A59,IF(A59='Données projet'!$A$244,'Données projet'!$B$244,FZ58+FY59-GH58)))</f>
        <v>161.6690705128205</v>
      </c>
      <c r="GA59" s="17">
        <f>FZ59*VLOOKUP('Données projet'!$B$17,Paramètres!$A$1:$I$89,3,0)*VLOOKUP('Données projet'!$B$17,Paramètres!$A$1:$I$89,5,0)</f>
        <v>174.02058749999998</v>
      </c>
      <c r="GB59" s="13">
        <f t="shared" si="49"/>
        <v>43.989272740405184</v>
      </c>
      <c r="GC59" s="20">
        <f t="shared" si="25"/>
        <v>379.7005065853723</v>
      </c>
      <c r="GD59" s="59">
        <f t="shared" si="26"/>
        <v>673.03383991870555</v>
      </c>
      <c r="GE59" s="59">
        <f ca="1">AVERAGE(OFFSET($GD$3,0,0,'Données projet'!$E$17+1,1))-AVERAGE(OFFSET($H$3,0,0,'Données projet'!$E$17+1,1))</f>
        <v>286.77702855541287</v>
      </c>
      <c r="GF59" s="59">
        <f t="shared" si="50"/>
        <v>227.12211541860779</v>
      </c>
      <c r="GG59" s="15">
        <f>IF(ISNA(VLOOKUP(A59,'Données projet'!$A$243:$I$263,3,0)),0,VLOOKUP(A59,'Données projet'!$A$243:$I$263,3,0))</f>
        <v>0</v>
      </c>
      <c r="GH59" s="15">
        <f>IF(ISNA(VLOOKUP(A59,'Données projet'!$A$243:$I$263,4,0)),0,VLOOKUP(A59,'Données projet'!$A$243:$I$263,4,0))</f>
        <v>0</v>
      </c>
      <c r="GI59" s="16">
        <f>IF(ISNA(VLOOKUP(A59,'Données projet'!$A$243:$I$263,5,0)),0%,VLOOKUP(A59,'Données projet'!$A$243:$I$263,5,0)*VLOOKUP('Données projet'!$B$17,Paramètres!$A$1:$I$89,7,0))</f>
        <v>0</v>
      </c>
      <c r="GJ59" s="16">
        <f>IF(ISNA(VLOOKUP(A59,'Données projet'!$A$243:$I$263,6,0)),0%,VLOOKUP(A59,'Données projet'!$A$243:$I$263,6,0)*VLOOKUP('Données projet'!$B$17,Paramètres!$A$1:$I$89,7,0))</f>
        <v>0</v>
      </c>
      <c r="GK59" s="16">
        <f>IF(ISNA(VLOOKUP(A59,'Données projet'!$A$243:$I$263,7,0)),0%,VLOOKUP(A59,'Données projet'!$A$243:$I$263,7,0))</f>
        <v>0</v>
      </c>
      <c r="GL59" s="21">
        <f>EXP(-LN(2)/35)*GL58+(1-EXP(-LN(2)/35))/(LN(2)/35)*GH59*GI59*VLOOKUP('Données projet'!$B$17,Paramètres!$A$1:$I$89,3,0)*0.475*44/12</f>
        <v>0</v>
      </c>
      <c r="GM59" s="21">
        <f>EXP(-LN(2)/25)*GM58+(1-EXP(-LN(2)/25))/(LN(2)/25)*Calculateur!GH59*Calculateur!GJ59*VLOOKUP('Données projet'!$B$17,Paramètres!$A$1:$I$89,3,0)*0.475*44/12</f>
        <v>0</v>
      </c>
      <c r="GN59" s="21">
        <f>EXP(-LN(2)/2)*GN58+(1-EXP(-LN(2)/2))/(LN(2)/2)*GH59*GK59*VLOOKUP('Données projet'!$B$17,Paramètres!$A$1:$I$89,3,0)*0.475*44/12</f>
        <v>0</v>
      </c>
      <c r="GO59" s="21">
        <f t="shared" si="27"/>
        <v>0</v>
      </c>
      <c r="GP59" s="75">
        <f>('Scénario référence'!$F$8+'Scénario référence'!$F$9+'Scénario référence'!$B$17+'Scénario référence'!$B$9+'Scénario référence'!$B$10)*70+IF((45+25*(1-EXP(-0.0175*A59)))&lt;70,'Scénario référence'!$B$16*(45+25*(1-EXP(-0.0175*A59))),70*'Scénario référence'!$B$16)+IF((32+38*(1-EXP(-0.0175*A59)))&lt;70,'Scénario référence'!$B$18*(32+38*(1-EXP(-0.0175*A59))),70*'Scénario référence'!$B$18)</f>
        <v>70</v>
      </c>
      <c r="GQ59" s="12">
        <f>IF(A59&gt;30,10,('Scénario référence'!$B$16+'Scénario référence'!$B$17+'Scénario référence'!$B$18+'Scénario référence'!$B$9+'Scénario référence'!$B$10)*A59*10/30+('Scénario référence'!$F$8+'Scénario référence'!$F$9)*10)</f>
        <v>10</v>
      </c>
      <c r="GR59" s="12" t="e">
        <f>VLOOKUP(A59,'Données projet'!$A$269:$I$289,2,0)</f>
        <v>#N/A</v>
      </c>
      <c r="GS59" s="12" t="e">
        <f>VLOOKUP(A59,'Données projet'!$A$269:$I$289,9,0)</f>
        <v>#N/A</v>
      </c>
      <c r="GT59" s="12">
        <f t="array" ref="GT59">INDEX(GS:GS,MIN(IF(ISNUMBER(GS59:GS255),ROW(GS59:GS255),"")))</f>
        <v>8.374198717948719</v>
      </c>
      <c r="GU59" s="12">
        <f>IF('Données projet'!$A$270&gt;35,GU58+GT59-HC58,IF(A59&lt;'Données projet'!$A$270,$GR$205^A59,IF(A59='Données projet'!$A$270,'Données projet'!$B$270,GU58+GT59-HC58)))</f>
        <v>161.6690705128205</v>
      </c>
      <c r="GV59" s="17">
        <f>GU59*VLOOKUP('Données projet'!$B$18,Paramètres!$A$1:$I$89,3,0)*VLOOKUP('Données projet'!$B$18,Paramètres!$A$1:$I$89,5,0)</f>
        <v>174.02058749999998</v>
      </c>
      <c r="GW59" s="13">
        <f t="shared" si="51"/>
        <v>43.989272740405184</v>
      </c>
      <c r="GX59" s="20">
        <f t="shared" si="28"/>
        <v>379.7005065853723</v>
      </c>
      <c r="GY59" s="59">
        <f t="shared" si="29"/>
        <v>673.03383991870555</v>
      </c>
      <c r="GZ59" s="59">
        <f ca="1">AVERAGE(OFFSET($GY$3,0,0,'Données projet'!$E$18+1,1))-AVERAGE(OFFSET($H$3,0,0,'Données projet'!$E$18+1,1))</f>
        <v>286.77702855541287</v>
      </c>
      <c r="HA59" s="59">
        <f t="shared" si="52"/>
        <v>227.12211541860779</v>
      </c>
      <c r="HB59" s="15">
        <f>IF(ISNA(VLOOKUP(A59,'Données projet'!$A$269:$I$289,3,0)),0,VLOOKUP(A59,'Données projet'!$A$269:$I$289,3,0))</f>
        <v>0</v>
      </c>
      <c r="HC59" s="15">
        <f>IF(ISNA(VLOOKUP(A59,'Données projet'!$A$269:$I$289,4,0)),0,VLOOKUP(A59,'Données projet'!$A$269:$I$289,4,0))</f>
        <v>0</v>
      </c>
      <c r="HD59" s="16">
        <f>IF(ISNA(VLOOKUP(A59,'Données projet'!$A$269:$I$289,5,0)),0%,VLOOKUP(A59,'Données projet'!$A$269:$I$289,5,0)*VLOOKUP('Données projet'!$B$18,Paramètres!$A$1:$I$89,7,0))</f>
        <v>0</v>
      </c>
      <c r="HE59" s="16">
        <f>IF(ISNA(VLOOKUP(A59,'Données projet'!$A$269:$I$289,6,0)),0%,VLOOKUP(A59,'Données projet'!$A$269:$I$289,6,0)*VLOOKUP('Données projet'!$B$18,Paramètres!$A$1:$I$89,7,0))</f>
        <v>0</v>
      </c>
      <c r="HF59" s="16">
        <f>IF(ISNA(VLOOKUP(A59,'Données projet'!$A$269:$I$289,7,0)),0%,VLOOKUP(A59,'Données projet'!$A$269:$I$289,7,0))</f>
        <v>0</v>
      </c>
      <c r="HG59" s="21">
        <f>EXP(-LN(2)/35)*HG58+(1-EXP(-LN(2)/35))/(LN(2)/35)*HC59*HD59*VLOOKUP('Données projet'!$B$18,Paramètres!$A$1:$I$89,3,0)*0.475*44/12</f>
        <v>0</v>
      </c>
      <c r="HH59" s="21">
        <f>EXP(-LN(2)/25)*HH58+(1-EXP(-LN(2)/25))/(LN(2)/25)*Calculateur!HC59*Calculateur!HE59*VLOOKUP('Données projet'!$B$18,Paramètres!$A$1:$I$89,3,0)*0.475*44/12</f>
        <v>0</v>
      </c>
      <c r="HI59" s="21">
        <f>EXP(-LN(2)/2)*HI58+(1-EXP(-LN(2)/2))/(LN(2)/2)*HC59*HF59*VLOOKUP('Données projet'!$B$18,Paramètres!$A$1:$I$89,3,0)*0.475*44/12</f>
        <v>0</v>
      </c>
      <c r="HJ59" s="22">
        <f t="shared" si="30"/>
        <v>0</v>
      </c>
    </row>
    <row r="60" spans="1:218" x14ac:dyDescent="0.25">
      <c r="A60" s="10">
        <f t="shared" si="31"/>
        <v>57</v>
      </c>
      <c r="B60" s="73">
        <f>'Scénario référence'!$B$16*5+'Scénario référence'!$B$17*0+'Scénario référence'!$B$18*5</f>
        <v>0</v>
      </c>
      <c r="C60" s="19">
        <f>Calculateur!C59+'Scénario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50.684400000000039</v>
      </c>
      <c r="D60" s="11">
        <f t="shared" si="32"/>
        <v>14.790368854214481</v>
      </c>
      <c r="E6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60" s="11">
        <f>IF(OR('Scénario référence'!$F$8&gt;0,'Scénario référence'!$F$9&gt;0),('Scénario référence'!$F$8+'Scénario référence'!$F$9)*10,0)</f>
        <v>10</v>
      </c>
      <c r="G60" s="11">
        <f>'Scénario référence'!$B$8*B60*44/12+'Scénario référence'!$B$9*(C60+D60)/0.475*44/12+'Scénario référence'!$B$10*(C60+D60)/0.475*44/12+'Scénario référence'!$F$8*(C60+D60)/0.475*44/12+'Scénario référence'!$F$9*(C60+D60)/0.475*44/12</f>
        <v>505.41926834832265</v>
      </c>
      <c r="H60" s="67">
        <f t="shared" si="1"/>
        <v>407.3685557544236</v>
      </c>
      <c r="I60" s="70">
        <f>('Scénario référence'!$F$8+'Scénario référence'!$F$9+'Scénario référence'!$B$17+'Scénario référence'!$B$9+'Scénario référence'!$B$10)*70+IF((45+25*(1-EXP(-0.0175*A60)))&lt;70,'Scénario référence'!$B$16*(45+25*(1-EXP(-0.0175*A60))),70*'Scénario référence'!$B$16)+IF((32+38*(1-EXP(-0.0175*A60)))&lt;70,'Scénario référence'!$B$18*(32+38*(1-EXP(-0.0175*A60))),70*'Scénario référence'!$B$18)</f>
        <v>70</v>
      </c>
      <c r="J60" s="13">
        <f>IF(A60&gt;30,10,('Scénario référence'!$B$16+'Scénario référence'!$B$17+'Scénario référence'!$B$18+'Scénario référence'!$B$9+'Scénario référence'!$B$10)*A60*10/30+('Scénario référence'!$F$8+'Scénario référence'!$F$9)*10)</f>
        <v>10</v>
      </c>
      <c r="K60" s="12" t="e">
        <f>VLOOKUP(A60,'Données projet'!$A$35:$I$55,2,0)</f>
        <v>#N/A</v>
      </c>
      <c r="L60" s="12" t="e">
        <f>VLOOKUP(A60,'Données projet'!$A$35:$I$55,9,0)</f>
        <v>#N/A</v>
      </c>
      <c r="M60" s="12">
        <f t="array" ref="M60">INDEX(L:L,MIN(IF(ISNUMBER(L60:L256),ROW(L60:L256),"")))</f>
        <v>0</v>
      </c>
      <c r="N60" s="13">
        <f>IF('Données projet'!$A$36&gt;35,N59+M60-V59,IF(A60&lt;'Données projet'!$A$36,$K$205^A60,IF(A60='Données projet'!$A$36,'Données projet'!$B$36,N59+M60-V59)))</f>
        <v>-2.2737367544323206E-13</v>
      </c>
      <c r="O60" s="13">
        <f>N60*VLOOKUP('Données projet'!$B$9,Paramètres!$A$1:$I$89,3,0)*VLOOKUP('Données projet'!$B$9,Paramètres!$A$1:$I$89,5,0)</f>
        <v>-1.2710188457276673E-13</v>
      </c>
      <c r="P60" s="13" t="e">
        <f t="shared" si="33"/>
        <v>#NUM!</v>
      </c>
      <c r="Q60" s="20" t="e">
        <f t="shared" si="53"/>
        <v>#NUM!</v>
      </c>
      <c r="R60" s="59" t="e">
        <f t="shared" si="0"/>
        <v>#NUM!</v>
      </c>
      <c r="S60" s="59">
        <f ca="1">AVERAGE(OFFSET($R$3,0,0,'Données projet'!$E$9+1,1))-AVERAGE(OFFSET($H$3,0,0,'Données projet'!$E$9+1,1))</f>
        <v>255.5374979188561</v>
      </c>
      <c r="T60" s="59">
        <f t="shared" si="34"/>
        <v>343.10418468620901</v>
      </c>
      <c r="U60" s="15">
        <f>IF(ISNA(VLOOKUP(A60,'Données projet'!$A$35:$I$55,3,0)),0,VLOOKUP(A60,'Données projet'!$A$35:$I$55,3,0))</f>
        <v>0</v>
      </c>
      <c r="V60" s="15">
        <f>IF(ISNA(VLOOKUP(A60,'Données projet'!$A$35:$I$55,4,0)),0,VLOOKUP(A60,'Données projet'!$A$35:$I$55,4,0))</f>
        <v>0</v>
      </c>
      <c r="W60" s="16">
        <f>IF(ISNA(VLOOKUP(A60,'Données projet'!$A$35:$I$55,5,0)),0%,VLOOKUP(A60,'Données projet'!$A$35:$I$55,5,0)*VLOOKUP('Données projet'!$B$9,Paramètres!$A$1:$I$89,7,0))</f>
        <v>0</v>
      </c>
      <c r="X60" s="16">
        <f>IF(ISNA(VLOOKUP(A60,'Données projet'!$A$35:$I$55,6,0)),0%,VLOOKUP(A60,'Données projet'!$A$35:$I$55,6,0)*VLOOKUP('Données projet'!$B$9,Paramètres!$A$1:$I$89,7,0))</f>
        <v>0</v>
      </c>
      <c r="Y60" s="16">
        <f>IF(ISNA(VLOOKUP(A60,'Données projet'!$A$35:$I$55,7,0)),0%,VLOOKUP(A60,'Données projet'!$A$35:$I$55,7,0))</f>
        <v>0</v>
      </c>
      <c r="Z60" s="21">
        <f>EXP(-LN(2)/35)*Z59+(1-EXP(-LN(2)/35))/(LN(2)/35)*V60*W60*VLOOKUP('Données projet'!$B$9,Paramètres!$A$1:$I$89,3,0)*0.475*44/12</f>
        <v>1.8102605233687179</v>
      </c>
      <c r="AA60" s="21">
        <f>EXP(-LN(2)/25)*AA59+(1-EXP(-LN(2)/25))/(LN(2)/25)*Calculateur!V60*Calculateur!X60*VLOOKUP('Données projet'!$B$9,Paramètres!$A$1:$I$89,3,0)*0.475*44/12</f>
        <v>7.5496625969560309</v>
      </c>
      <c r="AB60" s="21">
        <f>EXP(-LN(2)/2)*AB59+(1-EXP(-LN(2)/2))/(LN(2)/2)*V60*Y60*VLOOKUP('Données projet'!$B$9,Paramètres!$A$1:$I$89,3,0)*0.475*44/12</f>
        <v>1.4610421918597179E-4</v>
      </c>
      <c r="AC60" s="22">
        <f t="shared" si="3"/>
        <v>9.3600692245439348</v>
      </c>
      <c r="AD60" s="13">
        <f>('Scénario référence'!$F$8+'Scénario référence'!$F$9+'Scénario référence'!$B$17+'Scénario référence'!$B$9+'Scénario référence'!$B$10)*70+IF((45+25*(1-EXP(-0.0175*A60)))&lt;70,'Scénario référence'!$B$16*(45+25*(1-EXP(-0.0175*A60))),70*'Scénario référence'!$B$16)+IF((32+38*(1-EXP(-0.0175*A60)))&lt;70,'Scénario référence'!$B$18*(32+38*(1-EXP(-0.0175*A60))),70*'Scénario référence'!$B$18)</f>
        <v>70</v>
      </c>
      <c r="AE60" s="13">
        <f>IF(A60&gt;30,10,('Scénario référence'!$B$16+'Scénario référence'!$B$17+'Scénario référence'!$B$18+'Scénario référence'!$B$9+'Scénario référence'!$B$10)*A60*10/30+('Scénario référence'!$F$8+'Scénario référence'!$F$9)*10)</f>
        <v>10</v>
      </c>
      <c r="AF60" s="12" t="e">
        <f>VLOOKUP(A60,'Données projet'!$A$61:$I$81,2,0)</f>
        <v>#N/A</v>
      </c>
      <c r="AG60" s="12" t="e">
        <f>VLOOKUP(A60,'Données projet'!$A$61:$I$81,9,0)</f>
        <v>#N/A</v>
      </c>
      <c r="AH60" s="12">
        <f t="array" ref="AH60">INDEX(AG:AG,MIN(IF(ISNUMBER(AG60:AG256),ROW(AG60:AG256),"")))</f>
        <v>10</v>
      </c>
      <c r="AI60" s="13">
        <f>IF('Données projet'!$A$62&gt;35,AI59+AH60-AQ59,IF(A60&lt;'Données projet'!$A$62,$AF$205^A60,IF(A60='Données projet'!$A$62,'Données projet'!$B$62,AI59+AH60-AQ59)))</f>
        <v>373.99999999999989</v>
      </c>
      <c r="AJ60" s="13">
        <f>AI60*VLOOKUP('Données projet'!$B$10,Paramètres!$A$1:$I$89,3,0)*VLOOKUP('Données projet'!$B$10,Paramètres!$A$1:$I$89,5,0)</f>
        <v>233.37599999999992</v>
      </c>
      <c r="AK60" s="13">
        <f t="shared" si="35"/>
        <v>57.012031446990107</v>
      </c>
      <c r="AL60" s="20">
        <f t="shared" si="4"/>
        <v>505.75915477017423</v>
      </c>
      <c r="AM60" s="59">
        <f t="shared" si="5"/>
        <v>799.09248810350755</v>
      </c>
      <c r="AN60" s="59">
        <f ca="1">AVERAGE(OFFSET($AM$3,0,0,'Données projet'!$E$10+1,1))-AVERAGE(OFFSET($H$3,0,0,'Données projet'!$E$10+1,1))</f>
        <v>261.78489480911571</v>
      </c>
      <c r="AO60" s="59">
        <f t="shared" si="36"/>
        <v>297.50513563712764</v>
      </c>
      <c r="AP60" s="15">
        <f>IF(ISNA(VLOOKUP(A60,'Données projet'!$A$61:$I$81,3,0)),0,VLOOKUP(A60,'Données projet'!$A$61:$I$81,3,0))</f>
        <v>0</v>
      </c>
      <c r="AQ60" s="15">
        <f>IF(ISNA(VLOOKUP(A60,'Données projet'!$A$61:$I$81,4,0)),0,VLOOKUP(A60,'Données projet'!$A$61:$I$81,4,0))</f>
        <v>0</v>
      </c>
      <c r="AR60" s="16">
        <f>IF(ISNA(VLOOKUP(A60,'Données projet'!$A$61:$I$81,5,0)),0%,VLOOKUP(A60,'Données projet'!$A$61:$I$81,5,0)*VLOOKUP('Données projet'!$B$10,Paramètres!$A$1:$I$89,7,0))</f>
        <v>0</v>
      </c>
      <c r="AS60" s="16">
        <f>IF(ISNA(VLOOKUP(A60,'Données projet'!$A$61:$I$81,6,0)),0%,VLOOKUP(A60,'Données projet'!$A$61:$I$81,6,0)*VLOOKUP('Données projet'!$B$10,Paramètres!$A$1:$I$89,7,0))</f>
        <v>0</v>
      </c>
      <c r="AT60" s="16">
        <f>IF(ISNA(VLOOKUP(A60,'Données projet'!$A$61:$I$81,7,0)),0%,VLOOKUP(A60,'Données projet'!$A$61:$I$81,7,0))</f>
        <v>0</v>
      </c>
      <c r="AU60" s="21">
        <f>EXP(-LN(2)/35)*AU59+(1-EXP(-LN(2)/35))/(LN(2)/35)*AQ60*AR60*VLOOKUP('Données projet'!$B$10,Paramètres!$A$1:$I$89,3,0)*0.475*44/12</f>
        <v>4.8882154428286828</v>
      </c>
      <c r="AV60" s="21">
        <f>EXP(-LN(2)/25)*AV59+(1-EXP(-LN(2)/25))/(LN(2)/25)*Calculateur!AQ60*Calculateur!AS60*VLOOKUP('Données projet'!$B$10,Paramètres!$A$1:$I$89,3,0)*0.475*44/12</f>
        <v>13.183250730071634</v>
      </c>
      <c r="AW60" s="21">
        <f>EXP(-LN(2)/2)*AW59+(1-EXP(-LN(2)/2))/(LN(2)/2)*AQ60*AT60*VLOOKUP('Données projet'!$B$10,Paramètres!$A$1:$I$89,3,0)*0.475*44/12</f>
        <v>2.1062314113695644E-3</v>
      </c>
      <c r="AX60" s="21">
        <f t="shared" si="6"/>
        <v>18.073572404311683</v>
      </c>
      <c r="AY60" s="74">
        <f>('Scénario référence'!$F$8+'Scénario référence'!$F$9+'Scénario référence'!$B$17+'Scénario référence'!$B$9+'Scénario référence'!$B$10)*70+IF((45+25*(1-EXP(-0.0175*A60)))&lt;70,'Scénario référence'!$B$16*(45+25*(1-EXP(-0.0175*A60))),70*'Scénario référence'!$B$16)+IF((32+38*(1-EXP(-0.0175*A60)))&lt;70,'Scénario référence'!$B$18*(32+38*(1-EXP(-0.0175*A60))),70*'Scénario référence'!$B$18)</f>
        <v>70</v>
      </c>
      <c r="AZ60" s="12">
        <f>IF(A60&gt;30,10,('Scénario référence'!$B$16+'Scénario référence'!$B$17+'Scénario référence'!$B$18+'Scénario référence'!$B$9+'Scénario référence'!$B$10)*A60*10/30+('Scénario référence'!$F$8+'Scénario référence'!$F$9)*10)</f>
        <v>10</v>
      </c>
      <c r="BA60" s="12" t="e">
        <f>VLOOKUP(A60,'Données projet'!$A$87:$I$107,2,0)</f>
        <v>#N/A</v>
      </c>
      <c r="BB60" s="12" t="e">
        <f>VLOOKUP(A60,'Données projet'!$A$87:$I$107,9,0)</f>
        <v>#N/A</v>
      </c>
      <c r="BC60" s="12">
        <f t="array" ref="BC60">INDEX(BB:BB,MIN(IF(ISNUMBER(BB60:BB256),ROW(BB60:BB256),"")))</f>
        <v>18</v>
      </c>
      <c r="BD60" s="12">
        <f>IF('Données projet'!$A$88&gt;35,BD59+BC60-BL59,IF(A60&lt;'Données projet'!$A$88,$BA$205^A60,IF(A60='Données projet'!$A$88,'Données projet'!$B$88,BD59+BC60-BL59)))</f>
        <v>453.99999999999972</v>
      </c>
      <c r="BE60" s="13">
        <f>BD60*VLOOKUP('Données projet'!$B$11,Paramètres!$A$1:$I$89,3,0)*VLOOKUP('Données projet'!$B$11,Paramètres!$A$1:$I$89,5,0)</f>
        <v>271.49199999999985</v>
      </c>
      <c r="BF60" s="13">
        <f t="shared" si="37"/>
        <v>65.165807717935309</v>
      </c>
      <c r="BG60" s="20">
        <f t="shared" si="7"/>
        <v>586.3456817754037</v>
      </c>
      <c r="BH60" s="59">
        <f t="shared" si="8"/>
        <v>879.67901510873708</v>
      </c>
      <c r="BI60" s="59">
        <f ca="1">AVERAGE(OFFSET($BH$3,0,0,'Données projet'!$E$11+1,1))-AVERAGE(OFFSET($H$3,0,0,'Données projet'!$E$11+1,1))</f>
        <v>316.58509520829671</v>
      </c>
      <c r="BJ60" s="59">
        <f t="shared" si="38"/>
        <v>240.71332110643596</v>
      </c>
      <c r="BK60" s="15">
        <f>IF(ISNA(VLOOKUP(A60,'Données projet'!$A$87:$I$107,3,0)),0,VLOOKUP(A60,'Données projet'!$A$87:$I$107,3,0))</f>
        <v>0</v>
      </c>
      <c r="BL60" s="15">
        <f>IF(ISNA(VLOOKUP(A60,'Données projet'!$A$87:$I$107,4,0)),0,VLOOKUP(A60,'Données projet'!$A$87:$I$107,4,0))</f>
        <v>0</v>
      </c>
      <c r="BM60" s="16">
        <f>IF(ISNA(VLOOKUP(A60,'Données projet'!$A$87:$I$107,5,0)),0%,VLOOKUP(A60,'Données projet'!$A$87:$I$107,5,0)*VLOOKUP('Données projet'!$B$11,Paramètres!$A$1:$I$89,7,0))</f>
        <v>0</v>
      </c>
      <c r="BN60" s="16">
        <f>IF(ISNA(VLOOKUP(A60,'Données projet'!$A$87:$I$107,6,0)),0%,VLOOKUP(A60,'Données projet'!$A$87:$I$107,6,0)*VLOOKUP('Données projet'!$B$11,Paramètres!$A$1:$I$89,7,0))</f>
        <v>0</v>
      </c>
      <c r="BO60" s="16">
        <f>IF(ISNA(VLOOKUP(A60,'Données projet'!$A$87:$I$107,7,0)),0%,VLOOKUP(A60,'Données projet'!$A$87:$I$107,7,0))</f>
        <v>0</v>
      </c>
      <c r="BP60" s="21">
        <f>EXP(-LN(2)/35)*BP59+(1-EXP(-LN(2)/35))/(LN(2)/35)*BL60*BM60*VLOOKUP('Données projet'!$B$11,Paramètres!$A$1:$I$89,3,0)*0.475*44/12</f>
        <v>1.4848318114098291</v>
      </c>
      <c r="BQ60" s="21">
        <f>EXP(-LN(2)/25)*BQ59+(1-EXP(-LN(2)/25))/(LN(2)/25)*Calculateur!BL60*Calculateur!BN60*VLOOKUP('Données projet'!$B$11,Paramètres!$A$1:$I$89,3,0)*0.475*44/12</f>
        <v>7.2221694118327298</v>
      </c>
      <c r="BR60" s="21">
        <f>EXP(-LN(2)/2)*BR59+(1-EXP(-LN(2)/2))/(LN(2)/2)*BL60*BO60*VLOOKUP('Données projet'!$B$11,Paramètres!$A$1:$I$89,3,0)*0.475*44/12</f>
        <v>1.893732697714193E-3</v>
      </c>
      <c r="BS60" s="22">
        <f t="shared" si="9"/>
        <v>8.7088949559402735</v>
      </c>
      <c r="BT60" s="75">
        <f>('Scénario référence'!$F$8+'Scénario référence'!$F$9+'Scénario référence'!$B$17+'Scénario référence'!$B$9+'Scénario référence'!$B$10)*70+IF((45+25*(1-EXP(-0.0175*A60)))&lt;70,'Scénario référence'!$B$16*(45+25*(1-EXP(-0.0175*A60))),70*'Scénario référence'!$B$16)+IF((32+38*(1-EXP(-0.0175*A60)))&lt;70,'Scénario référence'!$B$18*(32+38*(1-EXP(-0.0175*A60))),70*'Scénario référence'!$B$18)</f>
        <v>70</v>
      </c>
      <c r="BU60" s="12">
        <f>IF(A60&gt;30,10,('Scénario référence'!$B$16+'Scénario référence'!$B$17+'Scénario référence'!$B$18+'Scénario référence'!$B$9+'Scénario référence'!$B$10)*A60*10/30+('Scénario référence'!$F$8+'Scénario référence'!$F$9)*10)</f>
        <v>10</v>
      </c>
      <c r="BV60" s="12" t="e">
        <f>VLOOKUP(A60,'Données projet'!$A$113:$I$133,2,0)</f>
        <v>#N/A</v>
      </c>
      <c r="BW60" s="12" t="e">
        <f>VLOOKUP(A60,'Données projet'!$A$113:$I$133,9,0)</f>
        <v>#N/A</v>
      </c>
      <c r="BX60" s="12">
        <f t="array" ref="BX60">INDEX(BW:BW,MIN(IF(ISNUMBER(BW60:BW256),ROW(BW60:BW256),"")))</f>
        <v>9.5</v>
      </c>
      <c r="BY60" s="12">
        <f>IF('Données projet'!$A$114&gt;35,BY59+BX60-CG59,IF(A60&lt;'Données projet'!$A$114,$BV$205^A60,IF(A60='Données projet'!$A$114,'Données projet'!$B$114,BY59+BX60-CG59)))</f>
        <v>311.49999999999977</v>
      </c>
      <c r="BZ60" s="13">
        <f>BY60*VLOOKUP('Données projet'!$B$12,Paramètres!$A$1:$I$89,3,0)*VLOOKUP('Données projet'!$B$12,Paramètres!$A$1:$I$89,5,0)</f>
        <v>178.17799999999986</v>
      </c>
      <c r="CA60" s="13">
        <f t="shared" si="39"/>
        <v>44.91658502671963</v>
      </c>
      <c r="CB60" s="20">
        <f t="shared" si="10"/>
        <v>388.55640225486968</v>
      </c>
      <c r="CC60" s="59">
        <f t="shared" si="11"/>
        <v>681.88973558820294</v>
      </c>
      <c r="CD60" s="59">
        <f ca="1">AVERAGE(OFFSET($CC$3,0,0,'Données projet'!$E$12+1,1))-AVERAGE(OFFSET($H$3,0,0,'Données projet'!$E$12+1,1))</f>
        <v>188.64374818906128</v>
      </c>
      <c r="CE60" s="59">
        <f t="shared" si="40"/>
        <v>211.95157880548652</v>
      </c>
      <c r="CF60" s="15">
        <f>IF(ISNA(VLOOKUP(A60,'Données projet'!$A$113:$I$133,3,0)),0,VLOOKUP(A60,'Données projet'!$A$113:$I$133,3,0))</f>
        <v>0</v>
      </c>
      <c r="CG60" s="15">
        <f>IF(ISNA(VLOOKUP(A60,'Données projet'!$A$113:$I$133,4,0)),0,VLOOKUP(A60,'Données projet'!$A$113:$I$133,4,0))</f>
        <v>0</v>
      </c>
      <c r="CH60" s="16">
        <f>IF(ISNA(VLOOKUP(A60,'Données projet'!$A$113:$I$133,5,0)),0%,VLOOKUP(A60,'Données projet'!$A$113:$I$133,5,0)*VLOOKUP('Données projet'!$B$12,Paramètres!$A$1:$I$89,7,0))</f>
        <v>0</v>
      </c>
      <c r="CI60" s="16">
        <f>IF(ISNA(VLOOKUP(A60,'Données projet'!$A$113:$I$133,6,0)),0%,VLOOKUP(A60,'Données projet'!$A$113:$I$133,6,0)*VLOOKUP('Données projet'!$B$12,Paramètres!$A$1:$I$89,7,0))</f>
        <v>0</v>
      </c>
      <c r="CJ60" s="16">
        <f>IF(ISNA(VLOOKUP(A60,'Données projet'!$A$113:$I$133,7,0)),0%,VLOOKUP(A60,'Données projet'!$A$113:$I$133,7,0))</f>
        <v>0</v>
      </c>
      <c r="CK60" s="21">
        <f>EXP(-LN(2)/35)*CK59+(1-EXP(-LN(2)/35))/(LN(2)/35)*CG60*CH60*VLOOKUP('Données projet'!$B$12,Paramètres!$A$1:$I$89,3,0)*0.475*44/12</f>
        <v>1.4402777644048801</v>
      </c>
      <c r="CL60" s="21">
        <f>EXP(-LN(2)/25)*CL59+(1-EXP(-LN(2)/25))/(LN(2)/25)*Calculateur!CG60*Calculateur!CI60*VLOOKUP('Données projet'!$B$12,Paramètres!$A$1:$I$89,3,0)*0.475*44/12</f>
        <v>6.7976693730631483</v>
      </c>
      <c r="CM60" s="21">
        <f>EXP(-LN(2)/2)*CM59+(1-EXP(-LN(2)/2))/(LN(2)/2)*CG60*CJ60*VLOOKUP('Données projet'!$B$12,Paramètres!$A$1:$I$89,3,0)*0.475*44/12</f>
        <v>1.8339319498894241E-3</v>
      </c>
      <c r="CN60" s="22">
        <f t="shared" si="12"/>
        <v>8.2397810694179174</v>
      </c>
      <c r="CO60" s="75">
        <f>('Scénario référence'!$F$8+'Scénario référence'!$F$9+'Scénario référence'!$B$17+'Scénario référence'!$B$9+'Scénario référence'!$B$10)*70+IF((45+25*(1-EXP(-0.0175*A60)))&lt;70,'Scénario référence'!$B$16*(45+25*(1-EXP(-0.0175*A60))),70*'Scénario référence'!$B$16)+IF((32+38*(1-EXP(-0.0175*A60)))&lt;70,'Scénario référence'!$B$18*(32+38*(1-EXP(-0.0175*A60))),70*'Scénario référence'!$B$18)</f>
        <v>70</v>
      </c>
      <c r="CP60" s="12">
        <f>IF(A60&gt;30,10,('Scénario référence'!$B$16+'Scénario référence'!$B$17+'Scénario référence'!$B$18+'Scénario référence'!$B$9+'Scénario référence'!$B$10)*A60*10/30+('Scénario référence'!$F$8+'Scénario référence'!$F$9)*10)</f>
        <v>10</v>
      </c>
      <c r="CQ60" s="12" t="e">
        <f>VLOOKUP(A60,'Données projet'!$A$139:$I$159,2,0)</f>
        <v>#N/A</v>
      </c>
      <c r="CR60" s="12" t="e">
        <f>VLOOKUP(A60,'Données projet'!$A$139:$I$159,9,0)</f>
        <v>#N/A</v>
      </c>
      <c r="CS60" s="12">
        <f t="array" ref="CS60">INDEX(CR:CR,MIN(IF(ISNUMBER(CR60:CR256),ROW(CR60:CR256),"")))</f>
        <v>0</v>
      </c>
      <c r="CT60" s="12">
        <f>IF('Données projet'!$A$140&gt;35,CT59+CS60-DB59,IF(A60&lt;'Données projet'!$A$140,$CQ$205^A60,IF(A60='Données projet'!$A$140,'Données projet'!$B$140,CT59+CS60-DB59)))</f>
        <v>0</v>
      </c>
      <c r="CU60" s="17" t="e">
        <f>CT60*VLOOKUP('Données projet'!$B$13,Paramètres!$A$1:$I$89,3,0)*VLOOKUP('Données projet'!$B$13,Paramètres!$A$1:$I$89,5,0)</f>
        <v>#N/A</v>
      </c>
      <c r="CV60" s="13" t="e">
        <f t="shared" si="41"/>
        <v>#N/A</v>
      </c>
      <c r="CW60" s="20" t="e">
        <f t="shared" si="13"/>
        <v>#N/A</v>
      </c>
      <c r="CX60" s="59" t="e">
        <f t="shared" si="14"/>
        <v>#N/A</v>
      </c>
      <c r="CY60" s="59" t="e">
        <f ca="1">AVERAGE(OFFSET($CX$3,0,0,'Données projet'!$E$13+1,1))-AVERAGE(OFFSET($H$3,0,0,'Données projet'!$E$13+1,1))</f>
        <v>#N/A</v>
      </c>
      <c r="CZ60" s="59" t="e">
        <f t="shared" si="42"/>
        <v>#N/A</v>
      </c>
      <c r="DA60" s="15">
        <f>IF(ISNA(VLOOKUP(A60,'Données projet'!$A$139:$I$159,3,0)),0,VLOOKUP(A60,'Données projet'!$A$139:$I$159,3,0))</f>
        <v>0</v>
      </c>
      <c r="DB60" s="15">
        <f>IF(ISNA(VLOOKUP(A60,'Données projet'!$A$139:$I$159,4,0)),0,VLOOKUP(A60,'Données projet'!$A$139:$I$159,4,0))</f>
        <v>0</v>
      </c>
      <c r="DC60" s="16">
        <f>IF(ISNA(VLOOKUP(A60,'Données projet'!$A$139:$I$159,5,0)),0%,VLOOKUP(A60,'Données projet'!$A$139:$I$159,5,0)*VLOOKUP('Données projet'!$B$13,Paramètres!$A$1:$I$89,7,0))</f>
        <v>0</v>
      </c>
      <c r="DD60" s="16">
        <f>IF(ISNA(VLOOKUP(A60,'Données projet'!$A$139:$I$159,6,0)),0%,VLOOKUP(A60,'Données projet'!$A$139:$I$159,6,0)*VLOOKUP('Données projet'!$B$13,Paramètres!$A$1:$I$89,7,0))</f>
        <v>0</v>
      </c>
      <c r="DE60" s="16">
        <f>IF(ISNA(VLOOKUP(A60,'Données projet'!$A$139:$I$159,7,0)),0%,VLOOKUP(A60,'Données projet'!$A$139:$I$159,7,0))</f>
        <v>0</v>
      </c>
      <c r="DF60" s="21" t="e">
        <f>EXP(-LN(2)/35)*DF59+(1-EXP(-LN(2)/35))/(LN(2)/35)*DB60*DC60*VLOOKUP('Données projet'!$B$13,Paramètres!$A$1:$I$89,3,0)*0.475*44/12</f>
        <v>#N/A</v>
      </c>
      <c r="DG60" s="21" t="e">
        <f>EXP(-LN(2)/25)*DG59+(1-EXP(-LN(2)/25))/(LN(2)/25)*Calculateur!DB60*Calculateur!DD60*VLOOKUP('Données projet'!$B$13,Paramètres!$A$1:$I$89,3,0)*0.475*44/12</f>
        <v>#N/A</v>
      </c>
      <c r="DH60" s="21" t="e">
        <f>EXP(-LN(2)/2)*DH59+(1-EXP(-LN(2)/2))/(LN(2)/2)*DB60*DE60*VLOOKUP('Données projet'!$B$13,Paramètres!$A$1:$I$89,3,0)*0.475*44/12</f>
        <v>#N/A</v>
      </c>
      <c r="DI60" s="22" t="e">
        <f t="shared" si="15"/>
        <v>#N/A</v>
      </c>
      <c r="DJ60" s="75">
        <f>('Scénario référence'!$F$8+'Scénario référence'!$F$9+'Scénario référence'!$B$17+'Scénario référence'!$B$9+'Scénario référence'!$B$10)*70+IF((45+25*(1-EXP(-0.0175*A60)))&lt;70,'Scénario référence'!$B$16*(45+25*(1-EXP(-0.0175*A60))),70*'Scénario référence'!$B$16)+IF((32+38*(1-EXP(-0.0175*A60)))&lt;70,'Scénario référence'!$B$18*(32+38*(1-EXP(-0.0175*A60))),70*'Scénario référence'!$B$18)</f>
        <v>70</v>
      </c>
      <c r="DK60" s="12">
        <f>IF(A60&gt;30,10,('Scénario référence'!$B$16+'Scénario référence'!$B$17+'Scénario référence'!$B$18+'Scénario référence'!$B$9+'Scénario référence'!$B$10)*A60*10/30+('Scénario référence'!$F$8+'Scénario référence'!$F$9)*10)</f>
        <v>10</v>
      </c>
      <c r="DL60" s="12" t="e">
        <f>VLOOKUP(A60,'Données projet'!$A$165:$I$185,2,0)</f>
        <v>#N/A</v>
      </c>
      <c r="DM60" s="12" t="e">
        <f>VLOOKUP(A60,'Données projet'!$A$165:$I$185,9,0)</f>
        <v>#N/A</v>
      </c>
      <c r="DN60" s="12">
        <f t="array" ref="DN60">INDEX(DM:DM,MIN(IF(ISNUMBER(DM60:DM256),ROW(DM60:DM256),"")))</f>
        <v>6.6</v>
      </c>
      <c r="DO60" s="12">
        <f>IF('Données projet'!$A$166&gt;35,DO59+DN60-DW59,IF(A60&lt;'Données projet'!$A$166,$DL$205^A60,IF(A60='Données projet'!$A$166,'Données projet'!$B$166,DO59+DN60-DW59)))</f>
        <v>265.20000000000005</v>
      </c>
      <c r="DP60" s="17">
        <f>DO60*VLOOKUP('Données projet'!$B$14,Paramètres!$A$1:$I$89,3,0)*VLOOKUP('Données projet'!$B$14,Paramètres!$A$1:$I$89,5,0)</f>
        <v>173.75904000000003</v>
      </c>
      <c r="DQ60" s="13">
        <f t="shared" si="43"/>
        <v>43.93084885437942</v>
      </c>
      <c r="DR60" s="20">
        <f t="shared" si="16"/>
        <v>379.14322308804412</v>
      </c>
      <c r="DS60" s="59">
        <f t="shared" si="17"/>
        <v>672.47655642137738</v>
      </c>
      <c r="DT60" s="59">
        <f ca="1">AVERAGE(OFFSET($DS$3,0,0,'Données projet'!$E$14+1,1))-AVERAGE(OFFSET($H$3,0,0,'Données projet'!$E$14+1,1))</f>
        <v>188.68915783955595</v>
      </c>
      <c r="DU60" s="59">
        <f t="shared" si="44"/>
        <v>240.82467772396944</v>
      </c>
      <c r="DV60" s="15">
        <f>IF(ISNA(VLOOKUP(A60,'Données projet'!$A$165:$I$185,3,0)),0,VLOOKUP(A60,'Données projet'!$A$165:$I$185,3,0))</f>
        <v>0</v>
      </c>
      <c r="DW60" s="15">
        <f>IF(ISNA(VLOOKUP(A60,'Données projet'!$A$165:$I$185,4,0)),0,VLOOKUP(A60,'Données projet'!$A$165:$I$185,4,0))</f>
        <v>0</v>
      </c>
      <c r="DX60" s="16">
        <f>IF(ISNA(VLOOKUP(A60,'Données projet'!$A$165:$I$185,5,0)),0%,VLOOKUP(A60,'Données projet'!$A$165:$I$185,5,0)*VLOOKUP('Données projet'!$B$14,Paramètres!$A$1:$I$89,7,0))</f>
        <v>0</v>
      </c>
      <c r="DY60" s="16">
        <f>IF(ISNA(VLOOKUP(A60,'Données projet'!$A$165:$I$185,6,0)),0%,VLOOKUP(A60,'Données projet'!$A$165:$I$185,6,0)*VLOOKUP('Données projet'!$B$14,Paramètres!$A$1:$I$89,7,0))</f>
        <v>0</v>
      </c>
      <c r="DZ60" s="16">
        <f>IF(ISNA(VLOOKUP(A60,'Données projet'!$A$165:$I$185,7,0)),0%,VLOOKUP(A60,'Données projet'!$A$165:$I$185,7,0))</f>
        <v>0</v>
      </c>
      <c r="EA60" s="21">
        <f>EXP(-LN(2)/35)*EA59+(1-EXP(-LN(2)/35))/(LN(2)/35)*DW60*DX60*VLOOKUP('Données projet'!$B$14,Paramètres!$A$1:$I$89,3,0)*0.475*44/12</f>
        <v>0.91229715295847813</v>
      </c>
      <c r="EB60" s="21">
        <f>EXP(-LN(2)/25)*EB59+(1-EXP(-LN(2)/25))/(LN(2)/25)*Calculateur!DW60*Calculateur!DY60*VLOOKUP('Données projet'!$B$14,Paramètres!$A$1:$I$89,3,0)*0.475*44/12</f>
        <v>3.8022195148563678</v>
      </c>
      <c r="EC60" s="21">
        <f>EXP(-LN(2)/2)*EC59+(1-EXP(-LN(2)/2))/(LN(2)/2)*DW60*DZ60*VLOOKUP('Données projet'!$B$14,Paramètres!$A$1:$I$89,3,0)*0.475*44/12</f>
        <v>1.2081243895630592E-3</v>
      </c>
      <c r="ED60" s="22">
        <f t="shared" si="18"/>
        <v>4.7157247922044085</v>
      </c>
      <c r="EE60" s="75">
        <f>('Scénario référence'!$F$8+'Scénario référence'!$F$9+'Scénario référence'!$B$17+'Scénario référence'!$B$9+'Scénario référence'!$B$10)*70+IF((45+25*(1-EXP(-0.0175*A60)))&lt;70,'Scénario référence'!$B$16*(45+25*(1-EXP(-0.0175*A60))),70*'Scénario référence'!$B$16)+IF((32+38*(1-EXP(-0.0175*A60)))&lt;70,'Scénario référence'!$B$18*(32+38*(1-EXP(-0.0175*A60))),70*'Scénario référence'!$B$18)</f>
        <v>70</v>
      </c>
      <c r="EF60" s="12">
        <f>IF(A60&gt;30,10,('Scénario référence'!$B$16+'Scénario référence'!$B$17+'Scénario référence'!$B$18+'Scénario référence'!$B$9+'Scénario référence'!$B$10)*A60*10/30+('Scénario référence'!$F$8+'Scénario référence'!$F$9)*10)</f>
        <v>10</v>
      </c>
      <c r="EG60" s="12" t="e">
        <f>VLOOKUP(A60,'Données projet'!$A$191:$I$211,2,0)</f>
        <v>#N/A</v>
      </c>
      <c r="EH60" s="12" t="e">
        <f>VLOOKUP(A60,'Données projet'!$A$191:$I$211,9,0)</f>
        <v>#N/A</v>
      </c>
      <c r="EI60" s="12">
        <f t="array" ref="EI60">INDEX(EH:EH,MIN(IF(ISNUMBER(EH60:EH256),ROW(EH60:EH256),"")))</f>
        <v>6.4</v>
      </c>
      <c r="EJ60" s="12">
        <f>IF('Données projet'!$A$192&gt;35,EJ59+EI60-ER59,IF(A60&lt;'Données projet'!$A$192,$EG$205^A60,IF(A60='Données projet'!$A$192,'Données projet'!$B$192,EJ59+EI60-ER59)))</f>
        <v>230.79999999999995</v>
      </c>
      <c r="EK60" s="17">
        <f>EJ60*VLOOKUP('Données projet'!$B$15,Paramètres!$A$1:$I$89,3,0)*VLOOKUP('Données projet'!$B$15,Paramètres!$A$1:$I$89,5,0)</f>
        <v>187.22495999999998</v>
      </c>
      <c r="EL60" s="13">
        <f t="shared" si="45"/>
        <v>46.925906533876862</v>
      </c>
      <c r="EM60" s="20">
        <f t="shared" si="19"/>
        <v>407.81275921316882</v>
      </c>
      <c r="EN60" s="59">
        <f t="shared" si="20"/>
        <v>701.14609254650213</v>
      </c>
      <c r="EO60" s="59">
        <f ca="1">AVERAGE(OFFSET($EN$3,0,0,'Données projet'!$E$15+1,1))-AVERAGE(OFFSET($H$3,0,0,'Données projet'!$E$15+1,1))</f>
        <v>205.5272583787887</v>
      </c>
      <c r="EP60" s="59">
        <f t="shared" si="46"/>
        <v>180.54762778843178</v>
      </c>
      <c r="EQ60" s="15">
        <f>IF(ISNA(VLOOKUP(A60,'Données projet'!$A$191:$I$211,3,0)),0,VLOOKUP(A60,'Données projet'!$A$191:$I$211,3,0))</f>
        <v>0</v>
      </c>
      <c r="ER60" s="15">
        <f>IF(ISNA(VLOOKUP(A60,'Données projet'!$A$191:$I$211,4,0)),0,VLOOKUP(A60,'Données projet'!$A$191:$I$211,4,0))</f>
        <v>0</v>
      </c>
      <c r="ES60" s="16">
        <f>IF(ISNA(VLOOKUP(A60,'Données projet'!$A$191:$I$211,5,0)),0%,VLOOKUP(A60,'Données projet'!$A$191:$I$211,5,0)*VLOOKUP('Données projet'!$B$15,Paramètres!$A$1:$I$89,7,0))</f>
        <v>0</v>
      </c>
      <c r="ET60" s="16">
        <f>IF(ISNA(VLOOKUP(A60,'Données projet'!$A$191:$I$211,6,0)),0%,VLOOKUP(A60,'Données projet'!$A$191:$I$211,6,0)*VLOOKUP('Données projet'!$B$15,Paramètres!$A$1:$I$89,7,0))</f>
        <v>0</v>
      </c>
      <c r="EU60" s="16">
        <f>IF(ISNA(VLOOKUP(A60,'Données projet'!$A$191:$I$211,7,0)),0%,VLOOKUP(A60,'Données projet'!$A$191:$I$211,7,0))</f>
        <v>0</v>
      </c>
      <c r="EV60" s="21">
        <f>EXP(-LN(2)/35)*EV59+(1-EXP(-LN(2)/35))/(LN(2)/35)*ER60*ES60*VLOOKUP('Données projet'!$B$15,Paramètres!$A$1:$I$89,3,0)*0.475*44/12</f>
        <v>0.58734559561898214</v>
      </c>
      <c r="EW60" s="21">
        <f>EXP(-LN(2)/25)*EW59+(1-EXP(-LN(2)/25))/(LN(2)/25)*Calculateur!ER60*Calculateur!ET60*VLOOKUP('Données projet'!$B$15,Paramètres!$A$1:$I$89,3,0)*0.475*44/12</f>
        <v>2.7453178337239632</v>
      </c>
      <c r="EX60" s="21">
        <f>EXP(-LN(2)/2)*EX59+(1-EXP(-LN(2)/2))/(LN(2)/2)*ER60*EU60*VLOOKUP('Données projet'!$B$15,Paramètres!$A$1:$I$89,3,0)*0.475*44/12</f>
        <v>7.8226143556091451E-4</v>
      </c>
      <c r="EY60" s="22">
        <f t="shared" si="21"/>
        <v>3.3334456907785062</v>
      </c>
      <c r="EZ60" s="75">
        <f>('Scénario référence'!$F$8+'Scénario référence'!$F$9+'Scénario référence'!$B$17+'Scénario référence'!$B$9+'Scénario référence'!$B$10)*70+IF((45+25*(1-EXP(-0.0175*A60)))&lt;70,'Scénario référence'!$B$16*(45+25*(1-EXP(-0.0175*A60))),70*'Scénario référence'!$B$16)+IF((32+38*(1-EXP(-0.0175*A60)))&lt;70,'Scénario référence'!$B$18*(32+38*(1-EXP(-0.0175*A60))),70*'Scénario référence'!$B$18)</f>
        <v>70</v>
      </c>
      <c r="FA60" s="12">
        <f>IF(A60&gt;30,10,('Scénario référence'!$B$16+'Scénario référence'!$B$17+'Scénario référence'!$B$18+'Scénario référence'!$B$9+'Scénario référence'!$B$10)*A60*10/30+('Scénario référence'!$F$8+'Scénario référence'!$F$9)*10)</f>
        <v>10</v>
      </c>
      <c r="FB60" s="12" t="e">
        <f>VLOOKUP(A60,'Données projet'!$A$217:$I$237,2,0)</f>
        <v>#N/A</v>
      </c>
      <c r="FC60" s="12" t="e">
        <f>VLOOKUP(A60,'Données projet'!$A$217:$I$237,9,0)</f>
        <v>#N/A</v>
      </c>
      <c r="FD60" s="12">
        <f t="array" ref="FD60">INDEX(FC:FC,MIN(IF(ISNUMBER(FC60:FC256),ROW(FC60:FC256),"")))</f>
        <v>13.4</v>
      </c>
      <c r="FE60" s="12">
        <f>IF('Données projet'!$A$218&gt;35,FE59+FD60-FM59,IF(A60&lt;'Données projet'!$A$218,$FB$205^A60,IF(A60='Données projet'!$A$218,'Données projet'!$B$218,FE59+FD60-FM59)))</f>
        <v>292.8</v>
      </c>
      <c r="FF60" s="17">
        <f>FE60*VLOOKUP('Données projet'!$B$16,Paramètres!$A$1:$I$89,3,0)*VLOOKUP('Données projet'!$B$16,Paramètres!$A$1:$I$89,5,0)</f>
        <v>251.22240000000005</v>
      </c>
      <c r="FG60" s="13">
        <f t="shared" si="47"/>
        <v>60.847625059749809</v>
      </c>
      <c r="FH60" s="20">
        <f t="shared" si="22"/>
        <v>543.52196031239771</v>
      </c>
      <c r="FI60" s="59">
        <f t="shared" si="23"/>
        <v>836.85529364573108</v>
      </c>
      <c r="FJ60" s="59">
        <f ca="1">AVERAGE(OFFSET($FI$3,0,0,'Données projet'!$E$16+1,1))-AVERAGE(OFFSET($H$3,0,0,'Données projet'!$E$16+1,1))</f>
        <v>383.97627237444709</v>
      </c>
      <c r="FK60" s="59">
        <f t="shared" si="48"/>
        <v>203.35476578922339</v>
      </c>
      <c r="FL60" s="15">
        <f>IF(ISNA(VLOOKUP(A60,'Données projet'!$A$217:$I$237,3,0)),0,VLOOKUP(A60,'Données projet'!$A$217:$I$237,3,0))</f>
        <v>0</v>
      </c>
      <c r="FM60" s="15">
        <f>IF(ISNA(VLOOKUP(A60,'Données projet'!$A$217:$I$237,4,0)),0,VLOOKUP(A60,'Données projet'!$A$217:$I$237,4,0))</f>
        <v>0</v>
      </c>
      <c r="FN60" s="16">
        <f>IF(ISNA(VLOOKUP(A60,'Données projet'!$A$217:$I$237,5,0)),0%,VLOOKUP(A60,'Données projet'!$A$217:$I$237,5,0)*VLOOKUP('Données projet'!$B$16,Paramètres!$A$1:$I$89,7,0))</f>
        <v>0</v>
      </c>
      <c r="FO60" s="16">
        <f>IF(ISNA(VLOOKUP(A60,'Données projet'!$A$217:$I$237,6,0)),0%,VLOOKUP(A60,'Données projet'!$A$217:$I$237,6,0)*VLOOKUP('Données projet'!$B$16,Paramètres!$A$1:$I$89,7,0))</f>
        <v>0</v>
      </c>
      <c r="FP60" s="16">
        <f>IF(ISNA(VLOOKUP(A60,'Données projet'!$A$217:$I$237,7,0)),0%,VLOOKUP(A60,'Données projet'!$A$217:$I$237,7,0))</f>
        <v>0</v>
      </c>
      <c r="FQ60" s="21">
        <f>EXP(-LN(2)/35)*FQ59+(1-EXP(-LN(2)/35))/(LN(2)/35)*FM60*FN60*VLOOKUP('Données projet'!$B$16,Paramètres!$A$1:$I$89,3,0)*0.475*44/12</f>
        <v>3.0186377141703384</v>
      </c>
      <c r="FR60" s="21">
        <f>EXP(-LN(2)/25)*FR59+(1-EXP(-LN(2)/25))/(LN(2)/25)*Calculateur!FM60*Calculateur!FO60*VLOOKUP('Données projet'!$B$16,Paramètres!$A$1:$I$89,3,0)*0.475*44/12</f>
        <v>2.7867813567952426</v>
      </c>
      <c r="FS60" s="21">
        <f>EXP(-LN(2)/2)*FS59+(1-EXP(-LN(2)/2))/(LN(2)/2)*FM60*FP60*VLOOKUP('Données projet'!$B$16,Paramètres!$A$1:$I$89,3,0)*0.475*44/12</f>
        <v>1.4368537138350628E-3</v>
      </c>
      <c r="FT60" s="22">
        <f t="shared" si="24"/>
        <v>5.8068559246794154</v>
      </c>
      <c r="FU60" s="75">
        <f>('Scénario référence'!$F$8+'Scénario référence'!$F$9+'Scénario référence'!$B$17+'Scénario référence'!$B$9+'Scénario référence'!$B$10)*70+IF((45+25*(1-EXP(-0.0175*A60)))&lt;70,'Scénario référence'!$B$16*(45+25*(1-EXP(-0.0175*A60))),70*'Scénario référence'!$B$16)+IF((32+38*(1-EXP(-0.0175*A60)))&lt;70,'Scénario référence'!$B$18*(32+38*(1-EXP(-0.0175*A60))),70*'Scénario référence'!$B$18)</f>
        <v>70</v>
      </c>
      <c r="FV60" s="12">
        <f>IF(A60&gt;30,10,('Scénario référence'!$B$16+'Scénario référence'!$B$17+'Scénario référence'!$B$18+'Scénario référence'!$B$9+'Scénario référence'!$B$10)*A60*10/30+('Scénario référence'!$F$8+'Scénario référence'!$F$9)*10)</f>
        <v>10</v>
      </c>
      <c r="FW60" s="12" t="e">
        <f>VLOOKUP(A60,'Données projet'!$A$243:$I$263,2,0)</f>
        <v>#N/A</v>
      </c>
      <c r="FX60" s="12" t="e">
        <f>VLOOKUP(A60,'Données projet'!$A$243:$I$263,9,0)</f>
        <v>#N/A</v>
      </c>
      <c r="FY60" s="12">
        <f t="array" ref="FY60">INDEX(FX:FX,MIN(IF(ISNUMBER(FX60:FX256),ROW(FX60:FX256),"")))</f>
        <v>8.374198717948719</v>
      </c>
      <c r="FZ60" s="12">
        <f>IF('Données projet'!$A$244&gt;35,FZ59+FY60-GH59,IF(A60&lt;'Données projet'!$A$244,$FW$205^A60,IF(A60='Données projet'!$A$244,'Données projet'!$B$244,FZ59+FY60-GH59)))</f>
        <v>170.04326923076923</v>
      </c>
      <c r="GA60" s="17">
        <f>FZ60*VLOOKUP('Données projet'!$B$17,Paramètres!$A$1:$I$89,3,0)*VLOOKUP('Données projet'!$B$17,Paramètres!$A$1:$I$89,5,0)</f>
        <v>183.03457499999999</v>
      </c>
      <c r="GB60" s="13">
        <f t="shared" si="49"/>
        <v>45.996664884099914</v>
      </c>
      <c r="GC60" s="20">
        <f t="shared" si="25"/>
        <v>398.89607613147399</v>
      </c>
      <c r="GD60" s="59">
        <f t="shared" si="26"/>
        <v>692.2294094648073</v>
      </c>
      <c r="GE60" s="59">
        <f ca="1">AVERAGE(OFFSET($GD$3,0,0,'Données projet'!$E$17+1,1))-AVERAGE(OFFSET($H$3,0,0,'Données projet'!$E$17+1,1))</f>
        <v>286.77702855541287</v>
      </c>
      <c r="GF60" s="59">
        <f t="shared" si="50"/>
        <v>227.12211541860779</v>
      </c>
      <c r="GG60" s="15">
        <f>IF(ISNA(VLOOKUP(A60,'Données projet'!$A$243:$I$263,3,0)),0,VLOOKUP(A60,'Données projet'!$A$243:$I$263,3,0))</f>
        <v>0</v>
      </c>
      <c r="GH60" s="15">
        <f>IF(ISNA(VLOOKUP(A60,'Données projet'!$A$243:$I$263,4,0)),0,VLOOKUP(A60,'Données projet'!$A$243:$I$263,4,0))</f>
        <v>0</v>
      </c>
      <c r="GI60" s="16">
        <f>IF(ISNA(VLOOKUP(A60,'Données projet'!$A$243:$I$263,5,0)),0%,VLOOKUP(A60,'Données projet'!$A$243:$I$263,5,0)*VLOOKUP('Données projet'!$B$17,Paramètres!$A$1:$I$89,7,0))</f>
        <v>0</v>
      </c>
      <c r="GJ60" s="16">
        <f>IF(ISNA(VLOOKUP(A60,'Données projet'!$A$243:$I$263,6,0)),0%,VLOOKUP(A60,'Données projet'!$A$243:$I$263,6,0)*VLOOKUP('Données projet'!$B$17,Paramètres!$A$1:$I$89,7,0))</f>
        <v>0</v>
      </c>
      <c r="GK60" s="16">
        <f>IF(ISNA(VLOOKUP(A60,'Données projet'!$A$243:$I$263,7,0)),0%,VLOOKUP(A60,'Données projet'!$A$243:$I$263,7,0))</f>
        <v>0</v>
      </c>
      <c r="GL60" s="21">
        <f>EXP(-LN(2)/35)*GL59+(1-EXP(-LN(2)/35))/(LN(2)/35)*GH60*GI60*VLOOKUP('Données projet'!$B$17,Paramètres!$A$1:$I$89,3,0)*0.475*44/12</f>
        <v>0</v>
      </c>
      <c r="GM60" s="21">
        <f>EXP(-LN(2)/25)*GM59+(1-EXP(-LN(2)/25))/(LN(2)/25)*Calculateur!GH60*Calculateur!GJ60*VLOOKUP('Données projet'!$B$17,Paramètres!$A$1:$I$89,3,0)*0.475*44/12</f>
        <v>0</v>
      </c>
      <c r="GN60" s="21">
        <f>EXP(-LN(2)/2)*GN59+(1-EXP(-LN(2)/2))/(LN(2)/2)*GH60*GK60*VLOOKUP('Données projet'!$B$17,Paramètres!$A$1:$I$89,3,0)*0.475*44/12</f>
        <v>0</v>
      </c>
      <c r="GO60" s="21">
        <f t="shared" si="27"/>
        <v>0</v>
      </c>
      <c r="GP60" s="75">
        <f>('Scénario référence'!$F$8+'Scénario référence'!$F$9+'Scénario référence'!$B$17+'Scénario référence'!$B$9+'Scénario référence'!$B$10)*70+IF((45+25*(1-EXP(-0.0175*A60)))&lt;70,'Scénario référence'!$B$16*(45+25*(1-EXP(-0.0175*A60))),70*'Scénario référence'!$B$16)+IF((32+38*(1-EXP(-0.0175*A60)))&lt;70,'Scénario référence'!$B$18*(32+38*(1-EXP(-0.0175*A60))),70*'Scénario référence'!$B$18)</f>
        <v>70</v>
      </c>
      <c r="GQ60" s="12">
        <f>IF(A60&gt;30,10,('Scénario référence'!$B$16+'Scénario référence'!$B$17+'Scénario référence'!$B$18+'Scénario référence'!$B$9+'Scénario référence'!$B$10)*A60*10/30+('Scénario référence'!$F$8+'Scénario référence'!$F$9)*10)</f>
        <v>10</v>
      </c>
      <c r="GR60" s="12" t="e">
        <f>VLOOKUP(A60,'Données projet'!$A$269:$I$289,2,0)</f>
        <v>#N/A</v>
      </c>
      <c r="GS60" s="12" t="e">
        <f>VLOOKUP(A60,'Données projet'!$A$269:$I$289,9,0)</f>
        <v>#N/A</v>
      </c>
      <c r="GT60" s="12">
        <f t="array" ref="GT60">INDEX(GS:GS,MIN(IF(ISNUMBER(GS60:GS256),ROW(GS60:GS256),"")))</f>
        <v>8.374198717948719</v>
      </c>
      <c r="GU60" s="12">
        <f>IF('Données projet'!$A$270&gt;35,GU59+GT60-HC59,IF(A60&lt;'Données projet'!$A$270,$GR$205^A60,IF(A60='Données projet'!$A$270,'Données projet'!$B$270,GU59+GT60-HC59)))</f>
        <v>170.04326923076923</v>
      </c>
      <c r="GV60" s="17">
        <f>GU60*VLOOKUP('Données projet'!$B$18,Paramètres!$A$1:$I$89,3,0)*VLOOKUP('Données projet'!$B$18,Paramètres!$A$1:$I$89,5,0)</f>
        <v>183.03457499999999</v>
      </c>
      <c r="GW60" s="13">
        <f t="shared" si="51"/>
        <v>45.996664884099914</v>
      </c>
      <c r="GX60" s="20">
        <f t="shared" si="28"/>
        <v>398.89607613147399</v>
      </c>
      <c r="GY60" s="59">
        <f t="shared" si="29"/>
        <v>692.2294094648073</v>
      </c>
      <c r="GZ60" s="59">
        <f ca="1">AVERAGE(OFFSET($GY$3,0,0,'Données projet'!$E$18+1,1))-AVERAGE(OFFSET($H$3,0,0,'Données projet'!$E$18+1,1))</f>
        <v>286.77702855541287</v>
      </c>
      <c r="HA60" s="59">
        <f t="shared" si="52"/>
        <v>227.12211541860779</v>
      </c>
      <c r="HB60" s="15">
        <f>IF(ISNA(VLOOKUP(A60,'Données projet'!$A$269:$I$289,3,0)),0,VLOOKUP(A60,'Données projet'!$A$269:$I$289,3,0))</f>
        <v>0</v>
      </c>
      <c r="HC60" s="15">
        <f>IF(ISNA(VLOOKUP(A60,'Données projet'!$A$269:$I$289,4,0)),0,VLOOKUP(A60,'Données projet'!$A$269:$I$289,4,0))</f>
        <v>0</v>
      </c>
      <c r="HD60" s="16">
        <f>IF(ISNA(VLOOKUP(A60,'Données projet'!$A$269:$I$289,5,0)),0%,VLOOKUP(A60,'Données projet'!$A$269:$I$289,5,0)*VLOOKUP('Données projet'!$B$18,Paramètres!$A$1:$I$89,7,0))</f>
        <v>0</v>
      </c>
      <c r="HE60" s="16">
        <f>IF(ISNA(VLOOKUP(A60,'Données projet'!$A$269:$I$289,6,0)),0%,VLOOKUP(A60,'Données projet'!$A$269:$I$289,6,0)*VLOOKUP('Données projet'!$B$18,Paramètres!$A$1:$I$89,7,0))</f>
        <v>0</v>
      </c>
      <c r="HF60" s="16">
        <f>IF(ISNA(VLOOKUP(A60,'Données projet'!$A$269:$I$289,7,0)),0%,VLOOKUP(A60,'Données projet'!$A$269:$I$289,7,0))</f>
        <v>0</v>
      </c>
      <c r="HG60" s="21">
        <f>EXP(-LN(2)/35)*HG59+(1-EXP(-LN(2)/35))/(LN(2)/35)*HC60*HD60*VLOOKUP('Données projet'!$B$18,Paramètres!$A$1:$I$89,3,0)*0.475*44/12</f>
        <v>0</v>
      </c>
      <c r="HH60" s="21">
        <f>EXP(-LN(2)/25)*HH59+(1-EXP(-LN(2)/25))/(LN(2)/25)*Calculateur!HC60*Calculateur!HE60*VLOOKUP('Données projet'!$B$18,Paramètres!$A$1:$I$89,3,0)*0.475*44/12</f>
        <v>0</v>
      </c>
      <c r="HI60" s="21">
        <f>EXP(-LN(2)/2)*HI59+(1-EXP(-LN(2)/2))/(LN(2)/2)*HC60*HF60*VLOOKUP('Données projet'!$B$18,Paramètres!$A$1:$I$89,3,0)*0.475*44/12</f>
        <v>0</v>
      </c>
      <c r="HJ60" s="22">
        <f t="shared" si="30"/>
        <v>0</v>
      </c>
    </row>
    <row r="61" spans="1:218" x14ac:dyDescent="0.25">
      <c r="A61" s="10">
        <f t="shared" si="31"/>
        <v>58</v>
      </c>
      <c r="B61" s="73">
        <f>'Scénario référence'!$B$16*5+'Scénario référence'!$B$17*0+'Scénario référence'!$B$18*5</f>
        <v>0</v>
      </c>
      <c r="C61" s="19">
        <f>Calculateur!C60+'Scénario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51.573600000000042</v>
      </c>
      <c r="D61" s="11">
        <f t="shared" si="32"/>
        <v>15.01941293027533</v>
      </c>
      <c r="E6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61" s="11">
        <f>IF(OR('Scénario référence'!$F$8&gt;0,'Scénario référence'!$F$9&gt;0),('Scénario référence'!$F$8+'Scénario référence'!$F$9)*10,0)</f>
        <v>10</v>
      </c>
      <c r="G61" s="11">
        <f>'Scénario référence'!$B$8*B61*44/12+'Scénario référence'!$B$9*(C61+D61)/0.475*44/12+'Scénario référence'!$B$10*(C61+D61)/0.475*44/12+'Scénario référence'!$F$8*(C61+D61)/0.475*44/12+'Scénario référence'!$F$9*(C61+D61)/0.475*44/12</f>
        <v>514.05132788282742</v>
      </c>
      <c r="H61" s="67">
        <f t="shared" si="1"/>
        <v>409.31616418689623</v>
      </c>
      <c r="I61" s="70">
        <f>('Scénario référence'!$F$8+'Scénario référence'!$F$9+'Scénario référence'!$B$17+'Scénario référence'!$B$9+'Scénario référence'!$B$10)*70+IF((45+25*(1-EXP(-0.0175*A61)))&lt;70,'Scénario référence'!$B$16*(45+25*(1-EXP(-0.0175*A61))),70*'Scénario référence'!$B$16)+IF((32+38*(1-EXP(-0.0175*A61)))&lt;70,'Scénario référence'!$B$18*(32+38*(1-EXP(-0.0175*A61))),70*'Scénario référence'!$B$18)</f>
        <v>70</v>
      </c>
      <c r="J61" s="13">
        <f>IF(A61&gt;30,10,('Scénario référence'!$B$16+'Scénario référence'!$B$17+'Scénario référence'!$B$18+'Scénario référence'!$B$9+'Scénario référence'!$B$10)*A61*10/30+('Scénario référence'!$F$8+'Scénario référence'!$F$9)*10)</f>
        <v>10</v>
      </c>
      <c r="K61" s="12" t="e">
        <f>VLOOKUP(A61,'Données projet'!$A$35:$I$55,2,0)</f>
        <v>#N/A</v>
      </c>
      <c r="L61" s="12" t="e">
        <f>VLOOKUP(A61,'Données projet'!$A$35:$I$55,9,0)</f>
        <v>#N/A</v>
      </c>
      <c r="M61" s="12">
        <f t="array" ref="M61">INDEX(L:L,MIN(IF(ISNUMBER(L61:L257),ROW(L61:L257),"")))</f>
        <v>0</v>
      </c>
      <c r="N61" s="13">
        <f>IF('Données projet'!$A$36&gt;35,N60+M61-V60,IF(A61&lt;'Données projet'!$A$36,$K$205^A61,IF(A61='Données projet'!$A$36,'Données projet'!$B$36,N60+M61-V60)))</f>
        <v>-2.2737367544323206E-13</v>
      </c>
      <c r="O61" s="13">
        <f>N61*VLOOKUP('Données projet'!$B$9,Paramètres!$A$1:$I$89,3,0)*VLOOKUP('Données projet'!$B$9,Paramètres!$A$1:$I$89,5,0)</f>
        <v>-1.2710188457276673E-13</v>
      </c>
      <c r="P61" s="13" t="e">
        <f t="shared" si="33"/>
        <v>#NUM!</v>
      </c>
      <c r="Q61" s="20" t="e">
        <f t="shared" si="53"/>
        <v>#NUM!</v>
      </c>
      <c r="R61" s="59" t="e">
        <f t="shared" si="0"/>
        <v>#NUM!</v>
      </c>
      <c r="S61" s="59">
        <f ca="1">AVERAGE(OFFSET($R$3,0,0,'Données projet'!$E$9+1,1))-AVERAGE(OFFSET($H$3,0,0,'Données projet'!$E$9+1,1))</f>
        <v>255.5374979188561</v>
      </c>
      <c r="T61" s="59">
        <f t="shared" si="34"/>
        <v>343.10418468620901</v>
      </c>
      <c r="U61" s="15">
        <f>IF(ISNA(VLOOKUP(A61,'Données projet'!$A$35:$I$55,3,0)),0,VLOOKUP(A61,'Données projet'!$A$35:$I$55,3,0))</f>
        <v>0</v>
      </c>
      <c r="V61" s="15">
        <f>IF(ISNA(VLOOKUP(A61,'Données projet'!$A$35:$I$55,4,0)),0,VLOOKUP(A61,'Données projet'!$A$35:$I$55,4,0))</f>
        <v>0</v>
      </c>
      <c r="W61" s="16">
        <f>IF(ISNA(VLOOKUP(A61,'Données projet'!$A$35:$I$55,5,0)),0%,VLOOKUP(A61,'Données projet'!$A$35:$I$55,5,0)*VLOOKUP('Données projet'!$B$9,Paramètres!$A$1:$I$89,7,0))</f>
        <v>0</v>
      </c>
      <c r="X61" s="16">
        <f>IF(ISNA(VLOOKUP(A61,'Données projet'!$A$35:$I$55,6,0)),0%,VLOOKUP(A61,'Données projet'!$A$35:$I$55,6,0)*VLOOKUP('Données projet'!$B$9,Paramètres!$A$1:$I$89,7,0))</f>
        <v>0</v>
      </c>
      <c r="Y61" s="16">
        <f>IF(ISNA(VLOOKUP(A61,'Données projet'!$A$35:$I$55,7,0)),0%,VLOOKUP(A61,'Données projet'!$A$35:$I$55,7,0))</f>
        <v>0</v>
      </c>
      <c r="Z61" s="21">
        <f>EXP(-LN(2)/35)*Z60+(1-EXP(-LN(2)/35))/(LN(2)/35)*V61*W61*VLOOKUP('Données projet'!$B$9,Paramètres!$A$1:$I$89,3,0)*0.475*44/12</f>
        <v>1.7747624186553508</v>
      </c>
      <c r="AA61" s="21">
        <f>EXP(-LN(2)/25)*AA60+(1-EXP(-LN(2)/25))/(LN(2)/25)*Calculateur!V61*Calculateur!X61*VLOOKUP('Données projet'!$B$9,Paramètres!$A$1:$I$89,3,0)*0.475*44/12</f>
        <v>7.3432166762227675</v>
      </c>
      <c r="AB61" s="21">
        <f>EXP(-LN(2)/2)*AB60+(1-EXP(-LN(2)/2))/(LN(2)/2)*V61*Y61*VLOOKUP('Données projet'!$B$9,Paramètres!$A$1:$I$89,3,0)*0.475*44/12</f>
        <v>1.0331128414636634E-4</v>
      </c>
      <c r="AC61" s="22">
        <f t="shared" si="3"/>
        <v>9.1180824061622641</v>
      </c>
      <c r="AD61" s="13">
        <f>('Scénario référence'!$F$8+'Scénario référence'!$F$9+'Scénario référence'!$B$17+'Scénario référence'!$B$9+'Scénario référence'!$B$10)*70+IF((45+25*(1-EXP(-0.0175*A61)))&lt;70,'Scénario référence'!$B$16*(45+25*(1-EXP(-0.0175*A61))),70*'Scénario référence'!$B$16)+IF((32+38*(1-EXP(-0.0175*A61)))&lt;70,'Scénario référence'!$B$18*(32+38*(1-EXP(-0.0175*A61))),70*'Scénario référence'!$B$18)</f>
        <v>70</v>
      </c>
      <c r="AE61" s="13">
        <f>IF(A61&gt;30,10,('Scénario référence'!$B$16+'Scénario référence'!$B$17+'Scénario référence'!$B$18+'Scénario référence'!$B$9+'Scénario référence'!$B$10)*A61*10/30+('Scénario référence'!$F$8+'Scénario référence'!$F$9)*10)</f>
        <v>10</v>
      </c>
      <c r="AF61" s="12" t="e">
        <f>VLOOKUP(A61,'Données projet'!$A$61:$I$81,2,0)</f>
        <v>#N/A</v>
      </c>
      <c r="AG61" s="12" t="e">
        <f>VLOOKUP(A61,'Données projet'!$A$61:$I$81,9,0)</f>
        <v>#N/A</v>
      </c>
      <c r="AH61" s="12">
        <f t="array" ref="AH61">INDEX(AG:AG,MIN(IF(ISNUMBER(AG61:AG257),ROW(AG61:AG257),"")))</f>
        <v>10</v>
      </c>
      <c r="AI61" s="13">
        <f>IF('Données projet'!$A$62&gt;35,AI60+AH61-AQ60,IF(A61&lt;'Données projet'!$A$62,$AF$205^A61,IF(A61='Données projet'!$A$62,'Données projet'!$B$62,AI60+AH61-AQ60)))</f>
        <v>383.99999999999989</v>
      </c>
      <c r="AJ61" s="13">
        <f>AI61*VLOOKUP('Données projet'!$B$10,Paramètres!$A$1:$I$89,3,0)*VLOOKUP('Données projet'!$B$10,Paramètres!$A$1:$I$89,5,0)</f>
        <v>239.61599999999993</v>
      </c>
      <c r="AK61" s="13">
        <f t="shared" si="35"/>
        <v>58.356903313490157</v>
      </c>
      <c r="AL61" s="20">
        <f t="shared" si="4"/>
        <v>518.96947327099519</v>
      </c>
      <c r="AM61" s="59">
        <f t="shared" si="5"/>
        <v>812.30280660432845</v>
      </c>
      <c r="AN61" s="59">
        <f ca="1">AVERAGE(OFFSET($AM$3,0,0,'Données projet'!$E$10+1,1))-AVERAGE(OFFSET($H$3,0,0,'Données projet'!$E$10+1,1))</f>
        <v>261.78489480911571</v>
      </c>
      <c r="AO61" s="59">
        <f t="shared" si="36"/>
        <v>297.50513563712764</v>
      </c>
      <c r="AP61" s="15">
        <f>IF(ISNA(VLOOKUP(A61,'Données projet'!$A$61:$I$81,3,0)),0,VLOOKUP(A61,'Données projet'!$A$61:$I$81,3,0))</f>
        <v>0</v>
      </c>
      <c r="AQ61" s="15">
        <f>IF(ISNA(VLOOKUP(A61,'Données projet'!$A$61:$I$81,4,0)),0,VLOOKUP(A61,'Données projet'!$A$61:$I$81,4,0))</f>
        <v>0</v>
      </c>
      <c r="AR61" s="16">
        <f>IF(ISNA(VLOOKUP(A61,'Données projet'!$A$61:$I$81,5,0)),0%,VLOOKUP(A61,'Données projet'!$A$61:$I$81,5,0)*VLOOKUP('Données projet'!$B$10,Paramètres!$A$1:$I$89,7,0))</f>
        <v>0</v>
      </c>
      <c r="AS61" s="16">
        <f>IF(ISNA(VLOOKUP(A61,'Données projet'!$A$61:$I$81,6,0)),0%,VLOOKUP(A61,'Données projet'!$A$61:$I$81,6,0)*VLOOKUP('Données projet'!$B$10,Paramètres!$A$1:$I$89,7,0))</f>
        <v>0</v>
      </c>
      <c r="AT61" s="16">
        <f>IF(ISNA(VLOOKUP(A61,'Données projet'!$A$61:$I$81,7,0)),0%,VLOOKUP(A61,'Données projet'!$A$61:$I$81,7,0))</f>
        <v>0</v>
      </c>
      <c r="AU61" s="21">
        <f>EXP(-LN(2)/35)*AU60+(1-EXP(-LN(2)/35))/(LN(2)/35)*AQ61*AR61*VLOOKUP('Données projet'!$B$10,Paramètres!$A$1:$I$89,3,0)*0.475*44/12</f>
        <v>4.7923605195118322</v>
      </c>
      <c r="AV61" s="21">
        <f>EXP(-LN(2)/25)*AV60+(1-EXP(-LN(2)/25))/(LN(2)/25)*Calculateur!AQ61*Calculateur!AS61*VLOOKUP('Données projet'!$B$10,Paramètres!$A$1:$I$89,3,0)*0.475*44/12</f>
        <v>12.822754045580801</v>
      </c>
      <c r="AW61" s="21">
        <f>EXP(-LN(2)/2)*AW60+(1-EXP(-LN(2)/2))/(LN(2)/2)*AQ61*AT61*VLOOKUP('Données projet'!$B$10,Paramètres!$A$1:$I$89,3,0)*0.475*44/12</f>
        <v>1.4893305137275317E-3</v>
      </c>
      <c r="AX61" s="21">
        <f t="shared" si="6"/>
        <v>17.61660389560636</v>
      </c>
      <c r="AY61" s="74">
        <f>('Scénario référence'!$F$8+'Scénario référence'!$F$9+'Scénario référence'!$B$17+'Scénario référence'!$B$9+'Scénario référence'!$B$10)*70+IF((45+25*(1-EXP(-0.0175*A61)))&lt;70,'Scénario référence'!$B$16*(45+25*(1-EXP(-0.0175*A61))),70*'Scénario référence'!$B$16)+IF((32+38*(1-EXP(-0.0175*A61)))&lt;70,'Scénario référence'!$B$18*(32+38*(1-EXP(-0.0175*A61))),70*'Scénario référence'!$B$18)</f>
        <v>70</v>
      </c>
      <c r="AZ61" s="12">
        <f>IF(A61&gt;30,10,('Scénario référence'!$B$16+'Scénario référence'!$B$17+'Scénario référence'!$B$18+'Scénario référence'!$B$9+'Scénario référence'!$B$10)*A61*10/30+('Scénario référence'!$F$8+'Scénario référence'!$F$9)*10)</f>
        <v>10</v>
      </c>
      <c r="BA61" s="12" t="e">
        <f>VLOOKUP(A61,'Données projet'!$A$87:$I$107,2,0)</f>
        <v>#N/A</v>
      </c>
      <c r="BB61" s="12" t="e">
        <f>VLOOKUP(A61,'Données projet'!$A$87:$I$107,9,0)</f>
        <v>#N/A</v>
      </c>
      <c r="BC61" s="12">
        <f t="array" ref="BC61">INDEX(BB:BB,MIN(IF(ISNUMBER(BB61:BB257),ROW(BB61:BB257),"")))</f>
        <v>18</v>
      </c>
      <c r="BD61" s="12">
        <f>IF('Données projet'!$A$88&gt;35,BD60+BC61-BL60,IF(A61&lt;'Données projet'!$A$88,$BA$205^A61,IF(A61='Données projet'!$A$88,'Données projet'!$B$88,BD60+BC61-BL60)))</f>
        <v>471.99999999999972</v>
      </c>
      <c r="BE61" s="13">
        <f>BD61*VLOOKUP('Données projet'!$B$11,Paramètres!$A$1:$I$89,3,0)*VLOOKUP('Données projet'!$B$11,Paramètres!$A$1:$I$89,5,0)</f>
        <v>282.25599999999986</v>
      </c>
      <c r="BF61" s="13">
        <f t="shared" si="37"/>
        <v>67.443543636985055</v>
      </c>
      <c r="BG61" s="20">
        <f t="shared" si="7"/>
        <v>609.06003850108198</v>
      </c>
      <c r="BH61" s="59">
        <f t="shared" si="8"/>
        <v>902.39337183441535</v>
      </c>
      <c r="BI61" s="59">
        <f ca="1">AVERAGE(OFFSET($BH$3,0,0,'Données projet'!$E$11+1,1))-AVERAGE(OFFSET($H$3,0,0,'Données projet'!$E$11+1,1))</f>
        <v>316.58509520829671</v>
      </c>
      <c r="BJ61" s="59">
        <f t="shared" si="38"/>
        <v>240.71332110643596</v>
      </c>
      <c r="BK61" s="15">
        <f>IF(ISNA(VLOOKUP(A61,'Données projet'!$A$87:$I$107,3,0)),0,VLOOKUP(A61,'Données projet'!$A$87:$I$107,3,0))</f>
        <v>0</v>
      </c>
      <c r="BL61" s="15">
        <f>IF(ISNA(VLOOKUP(A61,'Données projet'!$A$87:$I$107,4,0)),0,VLOOKUP(A61,'Données projet'!$A$87:$I$107,4,0))</f>
        <v>0</v>
      </c>
      <c r="BM61" s="16">
        <f>IF(ISNA(VLOOKUP(A61,'Données projet'!$A$87:$I$107,5,0)),0%,VLOOKUP(A61,'Données projet'!$A$87:$I$107,5,0)*VLOOKUP('Données projet'!$B$11,Paramètres!$A$1:$I$89,7,0))</f>
        <v>0</v>
      </c>
      <c r="BN61" s="16">
        <f>IF(ISNA(VLOOKUP(A61,'Données projet'!$A$87:$I$107,6,0)),0%,VLOOKUP(A61,'Données projet'!$A$87:$I$107,6,0)*VLOOKUP('Données projet'!$B$11,Paramètres!$A$1:$I$89,7,0))</f>
        <v>0</v>
      </c>
      <c r="BO61" s="16">
        <f>IF(ISNA(VLOOKUP(A61,'Données projet'!$A$87:$I$107,7,0)),0%,VLOOKUP(A61,'Données projet'!$A$87:$I$107,7,0))</f>
        <v>0</v>
      </c>
      <c r="BP61" s="21">
        <f>EXP(-LN(2)/35)*BP60+(1-EXP(-LN(2)/35))/(LN(2)/35)*BL61*BM61*VLOOKUP('Données projet'!$B$11,Paramètres!$A$1:$I$89,3,0)*0.475*44/12</f>
        <v>1.4557151652460609</v>
      </c>
      <c r="BQ61" s="21">
        <f>EXP(-LN(2)/25)*BQ60+(1-EXP(-LN(2)/25))/(LN(2)/25)*Calculateur!BL61*Calculateur!BN61*VLOOKUP('Données projet'!$B$11,Paramètres!$A$1:$I$89,3,0)*0.475*44/12</f>
        <v>7.0246788094687806</v>
      </c>
      <c r="BR61" s="21">
        <f>EXP(-LN(2)/2)*BR60+(1-EXP(-LN(2)/2))/(LN(2)/2)*BL61*BO61*VLOOKUP('Données projet'!$B$11,Paramètres!$A$1:$I$89,3,0)*0.475*44/12</f>
        <v>1.3390712323084004E-3</v>
      </c>
      <c r="BS61" s="22">
        <f t="shared" si="9"/>
        <v>8.4817330459471503</v>
      </c>
      <c r="BT61" s="75">
        <f>('Scénario référence'!$F$8+'Scénario référence'!$F$9+'Scénario référence'!$B$17+'Scénario référence'!$B$9+'Scénario référence'!$B$10)*70+IF((45+25*(1-EXP(-0.0175*A61)))&lt;70,'Scénario référence'!$B$16*(45+25*(1-EXP(-0.0175*A61))),70*'Scénario référence'!$B$16)+IF((32+38*(1-EXP(-0.0175*A61)))&lt;70,'Scénario référence'!$B$18*(32+38*(1-EXP(-0.0175*A61))),70*'Scénario référence'!$B$18)</f>
        <v>70</v>
      </c>
      <c r="BU61" s="12">
        <f>IF(A61&gt;30,10,('Scénario référence'!$B$16+'Scénario référence'!$B$17+'Scénario référence'!$B$18+'Scénario référence'!$B$9+'Scénario référence'!$B$10)*A61*10/30+('Scénario référence'!$F$8+'Scénario référence'!$F$9)*10)</f>
        <v>10</v>
      </c>
      <c r="BV61" s="12" t="e">
        <f>VLOOKUP(A61,'Données projet'!$A$113:$I$133,2,0)</f>
        <v>#N/A</v>
      </c>
      <c r="BW61" s="12" t="e">
        <f>VLOOKUP(A61,'Données projet'!$A$113:$I$133,9,0)</f>
        <v>#N/A</v>
      </c>
      <c r="BX61" s="12">
        <f t="array" ref="BX61">INDEX(BW:BW,MIN(IF(ISNUMBER(BW61:BW257),ROW(BW61:BW257),"")))</f>
        <v>9.5</v>
      </c>
      <c r="BY61" s="12">
        <f>IF('Données projet'!$A$114&gt;35,BY60+BX61-CG60,IF(A61&lt;'Données projet'!$A$114,$BV$205^A61,IF(A61='Données projet'!$A$114,'Données projet'!$B$114,BY60+BX61-CG60)))</f>
        <v>320.99999999999977</v>
      </c>
      <c r="BZ61" s="13">
        <f>BY61*VLOOKUP('Données projet'!$B$12,Paramètres!$A$1:$I$89,3,0)*VLOOKUP('Données projet'!$B$12,Paramètres!$A$1:$I$89,5,0)</f>
        <v>183.61199999999988</v>
      </c>
      <c r="CA61" s="13">
        <f t="shared" si="39"/>
        <v>46.124858041839296</v>
      </c>
      <c r="CB61" s="20">
        <f t="shared" si="10"/>
        <v>400.12502775620322</v>
      </c>
      <c r="CC61" s="59">
        <f t="shared" si="11"/>
        <v>693.45836108953654</v>
      </c>
      <c r="CD61" s="59">
        <f ca="1">AVERAGE(OFFSET($CC$3,0,0,'Données projet'!$E$12+1,1))-AVERAGE(OFFSET($H$3,0,0,'Données projet'!$E$12+1,1))</f>
        <v>188.64374818906128</v>
      </c>
      <c r="CE61" s="59">
        <f t="shared" si="40"/>
        <v>211.95157880548652</v>
      </c>
      <c r="CF61" s="15">
        <f>IF(ISNA(VLOOKUP(A61,'Données projet'!$A$113:$I$133,3,0)),0,VLOOKUP(A61,'Données projet'!$A$113:$I$133,3,0))</f>
        <v>0</v>
      </c>
      <c r="CG61" s="15">
        <f>IF(ISNA(VLOOKUP(A61,'Données projet'!$A$113:$I$133,4,0)),0,VLOOKUP(A61,'Données projet'!$A$113:$I$133,4,0))</f>
        <v>0</v>
      </c>
      <c r="CH61" s="16">
        <f>IF(ISNA(VLOOKUP(A61,'Données projet'!$A$113:$I$133,5,0)),0%,VLOOKUP(A61,'Données projet'!$A$113:$I$133,5,0)*VLOOKUP('Données projet'!$B$12,Paramètres!$A$1:$I$89,7,0))</f>
        <v>0</v>
      </c>
      <c r="CI61" s="16">
        <f>IF(ISNA(VLOOKUP(A61,'Données projet'!$A$113:$I$133,6,0)),0%,VLOOKUP(A61,'Données projet'!$A$113:$I$133,6,0)*VLOOKUP('Données projet'!$B$12,Paramètres!$A$1:$I$89,7,0))</f>
        <v>0</v>
      </c>
      <c r="CJ61" s="16">
        <f>IF(ISNA(VLOOKUP(A61,'Données projet'!$A$113:$I$133,7,0)),0%,VLOOKUP(A61,'Données projet'!$A$113:$I$133,7,0))</f>
        <v>0</v>
      </c>
      <c r="CK61" s="21">
        <f>EXP(-LN(2)/35)*CK60+(1-EXP(-LN(2)/35))/(LN(2)/35)*CG61*CH61*VLOOKUP('Données projet'!$B$12,Paramètres!$A$1:$I$89,3,0)*0.475*44/12</f>
        <v>1.4120347959275936</v>
      </c>
      <c r="CL61" s="21">
        <f>EXP(-LN(2)/25)*CL60+(1-EXP(-LN(2)/25))/(LN(2)/25)*Calculateur!CG61*Calculateur!CI61*VLOOKUP('Données projet'!$B$12,Paramètres!$A$1:$I$89,3,0)*0.475*44/12</f>
        <v>6.6117867465828404</v>
      </c>
      <c r="CM61" s="21">
        <f>EXP(-LN(2)/2)*CM60+(1-EXP(-LN(2)/2))/(LN(2)/2)*CG61*CJ61*VLOOKUP('Données projet'!$B$12,Paramètres!$A$1:$I$89,3,0)*0.475*44/12</f>
        <v>1.2967857180014796E-3</v>
      </c>
      <c r="CN61" s="22">
        <f t="shared" si="12"/>
        <v>8.0251183282284355</v>
      </c>
      <c r="CO61" s="75">
        <f>('Scénario référence'!$F$8+'Scénario référence'!$F$9+'Scénario référence'!$B$17+'Scénario référence'!$B$9+'Scénario référence'!$B$10)*70+IF((45+25*(1-EXP(-0.0175*A61)))&lt;70,'Scénario référence'!$B$16*(45+25*(1-EXP(-0.0175*A61))),70*'Scénario référence'!$B$16)+IF((32+38*(1-EXP(-0.0175*A61)))&lt;70,'Scénario référence'!$B$18*(32+38*(1-EXP(-0.0175*A61))),70*'Scénario référence'!$B$18)</f>
        <v>70</v>
      </c>
      <c r="CP61" s="12">
        <f>IF(A61&gt;30,10,('Scénario référence'!$B$16+'Scénario référence'!$B$17+'Scénario référence'!$B$18+'Scénario référence'!$B$9+'Scénario référence'!$B$10)*A61*10/30+('Scénario référence'!$F$8+'Scénario référence'!$F$9)*10)</f>
        <v>10</v>
      </c>
      <c r="CQ61" s="12" t="e">
        <f>VLOOKUP(A61,'Données projet'!$A$139:$I$159,2,0)</f>
        <v>#N/A</v>
      </c>
      <c r="CR61" s="12" t="e">
        <f>VLOOKUP(A61,'Données projet'!$A$139:$I$159,9,0)</f>
        <v>#N/A</v>
      </c>
      <c r="CS61" s="12">
        <f t="array" ref="CS61">INDEX(CR:CR,MIN(IF(ISNUMBER(CR61:CR257),ROW(CR61:CR257),"")))</f>
        <v>0</v>
      </c>
      <c r="CT61" s="12">
        <f>IF('Données projet'!$A$140&gt;35,CT60+CS61-DB60,IF(A61&lt;'Données projet'!$A$140,$CQ$205^A61,IF(A61='Données projet'!$A$140,'Données projet'!$B$140,CT60+CS61-DB60)))</f>
        <v>0</v>
      </c>
      <c r="CU61" s="17" t="e">
        <f>CT61*VLOOKUP('Données projet'!$B$13,Paramètres!$A$1:$I$89,3,0)*VLOOKUP('Données projet'!$B$13,Paramètres!$A$1:$I$89,5,0)</f>
        <v>#N/A</v>
      </c>
      <c r="CV61" s="13" t="e">
        <f t="shared" si="41"/>
        <v>#N/A</v>
      </c>
      <c r="CW61" s="20" t="e">
        <f t="shared" si="13"/>
        <v>#N/A</v>
      </c>
      <c r="CX61" s="59" t="e">
        <f t="shared" si="14"/>
        <v>#N/A</v>
      </c>
      <c r="CY61" s="59" t="e">
        <f ca="1">AVERAGE(OFFSET($CX$3,0,0,'Données projet'!$E$13+1,1))-AVERAGE(OFFSET($H$3,0,0,'Données projet'!$E$13+1,1))</f>
        <v>#N/A</v>
      </c>
      <c r="CZ61" s="59" t="e">
        <f t="shared" si="42"/>
        <v>#N/A</v>
      </c>
      <c r="DA61" s="15">
        <f>IF(ISNA(VLOOKUP(A61,'Données projet'!$A$139:$I$159,3,0)),0,VLOOKUP(A61,'Données projet'!$A$139:$I$159,3,0))</f>
        <v>0</v>
      </c>
      <c r="DB61" s="15">
        <f>IF(ISNA(VLOOKUP(A61,'Données projet'!$A$139:$I$159,4,0)),0,VLOOKUP(A61,'Données projet'!$A$139:$I$159,4,0))</f>
        <v>0</v>
      </c>
      <c r="DC61" s="16">
        <f>IF(ISNA(VLOOKUP(A61,'Données projet'!$A$139:$I$159,5,0)),0%,VLOOKUP(A61,'Données projet'!$A$139:$I$159,5,0)*VLOOKUP('Données projet'!$B$13,Paramètres!$A$1:$I$89,7,0))</f>
        <v>0</v>
      </c>
      <c r="DD61" s="16">
        <f>IF(ISNA(VLOOKUP(A61,'Données projet'!$A$139:$I$159,6,0)),0%,VLOOKUP(A61,'Données projet'!$A$139:$I$159,6,0)*VLOOKUP('Données projet'!$B$13,Paramètres!$A$1:$I$89,7,0))</f>
        <v>0</v>
      </c>
      <c r="DE61" s="16">
        <f>IF(ISNA(VLOOKUP(A61,'Données projet'!$A$139:$I$159,7,0)),0%,VLOOKUP(A61,'Données projet'!$A$139:$I$159,7,0))</f>
        <v>0</v>
      </c>
      <c r="DF61" s="21" t="e">
        <f>EXP(-LN(2)/35)*DF60+(1-EXP(-LN(2)/35))/(LN(2)/35)*DB61*DC61*VLOOKUP('Données projet'!$B$13,Paramètres!$A$1:$I$89,3,0)*0.475*44/12</f>
        <v>#N/A</v>
      </c>
      <c r="DG61" s="21" t="e">
        <f>EXP(-LN(2)/25)*DG60+(1-EXP(-LN(2)/25))/(LN(2)/25)*Calculateur!DB61*Calculateur!DD61*VLOOKUP('Données projet'!$B$13,Paramètres!$A$1:$I$89,3,0)*0.475*44/12</f>
        <v>#N/A</v>
      </c>
      <c r="DH61" s="21" t="e">
        <f>EXP(-LN(2)/2)*DH60+(1-EXP(-LN(2)/2))/(LN(2)/2)*DB61*DE61*VLOOKUP('Données projet'!$B$13,Paramètres!$A$1:$I$89,3,0)*0.475*44/12</f>
        <v>#N/A</v>
      </c>
      <c r="DI61" s="22" t="e">
        <f t="shared" si="15"/>
        <v>#N/A</v>
      </c>
      <c r="DJ61" s="75">
        <f>('Scénario référence'!$F$8+'Scénario référence'!$F$9+'Scénario référence'!$B$17+'Scénario référence'!$B$9+'Scénario référence'!$B$10)*70+IF((45+25*(1-EXP(-0.0175*A61)))&lt;70,'Scénario référence'!$B$16*(45+25*(1-EXP(-0.0175*A61))),70*'Scénario référence'!$B$16)+IF((32+38*(1-EXP(-0.0175*A61)))&lt;70,'Scénario référence'!$B$18*(32+38*(1-EXP(-0.0175*A61))),70*'Scénario référence'!$B$18)</f>
        <v>70</v>
      </c>
      <c r="DK61" s="12">
        <f>IF(A61&gt;30,10,('Scénario référence'!$B$16+'Scénario référence'!$B$17+'Scénario référence'!$B$18+'Scénario référence'!$B$9+'Scénario référence'!$B$10)*A61*10/30+('Scénario référence'!$F$8+'Scénario référence'!$F$9)*10)</f>
        <v>10</v>
      </c>
      <c r="DL61" s="12" t="e">
        <f>VLOOKUP(A61,'Données projet'!$A$165:$I$185,2,0)</f>
        <v>#N/A</v>
      </c>
      <c r="DM61" s="12" t="e">
        <f>VLOOKUP(A61,'Données projet'!$A$165:$I$185,9,0)</f>
        <v>#N/A</v>
      </c>
      <c r="DN61" s="12">
        <f t="array" ref="DN61">INDEX(DM:DM,MIN(IF(ISNUMBER(DM61:DM257),ROW(DM61:DM257),"")))</f>
        <v>6.6</v>
      </c>
      <c r="DO61" s="12">
        <f>IF('Données projet'!$A$166&gt;35,DO60+DN61-DW60,IF(A61&lt;'Données projet'!$A$166,$DL$205^A61,IF(A61='Données projet'!$A$166,'Données projet'!$B$166,DO60+DN61-DW60)))</f>
        <v>271.80000000000007</v>
      </c>
      <c r="DP61" s="17">
        <f>DO61*VLOOKUP('Données projet'!$B$14,Paramètres!$A$1:$I$89,3,0)*VLOOKUP('Données projet'!$B$14,Paramètres!$A$1:$I$89,5,0)</f>
        <v>178.08336000000003</v>
      </c>
      <c r="DQ61" s="13">
        <f t="shared" si="43"/>
        <v>44.895503769043486</v>
      </c>
      <c r="DR61" s="20">
        <f t="shared" si="16"/>
        <v>388.35485439775078</v>
      </c>
      <c r="DS61" s="59">
        <f t="shared" si="17"/>
        <v>681.6881877310841</v>
      </c>
      <c r="DT61" s="59">
        <f ca="1">AVERAGE(OFFSET($DS$3,0,0,'Données projet'!$E$14+1,1))-AVERAGE(OFFSET($H$3,0,0,'Données projet'!$E$14+1,1))</f>
        <v>188.68915783955595</v>
      </c>
      <c r="DU61" s="59">
        <f t="shared" si="44"/>
        <v>240.82467772396944</v>
      </c>
      <c r="DV61" s="15">
        <f>IF(ISNA(VLOOKUP(A61,'Données projet'!$A$165:$I$185,3,0)),0,VLOOKUP(A61,'Données projet'!$A$165:$I$185,3,0))</f>
        <v>0</v>
      </c>
      <c r="DW61" s="15">
        <f>IF(ISNA(VLOOKUP(A61,'Données projet'!$A$165:$I$185,4,0)),0,VLOOKUP(A61,'Données projet'!$A$165:$I$185,4,0))</f>
        <v>0</v>
      </c>
      <c r="DX61" s="16">
        <f>IF(ISNA(VLOOKUP(A61,'Données projet'!$A$165:$I$185,5,0)),0%,VLOOKUP(A61,'Données projet'!$A$165:$I$185,5,0)*VLOOKUP('Données projet'!$B$14,Paramètres!$A$1:$I$89,7,0))</f>
        <v>0</v>
      </c>
      <c r="DY61" s="16">
        <f>IF(ISNA(VLOOKUP(A61,'Données projet'!$A$165:$I$185,6,0)),0%,VLOOKUP(A61,'Données projet'!$A$165:$I$185,6,0)*VLOOKUP('Données projet'!$B$14,Paramètres!$A$1:$I$89,7,0))</f>
        <v>0</v>
      </c>
      <c r="DZ61" s="16">
        <f>IF(ISNA(VLOOKUP(A61,'Données projet'!$A$165:$I$185,7,0)),0%,VLOOKUP(A61,'Données projet'!$A$165:$I$185,7,0))</f>
        <v>0</v>
      </c>
      <c r="EA61" s="21">
        <f>EXP(-LN(2)/35)*EA60+(1-EXP(-LN(2)/35))/(LN(2)/35)*DW61*DX61*VLOOKUP('Données projet'!$B$14,Paramètres!$A$1:$I$89,3,0)*0.475*44/12</f>
        <v>0.89440756223528117</v>
      </c>
      <c r="EB61" s="21">
        <f>EXP(-LN(2)/25)*EB60+(1-EXP(-LN(2)/25))/(LN(2)/25)*Calculateur!DW61*Calculateur!DY61*VLOOKUP('Données projet'!$B$14,Paramètres!$A$1:$I$89,3,0)*0.475*44/12</f>
        <v>3.6982476222725862</v>
      </c>
      <c r="EC61" s="21">
        <f>EXP(-LN(2)/2)*EC60+(1-EXP(-LN(2)/2))/(LN(2)/2)*DW61*DZ61*VLOOKUP('Données projet'!$B$14,Paramètres!$A$1:$I$89,3,0)*0.475*44/12</f>
        <v>8.5427294837689741E-4</v>
      </c>
      <c r="ED61" s="22">
        <f t="shared" si="18"/>
        <v>4.5935094574562445</v>
      </c>
      <c r="EE61" s="75">
        <f>('Scénario référence'!$F$8+'Scénario référence'!$F$9+'Scénario référence'!$B$17+'Scénario référence'!$B$9+'Scénario référence'!$B$10)*70+IF((45+25*(1-EXP(-0.0175*A61)))&lt;70,'Scénario référence'!$B$16*(45+25*(1-EXP(-0.0175*A61))),70*'Scénario référence'!$B$16)+IF((32+38*(1-EXP(-0.0175*A61)))&lt;70,'Scénario référence'!$B$18*(32+38*(1-EXP(-0.0175*A61))),70*'Scénario référence'!$B$18)</f>
        <v>70</v>
      </c>
      <c r="EF61" s="12">
        <f>IF(A61&gt;30,10,('Scénario référence'!$B$16+'Scénario référence'!$B$17+'Scénario référence'!$B$18+'Scénario référence'!$B$9+'Scénario référence'!$B$10)*A61*10/30+('Scénario référence'!$F$8+'Scénario référence'!$F$9)*10)</f>
        <v>10</v>
      </c>
      <c r="EG61" s="12" t="e">
        <f>VLOOKUP(A61,'Données projet'!$A$191:$I$211,2,0)</f>
        <v>#N/A</v>
      </c>
      <c r="EH61" s="12" t="e">
        <f>VLOOKUP(A61,'Données projet'!$A$191:$I$211,9,0)</f>
        <v>#N/A</v>
      </c>
      <c r="EI61" s="12">
        <f t="array" ref="EI61">INDEX(EH:EH,MIN(IF(ISNUMBER(EH61:EH257),ROW(EH61:EH257),"")))</f>
        <v>6.4</v>
      </c>
      <c r="EJ61" s="12">
        <f>IF('Données projet'!$A$192&gt;35,EJ60+EI61-ER60,IF(A61&lt;'Données projet'!$A$192,$EG$205^A61,IF(A61='Données projet'!$A$192,'Données projet'!$B$192,EJ60+EI61-ER60)))</f>
        <v>237.19999999999996</v>
      </c>
      <c r="EK61" s="17">
        <f>EJ61*VLOOKUP('Données projet'!$B$15,Paramètres!$A$1:$I$89,3,0)*VLOOKUP('Données projet'!$B$15,Paramètres!$A$1:$I$89,5,0)</f>
        <v>192.41663999999997</v>
      </c>
      <c r="EL61" s="13">
        <f t="shared" si="45"/>
        <v>48.073843995796572</v>
      </c>
      <c r="EM61" s="20">
        <f t="shared" si="19"/>
        <v>418.85425962601227</v>
      </c>
      <c r="EN61" s="59">
        <f t="shared" si="20"/>
        <v>712.18759295934558</v>
      </c>
      <c r="EO61" s="59">
        <f ca="1">AVERAGE(OFFSET($EN$3,0,0,'Données projet'!$E$15+1,1))-AVERAGE(OFFSET($H$3,0,0,'Données projet'!$E$15+1,1))</f>
        <v>205.5272583787887</v>
      </c>
      <c r="EP61" s="59">
        <f t="shared" si="46"/>
        <v>180.54762778843178</v>
      </c>
      <c r="EQ61" s="15">
        <f>IF(ISNA(VLOOKUP(A61,'Données projet'!$A$191:$I$211,3,0)),0,VLOOKUP(A61,'Données projet'!$A$191:$I$211,3,0))</f>
        <v>0</v>
      </c>
      <c r="ER61" s="15">
        <f>IF(ISNA(VLOOKUP(A61,'Données projet'!$A$191:$I$211,4,0)),0,VLOOKUP(A61,'Données projet'!$A$191:$I$211,4,0))</f>
        <v>0</v>
      </c>
      <c r="ES61" s="16">
        <f>IF(ISNA(VLOOKUP(A61,'Données projet'!$A$191:$I$211,5,0)),0%,VLOOKUP(A61,'Données projet'!$A$191:$I$211,5,0)*VLOOKUP('Données projet'!$B$15,Paramètres!$A$1:$I$89,7,0))</f>
        <v>0</v>
      </c>
      <c r="ET61" s="16">
        <f>IF(ISNA(VLOOKUP(A61,'Données projet'!$A$191:$I$211,6,0)),0%,VLOOKUP(A61,'Données projet'!$A$191:$I$211,6,0)*VLOOKUP('Données projet'!$B$15,Paramètres!$A$1:$I$89,7,0))</f>
        <v>0</v>
      </c>
      <c r="EU61" s="16">
        <f>IF(ISNA(VLOOKUP(A61,'Données projet'!$A$191:$I$211,7,0)),0%,VLOOKUP(A61,'Données projet'!$A$191:$I$211,7,0))</f>
        <v>0</v>
      </c>
      <c r="EV61" s="21">
        <f>EXP(-LN(2)/35)*EV60+(1-EXP(-LN(2)/35))/(LN(2)/35)*ER61*ES61*VLOOKUP('Données projet'!$B$15,Paramètres!$A$1:$I$89,3,0)*0.475*44/12</f>
        <v>0.57582810673433338</v>
      </c>
      <c r="EW61" s="21">
        <f>EXP(-LN(2)/25)*EW60+(1-EXP(-LN(2)/25))/(LN(2)/25)*Calculateur!ER61*Calculateur!ET61*VLOOKUP('Données projet'!$B$15,Paramètres!$A$1:$I$89,3,0)*0.475*44/12</f>
        <v>2.6702469731907912</v>
      </c>
      <c r="EX61" s="21">
        <f>EXP(-LN(2)/2)*EX60+(1-EXP(-LN(2)/2))/(LN(2)/2)*ER61*EU61*VLOOKUP('Données projet'!$B$15,Paramètres!$A$1:$I$89,3,0)*0.475*44/12</f>
        <v>5.5314236574584611E-4</v>
      </c>
      <c r="EY61" s="22">
        <f t="shared" si="21"/>
        <v>3.2466282222908704</v>
      </c>
      <c r="EZ61" s="75">
        <f>('Scénario référence'!$F$8+'Scénario référence'!$F$9+'Scénario référence'!$B$17+'Scénario référence'!$B$9+'Scénario référence'!$B$10)*70+IF((45+25*(1-EXP(-0.0175*A61)))&lt;70,'Scénario référence'!$B$16*(45+25*(1-EXP(-0.0175*A61))),70*'Scénario référence'!$B$16)+IF((32+38*(1-EXP(-0.0175*A61)))&lt;70,'Scénario référence'!$B$18*(32+38*(1-EXP(-0.0175*A61))),70*'Scénario référence'!$B$18)</f>
        <v>70</v>
      </c>
      <c r="FA61" s="12">
        <f>IF(A61&gt;30,10,('Scénario référence'!$B$16+'Scénario référence'!$B$17+'Scénario référence'!$B$18+'Scénario référence'!$B$9+'Scénario référence'!$B$10)*A61*10/30+('Scénario référence'!$F$8+'Scénario référence'!$F$9)*10)</f>
        <v>10</v>
      </c>
      <c r="FB61" s="12" t="e">
        <f>VLOOKUP(A61,'Données projet'!$A$217:$I$237,2,0)</f>
        <v>#N/A</v>
      </c>
      <c r="FC61" s="12" t="e">
        <f>VLOOKUP(A61,'Données projet'!$A$217:$I$237,9,0)</f>
        <v>#N/A</v>
      </c>
      <c r="FD61" s="12">
        <f t="array" ref="FD61">INDEX(FC:FC,MIN(IF(ISNUMBER(FC61:FC257),ROW(FC61:FC257),"")))</f>
        <v>13.4</v>
      </c>
      <c r="FE61" s="12">
        <f>IF('Données projet'!$A$218&gt;35,FE60+FD61-FM60,IF(A61&lt;'Données projet'!$A$218,$FB$205^A61,IF(A61='Données projet'!$A$218,'Données projet'!$B$218,FE60+FD61-FM60)))</f>
        <v>306.2</v>
      </c>
      <c r="FF61" s="17">
        <f>FE61*VLOOKUP('Données projet'!$B$16,Paramètres!$A$1:$I$89,3,0)*VLOOKUP('Données projet'!$B$16,Paramètres!$A$1:$I$89,5,0)</f>
        <v>262.71960000000001</v>
      </c>
      <c r="FG61" s="13">
        <f t="shared" si="47"/>
        <v>63.301735230296927</v>
      </c>
      <c r="FH61" s="20">
        <f t="shared" si="22"/>
        <v>567.82049219276712</v>
      </c>
      <c r="FI61" s="59">
        <f t="shared" si="23"/>
        <v>861.15382552610049</v>
      </c>
      <c r="FJ61" s="59">
        <f ca="1">AVERAGE(OFFSET($FI$3,0,0,'Données projet'!$E$16+1,1))-AVERAGE(OFFSET($H$3,0,0,'Données projet'!$E$16+1,1))</f>
        <v>383.97627237444709</v>
      </c>
      <c r="FK61" s="59">
        <f t="shared" si="48"/>
        <v>203.35476578922339</v>
      </c>
      <c r="FL61" s="15">
        <f>IF(ISNA(VLOOKUP(A61,'Données projet'!$A$217:$I$237,3,0)),0,VLOOKUP(A61,'Données projet'!$A$217:$I$237,3,0))</f>
        <v>0</v>
      </c>
      <c r="FM61" s="15">
        <f>IF(ISNA(VLOOKUP(A61,'Données projet'!$A$217:$I$237,4,0)),0,VLOOKUP(A61,'Données projet'!$A$217:$I$237,4,0))</f>
        <v>0</v>
      </c>
      <c r="FN61" s="16">
        <f>IF(ISNA(VLOOKUP(A61,'Données projet'!$A$217:$I$237,5,0)),0%,VLOOKUP(A61,'Données projet'!$A$217:$I$237,5,0)*VLOOKUP('Données projet'!$B$16,Paramètres!$A$1:$I$89,7,0))</f>
        <v>0</v>
      </c>
      <c r="FO61" s="16">
        <f>IF(ISNA(VLOOKUP(A61,'Données projet'!$A$217:$I$237,6,0)),0%,VLOOKUP(A61,'Données projet'!$A$217:$I$237,6,0)*VLOOKUP('Données projet'!$B$16,Paramètres!$A$1:$I$89,7,0))</f>
        <v>0</v>
      </c>
      <c r="FP61" s="16">
        <f>IF(ISNA(VLOOKUP(A61,'Données projet'!$A$217:$I$237,7,0)),0%,VLOOKUP(A61,'Données projet'!$A$217:$I$237,7,0))</f>
        <v>0</v>
      </c>
      <c r="FQ61" s="21">
        <f>EXP(-LN(2)/35)*FQ60+(1-EXP(-LN(2)/35))/(LN(2)/35)*FM61*FN61*VLOOKUP('Données projet'!$B$16,Paramètres!$A$1:$I$89,3,0)*0.475*44/12</f>
        <v>2.9594440697826614</v>
      </c>
      <c r="FR61" s="21">
        <f>EXP(-LN(2)/25)*FR60+(1-EXP(-LN(2)/25))/(LN(2)/25)*Calculateur!FM61*Calculateur!FO61*VLOOKUP('Données projet'!$B$16,Paramètres!$A$1:$I$89,3,0)*0.475*44/12</f>
        <v>2.7105766740432142</v>
      </c>
      <c r="FS61" s="21">
        <f>EXP(-LN(2)/2)*FS60+(1-EXP(-LN(2)/2))/(LN(2)/2)*FM61*FP61*VLOOKUP('Données projet'!$B$16,Paramètres!$A$1:$I$89,3,0)*0.475*44/12</f>
        <v>1.0160090046258479E-3</v>
      </c>
      <c r="FT61" s="22">
        <f t="shared" si="24"/>
        <v>5.6710367528305019</v>
      </c>
      <c r="FU61" s="75">
        <f>('Scénario référence'!$F$8+'Scénario référence'!$F$9+'Scénario référence'!$B$17+'Scénario référence'!$B$9+'Scénario référence'!$B$10)*70+IF((45+25*(1-EXP(-0.0175*A61)))&lt;70,'Scénario référence'!$B$16*(45+25*(1-EXP(-0.0175*A61))),70*'Scénario référence'!$B$16)+IF((32+38*(1-EXP(-0.0175*A61)))&lt;70,'Scénario référence'!$B$18*(32+38*(1-EXP(-0.0175*A61))),70*'Scénario référence'!$B$18)</f>
        <v>70</v>
      </c>
      <c r="FV61" s="12">
        <f>IF(A61&gt;30,10,('Scénario référence'!$B$16+'Scénario référence'!$B$17+'Scénario référence'!$B$18+'Scénario référence'!$B$9+'Scénario référence'!$B$10)*A61*10/30+('Scénario référence'!$F$8+'Scénario référence'!$F$9)*10)</f>
        <v>10</v>
      </c>
      <c r="FW61" s="12" t="e">
        <f>VLOOKUP(A61,'Données projet'!$A$243:$I$263,2,0)</f>
        <v>#N/A</v>
      </c>
      <c r="FX61" s="12" t="e">
        <f>VLOOKUP(A61,'Données projet'!$A$243:$I$263,9,0)</f>
        <v>#N/A</v>
      </c>
      <c r="FY61" s="12">
        <f t="array" ref="FY61">INDEX(FX:FX,MIN(IF(ISNUMBER(FX61:FX257),ROW(FX61:FX257),"")))</f>
        <v>8.374198717948719</v>
      </c>
      <c r="FZ61" s="12">
        <f>IF('Données projet'!$A$244&gt;35,FZ60+FY61-GH60,IF(A61&lt;'Données projet'!$A$244,$FW$205^A61,IF(A61='Données projet'!$A$244,'Données projet'!$B$244,FZ60+FY61-GH60)))</f>
        <v>178.41746794871796</v>
      </c>
      <c r="GA61" s="17">
        <f>FZ61*VLOOKUP('Données projet'!$B$17,Paramètres!$A$1:$I$89,3,0)*VLOOKUP('Données projet'!$B$17,Paramètres!$A$1:$I$89,5,0)</f>
        <v>192.0485625</v>
      </c>
      <c r="GB61" s="13">
        <f t="shared" si="49"/>
        <v>47.99257786488721</v>
      </c>
      <c r="GC61" s="20">
        <f t="shared" si="25"/>
        <v>418.07165280217856</v>
      </c>
      <c r="GD61" s="59">
        <f t="shared" si="26"/>
        <v>711.40498613551188</v>
      </c>
      <c r="GE61" s="59">
        <f ca="1">AVERAGE(OFFSET($GD$3,0,0,'Données projet'!$E$17+1,1))-AVERAGE(OFFSET($H$3,0,0,'Données projet'!$E$17+1,1))</f>
        <v>286.77702855541287</v>
      </c>
      <c r="GF61" s="59">
        <f t="shared" si="50"/>
        <v>227.12211541860779</v>
      </c>
      <c r="GG61" s="15">
        <f>IF(ISNA(VLOOKUP(A61,'Données projet'!$A$243:$I$263,3,0)),0,VLOOKUP(A61,'Données projet'!$A$243:$I$263,3,0))</f>
        <v>0</v>
      </c>
      <c r="GH61" s="15">
        <f>IF(ISNA(VLOOKUP(A61,'Données projet'!$A$243:$I$263,4,0)),0,VLOOKUP(A61,'Données projet'!$A$243:$I$263,4,0))</f>
        <v>0</v>
      </c>
      <c r="GI61" s="16">
        <f>IF(ISNA(VLOOKUP(A61,'Données projet'!$A$243:$I$263,5,0)),0%,VLOOKUP(A61,'Données projet'!$A$243:$I$263,5,0)*VLOOKUP('Données projet'!$B$17,Paramètres!$A$1:$I$89,7,0))</f>
        <v>0</v>
      </c>
      <c r="GJ61" s="16">
        <f>IF(ISNA(VLOOKUP(A61,'Données projet'!$A$243:$I$263,6,0)),0%,VLOOKUP(A61,'Données projet'!$A$243:$I$263,6,0)*VLOOKUP('Données projet'!$B$17,Paramètres!$A$1:$I$89,7,0))</f>
        <v>0</v>
      </c>
      <c r="GK61" s="16">
        <f>IF(ISNA(VLOOKUP(A61,'Données projet'!$A$243:$I$263,7,0)),0%,VLOOKUP(A61,'Données projet'!$A$243:$I$263,7,0))</f>
        <v>0</v>
      </c>
      <c r="GL61" s="21">
        <f>EXP(-LN(2)/35)*GL60+(1-EXP(-LN(2)/35))/(LN(2)/35)*GH61*GI61*VLOOKUP('Données projet'!$B$17,Paramètres!$A$1:$I$89,3,0)*0.475*44/12</f>
        <v>0</v>
      </c>
      <c r="GM61" s="21">
        <f>EXP(-LN(2)/25)*GM60+(1-EXP(-LN(2)/25))/(LN(2)/25)*Calculateur!GH61*Calculateur!GJ61*VLOOKUP('Données projet'!$B$17,Paramètres!$A$1:$I$89,3,0)*0.475*44/12</f>
        <v>0</v>
      </c>
      <c r="GN61" s="21">
        <f>EXP(-LN(2)/2)*GN60+(1-EXP(-LN(2)/2))/(LN(2)/2)*GH61*GK61*VLOOKUP('Données projet'!$B$17,Paramètres!$A$1:$I$89,3,0)*0.475*44/12</f>
        <v>0</v>
      </c>
      <c r="GO61" s="21">
        <f t="shared" si="27"/>
        <v>0</v>
      </c>
      <c r="GP61" s="75">
        <f>('Scénario référence'!$F$8+'Scénario référence'!$F$9+'Scénario référence'!$B$17+'Scénario référence'!$B$9+'Scénario référence'!$B$10)*70+IF((45+25*(1-EXP(-0.0175*A61)))&lt;70,'Scénario référence'!$B$16*(45+25*(1-EXP(-0.0175*A61))),70*'Scénario référence'!$B$16)+IF((32+38*(1-EXP(-0.0175*A61)))&lt;70,'Scénario référence'!$B$18*(32+38*(1-EXP(-0.0175*A61))),70*'Scénario référence'!$B$18)</f>
        <v>70</v>
      </c>
      <c r="GQ61" s="12">
        <f>IF(A61&gt;30,10,('Scénario référence'!$B$16+'Scénario référence'!$B$17+'Scénario référence'!$B$18+'Scénario référence'!$B$9+'Scénario référence'!$B$10)*A61*10/30+('Scénario référence'!$F$8+'Scénario référence'!$F$9)*10)</f>
        <v>10</v>
      </c>
      <c r="GR61" s="12" t="e">
        <f>VLOOKUP(A61,'Données projet'!$A$269:$I$289,2,0)</f>
        <v>#N/A</v>
      </c>
      <c r="GS61" s="12" t="e">
        <f>VLOOKUP(A61,'Données projet'!$A$269:$I$289,9,0)</f>
        <v>#N/A</v>
      </c>
      <c r="GT61" s="12">
        <f t="array" ref="GT61">INDEX(GS:GS,MIN(IF(ISNUMBER(GS61:GS257),ROW(GS61:GS257),"")))</f>
        <v>8.374198717948719</v>
      </c>
      <c r="GU61" s="12">
        <f>IF('Données projet'!$A$270&gt;35,GU60+GT61-HC60,IF(A61&lt;'Données projet'!$A$270,$GR$205^A61,IF(A61='Données projet'!$A$270,'Données projet'!$B$270,GU60+GT61-HC60)))</f>
        <v>178.41746794871796</v>
      </c>
      <c r="GV61" s="17">
        <f>GU61*VLOOKUP('Données projet'!$B$18,Paramètres!$A$1:$I$89,3,0)*VLOOKUP('Données projet'!$B$18,Paramètres!$A$1:$I$89,5,0)</f>
        <v>192.0485625</v>
      </c>
      <c r="GW61" s="13">
        <f t="shared" si="51"/>
        <v>47.99257786488721</v>
      </c>
      <c r="GX61" s="20">
        <f t="shared" si="28"/>
        <v>418.07165280217856</v>
      </c>
      <c r="GY61" s="59">
        <f t="shared" si="29"/>
        <v>711.40498613551188</v>
      </c>
      <c r="GZ61" s="59">
        <f ca="1">AVERAGE(OFFSET($GY$3,0,0,'Données projet'!$E$18+1,1))-AVERAGE(OFFSET($H$3,0,0,'Données projet'!$E$18+1,1))</f>
        <v>286.77702855541287</v>
      </c>
      <c r="HA61" s="59">
        <f t="shared" si="52"/>
        <v>227.12211541860779</v>
      </c>
      <c r="HB61" s="15">
        <f>IF(ISNA(VLOOKUP(A61,'Données projet'!$A$269:$I$289,3,0)),0,VLOOKUP(A61,'Données projet'!$A$269:$I$289,3,0))</f>
        <v>0</v>
      </c>
      <c r="HC61" s="15">
        <f>IF(ISNA(VLOOKUP(A61,'Données projet'!$A$269:$I$289,4,0)),0,VLOOKUP(A61,'Données projet'!$A$269:$I$289,4,0))</f>
        <v>0</v>
      </c>
      <c r="HD61" s="16">
        <f>IF(ISNA(VLOOKUP(A61,'Données projet'!$A$269:$I$289,5,0)),0%,VLOOKUP(A61,'Données projet'!$A$269:$I$289,5,0)*VLOOKUP('Données projet'!$B$18,Paramètres!$A$1:$I$89,7,0))</f>
        <v>0</v>
      </c>
      <c r="HE61" s="16">
        <f>IF(ISNA(VLOOKUP(A61,'Données projet'!$A$269:$I$289,6,0)),0%,VLOOKUP(A61,'Données projet'!$A$269:$I$289,6,0)*VLOOKUP('Données projet'!$B$18,Paramètres!$A$1:$I$89,7,0))</f>
        <v>0</v>
      </c>
      <c r="HF61" s="16">
        <f>IF(ISNA(VLOOKUP(A61,'Données projet'!$A$269:$I$289,7,0)),0%,VLOOKUP(A61,'Données projet'!$A$269:$I$289,7,0))</f>
        <v>0</v>
      </c>
      <c r="HG61" s="21">
        <f>EXP(-LN(2)/35)*HG60+(1-EXP(-LN(2)/35))/(LN(2)/35)*HC61*HD61*VLOOKUP('Données projet'!$B$18,Paramètres!$A$1:$I$89,3,0)*0.475*44/12</f>
        <v>0</v>
      </c>
      <c r="HH61" s="21">
        <f>EXP(-LN(2)/25)*HH60+(1-EXP(-LN(2)/25))/(LN(2)/25)*Calculateur!HC61*Calculateur!HE61*VLOOKUP('Données projet'!$B$18,Paramètres!$A$1:$I$89,3,0)*0.475*44/12</f>
        <v>0</v>
      </c>
      <c r="HI61" s="21">
        <f>EXP(-LN(2)/2)*HI60+(1-EXP(-LN(2)/2))/(LN(2)/2)*HC61*HF61*VLOOKUP('Données projet'!$B$18,Paramètres!$A$1:$I$89,3,0)*0.475*44/12</f>
        <v>0</v>
      </c>
      <c r="HJ61" s="22">
        <f t="shared" si="30"/>
        <v>0</v>
      </c>
    </row>
    <row r="62" spans="1:218" x14ac:dyDescent="0.25">
      <c r="A62" s="10">
        <f t="shared" si="31"/>
        <v>59</v>
      </c>
      <c r="B62" s="73">
        <f>'Scénario référence'!$B$16*5+'Scénario référence'!$B$17*0+'Scénario référence'!$B$18*5</f>
        <v>0</v>
      </c>
      <c r="C62" s="19">
        <f>Calculateur!C61+'Scénario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52.462800000000044</v>
      </c>
      <c r="D62" s="11">
        <f t="shared" si="32"/>
        <v>15.247997775460181</v>
      </c>
      <c r="E6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62" s="11">
        <f>IF(OR('Scénario référence'!$F$8&gt;0,'Scénario référence'!$F$9&gt;0),('Scénario référence'!$F$8+'Scénario référence'!$F$9)*10,0)</f>
        <v>10</v>
      </c>
      <c r="G62" s="11">
        <f>'Scénario référence'!$B$8*B62*44/12+'Scénario référence'!$B$9*(C62+D62)/0.475*44/12+'Scénario référence'!$B$10*(C62+D62)/0.475*44/12+'Scénario référence'!$F$8*(C62+D62)/0.475*44/12+'Scénario référence'!$F$9*(C62+D62)/0.475*44/12</f>
        <v>522.67984247723678</v>
      </c>
      <c r="H62" s="67">
        <f t="shared" si="1"/>
        <v>411.26297279225986</v>
      </c>
      <c r="I62" s="70">
        <f>('Scénario référence'!$F$8+'Scénario référence'!$F$9+'Scénario référence'!$B$17+'Scénario référence'!$B$9+'Scénario référence'!$B$10)*70+IF((45+25*(1-EXP(-0.0175*A62)))&lt;70,'Scénario référence'!$B$16*(45+25*(1-EXP(-0.0175*A62))),70*'Scénario référence'!$B$16)+IF((32+38*(1-EXP(-0.0175*A62)))&lt;70,'Scénario référence'!$B$18*(32+38*(1-EXP(-0.0175*A62))),70*'Scénario référence'!$B$18)</f>
        <v>70</v>
      </c>
      <c r="J62" s="13">
        <f>IF(A62&gt;30,10,('Scénario référence'!$B$16+'Scénario référence'!$B$17+'Scénario référence'!$B$18+'Scénario référence'!$B$9+'Scénario référence'!$B$10)*A62*10/30+('Scénario référence'!$F$8+'Scénario référence'!$F$9)*10)</f>
        <v>10</v>
      </c>
      <c r="K62" s="12" t="e">
        <f>VLOOKUP(A62,'Données projet'!$A$35:$I$55,2,0)</f>
        <v>#N/A</v>
      </c>
      <c r="L62" s="12" t="e">
        <f>VLOOKUP(A62,'Données projet'!$A$35:$I$55,9,0)</f>
        <v>#N/A</v>
      </c>
      <c r="M62" s="12">
        <f t="array" ref="M62">INDEX(L:L,MIN(IF(ISNUMBER(L62:L258),ROW(L62:L258),"")))</f>
        <v>0</v>
      </c>
      <c r="N62" s="13">
        <f>IF('Données projet'!$A$36&gt;35,N61+M62-V61,IF(A62&lt;'Données projet'!$A$36,$K$205^A62,IF(A62='Données projet'!$A$36,'Données projet'!$B$36,N61+M62-V61)))</f>
        <v>-2.2737367544323206E-13</v>
      </c>
      <c r="O62" s="13">
        <f>N62*VLOOKUP('Données projet'!$B$9,Paramètres!$A$1:$I$89,3,0)*VLOOKUP('Données projet'!$B$9,Paramètres!$A$1:$I$89,5,0)</f>
        <v>-1.2710188457276673E-13</v>
      </c>
      <c r="P62" s="13" t="e">
        <f t="shared" si="33"/>
        <v>#NUM!</v>
      </c>
      <c r="Q62" s="20" t="e">
        <f t="shared" si="53"/>
        <v>#NUM!</v>
      </c>
      <c r="R62" s="59" t="e">
        <f t="shared" si="0"/>
        <v>#NUM!</v>
      </c>
      <c r="S62" s="59">
        <f ca="1">AVERAGE(OFFSET($R$3,0,0,'Données projet'!$E$9+1,1))-AVERAGE(OFFSET($H$3,0,0,'Données projet'!$E$9+1,1))</f>
        <v>255.5374979188561</v>
      </c>
      <c r="T62" s="59">
        <f t="shared" si="34"/>
        <v>343.10418468620901</v>
      </c>
      <c r="U62" s="15">
        <f>IF(ISNA(VLOOKUP(A62,'Données projet'!$A$35:$I$55,3,0)),0,VLOOKUP(A62,'Données projet'!$A$35:$I$55,3,0))</f>
        <v>0</v>
      </c>
      <c r="V62" s="15">
        <f>IF(ISNA(VLOOKUP(A62,'Données projet'!$A$35:$I$55,4,0)),0,VLOOKUP(A62,'Données projet'!$A$35:$I$55,4,0))</f>
        <v>0</v>
      </c>
      <c r="W62" s="16">
        <f>IF(ISNA(VLOOKUP(A62,'Données projet'!$A$35:$I$55,5,0)),0%,VLOOKUP(A62,'Données projet'!$A$35:$I$55,5,0)*VLOOKUP('Données projet'!$B$9,Paramètres!$A$1:$I$89,7,0))</f>
        <v>0</v>
      </c>
      <c r="X62" s="16">
        <f>IF(ISNA(VLOOKUP(A62,'Données projet'!$A$35:$I$55,6,0)),0%,VLOOKUP(A62,'Données projet'!$A$35:$I$55,6,0)*VLOOKUP('Données projet'!$B$9,Paramètres!$A$1:$I$89,7,0))</f>
        <v>0</v>
      </c>
      <c r="Y62" s="16">
        <f>IF(ISNA(VLOOKUP(A62,'Données projet'!$A$35:$I$55,7,0)),0%,VLOOKUP(A62,'Données projet'!$A$35:$I$55,7,0))</f>
        <v>0</v>
      </c>
      <c r="Z62" s="21">
        <f>EXP(-LN(2)/35)*Z61+(1-EXP(-LN(2)/35))/(LN(2)/35)*V62*W62*VLOOKUP('Données projet'!$B$9,Paramètres!$A$1:$I$89,3,0)*0.475*44/12</f>
        <v>1.7399604101237069</v>
      </c>
      <c r="AA62" s="21">
        <f>EXP(-LN(2)/25)*AA61+(1-EXP(-LN(2)/25))/(LN(2)/25)*Calculateur!V62*Calculateur!X62*VLOOKUP('Données projet'!$B$9,Paramètres!$A$1:$I$89,3,0)*0.475*44/12</f>
        <v>7.1424160300484738</v>
      </c>
      <c r="AB62" s="21">
        <f>EXP(-LN(2)/2)*AB61+(1-EXP(-LN(2)/2))/(LN(2)/2)*V62*Y62*VLOOKUP('Données projet'!$B$9,Paramètres!$A$1:$I$89,3,0)*0.475*44/12</f>
        <v>7.3052109592985895E-5</v>
      </c>
      <c r="AC62" s="22">
        <f t="shared" si="3"/>
        <v>8.8824494922817738</v>
      </c>
      <c r="AD62" s="13">
        <f>('Scénario référence'!$F$8+'Scénario référence'!$F$9+'Scénario référence'!$B$17+'Scénario référence'!$B$9+'Scénario référence'!$B$10)*70+IF((45+25*(1-EXP(-0.0175*A62)))&lt;70,'Scénario référence'!$B$16*(45+25*(1-EXP(-0.0175*A62))),70*'Scénario référence'!$B$16)+IF((32+38*(1-EXP(-0.0175*A62)))&lt;70,'Scénario référence'!$B$18*(32+38*(1-EXP(-0.0175*A62))),70*'Scénario référence'!$B$18)</f>
        <v>70</v>
      </c>
      <c r="AE62" s="13">
        <f>IF(A62&gt;30,10,('Scénario référence'!$B$16+'Scénario référence'!$B$17+'Scénario référence'!$B$18+'Scénario référence'!$B$9+'Scénario référence'!$B$10)*A62*10/30+('Scénario référence'!$F$8+'Scénario référence'!$F$9)*10)</f>
        <v>10</v>
      </c>
      <c r="AF62" s="12" t="e">
        <f>VLOOKUP(A62,'Données projet'!$A$61:$I$81,2,0)</f>
        <v>#N/A</v>
      </c>
      <c r="AG62" s="12" t="e">
        <f>VLOOKUP(A62,'Données projet'!$A$61:$I$81,9,0)</f>
        <v>#N/A</v>
      </c>
      <c r="AH62" s="12">
        <f t="array" ref="AH62">INDEX(AG:AG,MIN(IF(ISNUMBER(AG62:AG258),ROW(AG62:AG258),"")))</f>
        <v>10</v>
      </c>
      <c r="AI62" s="13">
        <f>IF('Données projet'!$A$62&gt;35,AI61+AH62-AQ61,IF(A62&lt;'Données projet'!$A$62,$AF$205^A62,IF(A62='Données projet'!$A$62,'Données projet'!$B$62,AI61+AH62-AQ61)))</f>
        <v>393.99999999999989</v>
      </c>
      <c r="AJ62" s="13">
        <f>AI62*VLOOKUP('Données projet'!$B$10,Paramètres!$A$1:$I$89,3,0)*VLOOKUP('Données projet'!$B$10,Paramètres!$A$1:$I$89,5,0)</f>
        <v>245.85599999999994</v>
      </c>
      <c r="AK62" s="13">
        <f t="shared" si="35"/>
        <v>59.697704223313963</v>
      </c>
      <c r="AL62" s="20">
        <f t="shared" si="4"/>
        <v>532.17270152227172</v>
      </c>
      <c r="AM62" s="59">
        <f t="shared" si="5"/>
        <v>825.50603485560509</v>
      </c>
      <c r="AN62" s="59">
        <f ca="1">AVERAGE(OFFSET($AM$3,0,0,'Données projet'!$E$10+1,1))-AVERAGE(OFFSET($H$3,0,0,'Données projet'!$E$10+1,1))</f>
        <v>261.78489480911571</v>
      </c>
      <c r="AO62" s="59">
        <f t="shared" si="36"/>
        <v>297.50513563712764</v>
      </c>
      <c r="AP62" s="15">
        <f>IF(ISNA(VLOOKUP(A62,'Données projet'!$A$61:$I$81,3,0)),0,VLOOKUP(A62,'Données projet'!$A$61:$I$81,3,0))</f>
        <v>0</v>
      </c>
      <c r="AQ62" s="15">
        <f>IF(ISNA(VLOOKUP(A62,'Données projet'!$A$61:$I$81,4,0)),0,VLOOKUP(A62,'Données projet'!$A$61:$I$81,4,0))</f>
        <v>0</v>
      </c>
      <c r="AR62" s="16">
        <f>IF(ISNA(VLOOKUP(A62,'Données projet'!$A$61:$I$81,5,0)),0%,VLOOKUP(A62,'Données projet'!$A$61:$I$81,5,0)*VLOOKUP('Données projet'!$B$10,Paramètres!$A$1:$I$89,7,0))</f>
        <v>0</v>
      </c>
      <c r="AS62" s="16">
        <f>IF(ISNA(VLOOKUP(A62,'Données projet'!$A$61:$I$81,6,0)),0%,VLOOKUP(A62,'Données projet'!$A$61:$I$81,6,0)*VLOOKUP('Données projet'!$B$10,Paramètres!$A$1:$I$89,7,0))</f>
        <v>0</v>
      </c>
      <c r="AT62" s="16">
        <f>IF(ISNA(VLOOKUP(A62,'Données projet'!$A$61:$I$81,7,0)),0%,VLOOKUP(A62,'Données projet'!$A$61:$I$81,7,0))</f>
        <v>0</v>
      </c>
      <c r="AU62" s="21">
        <f>EXP(-LN(2)/35)*AU61+(1-EXP(-LN(2)/35))/(LN(2)/35)*AQ62*AR62*VLOOKUP('Données projet'!$B$10,Paramètres!$A$1:$I$89,3,0)*0.475*44/12</f>
        <v>4.6983852527754948</v>
      </c>
      <c r="AV62" s="21">
        <f>EXP(-LN(2)/25)*AV61+(1-EXP(-LN(2)/25))/(LN(2)/25)*Calculateur!AQ62*Calculateur!AS62*VLOOKUP('Données projet'!$B$10,Paramètres!$A$1:$I$89,3,0)*0.475*44/12</f>
        <v>12.472115161885066</v>
      </c>
      <c r="AW62" s="21">
        <f>EXP(-LN(2)/2)*AW61+(1-EXP(-LN(2)/2))/(LN(2)/2)*AQ62*AT62*VLOOKUP('Données projet'!$B$10,Paramètres!$A$1:$I$89,3,0)*0.475*44/12</f>
        <v>1.0531157056847822E-3</v>
      </c>
      <c r="AX62" s="21">
        <f t="shared" si="6"/>
        <v>17.171553530366243</v>
      </c>
      <c r="AY62" s="74">
        <f>('Scénario référence'!$F$8+'Scénario référence'!$F$9+'Scénario référence'!$B$17+'Scénario référence'!$B$9+'Scénario référence'!$B$10)*70+IF((45+25*(1-EXP(-0.0175*A62)))&lt;70,'Scénario référence'!$B$16*(45+25*(1-EXP(-0.0175*A62))),70*'Scénario référence'!$B$16)+IF((32+38*(1-EXP(-0.0175*A62)))&lt;70,'Scénario référence'!$B$18*(32+38*(1-EXP(-0.0175*A62))),70*'Scénario référence'!$B$18)</f>
        <v>70</v>
      </c>
      <c r="AZ62" s="12">
        <f>IF(A62&gt;30,10,('Scénario référence'!$B$16+'Scénario référence'!$B$17+'Scénario référence'!$B$18+'Scénario référence'!$B$9+'Scénario référence'!$B$10)*A62*10/30+('Scénario référence'!$F$8+'Scénario référence'!$F$9)*10)</f>
        <v>10</v>
      </c>
      <c r="BA62" s="12" t="e">
        <f>VLOOKUP(A62,'Données projet'!$A$87:$I$107,2,0)</f>
        <v>#N/A</v>
      </c>
      <c r="BB62" s="12" t="e">
        <f>VLOOKUP(A62,'Données projet'!$A$87:$I$107,9,0)</f>
        <v>#N/A</v>
      </c>
      <c r="BC62" s="12">
        <f t="array" ref="BC62">INDEX(BB:BB,MIN(IF(ISNUMBER(BB62:BB258),ROW(BB62:BB258),"")))</f>
        <v>18</v>
      </c>
      <c r="BD62" s="12">
        <f>IF('Données projet'!$A$88&gt;35,BD61+BC62-BL61,IF(A62&lt;'Données projet'!$A$88,$BA$205^A62,IF(A62='Données projet'!$A$88,'Données projet'!$B$88,BD61+BC62-BL61)))</f>
        <v>489.99999999999972</v>
      </c>
      <c r="BE62" s="13">
        <f>BD62*VLOOKUP('Données projet'!$B$11,Paramètres!$A$1:$I$89,3,0)*VLOOKUP('Données projet'!$B$11,Paramètres!$A$1:$I$89,5,0)</f>
        <v>293.01999999999987</v>
      </c>
      <c r="BF62" s="13">
        <f t="shared" si="37"/>
        <v>69.711188549176683</v>
      </c>
      <c r="BG62" s="20">
        <f t="shared" si="7"/>
        <v>631.75682005648241</v>
      </c>
      <c r="BH62" s="59">
        <f t="shared" si="8"/>
        <v>925.09015338981567</v>
      </c>
      <c r="BI62" s="59">
        <f ca="1">AVERAGE(OFFSET($BH$3,0,0,'Données projet'!$E$11+1,1))-AVERAGE(OFFSET($H$3,0,0,'Données projet'!$E$11+1,1))</f>
        <v>316.58509520829671</v>
      </c>
      <c r="BJ62" s="59">
        <f t="shared" si="38"/>
        <v>240.71332110643596</v>
      </c>
      <c r="BK62" s="15">
        <f>IF(ISNA(VLOOKUP(A62,'Données projet'!$A$87:$I$107,3,0)),0,VLOOKUP(A62,'Données projet'!$A$87:$I$107,3,0))</f>
        <v>0</v>
      </c>
      <c r="BL62" s="15">
        <f>IF(ISNA(VLOOKUP(A62,'Données projet'!$A$87:$I$107,4,0)),0,VLOOKUP(A62,'Données projet'!$A$87:$I$107,4,0))</f>
        <v>0</v>
      </c>
      <c r="BM62" s="16">
        <f>IF(ISNA(VLOOKUP(A62,'Données projet'!$A$87:$I$107,5,0)),0%,VLOOKUP(A62,'Données projet'!$A$87:$I$107,5,0)*VLOOKUP('Données projet'!$B$11,Paramètres!$A$1:$I$89,7,0))</f>
        <v>0</v>
      </c>
      <c r="BN62" s="16">
        <f>IF(ISNA(VLOOKUP(A62,'Données projet'!$A$87:$I$107,6,0)),0%,VLOOKUP(A62,'Données projet'!$A$87:$I$107,6,0)*VLOOKUP('Données projet'!$B$11,Paramètres!$A$1:$I$89,7,0))</f>
        <v>0</v>
      </c>
      <c r="BO62" s="16">
        <f>IF(ISNA(VLOOKUP(A62,'Données projet'!$A$87:$I$107,7,0)),0%,VLOOKUP(A62,'Données projet'!$A$87:$I$107,7,0))</f>
        <v>0</v>
      </c>
      <c r="BP62" s="21">
        <f>EXP(-LN(2)/35)*BP61+(1-EXP(-LN(2)/35))/(LN(2)/35)*BL62*BM62*VLOOKUP('Données projet'!$B$11,Paramètres!$A$1:$I$89,3,0)*0.475*44/12</f>
        <v>1.4271694787541638</v>
      </c>
      <c r="BQ62" s="21">
        <f>EXP(-LN(2)/25)*BQ61+(1-EXP(-LN(2)/25))/(LN(2)/25)*Calculateur!BL62*Calculateur!BN62*VLOOKUP('Données projet'!$B$11,Paramètres!$A$1:$I$89,3,0)*0.475*44/12</f>
        <v>6.8325885980120535</v>
      </c>
      <c r="BR62" s="21">
        <f>EXP(-LN(2)/2)*BR61+(1-EXP(-LN(2)/2))/(LN(2)/2)*BL62*BO62*VLOOKUP('Données projet'!$B$11,Paramètres!$A$1:$I$89,3,0)*0.475*44/12</f>
        <v>9.4686634885709673E-4</v>
      </c>
      <c r="BS62" s="22">
        <f t="shared" si="9"/>
        <v>8.2607049431150745</v>
      </c>
      <c r="BT62" s="75">
        <f>('Scénario référence'!$F$8+'Scénario référence'!$F$9+'Scénario référence'!$B$17+'Scénario référence'!$B$9+'Scénario référence'!$B$10)*70+IF((45+25*(1-EXP(-0.0175*A62)))&lt;70,'Scénario référence'!$B$16*(45+25*(1-EXP(-0.0175*A62))),70*'Scénario référence'!$B$16)+IF((32+38*(1-EXP(-0.0175*A62)))&lt;70,'Scénario référence'!$B$18*(32+38*(1-EXP(-0.0175*A62))),70*'Scénario référence'!$B$18)</f>
        <v>70</v>
      </c>
      <c r="BU62" s="12">
        <f>IF(A62&gt;30,10,('Scénario référence'!$B$16+'Scénario référence'!$B$17+'Scénario référence'!$B$18+'Scénario référence'!$B$9+'Scénario référence'!$B$10)*A62*10/30+('Scénario référence'!$F$8+'Scénario référence'!$F$9)*10)</f>
        <v>10</v>
      </c>
      <c r="BV62" s="12" t="e">
        <f>VLOOKUP(A62,'Données projet'!$A$113:$I$133,2,0)</f>
        <v>#N/A</v>
      </c>
      <c r="BW62" s="12" t="e">
        <f>VLOOKUP(A62,'Données projet'!$A$113:$I$133,9,0)</f>
        <v>#N/A</v>
      </c>
      <c r="BX62" s="12">
        <f t="array" ref="BX62">INDEX(BW:BW,MIN(IF(ISNUMBER(BW62:BW258),ROW(BW62:BW258),"")))</f>
        <v>9.5</v>
      </c>
      <c r="BY62" s="12">
        <f>IF('Données projet'!$A$114&gt;35,BY61+BX62-CG61,IF(A62&lt;'Données projet'!$A$114,$BV$205^A62,IF(A62='Données projet'!$A$114,'Données projet'!$B$114,BY61+BX62-CG61)))</f>
        <v>330.49999999999977</v>
      </c>
      <c r="BZ62" s="13">
        <f>BY62*VLOOKUP('Données projet'!$B$12,Paramètres!$A$1:$I$89,3,0)*VLOOKUP('Données projet'!$B$12,Paramètres!$A$1:$I$89,5,0)</f>
        <v>189.04599999999988</v>
      </c>
      <c r="CA62" s="13">
        <f t="shared" si="39"/>
        <v>47.328975245911082</v>
      </c>
      <c r="CB62" s="20">
        <f t="shared" si="10"/>
        <v>411.68641521996148</v>
      </c>
      <c r="CC62" s="59">
        <f t="shared" si="11"/>
        <v>705.01974855329479</v>
      </c>
      <c r="CD62" s="59">
        <f ca="1">AVERAGE(OFFSET($CC$3,0,0,'Données projet'!$E$12+1,1))-AVERAGE(OFFSET($H$3,0,0,'Données projet'!$E$12+1,1))</f>
        <v>188.64374818906128</v>
      </c>
      <c r="CE62" s="59">
        <f t="shared" si="40"/>
        <v>211.95157880548652</v>
      </c>
      <c r="CF62" s="15">
        <f>IF(ISNA(VLOOKUP(A62,'Données projet'!$A$113:$I$133,3,0)),0,VLOOKUP(A62,'Données projet'!$A$113:$I$133,3,0))</f>
        <v>0</v>
      </c>
      <c r="CG62" s="15">
        <f>IF(ISNA(VLOOKUP(A62,'Données projet'!$A$113:$I$133,4,0)),0,VLOOKUP(A62,'Données projet'!$A$113:$I$133,4,0))</f>
        <v>0</v>
      </c>
      <c r="CH62" s="16">
        <f>IF(ISNA(VLOOKUP(A62,'Données projet'!$A$113:$I$133,5,0)),0%,VLOOKUP(A62,'Données projet'!$A$113:$I$133,5,0)*VLOOKUP('Données projet'!$B$12,Paramètres!$A$1:$I$89,7,0))</f>
        <v>0</v>
      </c>
      <c r="CI62" s="16">
        <f>IF(ISNA(VLOOKUP(A62,'Données projet'!$A$113:$I$133,6,0)),0%,VLOOKUP(A62,'Données projet'!$A$113:$I$133,6,0)*VLOOKUP('Données projet'!$B$12,Paramètres!$A$1:$I$89,7,0))</f>
        <v>0</v>
      </c>
      <c r="CJ62" s="16">
        <f>IF(ISNA(VLOOKUP(A62,'Données projet'!$A$113:$I$133,7,0)),0%,VLOOKUP(A62,'Données projet'!$A$113:$I$133,7,0))</f>
        <v>0</v>
      </c>
      <c r="CK62" s="21">
        <f>EXP(-LN(2)/35)*CK61+(1-EXP(-LN(2)/35))/(LN(2)/35)*CG62*CH62*VLOOKUP('Données projet'!$B$12,Paramètres!$A$1:$I$89,3,0)*0.475*44/12</f>
        <v>1.384345654835637</v>
      </c>
      <c r="CL62" s="21">
        <f>EXP(-LN(2)/25)*CL61+(1-EXP(-LN(2)/25))/(LN(2)/25)*Calculateur!CG62*Calculateur!CI62*VLOOKUP('Données projet'!$B$12,Paramètres!$A$1:$I$89,3,0)*0.475*44/12</f>
        <v>6.4309870902987791</v>
      </c>
      <c r="CM62" s="21">
        <f>EXP(-LN(2)/2)*CM61+(1-EXP(-LN(2)/2))/(LN(2)/2)*CG62*CJ62*VLOOKUP('Données projet'!$B$12,Paramètres!$A$1:$I$89,3,0)*0.475*44/12</f>
        <v>9.1696597494471226E-4</v>
      </c>
      <c r="CN62" s="22">
        <f t="shared" si="12"/>
        <v>7.8162497111093607</v>
      </c>
      <c r="CO62" s="75">
        <f>('Scénario référence'!$F$8+'Scénario référence'!$F$9+'Scénario référence'!$B$17+'Scénario référence'!$B$9+'Scénario référence'!$B$10)*70+IF((45+25*(1-EXP(-0.0175*A62)))&lt;70,'Scénario référence'!$B$16*(45+25*(1-EXP(-0.0175*A62))),70*'Scénario référence'!$B$16)+IF((32+38*(1-EXP(-0.0175*A62)))&lt;70,'Scénario référence'!$B$18*(32+38*(1-EXP(-0.0175*A62))),70*'Scénario référence'!$B$18)</f>
        <v>70</v>
      </c>
      <c r="CP62" s="12">
        <f>IF(A62&gt;30,10,('Scénario référence'!$B$16+'Scénario référence'!$B$17+'Scénario référence'!$B$18+'Scénario référence'!$B$9+'Scénario référence'!$B$10)*A62*10/30+('Scénario référence'!$F$8+'Scénario référence'!$F$9)*10)</f>
        <v>10</v>
      </c>
      <c r="CQ62" s="12" t="e">
        <f>VLOOKUP(A62,'Données projet'!$A$139:$I$159,2,0)</f>
        <v>#N/A</v>
      </c>
      <c r="CR62" s="12" t="e">
        <f>VLOOKUP(A62,'Données projet'!$A$139:$I$159,9,0)</f>
        <v>#N/A</v>
      </c>
      <c r="CS62" s="12">
        <f t="array" ref="CS62">INDEX(CR:CR,MIN(IF(ISNUMBER(CR62:CR258),ROW(CR62:CR258),"")))</f>
        <v>0</v>
      </c>
      <c r="CT62" s="12">
        <f>IF('Données projet'!$A$140&gt;35,CT61+CS62-DB61,IF(A62&lt;'Données projet'!$A$140,$CQ$205^A62,IF(A62='Données projet'!$A$140,'Données projet'!$B$140,CT61+CS62-DB61)))</f>
        <v>0</v>
      </c>
      <c r="CU62" s="17" t="e">
        <f>CT62*VLOOKUP('Données projet'!$B$13,Paramètres!$A$1:$I$89,3,0)*VLOOKUP('Données projet'!$B$13,Paramètres!$A$1:$I$89,5,0)</f>
        <v>#N/A</v>
      </c>
      <c r="CV62" s="13" t="e">
        <f t="shared" si="41"/>
        <v>#N/A</v>
      </c>
      <c r="CW62" s="20" t="e">
        <f t="shared" si="13"/>
        <v>#N/A</v>
      </c>
      <c r="CX62" s="59" t="e">
        <f t="shared" si="14"/>
        <v>#N/A</v>
      </c>
      <c r="CY62" s="59" t="e">
        <f ca="1">AVERAGE(OFFSET($CX$3,0,0,'Données projet'!$E$13+1,1))-AVERAGE(OFFSET($H$3,0,0,'Données projet'!$E$13+1,1))</f>
        <v>#N/A</v>
      </c>
      <c r="CZ62" s="59" t="e">
        <f t="shared" si="42"/>
        <v>#N/A</v>
      </c>
      <c r="DA62" s="15">
        <f>IF(ISNA(VLOOKUP(A62,'Données projet'!$A$139:$I$159,3,0)),0,VLOOKUP(A62,'Données projet'!$A$139:$I$159,3,0))</f>
        <v>0</v>
      </c>
      <c r="DB62" s="15">
        <f>IF(ISNA(VLOOKUP(A62,'Données projet'!$A$139:$I$159,4,0)),0,VLOOKUP(A62,'Données projet'!$A$139:$I$159,4,0))</f>
        <v>0</v>
      </c>
      <c r="DC62" s="16">
        <f>IF(ISNA(VLOOKUP(A62,'Données projet'!$A$139:$I$159,5,0)),0%,VLOOKUP(A62,'Données projet'!$A$139:$I$159,5,0)*VLOOKUP('Données projet'!$B$13,Paramètres!$A$1:$I$89,7,0))</f>
        <v>0</v>
      </c>
      <c r="DD62" s="16">
        <f>IF(ISNA(VLOOKUP(A62,'Données projet'!$A$139:$I$159,6,0)),0%,VLOOKUP(A62,'Données projet'!$A$139:$I$159,6,0)*VLOOKUP('Données projet'!$B$13,Paramètres!$A$1:$I$89,7,0))</f>
        <v>0</v>
      </c>
      <c r="DE62" s="16">
        <f>IF(ISNA(VLOOKUP(A62,'Données projet'!$A$139:$I$159,7,0)),0%,VLOOKUP(A62,'Données projet'!$A$139:$I$159,7,0))</f>
        <v>0</v>
      </c>
      <c r="DF62" s="21" t="e">
        <f>EXP(-LN(2)/35)*DF61+(1-EXP(-LN(2)/35))/(LN(2)/35)*DB62*DC62*VLOOKUP('Données projet'!$B$13,Paramètres!$A$1:$I$89,3,0)*0.475*44/12</f>
        <v>#N/A</v>
      </c>
      <c r="DG62" s="21" t="e">
        <f>EXP(-LN(2)/25)*DG61+(1-EXP(-LN(2)/25))/(LN(2)/25)*Calculateur!DB62*Calculateur!DD62*VLOOKUP('Données projet'!$B$13,Paramètres!$A$1:$I$89,3,0)*0.475*44/12</f>
        <v>#N/A</v>
      </c>
      <c r="DH62" s="21" t="e">
        <f>EXP(-LN(2)/2)*DH61+(1-EXP(-LN(2)/2))/(LN(2)/2)*DB62*DE62*VLOOKUP('Données projet'!$B$13,Paramètres!$A$1:$I$89,3,0)*0.475*44/12</f>
        <v>#N/A</v>
      </c>
      <c r="DI62" s="22" t="e">
        <f t="shared" si="15"/>
        <v>#N/A</v>
      </c>
      <c r="DJ62" s="75">
        <f>('Scénario référence'!$F$8+'Scénario référence'!$F$9+'Scénario référence'!$B$17+'Scénario référence'!$B$9+'Scénario référence'!$B$10)*70+IF((45+25*(1-EXP(-0.0175*A62)))&lt;70,'Scénario référence'!$B$16*(45+25*(1-EXP(-0.0175*A62))),70*'Scénario référence'!$B$16)+IF((32+38*(1-EXP(-0.0175*A62)))&lt;70,'Scénario référence'!$B$18*(32+38*(1-EXP(-0.0175*A62))),70*'Scénario référence'!$B$18)</f>
        <v>70</v>
      </c>
      <c r="DK62" s="12">
        <f>IF(A62&gt;30,10,('Scénario référence'!$B$16+'Scénario référence'!$B$17+'Scénario référence'!$B$18+'Scénario référence'!$B$9+'Scénario référence'!$B$10)*A62*10/30+('Scénario référence'!$F$8+'Scénario référence'!$F$9)*10)</f>
        <v>10</v>
      </c>
      <c r="DL62" s="12" t="e">
        <f>VLOOKUP(A62,'Données projet'!$A$165:$I$185,2,0)</f>
        <v>#N/A</v>
      </c>
      <c r="DM62" s="12" t="e">
        <f>VLOOKUP(A62,'Données projet'!$A$165:$I$185,9,0)</f>
        <v>#N/A</v>
      </c>
      <c r="DN62" s="12">
        <f t="array" ref="DN62">INDEX(DM:DM,MIN(IF(ISNUMBER(DM62:DM258),ROW(DM62:DM258),"")))</f>
        <v>6.6</v>
      </c>
      <c r="DO62" s="12">
        <f>IF('Données projet'!$A$166&gt;35,DO61+DN62-DW61,IF(A62&lt;'Données projet'!$A$166,$DL$205^A62,IF(A62='Données projet'!$A$166,'Données projet'!$B$166,DO61+DN62-DW61)))</f>
        <v>278.40000000000009</v>
      </c>
      <c r="DP62" s="17">
        <f>DO62*VLOOKUP('Données projet'!$B$14,Paramètres!$A$1:$I$89,3,0)*VLOOKUP('Données projet'!$B$14,Paramètres!$A$1:$I$89,5,0)</f>
        <v>182.40768000000006</v>
      </c>
      <c r="DQ62" s="13">
        <f t="shared" si="43"/>
        <v>45.857435663065921</v>
      </c>
      <c r="DR62" s="20">
        <f t="shared" si="16"/>
        <v>397.56174311317324</v>
      </c>
      <c r="DS62" s="59">
        <f t="shared" si="17"/>
        <v>690.89507644650655</v>
      </c>
      <c r="DT62" s="59">
        <f ca="1">AVERAGE(OFFSET($DS$3,0,0,'Données projet'!$E$14+1,1))-AVERAGE(OFFSET($H$3,0,0,'Données projet'!$E$14+1,1))</f>
        <v>188.68915783955595</v>
      </c>
      <c r="DU62" s="59">
        <f t="shared" si="44"/>
        <v>240.82467772396944</v>
      </c>
      <c r="DV62" s="15">
        <f>IF(ISNA(VLOOKUP(A62,'Données projet'!$A$165:$I$185,3,0)),0,VLOOKUP(A62,'Données projet'!$A$165:$I$185,3,0))</f>
        <v>0</v>
      </c>
      <c r="DW62" s="15">
        <f>IF(ISNA(VLOOKUP(A62,'Données projet'!$A$165:$I$185,4,0)),0,VLOOKUP(A62,'Données projet'!$A$165:$I$185,4,0))</f>
        <v>0</v>
      </c>
      <c r="DX62" s="16">
        <f>IF(ISNA(VLOOKUP(A62,'Données projet'!$A$165:$I$185,5,0)),0%,VLOOKUP(A62,'Données projet'!$A$165:$I$185,5,0)*VLOOKUP('Données projet'!$B$14,Paramètres!$A$1:$I$89,7,0))</f>
        <v>0</v>
      </c>
      <c r="DY62" s="16">
        <f>IF(ISNA(VLOOKUP(A62,'Données projet'!$A$165:$I$185,6,0)),0%,VLOOKUP(A62,'Données projet'!$A$165:$I$185,6,0)*VLOOKUP('Données projet'!$B$14,Paramètres!$A$1:$I$89,7,0))</f>
        <v>0</v>
      </c>
      <c r="DZ62" s="16">
        <f>IF(ISNA(VLOOKUP(A62,'Données projet'!$A$165:$I$185,7,0)),0%,VLOOKUP(A62,'Données projet'!$A$165:$I$185,7,0))</f>
        <v>0</v>
      </c>
      <c r="EA62" s="21">
        <f>EXP(-LN(2)/35)*EA61+(1-EXP(-LN(2)/35))/(LN(2)/35)*DW62*DX62*VLOOKUP('Données projet'!$B$14,Paramètres!$A$1:$I$89,3,0)*0.475*44/12</f>
        <v>0.87686877547459319</v>
      </c>
      <c r="EB62" s="21">
        <f>EXP(-LN(2)/25)*EB61+(1-EXP(-LN(2)/25))/(LN(2)/25)*Calculateur!DW62*Calculateur!DY62*VLOOKUP('Données projet'!$B$14,Paramètres!$A$1:$I$89,3,0)*0.475*44/12</f>
        <v>3.5971188465591521</v>
      </c>
      <c r="EC62" s="21">
        <f>EXP(-LN(2)/2)*EC61+(1-EXP(-LN(2)/2))/(LN(2)/2)*DW62*DZ62*VLOOKUP('Données projet'!$B$14,Paramètres!$A$1:$I$89,3,0)*0.475*44/12</f>
        <v>6.040621947815296E-4</v>
      </c>
      <c r="ED62" s="22">
        <f t="shared" si="18"/>
        <v>4.4745916842285274</v>
      </c>
      <c r="EE62" s="75">
        <f>('Scénario référence'!$F$8+'Scénario référence'!$F$9+'Scénario référence'!$B$17+'Scénario référence'!$B$9+'Scénario référence'!$B$10)*70+IF((45+25*(1-EXP(-0.0175*A62)))&lt;70,'Scénario référence'!$B$16*(45+25*(1-EXP(-0.0175*A62))),70*'Scénario référence'!$B$16)+IF((32+38*(1-EXP(-0.0175*A62)))&lt;70,'Scénario référence'!$B$18*(32+38*(1-EXP(-0.0175*A62))),70*'Scénario référence'!$B$18)</f>
        <v>70</v>
      </c>
      <c r="EF62" s="12">
        <f>IF(A62&gt;30,10,('Scénario référence'!$B$16+'Scénario référence'!$B$17+'Scénario référence'!$B$18+'Scénario référence'!$B$9+'Scénario référence'!$B$10)*A62*10/30+('Scénario référence'!$F$8+'Scénario référence'!$F$9)*10)</f>
        <v>10</v>
      </c>
      <c r="EG62" s="12" t="e">
        <f>VLOOKUP(A62,'Données projet'!$A$191:$I$211,2,0)</f>
        <v>#N/A</v>
      </c>
      <c r="EH62" s="12" t="e">
        <f>VLOOKUP(A62,'Données projet'!$A$191:$I$211,9,0)</f>
        <v>#N/A</v>
      </c>
      <c r="EI62" s="12">
        <f t="array" ref="EI62">INDEX(EH:EH,MIN(IF(ISNUMBER(EH62:EH258),ROW(EH62:EH258),"")))</f>
        <v>6.4</v>
      </c>
      <c r="EJ62" s="12">
        <f>IF('Données projet'!$A$192&gt;35,EJ61+EI62-ER61,IF(A62&lt;'Données projet'!$A$192,$EG$205^A62,IF(A62='Données projet'!$A$192,'Données projet'!$B$192,EJ61+EI62-ER61)))</f>
        <v>243.59999999999997</v>
      </c>
      <c r="EK62" s="17">
        <f>EJ62*VLOOKUP('Données projet'!$B$15,Paramètres!$A$1:$I$89,3,0)*VLOOKUP('Données projet'!$B$15,Paramètres!$A$1:$I$89,5,0)</f>
        <v>197.60831999999999</v>
      </c>
      <c r="EL62" s="13">
        <f t="shared" si="45"/>
        <v>49.218181392381361</v>
      </c>
      <c r="EM62" s="20">
        <f t="shared" si="19"/>
        <v>429.8894899250642</v>
      </c>
      <c r="EN62" s="59">
        <f t="shared" si="20"/>
        <v>723.22282325839751</v>
      </c>
      <c r="EO62" s="59">
        <f ca="1">AVERAGE(OFFSET($EN$3,0,0,'Données projet'!$E$15+1,1))-AVERAGE(OFFSET($H$3,0,0,'Données projet'!$E$15+1,1))</f>
        <v>205.5272583787887</v>
      </c>
      <c r="EP62" s="59">
        <f t="shared" si="46"/>
        <v>180.54762778843178</v>
      </c>
      <c r="EQ62" s="15">
        <f>IF(ISNA(VLOOKUP(A62,'Données projet'!$A$191:$I$211,3,0)),0,VLOOKUP(A62,'Données projet'!$A$191:$I$211,3,0))</f>
        <v>0</v>
      </c>
      <c r="ER62" s="15">
        <f>IF(ISNA(VLOOKUP(A62,'Données projet'!$A$191:$I$211,4,0)),0,VLOOKUP(A62,'Données projet'!$A$191:$I$211,4,0))</f>
        <v>0</v>
      </c>
      <c r="ES62" s="16">
        <f>IF(ISNA(VLOOKUP(A62,'Données projet'!$A$191:$I$211,5,0)),0%,VLOOKUP(A62,'Données projet'!$A$191:$I$211,5,0)*VLOOKUP('Données projet'!$B$15,Paramètres!$A$1:$I$89,7,0))</f>
        <v>0</v>
      </c>
      <c r="ET62" s="16">
        <f>IF(ISNA(VLOOKUP(A62,'Données projet'!$A$191:$I$211,6,0)),0%,VLOOKUP(A62,'Données projet'!$A$191:$I$211,6,0)*VLOOKUP('Données projet'!$B$15,Paramètres!$A$1:$I$89,7,0))</f>
        <v>0</v>
      </c>
      <c r="EU62" s="16">
        <f>IF(ISNA(VLOOKUP(A62,'Données projet'!$A$191:$I$211,7,0)),0%,VLOOKUP(A62,'Données projet'!$A$191:$I$211,7,0))</f>
        <v>0</v>
      </c>
      <c r="EV62" s="21">
        <f>EXP(-LN(2)/35)*EV61+(1-EXP(-LN(2)/35))/(LN(2)/35)*ER62*ES62*VLOOKUP('Données projet'!$B$15,Paramètres!$A$1:$I$89,3,0)*0.475*44/12</f>
        <v>0.56453646878173802</v>
      </c>
      <c r="EW62" s="21">
        <f>EXP(-LN(2)/25)*EW61+(1-EXP(-LN(2)/25))/(LN(2)/25)*Calculateur!ER62*Calculateur!ET62*VLOOKUP('Données projet'!$B$15,Paramètres!$A$1:$I$89,3,0)*0.475*44/12</f>
        <v>2.5972289292867035</v>
      </c>
      <c r="EX62" s="21">
        <f>EXP(-LN(2)/2)*EX61+(1-EXP(-LN(2)/2))/(LN(2)/2)*ER62*EU62*VLOOKUP('Données projet'!$B$15,Paramètres!$A$1:$I$89,3,0)*0.475*44/12</f>
        <v>3.9113071778045725E-4</v>
      </c>
      <c r="EY62" s="22">
        <f t="shared" si="21"/>
        <v>3.1621565287862219</v>
      </c>
      <c r="EZ62" s="75">
        <f>('Scénario référence'!$F$8+'Scénario référence'!$F$9+'Scénario référence'!$B$17+'Scénario référence'!$B$9+'Scénario référence'!$B$10)*70+IF((45+25*(1-EXP(-0.0175*A62)))&lt;70,'Scénario référence'!$B$16*(45+25*(1-EXP(-0.0175*A62))),70*'Scénario référence'!$B$16)+IF((32+38*(1-EXP(-0.0175*A62)))&lt;70,'Scénario référence'!$B$18*(32+38*(1-EXP(-0.0175*A62))),70*'Scénario référence'!$B$18)</f>
        <v>70</v>
      </c>
      <c r="FA62" s="12">
        <f>IF(A62&gt;30,10,('Scénario référence'!$B$16+'Scénario référence'!$B$17+'Scénario référence'!$B$18+'Scénario référence'!$B$9+'Scénario référence'!$B$10)*A62*10/30+('Scénario référence'!$F$8+'Scénario référence'!$F$9)*10)</f>
        <v>10</v>
      </c>
      <c r="FB62" s="12" t="e">
        <f>VLOOKUP(A62,'Données projet'!$A$217:$I$237,2,0)</f>
        <v>#N/A</v>
      </c>
      <c r="FC62" s="12" t="e">
        <f>VLOOKUP(A62,'Données projet'!$A$217:$I$237,9,0)</f>
        <v>#N/A</v>
      </c>
      <c r="FD62" s="12">
        <f t="array" ref="FD62">INDEX(FC:FC,MIN(IF(ISNUMBER(FC62:FC258),ROW(FC62:FC258),"")))</f>
        <v>13.4</v>
      </c>
      <c r="FE62" s="12">
        <f>IF('Données projet'!$A$218&gt;35,FE61+FD62-FM61,IF(A62&lt;'Données projet'!$A$218,$FB$205^A62,IF(A62='Données projet'!$A$218,'Données projet'!$B$218,FE61+FD62-FM61)))</f>
        <v>319.59999999999997</v>
      </c>
      <c r="FF62" s="17">
        <f>FE62*VLOOKUP('Données projet'!$B$16,Paramètres!$A$1:$I$89,3,0)*VLOOKUP('Données projet'!$B$16,Paramètres!$A$1:$I$89,5,0)</f>
        <v>274.21680000000003</v>
      </c>
      <c r="FG62" s="13">
        <f t="shared" si="47"/>
        <v>65.743371927752975</v>
      </c>
      <c r="FH62" s="20">
        <f t="shared" si="22"/>
        <v>592.09729944083642</v>
      </c>
      <c r="FI62" s="59">
        <f t="shared" si="23"/>
        <v>885.43063277416968</v>
      </c>
      <c r="FJ62" s="59">
        <f ca="1">AVERAGE(OFFSET($FI$3,0,0,'Données projet'!$E$16+1,1))-AVERAGE(OFFSET($H$3,0,0,'Données projet'!$E$16+1,1))</f>
        <v>383.97627237444709</v>
      </c>
      <c r="FK62" s="59">
        <f t="shared" si="48"/>
        <v>203.35476578922339</v>
      </c>
      <c r="FL62" s="15">
        <f>IF(ISNA(VLOOKUP(A62,'Données projet'!$A$217:$I$237,3,0)),0,VLOOKUP(A62,'Données projet'!$A$217:$I$237,3,0))</f>
        <v>0</v>
      </c>
      <c r="FM62" s="15">
        <f>IF(ISNA(VLOOKUP(A62,'Données projet'!$A$217:$I$237,4,0)),0,VLOOKUP(A62,'Données projet'!$A$217:$I$237,4,0))</f>
        <v>0</v>
      </c>
      <c r="FN62" s="16">
        <f>IF(ISNA(VLOOKUP(A62,'Données projet'!$A$217:$I$237,5,0)),0%,VLOOKUP(A62,'Données projet'!$A$217:$I$237,5,0)*VLOOKUP('Données projet'!$B$16,Paramètres!$A$1:$I$89,7,0))</f>
        <v>0</v>
      </c>
      <c r="FO62" s="16">
        <f>IF(ISNA(VLOOKUP(A62,'Données projet'!$A$217:$I$237,6,0)),0%,VLOOKUP(A62,'Données projet'!$A$217:$I$237,6,0)*VLOOKUP('Données projet'!$B$16,Paramètres!$A$1:$I$89,7,0))</f>
        <v>0</v>
      </c>
      <c r="FP62" s="16">
        <f>IF(ISNA(VLOOKUP(A62,'Données projet'!$A$217:$I$237,7,0)),0%,VLOOKUP(A62,'Données projet'!$A$217:$I$237,7,0))</f>
        <v>0</v>
      </c>
      <c r="FQ62" s="21">
        <f>EXP(-LN(2)/35)*FQ61+(1-EXP(-LN(2)/35))/(LN(2)/35)*FM62*FN62*VLOOKUP('Données projet'!$B$16,Paramètres!$A$1:$I$89,3,0)*0.475*44/12</f>
        <v>2.9014111766568687</v>
      </c>
      <c r="FR62" s="21">
        <f>EXP(-LN(2)/25)*FR61+(1-EXP(-LN(2)/25))/(LN(2)/25)*Calculateur!FM62*Calculateur!FO62*VLOOKUP('Données projet'!$B$16,Paramètres!$A$1:$I$89,3,0)*0.475*44/12</f>
        <v>2.6364558123484705</v>
      </c>
      <c r="FS62" s="21">
        <f>EXP(-LN(2)/2)*FS61+(1-EXP(-LN(2)/2))/(LN(2)/2)*FM62*FP62*VLOOKUP('Données projet'!$B$16,Paramètres!$A$1:$I$89,3,0)*0.475*44/12</f>
        <v>7.1842685691753138E-4</v>
      </c>
      <c r="FT62" s="22">
        <f t="shared" si="24"/>
        <v>5.5385854158622569</v>
      </c>
      <c r="FU62" s="75">
        <f>('Scénario référence'!$F$8+'Scénario référence'!$F$9+'Scénario référence'!$B$17+'Scénario référence'!$B$9+'Scénario référence'!$B$10)*70+IF((45+25*(1-EXP(-0.0175*A62)))&lt;70,'Scénario référence'!$B$16*(45+25*(1-EXP(-0.0175*A62))),70*'Scénario référence'!$B$16)+IF((32+38*(1-EXP(-0.0175*A62)))&lt;70,'Scénario référence'!$B$18*(32+38*(1-EXP(-0.0175*A62))),70*'Scénario référence'!$B$18)</f>
        <v>70</v>
      </c>
      <c r="FV62" s="12">
        <f>IF(A62&gt;30,10,('Scénario référence'!$B$16+'Scénario référence'!$B$17+'Scénario référence'!$B$18+'Scénario référence'!$B$9+'Scénario référence'!$B$10)*A62*10/30+('Scénario référence'!$F$8+'Scénario référence'!$F$9)*10)</f>
        <v>10</v>
      </c>
      <c r="FW62" s="12" t="e">
        <f>VLOOKUP(A62,'Données projet'!$A$243:$I$263,2,0)</f>
        <v>#N/A</v>
      </c>
      <c r="FX62" s="12" t="e">
        <f>VLOOKUP(A62,'Données projet'!$A$243:$I$263,9,0)</f>
        <v>#N/A</v>
      </c>
      <c r="FY62" s="12">
        <f t="array" ref="FY62">INDEX(FX:FX,MIN(IF(ISNUMBER(FX62:FX258),ROW(FX62:FX258),"")))</f>
        <v>8.374198717948719</v>
      </c>
      <c r="FZ62" s="12">
        <f>IF('Données projet'!$A$244&gt;35,FZ61+FY62-GH61,IF(A62&lt;'Données projet'!$A$244,$FW$205^A62,IF(A62='Données projet'!$A$244,'Données projet'!$B$244,FZ61+FY62-GH61)))</f>
        <v>186.79166666666669</v>
      </c>
      <c r="GA62" s="17">
        <f>FZ62*VLOOKUP('Données projet'!$B$17,Paramètres!$A$1:$I$89,3,0)*VLOOKUP('Données projet'!$B$17,Paramètres!$A$1:$I$89,5,0)</f>
        <v>201.06254999999999</v>
      </c>
      <c r="GB62" s="13">
        <f t="shared" si="49"/>
        <v>49.977611993816375</v>
      </c>
      <c r="GC62" s="20">
        <f t="shared" si="25"/>
        <v>437.22828213923009</v>
      </c>
      <c r="GD62" s="59">
        <f t="shared" si="26"/>
        <v>730.5616154725634</v>
      </c>
      <c r="GE62" s="59">
        <f ca="1">AVERAGE(OFFSET($GD$3,0,0,'Données projet'!$E$17+1,1))-AVERAGE(OFFSET($H$3,0,0,'Données projet'!$E$17+1,1))</f>
        <v>286.77702855541287</v>
      </c>
      <c r="GF62" s="59">
        <f t="shared" si="50"/>
        <v>227.12211541860779</v>
      </c>
      <c r="GG62" s="15">
        <f>IF(ISNA(VLOOKUP(A62,'Données projet'!$A$243:$I$263,3,0)),0,VLOOKUP(A62,'Données projet'!$A$243:$I$263,3,0))</f>
        <v>0</v>
      </c>
      <c r="GH62" s="15">
        <f>IF(ISNA(VLOOKUP(A62,'Données projet'!$A$243:$I$263,4,0)),0,VLOOKUP(A62,'Données projet'!$A$243:$I$263,4,0))</f>
        <v>0</v>
      </c>
      <c r="GI62" s="16">
        <f>IF(ISNA(VLOOKUP(A62,'Données projet'!$A$243:$I$263,5,0)),0%,VLOOKUP(A62,'Données projet'!$A$243:$I$263,5,0)*VLOOKUP('Données projet'!$B$17,Paramètres!$A$1:$I$89,7,0))</f>
        <v>0</v>
      </c>
      <c r="GJ62" s="16">
        <f>IF(ISNA(VLOOKUP(A62,'Données projet'!$A$243:$I$263,6,0)),0%,VLOOKUP(A62,'Données projet'!$A$243:$I$263,6,0)*VLOOKUP('Données projet'!$B$17,Paramètres!$A$1:$I$89,7,0))</f>
        <v>0</v>
      </c>
      <c r="GK62" s="16">
        <f>IF(ISNA(VLOOKUP(A62,'Données projet'!$A$243:$I$263,7,0)),0%,VLOOKUP(A62,'Données projet'!$A$243:$I$263,7,0))</f>
        <v>0</v>
      </c>
      <c r="GL62" s="21">
        <f>EXP(-LN(2)/35)*GL61+(1-EXP(-LN(2)/35))/(LN(2)/35)*GH62*GI62*VLOOKUP('Données projet'!$B$17,Paramètres!$A$1:$I$89,3,0)*0.475*44/12</f>
        <v>0</v>
      </c>
      <c r="GM62" s="21">
        <f>EXP(-LN(2)/25)*GM61+(1-EXP(-LN(2)/25))/(LN(2)/25)*Calculateur!GH62*Calculateur!GJ62*VLOOKUP('Données projet'!$B$17,Paramètres!$A$1:$I$89,3,0)*0.475*44/12</f>
        <v>0</v>
      </c>
      <c r="GN62" s="21">
        <f>EXP(-LN(2)/2)*GN61+(1-EXP(-LN(2)/2))/(LN(2)/2)*GH62*GK62*VLOOKUP('Données projet'!$B$17,Paramètres!$A$1:$I$89,3,0)*0.475*44/12</f>
        <v>0</v>
      </c>
      <c r="GO62" s="21">
        <f t="shared" si="27"/>
        <v>0</v>
      </c>
      <c r="GP62" s="75">
        <f>('Scénario référence'!$F$8+'Scénario référence'!$F$9+'Scénario référence'!$B$17+'Scénario référence'!$B$9+'Scénario référence'!$B$10)*70+IF((45+25*(1-EXP(-0.0175*A62)))&lt;70,'Scénario référence'!$B$16*(45+25*(1-EXP(-0.0175*A62))),70*'Scénario référence'!$B$16)+IF((32+38*(1-EXP(-0.0175*A62)))&lt;70,'Scénario référence'!$B$18*(32+38*(1-EXP(-0.0175*A62))),70*'Scénario référence'!$B$18)</f>
        <v>70</v>
      </c>
      <c r="GQ62" s="12">
        <f>IF(A62&gt;30,10,('Scénario référence'!$B$16+'Scénario référence'!$B$17+'Scénario référence'!$B$18+'Scénario référence'!$B$9+'Scénario référence'!$B$10)*A62*10/30+('Scénario référence'!$F$8+'Scénario référence'!$F$9)*10)</f>
        <v>10</v>
      </c>
      <c r="GR62" s="12" t="e">
        <f>VLOOKUP(A62,'Données projet'!$A$269:$I$289,2,0)</f>
        <v>#N/A</v>
      </c>
      <c r="GS62" s="12" t="e">
        <f>VLOOKUP(A62,'Données projet'!$A$269:$I$289,9,0)</f>
        <v>#N/A</v>
      </c>
      <c r="GT62" s="12">
        <f t="array" ref="GT62">INDEX(GS:GS,MIN(IF(ISNUMBER(GS62:GS258),ROW(GS62:GS258),"")))</f>
        <v>8.374198717948719</v>
      </c>
      <c r="GU62" s="12">
        <f>IF('Données projet'!$A$270&gt;35,GU61+GT62-HC61,IF(A62&lt;'Données projet'!$A$270,$GR$205^A62,IF(A62='Données projet'!$A$270,'Données projet'!$B$270,GU61+GT62-HC61)))</f>
        <v>186.79166666666669</v>
      </c>
      <c r="GV62" s="17">
        <f>GU62*VLOOKUP('Données projet'!$B$18,Paramètres!$A$1:$I$89,3,0)*VLOOKUP('Données projet'!$B$18,Paramètres!$A$1:$I$89,5,0)</f>
        <v>201.06254999999999</v>
      </c>
      <c r="GW62" s="13">
        <f t="shared" si="51"/>
        <v>49.977611993816375</v>
      </c>
      <c r="GX62" s="20">
        <f t="shared" si="28"/>
        <v>437.22828213923009</v>
      </c>
      <c r="GY62" s="59">
        <f t="shared" si="29"/>
        <v>730.5616154725634</v>
      </c>
      <c r="GZ62" s="59">
        <f ca="1">AVERAGE(OFFSET($GY$3,0,0,'Données projet'!$E$18+1,1))-AVERAGE(OFFSET($H$3,0,0,'Données projet'!$E$18+1,1))</f>
        <v>286.77702855541287</v>
      </c>
      <c r="HA62" s="59">
        <f t="shared" si="52"/>
        <v>227.12211541860779</v>
      </c>
      <c r="HB62" s="15">
        <f>IF(ISNA(VLOOKUP(A62,'Données projet'!$A$269:$I$289,3,0)),0,VLOOKUP(A62,'Données projet'!$A$269:$I$289,3,0))</f>
        <v>0</v>
      </c>
      <c r="HC62" s="15">
        <f>IF(ISNA(VLOOKUP(A62,'Données projet'!$A$269:$I$289,4,0)),0,VLOOKUP(A62,'Données projet'!$A$269:$I$289,4,0))</f>
        <v>0</v>
      </c>
      <c r="HD62" s="16">
        <f>IF(ISNA(VLOOKUP(A62,'Données projet'!$A$269:$I$289,5,0)),0%,VLOOKUP(A62,'Données projet'!$A$269:$I$289,5,0)*VLOOKUP('Données projet'!$B$18,Paramètres!$A$1:$I$89,7,0))</f>
        <v>0</v>
      </c>
      <c r="HE62" s="16">
        <f>IF(ISNA(VLOOKUP(A62,'Données projet'!$A$269:$I$289,6,0)),0%,VLOOKUP(A62,'Données projet'!$A$269:$I$289,6,0)*VLOOKUP('Données projet'!$B$18,Paramètres!$A$1:$I$89,7,0))</f>
        <v>0</v>
      </c>
      <c r="HF62" s="16">
        <f>IF(ISNA(VLOOKUP(A62,'Données projet'!$A$269:$I$289,7,0)),0%,VLOOKUP(A62,'Données projet'!$A$269:$I$289,7,0))</f>
        <v>0</v>
      </c>
      <c r="HG62" s="21">
        <f>EXP(-LN(2)/35)*HG61+(1-EXP(-LN(2)/35))/(LN(2)/35)*HC62*HD62*VLOOKUP('Données projet'!$B$18,Paramètres!$A$1:$I$89,3,0)*0.475*44/12</f>
        <v>0</v>
      </c>
      <c r="HH62" s="21">
        <f>EXP(-LN(2)/25)*HH61+(1-EXP(-LN(2)/25))/(LN(2)/25)*Calculateur!HC62*Calculateur!HE62*VLOOKUP('Données projet'!$B$18,Paramètres!$A$1:$I$89,3,0)*0.475*44/12</f>
        <v>0</v>
      </c>
      <c r="HI62" s="21">
        <f>EXP(-LN(2)/2)*HI61+(1-EXP(-LN(2)/2))/(LN(2)/2)*HC62*HF62*VLOOKUP('Données projet'!$B$18,Paramètres!$A$1:$I$89,3,0)*0.475*44/12</f>
        <v>0</v>
      </c>
      <c r="HJ62" s="22">
        <f t="shared" si="30"/>
        <v>0</v>
      </c>
    </row>
    <row r="63" spans="1:218" x14ac:dyDescent="0.25">
      <c r="A63" s="10">
        <f t="shared" si="31"/>
        <v>60</v>
      </c>
      <c r="B63" s="73">
        <f>'Scénario référence'!$B$16*5+'Scénario référence'!$B$17*0+'Scénario référence'!$B$18*5</f>
        <v>0</v>
      </c>
      <c r="C63" s="19">
        <f>Calculateur!C62+'Scénario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53.352000000000046</v>
      </c>
      <c r="D63" s="11">
        <f t="shared" si="32"/>
        <v>15.476132071622855</v>
      </c>
      <c r="E6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63" s="11">
        <f>IF(OR('Scénario référence'!$F$8&gt;0,'Scénario référence'!$F$9&gt;0),('Scénario référence'!$F$8+'Scénario référence'!$F$9)*10,0)</f>
        <v>10</v>
      </c>
      <c r="G63" s="11">
        <f>'Scénario référence'!$B$8*B63*44/12+'Scénario référence'!$B$9*(C63+D63)/0.475*44/12+'Scénario référence'!$B$10*(C63+D63)/0.475*44/12+'Scénario référence'!$F$8*(C63+D63)/0.475*44/12+'Scénario référence'!$F$9*(C63+D63)/0.475*44/12</f>
        <v>531.30487914936975</v>
      </c>
      <c r="H63" s="67">
        <f t="shared" si="1"/>
        <v>413.20899669140988</v>
      </c>
      <c r="I63" s="70">
        <f>('Scénario référence'!$F$8+'Scénario référence'!$F$9+'Scénario référence'!$B$17+'Scénario référence'!$B$9+'Scénario référence'!$B$10)*70+IF((45+25*(1-EXP(-0.0175*A63)))&lt;70,'Scénario référence'!$B$16*(45+25*(1-EXP(-0.0175*A63))),70*'Scénario référence'!$B$16)+IF((32+38*(1-EXP(-0.0175*A63)))&lt;70,'Scénario référence'!$B$18*(32+38*(1-EXP(-0.0175*A63))),70*'Scénario référence'!$B$18)</f>
        <v>70</v>
      </c>
      <c r="J63" s="13">
        <f>IF(A63&gt;30,10,('Scénario référence'!$B$16+'Scénario référence'!$B$17+'Scénario référence'!$B$18+'Scénario référence'!$B$9+'Scénario référence'!$B$10)*A63*10/30+('Scénario référence'!$F$8+'Scénario référence'!$F$9)*10)</f>
        <v>10</v>
      </c>
      <c r="K63" s="12" t="e">
        <f>VLOOKUP(A63,'Données projet'!$A$35:$I$55,2,0)</f>
        <v>#N/A</v>
      </c>
      <c r="L63" s="12" t="e">
        <f>VLOOKUP(A63,'Données projet'!$A$35:$I$55,9,0)</f>
        <v>#N/A</v>
      </c>
      <c r="M63" s="12">
        <f t="array" ref="M63">INDEX(L:L,MIN(IF(ISNUMBER(L63:L259),ROW(L63:L259),"")))</f>
        <v>0</v>
      </c>
      <c r="N63" s="13">
        <f>IF('Données projet'!$A$36&gt;35,N62+M63-V62,IF(A63&lt;'Données projet'!$A$36,$K$205^A63,IF(A63='Données projet'!$A$36,'Données projet'!$B$36,N62+M63-V62)))</f>
        <v>-2.2737367544323206E-13</v>
      </c>
      <c r="O63" s="13">
        <f>N63*VLOOKUP('Données projet'!$B$9,Paramètres!$A$1:$I$89,3,0)*VLOOKUP('Données projet'!$B$9,Paramètres!$A$1:$I$89,5,0)</f>
        <v>-1.2710188457276673E-13</v>
      </c>
      <c r="P63" s="13" t="e">
        <f t="shared" si="33"/>
        <v>#NUM!</v>
      </c>
      <c r="Q63" s="20" t="e">
        <f t="shared" si="53"/>
        <v>#NUM!</v>
      </c>
      <c r="R63" s="59" t="e">
        <f t="shared" si="0"/>
        <v>#NUM!</v>
      </c>
      <c r="S63" s="59">
        <f ca="1">AVERAGE(OFFSET($R$3,0,0,'Données projet'!$E$9+1,1))-AVERAGE(OFFSET($H$3,0,0,'Données projet'!$E$9+1,1))</f>
        <v>255.5374979188561</v>
      </c>
      <c r="T63" s="59">
        <f t="shared" si="34"/>
        <v>343.10418468620901</v>
      </c>
      <c r="U63" s="15">
        <f>IF(ISNA(VLOOKUP(A63,'Données projet'!$A$35:$I$55,3,0)),0,VLOOKUP(A63,'Données projet'!$A$35:$I$55,3,0))</f>
        <v>0</v>
      </c>
      <c r="V63" s="15">
        <f>IF(ISNA(VLOOKUP(A63,'Données projet'!$A$35:$I$55,4,0)),0,VLOOKUP(A63,'Données projet'!$A$35:$I$55,4,0))</f>
        <v>0</v>
      </c>
      <c r="W63" s="16">
        <f>IF(ISNA(VLOOKUP(A63,'Données projet'!$A$35:$I$55,5,0)),0%,VLOOKUP(A63,'Données projet'!$A$35:$I$55,5,0)*VLOOKUP('Données projet'!$B$9,Paramètres!$A$1:$I$89,7,0))</f>
        <v>0</v>
      </c>
      <c r="X63" s="16">
        <f>IF(ISNA(VLOOKUP(A63,'Données projet'!$A$35:$I$55,6,0)),0%,VLOOKUP(A63,'Données projet'!$A$35:$I$55,6,0)*VLOOKUP('Données projet'!$B$9,Paramètres!$A$1:$I$89,7,0))</f>
        <v>0</v>
      </c>
      <c r="Y63" s="16">
        <f>IF(ISNA(VLOOKUP(A63,'Données projet'!$A$35:$I$55,7,0)),0%,VLOOKUP(A63,'Données projet'!$A$35:$I$55,7,0))</f>
        <v>0</v>
      </c>
      <c r="Z63" s="21">
        <f>EXP(-LN(2)/35)*Z62+(1-EXP(-LN(2)/35))/(LN(2)/35)*V63*W63*VLOOKUP('Données projet'!$B$9,Paramètres!$A$1:$I$89,3,0)*0.475*44/12</f>
        <v>1.7058408477522393</v>
      </c>
      <c r="AA63" s="21">
        <f>EXP(-LN(2)/25)*AA62+(1-EXP(-LN(2)/25))/(LN(2)/25)*Calculateur!V63*Calculateur!X63*VLOOKUP('Données projet'!$B$9,Paramètres!$A$1:$I$89,3,0)*0.475*44/12</f>
        <v>6.9471062881034635</v>
      </c>
      <c r="AB63" s="21">
        <f>EXP(-LN(2)/2)*AB62+(1-EXP(-LN(2)/2))/(LN(2)/2)*V63*Y63*VLOOKUP('Données projet'!$B$9,Paramètres!$A$1:$I$89,3,0)*0.475*44/12</f>
        <v>5.1655642073183168E-5</v>
      </c>
      <c r="AC63" s="22">
        <f t="shared" si="3"/>
        <v>8.652998791497776</v>
      </c>
      <c r="AD63" s="13">
        <f>('Scénario référence'!$F$8+'Scénario référence'!$F$9+'Scénario référence'!$B$17+'Scénario référence'!$B$9+'Scénario référence'!$B$10)*70+IF((45+25*(1-EXP(-0.0175*A63)))&lt;70,'Scénario référence'!$B$16*(45+25*(1-EXP(-0.0175*A63))),70*'Scénario référence'!$B$16)+IF((32+38*(1-EXP(-0.0175*A63)))&lt;70,'Scénario référence'!$B$18*(32+38*(1-EXP(-0.0175*A63))),70*'Scénario référence'!$B$18)</f>
        <v>70</v>
      </c>
      <c r="AE63" s="13">
        <f>IF(A63&gt;30,10,('Scénario référence'!$B$16+'Scénario référence'!$B$17+'Scénario référence'!$B$18+'Scénario référence'!$B$9+'Scénario référence'!$B$10)*A63*10/30+('Scénario référence'!$F$8+'Scénario référence'!$F$9)*10)</f>
        <v>10</v>
      </c>
      <c r="AF63" s="12">
        <f>VLOOKUP(A63,'Données projet'!$A$61:$I$81,2,0)</f>
        <v>404</v>
      </c>
      <c r="AG63" s="12">
        <f>VLOOKUP(A63,'Données projet'!$A$61:$I$81,9,0)</f>
        <v>10</v>
      </c>
      <c r="AH63" s="12">
        <f t="array" ref="AH63">INDEX(AG:AG,MIN(IF(ISNUMBER(AG63:AG259),ROW(AG63:AG259),"")))</f>
        <v>10</v>
      </c>
      <c r="AI63" s="13">
        <f>IF('Données projet'!$A$62&gt;35,AI62+AH63-AQ62,IF(A63&lt;'Données projet'!$A$62,$AF$205^A63,IF(A63='Données projet'!$A$62,'Données projet'!$B$62,AI62+AH63-AQ62)))</f>
        <v>403.99999999999989</v>
      </c>
      <c r="AJ63" s="13">
        <f>AI63*VLOOKUP('Données projet'!$B$10,Paramètres!$A$1:$I$89,3,0)*VLOOKUP('Données projet'!$B$10,Paramètres!$A$1:$I$89,5,0)</f>
        <v>252.09599999999992</v>
      </c>
      <c r="AK63" s="13">
        <f t="shared" si="35"/>
        <v>61.034549381925906</v>
      </c>
      <c r="AL63" s="20">
        <f t="shared" si="4"/>
        <v>545.36904017352083</v>
      </c>
      <c r="AM63" s="59">
        <f t="shared" si="5"/>
        <v>838.7023735068542</v>
      </c>
      <c r="AN63" s="59">
        <f ca="1">AVERAGE(OFFSET($AM$3,0,0,'Données projet'!$E$10+1,1))-AVERAGE(OFFSET($H$3,0,0,'Données projet'!$E$10+1,1))</f>
        <v>261.78489480911571</v>
      </c>
      <c r="AO63" s="59">
        <f t="shared" si="36"/>
        <v>297.50513563712764</v>
      </c>
      <c r="AP63" s="15">
        <f>IF(ISNA(VLOOKUP(A63,'Données projet'!$A$61:$I$81,3,0)),0,VLOOKUP(A63,'Données projet'!$A$61:$I$81,3,0))</f>
        <v>5</v>
      </c>
      <c r="AQ63" s="15">
        <f>IF(ISNA(VLOOKUP(A63,'Données projet'!$A$61:$I$81,4,0)),0,VLOOKUP(A63,'Données projet'!$A$61:$I$81,4,0))</f>
        <v>55</v>
      </c>
      <c r="AR63" s="16">
        <f>IF(ISNA(VLOOKUP(A63,'Données projet'!$A$61:$I$81,5,0)),0%,VLOOKUP(A63,'Données projet'!$A$61:$I$81,5,0)*VLOOKUP('Données projet'!$B$10,Paramètres!$A$1:$I$89,7,0))</f>
        <v>0</v>
      </c>
      <c r="AS63" s="16">
        <f>IF(ISNA(VLOOKUP(A63,'Données projet'!$A$61:$I$81,6,0)),0%,VLOOKUP(A63,'Données projet'!$A$61:$I$81,6,0)*VLOOKUP('Données projet'!$B$10,Paramètres!$A$1:$I$89,7,0))</f>
        <v>0</v>
      </c>
      <c r="AT63" s="16">
        <f>IF(ISNA(VLOOKUP(A63,'Données projet'!$A$61:$I$81,7,0)),0%,VLOOKUP(A63,'Données projet'!$A$61:$I$81,7,0))</f>
        <v>0</v>
      </c>
      <c r="AU63" s="21">
        <f>EXP(-LN(2)/35)*AU62+(1-EXP(-LN(2)/35))/(LN(2)/35)*AQ63*AR63*VLOOKUP('Données projet'!$B$10,Paramètres!$A$1:$I$89,3,0)*0.475*44/12</f>
        <v>4.6062527837006044</v>
      </c>
      <c r="AV63" s="21">
        <f>EXP(-LN(2)/25)*AV62+(1-EXP(-LN(2)/25))/(LN(2)/25)*Calculateur!AQ63*Calculateur!AS63*VLOOKUP('Données projet'!$B$10,Paramètres!$A$1:$I$89,3,0)*0.475*44/12</f>
        <v>12.131064516903288</v>
      </c>
      <c r="AW63" s="21">
        <f>EXP(-LN(2)/2)*AW62+(1-EXP(-LN(2)/2))/(LN(2)/2)*AQ63*AT63*VLOOKUP('Données projet'!$B$10,Paramètres!$A$1:$I$89,3,0)*0.475*44/12</f>
        <v>7.4466525686376587E-4</v>
      </c>
      <c r="AX63" s="21">
        <f t="shared" si="6"/>
        <v>16.738061965860755</v>
      </c>
      <c r="AY63" s="74">
        <f>('Scénario référence'!$F$8+'Scénario référence'!$F$9+'Scénario référence'!$B$17+'Scénario référence'!$B$9+'Scénario référence'!$B$10)*70+IF((45+25*(1-EXP(-0.0175*A63)))&lt;70,'Scénario référence'!$B$16*(45+25*(1-EXP(-0.0175*A63))),70*'Scénario référence'!$B$16)+IF((32+38*(1-EXP(-0.0175*A63)))&lt;70,'Scénario référence'!$B$18*(32+38*(1-EXP(-0.0175*A63))),70*'Scénario référence'!$B$18)</f>
        <v>70</v>
      </c>
      <c r="AZ63" s="12">
        <f>IF(A63&gt;30,10,('Scénario référence'!$B$16+'Scénario référence'!$B$17+'Scénario référence'!$B$18+'Scénario référence'!$B$9+'Scénario référence'!$B$10)*A63*10/30+('Scénario référence'!$F$8+'Scénario référence'!$F$9)*10)</f>
        <v>10</v>
      </c>
      <c r="BA63" s="12">
        <f>VLOOKUP(A63,'Données projet'!$A$87:$I$107,2,0)</f>
        <v>508</v>
      </c>
      <c r="BB63" s="12">
        <f>VLOOKUP(A63,'Données projet'!$A$87:$I$107,9,0)</f>
        <v>18</v>
      </c>
      <c r="BC63" s="12">
        <f t="array" ref="BC63">INDEX(BB:BB,MIN(IF(ISNUMBER(BB63:BB259),ROW(BB63:BB259),"")))</f>
        <v>18</v>
      </c>
      <c r="BD63" s="12">
        <f>IF('Données projet'!$A$88&gt;35,BD62+BC63-BL62,IF(A63&lt;'Données projet'!$A$88,$BA$205^A63,IF(A63='Données projet'!$A$88,'Données projet'!$B$88,BD62+BC63-BL62)))</f>
        <v>507.99999999999972</v>
      </c>
      <c r="BE63" s="13">
        <f>BD63*VLOOKUP('Données projet'!$B$11,Paramètres!$A$1:$I$89,3,0)*VLOOKUP('Données projet'!$B$11,Paramètres!$A$1:$I$89,5,0)</f>
        <v>303.78399999999988</v>
      </c>
      <c r="BF63" s="13">
        <f t="shared" si="37"/>
        <v>71.969155598417572</v>
      </c>
      <c r="BG63" s="20">
        <f t="shared" si="7"/>
        <v>654.43674600057705</v>
      </c>
      <c r="BH63" s="59">
        <f t="shared" si="8"/>
        <v>947.77007933391042</v>
      </c>
      <c r="BI63" s="59">
        <f ca="1">AVERAGE(OFFSET($BH$3,0,0,'Données projet'!$E$11+1,1))-AVERAGE(OFFSET($H$3,0,0,'Données projet'!$E$11+1,1))</f>
        <v>316.58509520829671</v>
      </c>
      <c r="BJ63" s="59">
        <f t="shared" si="38"/>
        <v>240.71332110643596</v>
      </c>
      <c r="BK63" s="15">
        <f>IF(ISNA(VLOOKUP(A63,'Données projet'!$A$87:$I$107,3,0)),0,VLOOKUP(A63,'Données projet'!$A$87:$I$107,3,0))</f>
        <v>5</v>
      </c>
      <c r="BL63" s="15">
        <f>IF(ISNA(VLOOKUP(A63,'Données projet'!$A$87:$I$107,4,0)),0,VLOOKUP(A63,'Données projet'!$A$87:$I$107,4,0))</f>
        <v>108</v>
      </c>
      <c r="BM63" s="16">
        <f>IF(ISNA(VLOOKUP(A63,'Données projet'!$A$87:$I$107,5,0)),0%,VLOOKUP(A63,'Données projet'!$A$87:$I$107,5,0)*VLOOKUP('Données projet'!$B$11,Paramètres!$A$1:$I$89,7,0))</f>
        <v>0</v>
      </c>
      <c r="BN63" s="16">
        <f>IF(ISNA(VLOOKUP(A63,'Données projet'!$A$87:$I$107,6,0)),0%,VLOOKUP(A63,'Données projet'!$A$87:$I$107,6,0)*VLOOKUP('Données projet'!$B$11,Paramètres!$A$1:$I$89,7,0))</f>
        <v>0</v>
      </c>
      <c r="BO63" s="16">
        <f>IF(ISNA(VLOOKUP(A63,'Données projet'!$A$87:$I$107,7,0)),0%,VLOOKUP(A63,'Données projet'!$A$87:$I$107,7,0))</f>
        <v>0</v>
      </c>
      <c r="BP63" s="21">
        <f>EXP(-LN(2)/35)*BP62+(1-EXP(-LN(2)/35))/(LN(2)/35)*BL63*BM63*VLOOKUP('Données projet'!$B$11,Paramètres!$A$1:$I$89,3,0)*0.475*44/12</f>
        <v>1.3991835557632231</v>
      </c>
      <c r="BQ63" s="21">
        <f>EXP(-LN(2)/25)*BQ62+(1-EXP(-LN(2)/25))/(LN(2)/25)*Calculateur!BL63*Calculateur!BN63*VLOOKUP('Données projet'!$B$11,Paramètres!$A$1:$I$89,3,0)*0.475*44/12</f>
        <v>6.6457511034891956</v>
      </c>
      <c r="BR63" s="21">
        <f>EXP(-LN(2)/2)*BR62+(1-EXP(-LN(2)/2))/(LN(2)/2)*BL63*BO63*VLOOKUP('Données projet'!$B$11,Paramètres!$A$1:$I$89,3,0)*0.475*44/12</f>
        <v>6.6953561615420033E-4</v>
      </c>
      <c r="BS63" s="22">
        <f t="shared" si="9"/>
        <v>8.0456041948685737</v>
      </c>
      <c r="BT63" s="75">
        <f>('Scénario référence'!$F$8+'Scénario référence'!$F$9+'Scénario référence'!$B$17+'Scénario référence'!$B$9+'Scénario référence'!$B$10)*70+IF((45+25*(1-EXP(-0.0175*A63)))&lt;70,'Scénario référence'!$B$16*(45+25*(1-EXP(-0.0175*A63))),70*'Scénario référence'!$B$16)+IF((32+38*(1-EXP(-0.0175*A63)))&lt;70,'Scénario référence'!$B$18*(32+38*(1-EXP(-0.0175*A63))),70*'Scénario référence'!$B$18)</f>
        <v>70</v>
      </c>
      <c r="BU63" s="12">
        <f>IF(A63&gt;30,10,('Scénario référence'!$B$16+'Scénario référence'!$B$17+'Scénario référence'!$B$18+'Scénario référence'!$B$9+'Scénario référence'!$B$10)*A63*10/30+('Scénario référence'!$F$8+'Scénario référence'!$F$9)*10)</f>
        <v>10</v>
      </c>
      <c r="BV63" s="12">
        <f>VLOOKUP(A63,'Données projet'!$A$113:$I$133,2,0)</f>
        <v>340</v>
      </c>
      <c r="BW63" s="12">
        <f>VLOOKUP(A63,'Données projet'!$A$113:$I$133,9,0)</f>
        <v>9.5</v>
      </c>
      <c r="BX63" s="12">
        <f t="array" ref="BX63">INDEX(BW:BW,MIN(IF(ISNUMBER(BW63:BW259),ROW(BW63:BW259),"")))</f>
        <v>9.5</v>
      </c>
      <c r="BY63" s="12">
        <f>IF('Données projet'!$A$114&gt;35,BY62+BX63-CG62,IF(A63&lt;'Données projet'!$A$114,$BV$205^A63,IF(A63='Données projet'!$A$114,'Données projet'!$B$114,BY62+BX63-CG62)))</f>
        <v>339.99999999999977</v>
      </c>
      <c r="BZ63" s="13">
        <f>BY63*VLOOKUP('Données projet'!$B$12,Paramètres!$A$1:$I$89,3,0)*VLOOKUP('Données projet'!$B$12,Paramètres!$A$1:$I$89,5,0)</f>
        <v>194.47999999999988</v>
      </c>
      <c r="CA63" s="13">
        <f t="shared" si="39"/>
        <v>48.529069813916593</v>
      </c>
      <c r="CB63" s="20">
        <f t="shared" si="10"/>
        <v>423.24079659257114</v>
      </c>
      <c r="CC63" s="59">
        <f t="shared" si="11"/>
        <v>716.57412992590446</v>
      </c>
      <c r="CD63" s="59">
        <f ca="1">AVERAGE(OFFSET($CC$3,0,0,'Données projet'!$E$12+1,1))-AVERAGE(OFFSET($H$3,0,0,'Données projet'!$E$12+1,1))</f>
        <v>188.64374818906128</v>
      </c>
      <c r="CE63" s="59">
        <f t="shared" si="40"/>
        <v>211.95157880548652</v>
      </c>
      <c r="CF63" s="15">
        <f>IF(ISNA(VLOOKUP(A63,'Données projet'!$A$113:$I$133,3,0)),0,VLOOKUP(A63,'Données projet'!$A$113:$I$133,3,0))</f>
        <v>5</v>
      </c>
      <c r="CG63" s="15">
        <f>IF(ISNA(VLOOKUP(A63,'Données projet'!$A$113:$I$133,4,0)),0,VLOOKUP(A63,'Données projet'!$A$113:$I$133,4,0))</f>
        <v>63</v>
      </c>
      <c r="CH63" s="16">
        <f>IF(ISNA(VLOOKUP(A63,'Données projet'!$A$113:$I$133,5,0)),0%,VLOOKUP(A63,'Données projet'!$A$113:$I$133,5,0)*VLOOKUP('Données projet'!$B$12,Paramètres!$A$1:$I$89,7,0))</f>
        <v>0</v>
      </c>
      <c r="CI63" s="16">
        <f>IF(ISNA(VLOOKUP(A63,'Données projet'!$A$113:$I$133,6,0)),0%,VLOOKUP(A63,'Données projet'!$A$113:$I$133,6,0)*VLOOKUP('Données projet'!$B$12,Paramètres!$A$1:$I$89,7,0))</f>
        <v>0</v>
      </c>
      <c r="CJ63" s="16">
        <f>IF(ISNA(VLOOKUP(A63,'Données projet'!$A$113:$I$133,7,0)),0%,VLOOKUP(A63,'Données projet'!$A$113:$I$133,7,0))</f>
        <v>0</v>
      </c>
      <c r="CK63" s="21">
        <f>EXP(-LN(2)/35)*CK62+(1-EXP(-LN(2)/35))/(LN(2)/35)*CG63*CH63*VLOOKUP('Données projet'!$B$12,Paramètres!$A$1:$I$89,3,0)*0.475*44/12</f>
        <v>1.3571994809117853</v>
      </c>
      <c r="CL63" s="21">
        <f>EXP(-LN(2)/25)*CL62+(1-EXP(-LN(2)/25))/(LN(2)/25)*Calculateur!CG63*Calculateur!CI63*VLOOKUP('Données projet'!$B$12,Paramètres!$A$1:$I$89,3,0)*0.475*44/12</f>
        <v>6.2551314101236466</v>
      </c>
      <c r="CM63" s="21">
        <f>EXP(-LN(2)/2)*CM62+(1-EXP(-LN(2)/2))/(LN(2)/2)*CG63*CJ63*VLOOKUP('Données projet'!$B$12,Paramètres!$A$1:$I$89,3,0)*0.475*44/12</f>
        <v>6.4839285900073992E-4</v>
      </c>
      <c r="CN63" s="22">
        <f t="shared" si="12"/>
        <v>7.6129792838944326</v>
      </c>
      <c r="CO63" s="75">
        <f>('Scénario référence'!$F$8+'Scénario référence'!$F$9+'Scénario référence'!$B$17+'Scénario référence'!$B$9+'Scénario référence'!$B$10)*70+IF((45+25*(1-EXP(-0.0175*A63)))&lt;70,'Scénario référence'!$B$16*(45+25*(1-EXP(-0.0175*A63))),70*'Scénario référence'!$B$16)+IF((32+38*(1-EXP(-0.0175*A63)))&lt;70,'Scénario référence'!$B$18*(32+38*(1-EXP(-0.0175*A63))),70*'Scénario référence'!$B$18)</f>
        <v>70</v>
      </c>
      <c r="CP63" s="12">
        <f>IF(A63&gt;30,10,('Scénario référence'!$B$16+'Scénario référence'!$B$17+'Scénario référence'!$B$18+'Scénario référence'!$B$9+'Scénario référence'!$B$10)*A63*10/30+('Scénario référence'!$F$8+'Scénario référence'!$F$9)*10)</f>
        <v>10</v>
      </c>
      <c r="CQ63" s="12" t="e">
        <f>VLOOKUP(A63,'Données projet'!$A$139:$I$159,2,0)</f>
        <v>#N/A</v>
      </c>
      <c r="CR63" s="12" t="e">
        <f>VLOOKUP(A63,'Données projet'!$A$139:$I$159,9,0)</f>
        <v>#N/A</v>
      </c>
      <c r="CS63" s="12">
        <f t="array" ref="CS63">INDEX(CR:CR,MIN(IF(ISNUMBER(CR63:CR259),ROW(CR63:CR259),"")))</f>
        <v>0</v>
      </c>
      <c r="CT63" s="12">
        <f>IF('Données projet'!$A$140&gt;35,CT62+CS63-DB62,IF(A63&lt;'Données projet'!$A$140,$CQ$205^A63,IF(A63='Données projet'!$A$140,'Données projet'!$B$140,CT62+CS63-DB62)))</f>
        <v>0</v>
      </c>
      <c r="CU63" s="17" t="e">
        <f>CT63*VLOOKUP('Données projet'!$B$13,Paramètres!$A$1:$I$89,3,0)*VLOOKUP('Données projet'!$B$13,Paramètres!$A$1:$I$89,5,0)</f>
        <v>#N/A</v>
      </c>
      <c r="CV63" s="13" t="e">
        <f t="shared" si="41"/>
        <v>#N/A</v>
      </c>
      <c r="CW63" s="20" t="e">
        <f t="shared" si="13"/>
        <v>#N/A</v>
      </c>
      <c r="CX63" s="59" t="e">
        <f t="shared" si="14"/>
        <v>#N/A</v>
      </c>
      <c r="CY63" s="59" t="e">
        <f ca="1">AVERAGE(OFFSET($CX$3,0,0,'Données projet'!$E$13+1,1))-AVERAGE(OFFSET($H$3,0,0,'Données projet'!$E$13+1,1))</f>
        <v>#N/A</v>
      </c>
      <c r="CZ63" s="59" t="e">
        <f t="shared" si="42"/>
        <v>#N/A</v>
      </c>
      <c r="DA63" s="15">
        <f>IF(ISNA(VLOOKUP(A63,'Données projet'!$A$139:$I$159,3,0)),0,VLOOKUP(A63,'Données projet'!$A$139:$I$159,3,0))</f>
        <v>0</v>
      </c>
      <c r="DB63" s="15">
        <f>IF(ISNA(VLOOKUP(A63,'Données projet'!$A$139:$I$159,4,0)),0,VLOOKUP(A63,'Données projet'!$A$139:$I$159,4,0))</f>
        <v>0</v>
      </c>
      <c r="DC63" s="16">
        <f>IF(ISNA(VLOOKUP(A63,'Données projet'!$A$139:$I$159,5,0)),0%,VLOOKUP(A63,'Données projet'!$A$139:$I$159,5,0)*VLOOKUP('Données projet'!$B$13,Paramètres!$A$1:$I$89,7,0))</f>
        <v>0</v>
      </c>
      <c r="DD63" s="16">
        <f>IF(ISNA(VLOOKUP(A63,'Données projet'!$A$139:$I$159,6,0)),0%,VLOOKUP(A63,'Données projet'!$A$139:$I$159,6,0)*VLOOKUP('Données projet'!$B$13,Paramètres!$A$1:$I$89,7,0))</f>
        <v>0</v>
      </c>
      <c r="DE63" s="16">
        <f>IF(ISNA(VLOOKUP(A63,'Données projet'!$A$139:$I$159,7,0)),0%,VLOOKUP(A63,'Données projet'!$A$139:$I$159,7,0))</f>
        <v>0</v>
      </c>
      <c r="DF63" s="21" t="e">
        <f>EXP(-LN(2)/35)*DF62+(1-EXP(-LN(2)/35))/(LN(2)/35)*DB63*DC63*VLOOKUP('Données projet'!$B$13,Paramètres!$A$1:$I$89,3,0)*0.475*44/12</f>
        <v>#N/A</v>
      </c>
      <c r="DG63" s="21" t="e">
        <f>EXP(-LN(2)/25)*DG62+(1-EXP(-LN(2)/25))/(LN(2)/25)*Calculateur!DB63*Calculateur!DD63*VLOOKUP('Données projet'!$B$13,Paramètres!$A$1:$I$89,3,0)*0.475*44/12</f>
        <v>#N/A</v>
      </c>
      <c r="DH63" s="21" t="e">
        <f>EXP(-LN(2)/2)*DH62+(1-EXP(-LN(2)/2))/(LN(2)/2)*DB63*DE63*VLOOKUP('Données projet'!$B$13,Paramètres!$A$1:$I$89,3,0)*0.475*44/12</f>
        <v>#N/A</v>
      </c>
      <c r="DI63" s="22" t="e">
        <f t="shared" si="15"/>
        <v>#N/A</v>
      </c>
      <c r="DJ63" s="75">
        <f>('Scénario référence'!$F$8+'Scénario référence'!$F$9+'Scénario référence'!$B$17+'Scénario référence'!$B$9+'Scénario référence'!$B$10)*70+IF((45+25*(1-EXP(-0.0175*A63)))&lt;70,'Scénario référence'!$B$16*(45+25*(1-EXP(-0.0175*A63))),70*'Scénario référence'!$B$16)+IF((32+38*(1-EXP(-0.0175*A63)))&lt;70,'Scénario référence'!$B$18*(32+38*(1-EXP(-0.0175*A63))),70*'Scénario référence'!$B$18)</f>
        <v>70</v>
      </c>
      <c r="DK63" s="12">
        <f>IF(A63&gt;30,10,('Scénario référence'!$B$16+'Scénario référence'!$B$17+'Scénario référence'!$B$18+'Scénario référence'!$B$9+'Scénario référence'!$B$10)*A63*10/30+('Scénario référence'!$F$8+'Scénario référence'!$F$9)*10)</f>
        <v>10</v>
      </c>
      <c r="DL63" s="12">
        <f>VLOOKUP(A63,'Données projet'!$A$165:$I$185,2,0)</f>
        <v>285</v>
      </c>
      <c r="DM63" s="12">
        <f>VLOOKUP(A63,'Données projet'!$A$165:$I$185,9,0)</f>
        <v>6.6</v>
      </c>
      <c r="DN63" s="12">
        <f t="array" ref="DN63">INDEX(DM:DM,MIN(IF(ISNUMBER(DM63:DM259),ROW(DM63:DM259),"")))</f>
        <v>6.6</v>
      </c>
      <c r="DO63" s="12">
        <f>IF('Données projet'!$A$166&gt;35,DO62+DN63-DW62,IF(A63&lt;'Données projet'!$A$166,$DL$205^A63,IF(A63='Données projet'!$A$166,'Données projet'!$B$166,DO62+DN63-DW62)))</f>
        <v>285.00000000000011</v>
      </c>
      <c r="DP63" s="17">
        <f>DO63*VLOOKUP('Données projet'!$B$14,Paramètres!$A$1:$I$89,3,0)*VLOOKUP('Données projet'!$B$14,Paramètres!$A$1:$I$89,5,0)</f>
        <v>186.73200000000008</v>
      </c>
      <c r="DQ63" s="13">
        <f t="shared" si="43"/>
        <v>46.816716519231463</v>
      </c>
      <c r="DR63" s="20">
        <f t="shared" si="16"/>
        <v>406.76401460432822</v>
      </c>
      <c r="DS63" s="59">
        <f t="shared" si="17"/>
        <v>700.09734793766154</v>
      </c>
      <c r="DT63" s="59">
        <f ca="1">AVERAGE(OFFSET($DS$3,0,0,'Données projet'!$E$14+1,1))-AVERAGE(OFFSET($H$3,0,0,'Données projet'!$E$14+1,1))</f>
        <v>188.68915783955595</v>
      </c>
      <c r="DU63" s="59">
        <f t="shared" si="44"/>
        <v>240.82467772396944</v>
      </c>
      <c r="DV63" s="15">
        <f>IF(ISNA(VLOOKUP(A63,'Données projet'!$A$165:$I$185,3,0)),0,VLOOKUP(A63,'Données projet'!$A$165:$I$185,3,0))</f>
        <v>5</v>
      </c>
      <c r="DW63" s="15">
        <f>IF(ISNA(VLOOKUP(A63,'Données projet'!$A$165:$I$185,4,0)),0,VLOOKUP(A63,'Données projet'!$A$165:$I$185,4,0))</f>
        <v>49</v>
      </c>
      <c r="DX63" s="16">
        <f>IF(ISNA(VLOOKUP(A63,'Données projet'!$A$165:$I$185,5,0)),0%,VLOOKUP(A63,'Données projet'!$A$165:$I$185,5,0)*VLOOKUP('Données projet'!$B$14,Paramètres!$A$1:$I$89,7,0))</f>
        <v>0</v>
      </c>
      <c r="DY63" s="16">
        <f>IF(ISNA(VLOOKUP(A63,'Données projet'!$A$165:$I$185,6,0)),0%,VLOOKUP(A63,'Données projet'!$A$165:$I$185,6,0)*VLOOKUP('Données projet'!$B$14,Paramètres!$A$1:$I$89,7,0))</f>
        <v>0</v>
      </c>
      <c r="DZ63" s="16">
        <f>IF(ISNA(VLOOKUP(A63,'Données projet'!$A$165:$I$185,7,0)),0%,VLOOKUP(A63,'Données projet'!$A$165:$I$185,7,0))</f>
        <v>0</v>
      </c>
      <c r="EA63" s="21">
        <f>EXP(-LN(2)/35)*EA62+(1-EXP(-LN(2)/35))/(LN(2)/35)*DW63*DX63*VLOOKUP('Données projet'!$B$14,Paramètres!$A$1:$I$89,3,0)*0.475*44/12</f>
        <v>0.85967391362467871</v>
      </c>
      <c r="EB63" s="21">
        <f>EXP(-LN(2)/25)*EB62+(1-EXP(-LN(2)/25))/(LN(2)/25)*Calculateur!DW63*Calculateur!DY63*VLOOKUP('Données projet'!$B$14,Paramètres!$A$1:$I$89,3,0)*0.475*44/12</f>
        <v>3.4987554425357335</v>
      </c>
      <c r="EC63" s="21">
        <f>EXP(-LN(2)/2)*EC62+(1-EXP(-LN(2)/2))/(LN(2)/2)*DW63*DZ63*VLOOKUP('Données projet'!$B$14,Paramètres!$A$1:$I$89,3,0)*0.475*44/12</f>
        <v>4.271364741884487E-4</v>
      </c>
      <c r="ED63" s="22">
        <f t="shared" si="18"/>
        <v>4.358856492634601</v>
      </c>
      <c r="EE63" s="75">
        <f>('Scénario référence'!$F$8+'Scénario référence'!$F$9+'Scénario référence'!$B$17+'Scénario référence'!$B$9+'Scénario référence'!$B$10)*70+IF((45+25*(1-EXP(-0.0175*A63)))&lt;70,'Scénario référence'!$B$16*(45+25*(1-EXP(-0.0175*A63))),70*'Scénario référence'!$B$16)+IF((32+38*(1-EXP(-0.0175*A63)))&lt;70,'Scénario référence'!$B$18*(32+38*(1-EXP(-0.0175*A63))),70*'Scénario référence'!$B$18)</f>
        <v>70</v>
      </c>
      <c r="EF63" s="12">
        <f>IF(A63&gt;30,10,('Scénario référence'!$B$16+'Scénario référence'!$B$17+'Scénario référence'!$B$18+'Scénario référence'!$B$9+'Scénario référence'!$B$10)*A63*10/30+('Scénario référence'!$F$8+'Scénario référence'!$F$9)*10)</f>
        <v>10</v>
      </c>
      <c r="EG63" s="12">
        <f>VLOOKUP(A63,'Données projet'!$A$191:$I$211,2,0)</f>
        <v>250</v>
      </c>
      <c r="EH63" s="12">
        <f>VLOOKUP(A63,'Données projet'!$A$191:$I$211,9,0)</f>
        <v>6.4</v>
      </c>
      <c r="EI63" s="12">
        <f t="array" ref="EI63">INDEX(EH:EH,MIN(IF(ISNUMBER(EH63:EH259),ROW(EH63:EH259),"")))</f>
        <v>6.4</v>
      </c>
      <c r="EJ63" s="12">
        <f>IF('Données projet'!$A$192&gt;35,EJ62+EI63-ER62,IF(A63&lt;'Données projet'!$A$192,$EG$205^A63,IF(A63='Données projet'!$A$192,'Données projet'!$B$192,EJ62+EI63-ER62)))</f>
        <v>249.99999999999997</v>
      </c>
      <c r="EK63" s="17">
        <f>EJ63*VLOOKUP('Données projet'!$B$15,Paramètres!$A$1:$I$89,3,0)*VLOOKUP('Données projet'!$B$15,Paramètres!$A$1:$I$89,5,0)</f>
        <v>202.8</v>
      </c>
      <c r="EL63" s="13">
        <f t="shared" si="45"/>
        <v>50.359024179354016</v>
      </c>
      <c r="EM63" s="20">
        <f t="shared" si="19"/>
        <v>440.91863377904156</v>
      </c>
      <c r="EN63" s="59">
        <f t="shared" si="20"/>
        <v>734.25196711237481</v>
      </c>
      <c r="EO63" s="59">
        <f ca="1">AVERAGE(OFFSET($EN$3,0,0,'Données projet'!$E$15+1,1))-AVERAGE(OFFSET($H$3,0,0,'Données projet'!$E$15+1,1))</f>
        <v>205.5272583787887</v>
      </c>
      <c r="EP63" s="59">
        <f t="shared" si="46"/>
        <v>180.54762778843178</v>
      </c>
      <c r="EQ63" s="15">
        <f>IF(ISNA(VLOOKUP(A63,'Données projet'!$A$191:$I$211,3,0)),0,VLOOKUP(A63,'Données projet'!$A$191:$I$211,3,0))</f>
        <v>5</v>
      </c>
      <c r="ER63" s="15">
        <f>IF(ISNA(VLOOKUP(A63,'Données projet'!$A$191:$I$211,4,0)),0,VLOOKUP(A63,'Données projet'!$A$191:$I$211,4,0))</f>
        <v>34</v>
      </c>
      <c r="ES63" s="16">
        <f>IF(ISNA(VLOOKUP(A63,'Données projet'!$A$191:$I$211,5,0)),0%,VLOOKUP(A63,'Données projet'!$A$191:$I$211,5,0)*VLOOKUP('Données projet'!$B$15,Paramètres!$A$1:$I$89,7,0))</f>
        <v>0</v>
      </c>
      <c r="ET63" s="16">
        <f>IF(ISNA(VLOOKUP(A63,'Données projet'!$A$191:$I$211,6,0)),0%,VLOOKUP(A63,'Données projet'!$A$191:$I$211,6,0)*VLOOKUP('Données projet'!$B$15,Paramètres!$A$1:$I$89,7,0))</f>
        <v>0</v>
      </c>
      <c r="EU63" s="16">
        <f>IF(ISNA(VLOOKUP(A63,'Données projet'!$A$191:$I$211,7,0)),0%,VLOOKUP(A63,'Données projet'!$A$191:$I$211,7,0))</f>
        <v>0</v>
      </c>
      <c r="EV63" s="21">
        <f>EXP(-LN(2)/35)*EV62+(1-EXP(-LN(2)/35))/(LN(2)/35)*ER63*ES63*VLOOKUP('Données projet'!$B$15,Paramètres!$A$1:$I$89,3,0)*0.475*44/12</f>
        <v>0.553466252962174</v>
      </c>
      <c r="EW63" s="21">
        <f>EXP(-LN(2)/25)*EW62+(1-EXP(-LN(2)/25))/(LN(2)/25)*Calculateur!ER63*Calculateur!ET63*VLOOKUP('Données projet'!$B$15,Paramètres!$A$1:$I$89,3,0)*0.475*44/12</f>
        <v>2.5262075676330253</v>
      </c>
      <c r="EX63" s="21">
        <f>EXP(-LN(2)/2)*EX62+(1-EXP(-LN(2)/2))/(LN(2)/2)*ER63*EU63*VLOOKUP('Données projet'!$B$15,Paramètres!$A$1:$I$89,3,0)*0.475*44/12</f>
        <v>2.7657118287292305E-4</v>
      </c>
      <c r="EY63" s="22">
        <f t="shared" si="21"/>
        <v>3.0799503917780724</v>
      </c>
      <c r="EZ63" s="75">
        <f>('Scénario référence'!$F$8+'Scénario référence'!$F$9+'Scénario référence'!$B$17+'Scénario référence'!$B$9+'Scénario référence'!$B$10)*70+IF((45+25*(1-EXP(-0.0175*A63)))&lt;70,'Scénario référence'!$B$16*(45+25*(1-EXP(-0.0175*A63))),70*'Scénario référence'!$B$16)+IF((32+38*(1-EXP(-0.0175*A63)))&lt;70,'Scénario référence'!$B$18*(32+38*(1-EXP(-0.0175*A63))),70*'Scénario référence'!$B$18)</f>
        <v>70</v>
      </c>
      <c r="FA63" s="12">
        <f>IF(A63&gt;30,10,('Scénario référence'!$B$16+'Scénario référence'!$B$17+'Scénario référence'!$B$18+'Scénario référence'!$B$9+'Scénario référence'!$B$10)*A63*10/30+('Scénario référence'!$F$8+'Scénario référence'!$F$9)*10)</f>
        <v>10</v>
      </c>
      <c r="FB63" s="12">
        <f>VLOOKUP(A63,'Données projet'!$A$217:$I$237,2,0)</f>
        <v>333</v>
      </c>
      <c r="FC63" s="12">
        <f>VLOOKUP(A63,'Données projet'!$A$217:$I$237,9,0)</f>
        <v>13.4</v>
      </c>
      <c r="FD63" s="12">
        <f t="array" ref="FD63">INDEX(FC:FC,MIN(IF(ISNUMBER(FC63:FC259),ROW(FC63:FC259),"")))</f>
        <v>13.4</v>
      </c>
      <c r="FE63" s="12">
        <f>IF('Données projet'!$A$218&gt;35,FE62+FD63-FM62,IF(A63&lt;'Données projet'!$A$218,$FB$205^A63,IF(A63='Données projet'!$A$218,'Données projet'!$B$218,FE62+FD63-FM62)))</f>
        <v>332.99999999999994</v>
      </c>
      <c r="FF63" s="17">
        <f>FE63*VLOOKUP('Données projet'!$B$16,Paramètres!$A$1:$I$89,3,0)*VLOOKUP('Données projet'!$B$16,Paramètres!$A$1:$I$89,5,0)</f>
        <v>285.714</v>
      </c>
      <c r="FG63" s="13">
        <f t="shared" si="47"/>
        <v>68.173117933344528</v>
      </c>
      <c r="FH63" s="20">
        <f t="shared" si="22"/>
        <v>616.35339706724176</v>
      </c>
      <c r="FI63" s="59">
        <f t="shared" si="23"/>
        <v>909.68673040057502</v>
      </c>
      <c r="FJ63" s="59">
        <f ca="1">AVERAGE(OFFSET($FI$3,0,0,'Données projet'!$E$16+1,1))-AVERAGE(OFFSET($H$3,0,0,'Données projet'!$E$16+1,1))</f>
        <v>383.97627237444709</v>
      </c>
      <c r="FK63" s="59">
        <f t="shared" si="48"/>
        <v>203.35476578922339</v>
      </c>
      <c r="FL63" s="15">
        <f>IF(ISNA(VLOOKUP(A63,'Données projet'!$A$217:$I$237,3,0)),0,VLOOKUP(A63,'Données projet'!$A$217:$I$237,3,0))</f>
        <v>5</v>
      </c>
      <c r="FM63" s="15">
        <f>IF(ISNA(VLOOKUP(A63,'Données projet'!$A$217:$I$237,4,0)),0,VLOOKUP(A63,'Données projet'!$A$217:$I$237,4,0))</f>
        <v>91</v>
      </c>
      <c r="FN63" s="16">
        <f>IF(ISNA(VLOOKUP(A63,'Données projet'!$A$217:$I$237,5,0)),0%,VLOOKUP(A63,'Données projet'!$A$217:$I$237,5,0)*VLOOKUP('Données projet'!$B$16,Paramètres!$A$1:$I$89,7,0))</f>
        <v>0</v>
      </c>
      <c r="FO63" s="16">
        <f>IF(ISNA(VLOOKUP(A63,'Données projet'!$A$217:$I$237,6,0)),0%,VLOOKUP(A63,'Données projet'!$A$217:$I$237,6,0)*VLOOKUP('Données projet'!$B$16,Paramètres!$A$1:$I$89,7,0))</f>
        <v>0</v>
      </c>
      <c r="FP63" s="16">
        <f>IF(ISNA(VLOOKUP(A63,'Données projet'!$A$217:$I$237,7,0)),0%,VLOOKUP(A63,'Données projet'!$A$217:$I$237,7,0))</f>
        <v>0</v>
      </c>
      <c r="FQ63" s="21">
        <f>EXP(-LN(2)/35)*FQ62+(1-EXP(-LN(2)/35))/(LN(2)/35)*FM63*FN63*VLOOKUP('Données projet'!$B$16,Paramètres!$A$1:$I$89,3,0)*0.475*44/12</f>
        <v>2.8445162731687033</v>
      </c>
      <c r="FR63" s="21">
        <f>EXP(-LN(2)/25)*FR62+(1-EXP(-LN(2)/25))/(LN(2)/25)*Calculateur!FM63*Calculateur!FO63*VLOOKUP('Données projet'!$B$16,Paramètres!$A$1:$I$89,3,0)*0.475*44/12</f>
        <v>2.5643617895146162</v>
      </c>
      <c r="FS63" s="21">
        <f>EXP(-LN(2)/2)*FS62+(1-EXP(-LN(2)/2))/(LN(2)/2)*FM63*FP63*VLOOKUP('Données projet'!$B$16,Paramètres!$A$1:$I$89,3,0)*0.475*44/12</f>
        <v>5.0800450231292395E-4</v>
      </c>
      <c r="FT63" s="22">
        <f t="shared" si="24"/>
        <v>5.4093860671856326</v>
      </c>
      <c r="FU63" s="75">
        <f>('Scénario référence'!$F$8+'Scénario référence'!$F$9+'Scénario référence'!$B$17+'Scénario référence'!$B$9+'Scénario référence'!$B$10)*70+IF((45+25*(1-EXP(-0.0175*A63)))&lt;70,'Scénario référence'!$B$16*(45+25*(1-EXP(-0.0175*A63))),70*'Scénario référence'!$B$16)+IF((32+38*(1-EXP(-0.0175*A63)))&lt;70,'Scénario référence'!$B$18*(32+38*(1-EXP(-0.0175*A63))),70*'Scénario référence'!$B$18)</f>
        <v>70</v>
      </c>
      <c r="FV63" s="12">
        <f>IF(A63&gt;30,10,('Scénario référence'!$B$16+'Scénario référence'!$B$17+'Scénario référence'!$B$18+'Scénario référence'!$B$9+'Scénario référence'!$B$10)*A63*10/30+('Scénario référence'!$F$8+'Scénario référence'!$F$9)*10)</f>
        <v>10</v>
      </c>
      <c r="FW63" s="12" t="e">
        <f>VLOOKUP(A63,'Données projet'!$A$243:$I$263,2,0)</f>
        <v>#N/A</v>
      </c>
      <c r="FX63" s="12" t="e">
        <f>VLOOKUP(A63,'Données projet'!$A$243:$I$263,9,0)</f>
        <v>#N/A</v>
      </c>
      <c r="FY63" s="12">
        <f t="array" ref="FY63">INDEX(FX:FX,MIN(IF(ISNUMBER(FX63:FX259),ROW(FX63:FX259),"")))</f>
        <v>8.374198717948719</v>
      </c>
      <c r="FZ63" s="12">
        <f>IF('Données projet'!$A$244&gt;35,FZ62+FY63-GH62,IF(A63&lt;'Données projet'!$A$244,$FW$205^A63,IF(A63='Données projet'!$A$244,'Données projet'!$B$244,FZ62+FY63-GH62)))</f>
        <v>195.16586538461542</v>
      </c>
      <c r="GA63" s="17">
        <f>FZ63*VLOOKUP('Données projet'!$B$17,Paramètres!$A$1:$I$89,3,0)*VLOOKUP('Données projet'!$B$17,Paramètres!$A$1:$I$89,5,0)</f>
        <v>210.07653750000003</v>
      </c>
      <c r="GB63" s="13">
        <f t="shared" si="49"/>
        <v>51.952310712978978</v>
      </c>
      <c r="GC63" s="20">
        <f t="shared" si="25"/>
        <v>456.36691063760514</v>
      </c>
      <c r="GD63" s="59">
        <f t="shared" si="26"/>
        <v>749.70024397093846</v>
      </c>
      <c r="GE63" s="59">
        <f ca="1">AVERAGE(OFFSET($GD$3,0,0,'Données projet'!$E$17+1,1))-AVERAGE(OFFSET($H$3,0,0,'Données projet'!$E$17+1,1))</f>
        <v>286.77702855541287</v>
      </c>
      <c r="GF63" s="59">
        <f t="shared" si="50"/>
        <v>227.12211541860779</v>
      </c>
      <c r="GG63" s="15">
        <f>IF(ISNA(VLOOKUP(A63,'Données projet'!$A$243:$I$263,3,0)),0,VLOOKUP(A63,'Données projet'!$A$243:$I$263,3,0))</f>
        <v>0</v>
      </c>
      <c r="GH63" s="15">
        <f>IF(ISNA(VLOOKUP(A63,'Données projet'!$A$243:$I$263,4,0)),0,VLOOKUP(A63,'Données projet'!$A$243:$I$263,4,0))</f>
        <v>0</v>
      </c>
      <c r="GI63" s="16">
        <f>IF(ISNA(VLOOKUP(A63,'Données projet'!$A$243:$I$263,5,0)),0%,VLOOKUP(A63,'Données projet'!$A$243:$I$263,5,0)*VLOOKUP('Données projet'!$B$17,Paramètres!$A$1:$I$89,7,0))</f>
        <v>0</v>
      </c>
      <c r="GJ63" s="16">
        <f>IF(ISNA(VLOOKUP(A63,'Données projet'!$A$243:$I$263,6,0)),0%,VLOOKUP(A63,'Données projet'!$A$243:$I$263,6,0)*VLOOKUP('Données projet'!$B$17,Paramètres!$A$1:$I$89,7,0))</f>
        <v>0</v>
      </c>
      <c r="GK63" s="16">
        <f>IF(ISNA(VLOOKUP(A63,'Données projet'!$A$243:$I$263,7,0)),0%,VLOOKUP(A63,'Données projet'!$A$243:$I$263,7,0))</f>
        <v>0</v>
      </c>
      <c r="GL63" s="21">
        <f>EXP(-LN(2)/35)*GL62+(1-EXP(-LN(2)/35))/(LN(2)/35)*GH63*GI63*VLOOKUP('Données projet'!$B$17,Paramètres!$A$1:$I$89,3,0)*0.475*44/12</f>
        <v>0</v>
      </c>
      <c r="GM63" s="21">
        <f>EXP(-LN(2)/25)*GM62+(1-EXP(-LN(2)/25))/(LN(2)/25)*Calculateur!GH63*Calculateur!GJ63*VLOOKUP('Données projet'!$B$17,Paramètres!$A$1:$I$89,3,0)*0.475*44/12</f>
        <v>0</v>
      </c>
      <c r="GN63" s="21">
        <f>EXP(-LN(2)/2)*GN62+(1-EXP(-LN(2)/2))/(LN(2)/2)*GH63*GK63*VLOOKUP('Données projet'!$B$17,Paramètres!$A$1:$I$89,3,0)*0.475*44/12</f>
        <v>0</v>
      </c>
      <c r="GO63" s="21">
        <f t="shared" si="27"/>
        <v>0</v>
      </c>
      <c r="GP63" s="75">
        <f>('Scénario référence'!$F$8+'Scénario référence'!$F$9+'Scénario référence'!$B$17+'Scénario référence'!$B$9+'Scénario référence'!$B$10)*70+IF((45+25*(1-EXP(-0.0175*A63)))&lt;70,'Scénario référence'!$B$16*(45+25*(1-EXP(-0.0175*A63))),70*'Scénario référence'!$B$16)+IF((32+38*(1-EXP(-0.0175*A63)))&lt;70,'Scénario référence'!$B$18*(32+38*(1-EXP(-0.0175*A63))),70*'Scénario référence'!$B$18)</f>
        <v>70</v>
      </c>
      <c r="GQ63" s="12">
        <f>IF(A63&gt;30,10,('Scénario référence'!$B$16+'Scénario référence'!$B$17+'Scénario référence'!$B$18+'Scénario référence'!$B$9+'Scénario référence'!$B$10)*A63*10/30+('Scénario référence'!$F$8+'Scénario référence'!$F$9)*10)</f>
        <v>10</v>
      </c>
      <c r="GR63" s="12" t="e">
        <f>VLOOKUP(A63,'Données projet'!$A$269:$I$289,2,0)</f>
        <v>#N/A</v>
      </c>
      <c r="GS63" s="12" t="e">
        <f>VLOOKUP(A63,'Données projet'!$A$269:$I$289,9,0)</f>
        <v>#N/A</v>
      </c>
      <c r="GT63" s="12">
        <f t="array" ref="GT63">INDEX(GS:GS,MIN(IF(ISNUMBER(GS63:GS259),ROW(GS63:GS259),"")))</f>
        <v>8.374198717948719</v>
      </c>
      <c r="GU63" s="12">
        <f>IF('Données projet'!$A$270&gt;35,GU62+GT63-HC62,IF(A63&lt;'Données projet'!$A$270,$GR$205^A63,IF(A63='Données projet'!$A$270,'Données projet'!$B$270,GU62+GT63-HC62)))</f>
        <v>195.16586538461542</v>
      </c>
      <c r="GV63" s="17">
        <f>GU63*VLOOKUP('Données projet'!$B$18,Paramètres!$A$1:$I$89,3,0)*VLOOKUP('Données projet'!$B$18,Paramètres!$A$1:$I$89,5,0)</f>
        <v>210.07653750000003</v>
      </c>
      <c r="GW63" s="13">
        <f t="shared" si="51"/>
        <v>51.952310712978978</v>
      </c>
      <c r="GX63" s="20">
        <f t="shared" si="28"/>
        <v>456.36691063760514</v>
      </c>
      <c r="GY63" s="59">
        <f t="shared" si="29"/>
        <v>749.70024397093846</v>
      </c>
      <c r="GZ63" s="59">
        <f ca="1">AVERAGE(OFFSET($GY$3,0,0,'Données projet'!$E$18+1,1))-AVERAGE(OFFSET($H$3,0,0,'Données projet'!$E$18+1,1))</f>
        <v>286.77702855541287</v>
      </c>
      <c r="HA63" s="59">
        <f t="shared" si="52"/>
        <v>227.12211541860779</v>
      </c>
      <c r="HB63" s="15">
        <f>IF(ISNA(VLOOKUP(A63,'Données projet'!$A$269:$I$289,3,0)),0,VLOOKUP(A63,'Données projet'!$A$269:$I$289,3,0))</f>
        <v>0</v>
      </c>
      <c r="HC63" s="15">
        <f>IF(ISNA(VLOOKUP(A63,'Données projet'!$A$269:$I$289,4,0)),0,VLOOKUP(A63,'Données projet'!$A$269:$I$289,4,0))</f>
        <v>0</v>
      </c>
      <c r="HD63" s="16">
        <f>IF(ISNA(VLOOKUP(A63,'Données projet'!$A$269:$I$289,5,0)),0%,VLOOKUP(A63,'Données projet'!$A$269:$I$289,5,0)*VLOOKUP('Données projet'!$B$18,Paramètres!$A$1:$I$89,7,0))</f>
        <v>0</v>
      </c>
      <c r="HE63" s="16">
        <f>IF(ISNA(VLOOKUP(A63,'Données projet'!$A$269:$I$289,6,0)),0%,VLOOKUP(A63,'Données projet'!$A$269:$I$289,6,0)*VLOOKUP('Données projet'!$B$18,Paramètres!$A$1:$I$89,7,0))</f>
        <v>0</v>
      </c>
      <c r="HF63" s="16">
        <f>IF(ISNA(VLOOKUP(A63,'Données projet'!$A$269:$I$289,7,0)),0%,VLOOKUP(A63,'Données projet'!$A$269:$I$289,7,0))</f>
        <v>0</v>
      </c>
      <c r="HG63" s="21">
        <f>EXP(-LN(2)/35)*HG62+(1-EXP(-LN(2)/35))/(LN(2)/35)*HC63*HD63*VLOOKUP('Données projet'!$B$18,Paramètres!$A$1:$I$89,3,0)*0.475*44/12</f>
        <v>0</v>
      </c>
      <c r="HH63" s="21">
        <f>EXP(-LN(2)/25)*HH62+(1-EXP(-LN(2)/25))/(LN(2)/25)*Calculateur!HC63*Calculateur!HE63*VLOOKUP('Données projet'!$B$18,Paramètres!$A$1:$I$89,3,0)*0.475*44/12</f>
        <v>0</v>
      </c>
      <c r="HI63" s="21">
        <f>EXP(-LN(2)/2)*HI62+(1-EXP(-LN(2)/2))/(LN(2)/2)*HC63*HF63*VLOOKUP('Données projet'!$B$18,Paramètres!$A$1:$I$89,3,0)*0.475*44/12</f>
        <v>0</v>
      </c>
      <c r="HJ63" s="22">
        <f t="shared" si="30"/>
        <v>0</v>
      </c>
    </row>
    <row r="64" spans="1:218" x14ac:dyDescent="0.25">
      <c r="A64" s="10">
        <f t="shared" si="31"/>
        <v>61</v>
      </c>
      <c r="B64" s="73">
        <f>'Scénario référence'!$B$16*5+'Scénario référence'!$B$17*0+'Scénario référence'!$B$18*5</f>
        <v>0</v>
      </c>
      <c r="C64" s="19">
        <f>Calculateur!C63+'Scénario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54.241200000000049</v>
      </c>
      <c r="D64" s="11">
        <f t="shared" si="32"/>
        <v>15.703824194633762</v>
      </c>
      <c r="E6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64" s="11">
        <f>IF(OR('Scénario référence'!$F$8&gt;0,'Scénario référence'!$F$9&gt;0),('Scénario référence'!$F$8+'Scénario référence'!$F$9)*10,0)</f>
        <v>10</v>
      </c>
      <c r="G64" s="11">
        <f>'Scénario référence'!$B$8*B64*44/12+'Scénario référence'!$B$9*(C64+D64)/0.475*44/12+'Scénario référence'!$B$10*(C64+D64)/0.475*44/12+'Scénario référence'!$F$8*(C64+D64)/0.475*44/12+'Scénario référence'!$F$9*(C64+D64)/0.475*44/12</f>
        <v>539.92650255506805</v>
      </c>
      <c r="H64" s="67">
        <f t="shared" si="1"/>
        <v>415.15425047232054</v>
      </c>
      <c r="I64" s="70">
        <f>('Scénario référence'!$F$8+'Scénario référence'!$F$9+'Scénario référence'!$B$17+'Scénario référence'!$B$9+'Scénario référence'!$B$10)*70+IF((45+25*(1-EXP(-0.0175*A64)))&lt;70,'Scénario référence'!$B$16*(45+25*(1-EXP(-0.0175*A64))),70*'Scénario référence'!$B$16)+IF((32+38*(1-EXP(-0.0175*A64)))&lt;70,'Scénario référence'!$B$18*(32+38*(1-EXP(-0.0175*A64))),70*'Scénario référence'!$B$18)</f>
        <v>70</v>
      </c>
      <c r="J64" s="13">
        <f>IF(A64&gt;30,10,('Scénario référence'!$B$16+'Scénario référence'!$B$17+'Scénario référence'!$B$18+'Scénario référence'!$B$9+'Scénario référence'!$B$10)*A64*10/30+('Scénario référence'!$F$8+'Scénario référence'!$F$9)*10)</f>
        <v>10</v>
      </c>
      <c r="K64" s="12" t="e">
        <f>VLOOKUP(A64,'Données projet'!$A$35:$I$55,2,0)</f>
        <v>#N/A</v>
      </c>
      <c r="L64" s="12" t="e">
        <f>VLOOKUP(A64,'Données projet'!$A$35:$I$55,9,0)</f>
        <v>#N/A</v>
      </c>
      <c r="M64" s="12">
        <f t="array" ref="M64">INDEX(L:L,MIN(IF(ISNUMBER(L64:L260),ROW(L64:L260),"")))</f>
        <v>0</v>
      </c>
      <c r="N64" s="13">
        <f>IF('Données projet'!$A$36&gt;35,N63+M64-V63,IF(A64&lt;'Données projet'!$A$36,$K$205^A64,IF(A64='Données projet'!$A$36,'Données projet'!$B$36,N63+M64-V63)))</f>
        <v>-2.2737367544323206E-13</v>
      </c>
      <c r="O64" s="13">
        <f>N64*VLOOKUP('Données projet'!$B$9,Paramètres!$A$1:$I$89,3,0)*VLOOKUP('Données projet'!$B$9,Paramètres!$A$1:$I$89,5,0)</f>
        <v>-1.2710188457276673E-13</v>
      </c>
      <c r="P64" s="13" t="e">
        <f t="shared" si="33"/>
        <v>#NUM!</v>
      </c>
      <c r="Q64" s="20" t="e">
        <f t="shared" si="53"/>
        <v>#NUM!</v>
      </c>
      <c r="R64" s="59" t="e">
        <f t="shared" si="0"/>
        <v>#NUM!</v>
      </c>
      <c r="S64" s="59">
        <f ca="1">AVERAGE(OFFSET($R$3,0,0,'Données projet'!$E$9+1,1))-AVERAGE(OFFSET($H$3,0,0,'Données projet'!$E$9+1,1))</f>
        <v>255.5374979188561</v>
      </c>
      <c r="T64" s="59">
        <f t="shared" si="34"/>
        <v>343.10418468620901</v>
      </c>
      <c r="U64" s="15">
        <f>IF(ISNA(VLOOKUP(A64,'Données projet'!$A$35:$I$55,3,0)),0,VLOOKUP(A64,'Données projet'!$A$35:$I$55,3,0))</f>
        <v>0</v>
      </c>
      <c r="V64" s="15">
        <f>IF(ISNA(VLOOKUP(A64,'Données projet'!$A$35:$I$55,4,0)),0,VLOOKUP(A64,'Données projet'!$A$35:$I$55,4,0))</f>
        <v>0</v>
      </c>
      <c r="W64" s="16">
        <f>IF(ISNA(VLOOKUP(A64,'Données projet'!$A$35:$I$55,5,0)),0%,VLOOKUP(A64,'Données projet'!$A$35:$I$55,5,0)*VLOOKUP('Données projet'!$B$9,Paramètres!$A$1:$I$89,7,0))</f>
        <v>0</v>
      </c>
      <c r="X64" s="16">
        <f>IF(ISNA(VLOOKUP(A64,'Données projet'!$A$35:$I$55,6,0)),0%,VLOOKUP(A64,'Données projet'!$A$35:$I$55,6,0)*VLOOKUP('Données projet'!$B$9,Paramètres!$A$1:$I$89,7,0))</f>
        <v>0</v>
      </c>
      <c r="Y64" s="16">
        <f>IF(ISNA(VLOOKUP(A64,'Données projet'!$A$35:$I$55,7,0)),0%,VLOOKUP(A64,'Données projet'!$A$35:$I$55,7,0))</f>
        <v>0</v>
      </c>
      <c r="Z64" s="21">
        <f>EXP(-LN(2)/35)*Z63+(1-EXP(-LN(2)/35))/(LN(2)/35)*V64*W64*VLOOKUP('Données projet'!$B$9,Paramètres!$A$1:$I$89,3,0)*0.475*44/12</f>
        <v>1.6723903491879981</v>
      </c>
      <c r="AA64" s="21">
        <f>EXP(-LN(2)/25)*AA63+(1-EXP(-LN(2)/25))/(LN(2)/25)*Calculateur!V64*Calculateur!X64*VLOOKUP('Données projet'!$B$9,Paramètres!$A$1:$I$89,3,0)*0.475*44/12</f>
        <v>6.7571373013228326</v>
      </c>
      <c r="AB64" s="21">
        <f>EXP(-LN(2)/2)*AB63+(1-EXP(-LN(2)/2))/(LN(2)/2)*V64*Y64*VLOOKUP('Données projet'!$B$9,Paramètres!$A$1:$I$89,3,0)*0.475*44/12</f>
        <v>3.6526054796492948E-5</v>
      </c>
      <c r="AC64" s="22">
        <f t="shared" si="3"/>
        <v>8.4295641765656271</v>
      </c>
      <c r="AD64" s="13">
        <f>('Scénario référence'!$F$8+'Scénario référence'!$F$9+'Scénario référence'!$B$17+'Scénario référence'!$B$9+'Scénario référence'!$B$10)*70+IF((45+25*(1-EXP(-0.0175*A64)))&lt;70,'Scénario référence'!$B$16*(45+25*(1-EXP(-0.0175*A64))),70*'Scénario référence'!$B$16)+IF((32+38*(1-EXP(-0.0175*A64)))&lt;70,'Scénario référence'!$B$18*(32+38*(1-EXP(-0.0175*A64))),70*'Scénario référence'!$B$18)</f>
        <v>70</v>
      </c>
      <c r="AE64" s="13">
        <f>IF(A64&gt;30,10,('Scénario référence'!$B$16+'Scénario référence'!$B$17+'Scénario référence'!$B$18+'Scénario référence'!$B$9+'Scénario référence'!$B$10)*A64*10/30+('Scénario référence'!$F$8+'Scénario référence'!$F$9)*10)</f>
        <v>10</v>
      </c>
      <c r="AF64" s="12" t="e">
        <f>VLOOKUP(A64,'Données projet'!$A$61:$I$81,2,0)</f>
        <v>#N/A</v>
      </c>
      <c r="AG64" s="12" t="e">
        <f>VLOOKUP(A64,'Données projet'!$A$61:$I$81,9,0)</f>
        <v>#N/A</v>
      </c>
      <c r="AH64" s="12">
        <f t="array" ref="AH64">INDEX(AG:AG,MIN(IF(ISNUMBER(AG64:AG260),ROW(AG64:AG260),"")))</f>
        <v>7.8</v>
      </c>
      <c r="AI64" s="13">
        <f>IF('Données projet'!$A$62&gt;35,AI63+AH64-AQ63,IF(A64&lt;'Données projet'!$A$62,$AF$205^A64,IF(A64='Données projet'!$A$62,'Données projet'!$B$62,AI63+AH64-AQ63)))</f>
        <v>356.7999999999999</v>
      </c>
      <c r="AJ64" s="13">
        <f>AI64*VLOOKUP('Données projet'!$B$10,Paramètres!$A$1:$I$89,3,0)*VLOOKUP('Données projet'!$B$10,Paramètres!$A$1:$I$89,5,0)</f>
        <v>222.64319999999995</v>
      </c>
      <c r="AK64" s="13">
        <f t="shared" si="35"/>
        <v>54.688972258092875</v>
      </c>
      <c r="AL64" s="20">
        <f t="shared" si="4"/>
        <v>483.02020001617831</v>
      </c>
      <c r="AM64" s="59">
        <f t="shared" si="5"/>
        <v>776.35353334951162</v>
      </c>
      <c r="AN64" s="59">
        <f ca="1">AVERAGE(OFFSET($AM$3,0,0,'Données projet'!$E$10+1,1))-AVERAGE(OFFSET($H$3,0,0,'Données projet'!$E$10+1,1))</f>
        <v>261.78489480911571</v>
      </c>
      <c r="AO64" s="59">
        <f t="shared" si="36"/>
        <v>297.50513563712764</v>
      </c>
      <c r="AP64" s="15">
        <f>IF(ISNA(VLOOKUP(A64,'Données projet'!$A$61:$I$81,3,0)),0,VLOOKUP(A64,'Données projet'!$A$61:$I$81,3,0))</f>
        <v>0</v>
      </c>
      <c r="AQ64" s="15">
        <f>IF(ISNA(VLOOKUP(A64,'Données projet'!$A$61:$I$81,4,0)),0,VLOOKUP(A64,'Données projet'!$A$61:$I$81,4,0))</f>
        <v>0</v>
      </c>
      <c r="AR64" s="16">
        <f>IF(ISNA(VLOOKUP(A64,'Données projet'!$A$61:$I$81,5,0)),0%,VLOOKUP(A64,'Données projet'!$A$61:$I$81,5,0)*VLOOKUP('Données projet'!$B$10,Paramètres!$A$1:$I$89,7,0))</f>
        <v>0</v>
      </c>
      <c r="AS64" s="16">
        <f>IF(ISNA(VLOOKUP(A64,'Données projet'!$A$61:$I$81,6,0)),0%,VLOOKUP(A64,'Données projet'!$A$61:$I$81,6,0)*VLOOKUP('Données projet'!$B$10,Paramètres!$A$1:$I$89,7,0))</f>
        <v>0</v>
      </c>
      <c r="AT64" s="16">
        <f>IF(ISNA(VLOOKUP(A64,'Données projet'!$A$61:$I$81,7,0)),0%,VLOOKUP(A64,'Données projet'!$A$61:$I$81,7,0))</f>
        <v>0</v>
      </c>
      <c r="AU64" s="21">
        <f>EXP(-LN(2)/35)*AU63+(1-EXP(-LN(2)/35))/(LN(2)/35)*AQ64*AR64*VLOOKUP('Données projet'!$B$10,Paramètres!$A$1:$I$89,3,0)*0.475*44/12</f>
        <v>4.5159269761490153</v>
      </c>
      <c r="AV64" s="21">
        <f>EXP(-LN(2)/25)*AV63+(1-EXP(-LN(2)/25))/(LN(2)/25)*Calculateur!AQ64*Calculateur!AS64*VLOOKUP('Données projet'!$B$10,Paramètres!$A$1:$I$89,3,0)*0.475*44/12</f>
        <v>11.799339919743611</v>
      </c>
      <c r="AW64" s="21">
        <f>EXP(-LN(2)/2)*AW63+(1-EXP(-LN(2)/2))/(LN(2)/2)*AQ64*AT64*VLOOKUP('Données projet'!$B$10,Paramètres!$A$1:$I$89,3,0)*0.475*44/12</f>
        <v>5.2655785284239109E-4</v>
      </c>
      <c r="AX64" s="21">
        <f t="shared" si="6"/>
        <v>16.315793453745471</v>
      </c>
      <c r="AY64" s="74">
        <f>('Scénario référence'!$F$8+'Scénario référence'!$F$9+'Scénario référence'!$B$17+'Scénario référence'!$B$9+'Scénario référence'!$B$10)*70+IF((45+25*(1-EXP(-0.0175*A64)))&lt;70,'Scénario référence'!$B$16*(45+25*(1-EXP(-0.0175*A64))),70*'Scénario référence'!$B$16)+IF((32+38*(1-EXP(-0.0175*A64)))&lt;70,'Scénario référence'!$B$18*(32+38*(1-EXP(-0.0175*A64))),70*'Scénario référence'!$B$18)</f>
        <v>70</v>
      </c>
      <c r="AZ64" s="12">
        <f>IF(A64&gt;30,10,('Scénario référence'!$B$16+'Scénario référence'!$B$17+'Scénario référence'!$B$18+'Scénario référence'!$B$9+'Scénario référence'!$B$10)*A64*10/30+('Scénario référence'!$F$8+'Scénario référence'!$F$9)*10)</f>
        <v>10</v>
      </c>
      <c r="BA64" s="12" t="e">
        <f>VLOOKUP(A64,'Données projet'!$A$87:$I$107,2,0)</f>
        <v>#N/A</v>
      </c>
      <c r="BB64" s="12" t="e">
        <f>VLOOKUP(A64,'Données projet'!$A$87:$I$107,9,0)</f>
        <v>#N/A</v>
      </c>
      <c r="BC64" s="12">
        <f t="array" ref="BC64">INDEX(BB:BB,MIN(IF(ISNUMBER(BB64:BB260),ROW(BB64:BB260),"")))</f>
        <v>16.399999999999999</v>
      </c>
      <c r="BD64" s="12">
        <f>IF('Données projet'!$A$88&gt;35,BD63+BC64-BL63,IF(A64&lt;'Données projet'!$A$88,$BA$205^A64,IF(A64='Données projet'!$A$88,'Données projet'!$B$88,BD63+BC64-BL63)))</f>
        <v>416.39999999999975</v>
      </c>
      <c r="BE64" s="13">
        <f>BD64*VLOOKUP('Données projet'!$B$11,Paramètres!$A$1:$I$89,3,0)*VLOOKUP('Données projet'!$B$11,Paramètres!$A$1:$I$89,5,0)</f>
        <v>249.00719999999987</v>
      </c>
      <c r="BF64" s="13">
        <f t="shared" si="37"/>
        <v>60.373298466513951</v>
      </c>
      <c r="BG64" s="20">
        <f t="shared" si="7"/>
        <v>538.83770149584484</v>
      </c>
      <c r="BH64" s="59">
        <f t="shared" si="8"/>
        <v>832.1710348291781</v>
      </c>
      <c r="BI64" s="59">
        <f ca="1">AVERAGE(OFFSET($BH$3,0,0,'Données projet'!$E$11+1,1))-AVERAGE(OFFSET($H$3,0,0,'Données projet'!$E$11+1,1))</f>
        <v>316.58509520829671</v>
      </c>
      <c r="BJ64" s="59">
        <f t="shared" si="38"/>
        <v>240.71332110643596</v>
      </c>
      <c r="BK64" s="15">
        <f>IF(ISNA(VLOOKUP(A64,'Données projet'!$A$87:$I$107,3,0)),0,VLOOKUP(A64,'Données projet'!$A$87:$I$107,3,0))</f>
        <v>0</v>
      </c>
      <c r="BL64" s="15">
        <f>IF(ISNA(VLOOKUP(A64,'Données projet'!$A$87:$I$107,4,0)),0,VLOOKUP(A64,'Données projet'!$A$87:$I$107,4,0))</f>
        <v>0</v>
      </c>
      <c r="BM64" s="16">
        <f>IF(ISNA(VLOOKUP(A64,'Données projet'!$A$87:$I$107,5,0)),0%,VLOOKUP(A64,'Données projet'!$A$87:$I$107,5,0)*VLOOKUP('Données projet'!$B$11,Paramètres!$A$1:$I$89,7,0))</f>
        <v>0</v>
      </c>
      <c r="BN64" s="16">
        <f>IF(ISNA(VLOOKUP(A64,'Données projet'!$A$87:$I$107,6,0)),0%,VLOOKUP(A64,'Données projet'!$A$87:$I$107,6,0)*VLOOKUP('Données projet'!$B$11,Paramètres!$A$1:$I$89,7,0))</f>
        <v>0</v>
      </c>
      <c r="BO64" s="16">
        <f>IF(ISNA(VLOOKUP(A64,'Données projet'!$A$87:$I$107,7,0)),0%,VLOOKUP(A64,'Données projet'!$A$87:$I$107,7,0))</f>
        <v>0</v>
      </c>
      <c r="BP64" s="21">
        <f>EXP(-LN(2)/35)*BP63+(1-EXP(-LN(2)/35))/(LN(2)/35)*BL64*BM64*VLOOKUP('Données projet'!$B$11,Paramètres!$A$1:$I$89,3,0)*0.475*44/12</f>
        <v>1.3717464196524072</v>
      </c>
      <c r="BQ64" s="21">
        <f>EXP(-LN(2)/25)*BQ63+(1-EXP(-LN(2)/25))/(LN(2)/25)*Calculateur!BL64*Calculateur!BN64*VLOOKUP('Données projet'!$B$11,Paramètres!$A$1:$I$89,3,0)*0.475*44/12</f>
        <v>6.464022690079422</v>
      </c>
      <c r="BR64" s="21">
        <f>EXP(-LN(2)/2)*BR63+(1-EXP(-LN(2)/2))/(LN(2)/2)*BL64*BO64*VLOOKUP('Données projet'!$B$11,Paramètres!$A$1:$I$89,3,0)*0.475*44/12</f>
        <v>4.7343317442854842E-4</v>
      </c>
      <c r="BS64" s="22">
        <f t="shared" si="9"/>
        <v>7.8362425429062572</v>
      </c>
      <c r="BT64" s="75">
        <f>('Scénario référence'!$F$8+'Scénario référence'!$F$9+'Scénario référence'!$B$17+'Scénario référence'!$B$9+'Scénario référence'!$B$10)*70+IF((45+25*(1-EXP(-0.0175*A64)))&lt;70,'Scénario référence'!$B$16*(45+25*(1-EXP(-0.0175*A64))),70*'Scénario référence'!$B$16)+IF((32+38*(1-EXP(-0.0175*A64)))&lt;70,'Scénario référence'!$B$18*(32+38*(1-EXP(-0.0175*A64))),70*'Scénario référence'!$B$18)</f>
        <v>70</v>
      </c>
      <c r="BU64" s="12">
        <f>IF(A64&gt;30,10,('Scénario référence'!$B$16+'Scénario référence'!$B$17+'Scénario référence'!$B$18+'Scénario référence'!$B$9+'Scénario référence'!$B$10)*A64*10/30+('Scénario référence'!$F$8+'Scénario référence'!$F$9)*10)</f>
        <v>10</v>
      </c>
      <c r="BV64" s="12" t="e">
        <f>VLOOKUP(A64,'Données projet'!$A$113:$I$133,2,0)</f>
        <v>#N/A</v>
      </c>
      <c r="BW64" s="12" t="e">
        <f>VLOOKUP(A64,'Données projet'!$A$113:$I$133,9,0)</f>
        <v>#N/A</v>
      </c>
      <c r="BX64" s="12">
        <f t="array" ref="BX64">INDEX(BW:BW,MIN(IF(ISNUMBER(BW64:BW260),ROW(BW64:BW260),"")))</f>
        <v>7.3</v>
      </c>
      <c r="BY64" s="12">
        <f>IF('Données projet'!$A$114&gt;35,BY63+BX64-CG63,IF(A64&lt;'Données projet'!$A$114,$BV$205^A64,IF(A64='Données projet'!$A$114,'Données projet'!$B$114,BY63+BX64-CG63)))</f>
        <v>284.29999999999978</v>
      </c>
      <c r="BZ64" s="13">
        <f>BY64*VLOOKUP('Données projet'!$B$12,Paramètres!$A$1:$I$89,3,0)*VLOOKUP('Données projet'!$B$12,Paramètres!$A$1:$I$89,5,0)</f>
        <v>162.61959999999988</v>
      </c>
      <c r="CA64" s="13">
        <f t="shared" si="39"/>
        <v>41.432813883214479</v>
      </c>
      <c r="CB64" s="20">
        <f t="shared" si="10"/>
        <v>355.39128751326501</v>
      </c>
      <c r="CC64" s="59">
        <f t="shared" si="11"/>
        <v>648.72462084659833</v>
      </c>
      <c r="CD64" s="59">
        <f ca="1">AVERAGE(OFFSET($CC$3,0,0,'Données projet'!$E$12+1,1))-AVERAGE(OFFSET($H$3,0,0,'Données projet'!$E$12+1,1))</f>
        <v>188.64374818906128</v>
      </c>
      <c r="CE64" s="59">
        <f t="shared" si="40"/>
        <v>211.95157880548652</v>
      </c>
      <c r="CF64" s="15">
        <f>IF(ISNA(VLOOKUP(A64,'Données projet'!$A$113:$I$133,3,0)),0,VLOOKUP(A64,'Données projet'!$A$113:$I$133,3,0))</f>
        <v>0</v>
      </c>
      <c r="CG64" s="15">
        <f>IF(ISNA(VLOOKUP(A64,'Données projet'!$A$113:$I$133,4,0)),0,VLOOKUP(A64,'Données projet'!$A$113:$I$133,4,0))</f>
        <v>0</v>
      </c>
      <c r="CH64" s="16">
        <f>IF(ISNA(VLOOKUP(A64,'Données projet'!$A$113:$I$133,5,0)),0%,VLOOKUP(A64,'Données projet'!$A$113:$I$133,5,0)*VLOOKUP('Données projet'!$B$12,Paramètres!$A$1:$I$89,7,0))</f>
        <v>0</v>
      </c>
      <c r="CI64" s="16">
        <f>IF(ISNA(VLOOKUP(A64,'Données projet'!$A$113:$I$133,6,0)),0%,VLOOKUP(A64,'Données projet'!$A$113:$I$133,6,0)*VLOOKUP('Données projet'!$B$12,Paramètres!$A$1:$I$89,7,0))</f>
        <v>0</v>
      </c>
      <c r="CJ64" s="16">
        <f>IF(ISNA(VLOOKUP(A64,'Données projet'!$A$113:$I$133,7,0)),0%,VLOOKUP(A64,'Données projet'!$A$113:$I$133,7,0))</f>
        <v>0</v>
      </c>
      <c r="CK64" s="21">
        <f>EXP(-LN(2)/35)*CK63+(1-EXP(-LN(2)/35))/(LN(2)/35)*CG64*CH64*VLOOKUP('Données projet'!$B$12,Paramètres!$A$1:$I$89,3,0)*0.475*44/12</f>
        <v>1.3305856269010492</v>
      </c>
      <c r="CL64" s="21">
        <f>EXP(-LN(2)/25)*CL63+(1-EXP(-LN(2)/25))/(LN(2)/25)*Calculateur!CG64*Calculateur!CI64*VLOOKUP('Données projet'!$B$12,Paramètres!$A$1:$I$89,3,0)*0.475*44/12</f>
        <v>6.084084512770751</v>
      </c>
      <c r="CM64" s="21">
        <f>EXP(-LN(2)/2)*CM63+(1-EXP(-LN(2)/2))/(LN(2)/2)*CG64*CJ64*VLOOKUP('Données projet'!$B$12,Paramètres!$A$1:$I$89,3,0)*0.475*44/12</f>
        <v>4.5848298747235618E-4</v>
      </c>
      <c r="CN64" s="22">
        <f t="shared" si="12"/>
        <v>7.4151286226592728</v>
      </c>
      <c r="CO64" s="75">
        <f>('Scénario référence'!$F$8+'Scénario référence'!$F$9+'Scénario référence'!$B$17+'Scénario référence'!$B$9+'Scénario référence'!$B$10)*70+IF((45+25*(1-EXP(-0.0175*A64)))&lt;70,'Scénario référence'!$B$16*(45+25*(1-EXP(-0.0175*A64))),70*'Scénario référence'!$B$16)+IF((32+38*(1-EXP(-0.0175*A64)))&lt;70,'Scénario référence'!$B$18*(32+38*(1-EXP(-0.0175*A64))),70*'Scénario référence'!$B$18)</f>
        <v>70</v>
      </c>
      <c r="CP64" s="12">
        <f>IF(A64&gt;30,10,('Scénario référence'!$B$16+'Scénario référence'!$B$17+'Scénario référence'!$B$18+'Scénario référence'!$B$9+'Scénario référence'!$B$10)*A64*10/30+('Scénario référence'!$F$8+'Scénario référence'!$F$9)*10)</f>
        <v>10</v>
      </c>
      <c r="CQ64" s="12" t="e">
        <f>VLOOKUP(A64,'Données projet'!$A$139:$I$159,2,0)</f>
        <v>#N/A</v>
      </c>
      <c r="CR64" s="12" t="e">
        <f>VLOOKUP(A64,'Données projet'!$A$139:$I$159,9,0)</f>
        <v>#N/A</v>
      </c>
      <c r="CS64" s="12">
        <f t="array" ref="CS64">INDEX(CR:CR,MIN(IF(ISNUMBER(CR64:CR260),ROW(CR64:CR260),"")))</f>
        <v>0</v>
      </c>
      <c r="CT64" s="12">
        <f>IF('Données projet'!$A$140&gt;35,CT63+CS64-DB63,IF(A64&lt;'Données projet'!$A$140,$CQ$205^A64,IF(A64='Données projet'!$A$140,'Données projet'!$B$140,CT63+CS64-DB63)))</f>
        <v>0</v>
      </c>
      <c r="CU64" s="17" t="e">
        <f>CT64*VLOOKUP('Données projet'!$B$13,Paramètres!$A$1:$I$89,3,0)*VLOOKUP('Données projet'!$B$13,Paramètres!$A$1:$I$89,5,0)</f>
        <v>#N/A</v>
      </c>
      <c r="CV64" s="13" t="e">
        <f t="shared" si="41"/>
        <v>#N/A</v>
      </c>
      <c r="CW64" s="20" t="e">
        <f t="shared" si="13"/>
        <v>#N/A</v>
      </c>
      <c r="CX64" s="59" t="e">
        <f t="shared" si="14"/>
        <v>#N/A</v>
      </c>
      <c r="CY64" s="59" t="e">
        <f ca="1">AVERAGE(OFFSET($CX$3,0,0,'Données projet'!$E$13+1,1))-AVERAGE(OFFSET($H$3,0,0,'Données projet'!$E$13+1,1))</f>
        <v>#N/A</v>
      </c>
      <c r="CZ64" s="59" t="e">
        <f t="shared" si="42"/>
        <v>#N/A</v>
      </c>
      <c r="DA64" s="15">
        <f>IF(ISNA(VLOOKUP(A64,'Données projet'!$A$139:$I$159,3,0)),0,VLOOKUP(A64,'Données projet'!$A$139:$I$159,3,0))</f>
        <v>0</v>
      </c>
      <c r="DB64" s="15">
        <f>IF(ISNA(VLOOKUP(A64,'Données projet'!$A$139:$I$159,4,0)),0,VLOOKUP(A64,'Données projet'!$A$139:$I$159,4,0))</f>
        <v>0</v>
      </c>
      <c r="DC64" s="16">
        <f>IF(ISNA(VLOOKUP(A64,'Données projet'!$A$139:$I$159,5,0)),0%,VLOOKUP(A64,'Données projet'!$A$139:$I$159,5,0)*VLOOKUP('Données projet'!$B$13,Paramètres!$A$1:$I$89,7,0))</f>
        <v>0</v>
      </c>
      <c r="DD64" s="16">
        <f>IF(ISNA(VLOOKUP(A64,'Données projet'!$A$139:$I$159,6,0)),0%,VLOOKUP(A64,'Données projet'!$A$139:$I$159,6,0)*VLOOKUP('Données projet'!$B$13,Paramètres!$A$1:$I$89,7,0))</f>
        <v>0</v>
      </c>
      <c r="DE64" s="16">
        <f>IF(ISNA(VLOOKUP(A64,'Données projet'!$A$139:$I$159,7,0)),0%,VLOOKUP(A64,'Données projet'!$A$139:$I$159,7,0))</f>
        <v>0</v>
      </c>
      <c r="DF64" s="21" t="e">
        <f>EXP(-LN(2)/35)*DF63+(1-EXP(-LN(2)/35))/(LN(2)/35)*DB64*DC64*VLOOKUP('Données projet'!$B$13,Paramètres!$A$1:$I$89,3,0)*0.475*44/12</f>
        <v>#N/A</v>
      </c>
      <c r="DG64" s="21" t="e">
        <f>EXP(-LN(2)/25)*DG63+(1-EXP(-LN(2)/25))/(LN(2)/25)*Calculateur!DB64*Calculateur!DD64*VLOOKUP('Données projet'!$B$13,Paramètres!$A$1:$I$89,3,0)*0.475*44/12</f>
        <v>#N/A</v>
      </c>
      <c r="DH64" s="21" t="e">
        <f>EXP(-LN(2)/2)*DH63+(1-EXP(-LN(2)/2))/(LN(2)/2)*DB64*DE64*VLOOKUP('Données projet'!$B$13,Paramètres!$A$1:$I$89,3,0)*0.475*44/12</f>
        <v>#N/A</v>
      </c>
      <c r="DI64" s="22" t="e">
        <f t="shared" si="15"/>
        <v>#N/A</v>
      </c>
      <c r="DJ64" s="75">
        <f>('Scénario référence'!$F$8+'Scénario référence'!$F$9+'Scénario référence'!$B$17+'Scénario référence'!$B$9+'Scénario référence'!$B$10)*70+IF((45+25*(1-EXP(-0.0175*A64)))&lt;70,'Scénario référence'!$B$16*(45+25*(1-EXP(-0.0175*A64))),70*'Scénario référence'!$B$16)+IF((32+38*(1-EXP(-0.0175*A64)))&lt;70,'Scénario référence'!$B$18*(32+38*(1-EXP(-0.0175*A64))),70*'Scénario référence'!$B$18)</f>
        <v>70</v>
      </c>
      <c r="DK64" s="12">
        <f>IF(A64&gt;30,10,('Scénario référence'!$B$16+'Scénario référence'!$B$17+'Scénario référence'!$B$18+'Scénario référence'!$B$9+'Scénario référence'!$B$10)*A64*10/30+('Scénario référence'!$F$8+'Scénario référence'!$F$9)*10)</f>
        <v>10</v>
      </c>
      <c r="DL64" s="12" t="e">
        <f>VLOOKUP(A64,'Données projet'!$A$165:$I$185,2,0)</f>
        <v>#N/A</v>
      </c>
      <c r="DM64" s="12" t="e">
        <f>VLOOKUP(A64,'Données projet'!$A$165:$I$185,9,0)</f>
        <v>#N/A</v>
      </c>
      <c r="DN64" s="12">
        <f t="array" ref="DN64">INDEX(DM:DM,MIN(IF(ISNUMBER(DM64:DM260),ROW(DM64:DM260),"")))</f>
        <v>5.6</v>
      </c>
      <c r="DO64" s="12">
        <f>IF('Données projet'!$A$166&gt;35,DO63+DN64-DW63,IF(A64&lt;'Données projet'!$A$166,$DL$205^A64,IF(A64='Données projet'!$A$166,'Données projet'!$B$166,DO63+DN64-DW63)))</f>
        <v>241.60000000000014</v>
      </c>
      <c r="DP64" s="17">
        <f>DO64*VLOOKUP('Données projet'!$B$14,Paramètres!$A$1:$I$89,3,0)*VLOOKUP('Données projet'!$B$14,Paramètres!$A$1:$I$89,5,0)</f>
        <v>158.29632000000009</v>
      </c>
      <c r="DQ64" s="13">
        <f t="shared" si="43"/>
        <v>40.458006540983739</v>
      </c>
      <c r="DR64" s="20">
        <f t="shared" si="16"/>
        <v>346.16378539221347</v>
      </c>
      <c r="DS64" s="59">
        <f t="shared" si="17"/>
        <v>639.49711872554678</v>
      </c>
      <c r="DT64" s="59">
        <f ca="1">AVERAGE(OFFSET($DS$3,0,0,'Données projet'!$E$14+1,1))-AVERAGE(OFFSET($H$3,0,0,'Données projet'!$E$14+1,1))</f>
        <v>188.68915783955595</v>
      </c>
      <c r="DU64" s="59">
        <f t="shared" si="44"/>
        <v>240.82467772396944</v>
      </c>
      <c r="DV64" s="15">
        <f>IF(ISNA(VLOOKUP(A64,'Données projet'!$A$165:$I$185,3,0)),0,VLOOKUP(A64,'Données projet'!$A$165:$I$185,3,0))</f>
        <v>0</v>
      </c>
      <c r="DW64" s="15">
        <f>IF(ISNA(VLOOKUP(A64,'Données projet'!$A$165:$I$185,4,0)),0,VLOOKUP(A64,'Données projet'!$A$165:$I$185,4,0))</f>
        <v>0</v>
      </c>
      <c r="DX64" s="16">
        <f>IF(ISNA(VLOOKUP(A64,'Données projet'!$A$165:$I$185,5,0)),0%,VLOOKUP(A64,'Données projet'!$A$165:$I$185,5,0)*VLOOKUP('Données projet'!$B$14,Paramètres!$A$1:$I$89,7,0))</f>
        <v>0</v>
      </c>
      <c r="DY64" s="16">
        <f>IF(ISNA(VLOOKUP(A64,'Données projet'!$A$165:$I$185,6,0)),0%,VLOOKUP(A64,'Données projet'!$A$165:$I$185,6,0)*VLOOKUP('Données projet'!$B$14,Paramètres!$A$1:$I$89,7,0))</f>
        <v>0</v>
      </c>
      <c r="DZ64" s="16">
        <f>IF(ISNA(VLOOKUP(A64,'Données projet'!$A$165:$I$185,7,0)),0%,VLOOKUP(A64,'Données projet'!$A$165:$I$185,7,0))</f>
        <v>0</v>
      </c>
      <c r="EA64" s="21">
        <f>EXP(-LN(2)/35)*EA63+(1-EXP(-LN(2)/35))/(LN(2)/35)*DW64*DX64*VLOOKUP('Données projet'!$B$14,Paramètres!$A$1:$I$89,3,0)*0.475*44/12</f>
        <v>0.8428162325278109</v>
      </c>
      <c r="EB64" s="21">
        <f>EXP(-LN(2)/25)*EB63+(1-EXP(-LN(2)/25))/(LN(2)/25)*Calculateur!DW64*Calculateur!DY64*VLOOKUP('Données projet'!$B$14,Paramètres!$A$1:$I$89,3,0)*0.475*44/12</f>
        <v>3.4030817909680415</v>
      </c>
      <c r="EC64" s="21">
        <f>EXP(-LN(2)/2)*EC63+(1-EXP(-LN(2)/2))/(LN(2)/2)*DW64*DZ64*VLOOKUP('Données projet'!$B$14,Paramètres!$A$1:$I$89,3,0)*0.475*44/12</f>
        <v>3.020310973907648E-4</v>
      </c>
      <c r="ED64" s="22">
        <f t="shared" si="18"/>
        <v>4.2462000545932437</v>
      </c>
      <c r="EE64" s="75">
        <f>('Scénario référence'!$F$8+'Scénario référence'!$F$9+'Scénario référence'!$B$17+'Scénario référence'!$B$9+'Scénario référence'!$B$10)*70+IF((45+25*(1-EXP(-0.0175*A64)))&lt;70,'Scénario référence'!$B$16*(45+25*(1-EXP(-0.0175*A64))),70*'Scénario référence'!$B$16)+IF((32+38*(1-EXP(-0.0175*A64)))&lt;70,'Scénario référence'!$B$18*(32+38*(1-EXP(-0.0175*A64))),70*'Scénario référence'!$B$18)</f>
        <v>70</v>
      </c>
      <c r="EF64" s="12">
        <f>IF(A64&gt;30,10,('Scénario référence'!$B$16+'Scénario référence'!$B$17+'Scénario référence'!$B$18+'Scénario référence'!$B$9+'Scénario référence'!$B$10)*A64*10/30+('Scénario référence'!$F$8+'Scénario référence'!$F$9)*10)</f>
        <v>10</v>
      </c>
      <c r="EG64" s="12" t="e">
        <f>VLOOKUP(A64,'Données projet'!$A$191:$I$211,2,0)</f>
        <v>#N/A</v>
      </c>
      <c r="EH64" s="12" t="e">
        <f>VLOOKUP(A64,'Données projet'!$A$191:$I$211,9,0)</f>
        <v>#N/A</v>
      </c>
      <c r="EI64" s="12">
        <f t="array" ref="EI64">INDEX(EH:EH,MIN(IF(ISNUMBER(EH64:EH260),ROW(EH64:EH260),"")))</f>
        <v>5.9</v>
      </c>
      <c r="EJ64" s="12">
        <f>IF('Données projet'!$A$192&gt;35,EJ63+EI64-ER63,IF(A64&lt;'Données projet'!$A$192,$EG$205^A64,IF(A64='Données projet'!$A$192,'Données projet'!$B$192,EJ63+EI64-ER63)))</f>
        <v>221.89999999999998</v>
      </c>
      <c r="EK64" s="17">
        <f>EJ64*VLOOKUP('Données projet'!$B$15,Paramètres!$A$1:$I$89,3,0)*VLOOKUP('Données projet'!$B$15,Paramètres!$A$1:$I$89,5,0)</f>
        <v>180.00528</v>
      </c>
      <c r="EL64" s="13">
        <f t="shared" si="45"/>
        <v>45.323360867280385</v>
      </c>
      <c r="EM64" s="20">
        <f t="shared" si="19"/>
        <v>392.4473828438467</v>
      </c>
      <c r="EN64" s="59">
        <f t="shared" si="20"/>
        <v>685.78071617718001</v>
      </c>
      <c r="EO64" s="59">
        <f ca="1">AVERAGE(OFFSET($EN$3,0,0,'Données projet'!$E$15+1,1))-AVERAGE(OFFSET($H$3,0,0,'Données projet'!$E$15+1,1))</f>
        <v>205.5272583787887</v>
      </c>
      <c r="EP64" s="59">
        <f t="shared" si="46"/>
        <v>180.54762778843178</v>
      </c>
      <c r="EQ64" s="15">
        <f>IF(ISNA(VLOOKUP(A64,'Données projet'!$A$191:$I$211,3,0)),0,VLOOKUP(A64,'Données projet'!$A$191:$I$211,3,0))</f>
        <v>0</v>
      </c>
      <c r="ER64" s="15">
        <f>IF(ISNA(VLOOKUP(A64,'Données projet'!$A$191:$I$211,4,0)),0,VLOOKUP(A64,'Données projet'!$A$191:$I$211,4,0))</f>
        <v>0</v>
      </c>
      <c r="ES64" s="16">
        <f>IF(ISNA(VLOOKUP(A64,'Données projet'!$A$191:$I$211,5,0)),0%,VLOOKUP(A64,'Données projet'!$A$191:$I$211,5,0)*VLOOKUP('Données projet'!$B$15,Paramètres!$A$1:$I$89,7,0))</f>
        <v>0</v>
      </c>
      <c r="ET64" s="16">
        <f>IF(ISNA(VLOOKUP(A64,'Données projet'!$A$191:$I$211,6,0)),0%,VLOOKUP(A64,'Données projet'!$A$191:$I$211,6,0)*VLOOKUP('Données projet'!$B$15,Paramètres!$A$1:$I$89,7,0))</f>
        <v>0</v>
      </c>
      <c r="EU64" s="16">
        <f>IF(ISNA(VLOOKUP(A64,'Données projet'!$A$191:$I$211,7,0)),0%,VLOOKUP(A64,'Données projet'!$A$191:$I$211,7,0))</f>
        <v>0</v>
      </c>
      <c r="EV64" s="21">
        <f>EXP(-LN(2)/35)*EV63+(1-EXP(-LN(2)/35))/(LN(2)/35)*ER64*ES64*VLOOKUP('Données projet'!$B$15,Paramètres!$A$1:$I$89,3,0)*0.475*44/12</f>
        <v>0.5426131173226667</v>
      </c>
      <c r="EW64" s="21">
        <f>EXP(-LN(2)/25)*EW63+(1-EXP(-LN(2)/25))/(LN(2)/25)*Calculateur!ER64*Calculateur!ET64*VLOOKUP('Données projet'!$B$15,Paramètres!$A$1:$I$89,3,0)*0.475*44/12</f>
        <v>2.4571282888486179</v>
      </c>
      <c r="EX64" s="21">
        <f>EXP(-LN(2)/2)*EX63+(1-EXP(-LN(2)/2))/(LN(2)/2)*ER64*EU64*VLOOKUP('Données projet'!$B$15,Paramètres!$A$1:$I$89,3,0)*0.475*44/12</f>
        <v>1.9556535889022863E-4</v>
      </c>
      <c r="EY64" s="22">
        <f t="shared" si="21"/>
        <v>2.9999369715301745</v>
      </c>
      <c r="EZ64" s="75">
        <f>('Scénario référence'!$F$8+'Scénario référence'!$F$9+'Scénario référence'!$B$17+'Scénario référence'!$B$9+'Scénario référence'!$B$10)*70+IF((45+25*(1-EXP(-0.0175*A64)))&lt;70,'Scénario référence'!$B$16*(45+25*(1-EXP(-0.0175*A64))),70*'Scénario référence'!$B$16)+IF((32+38*(1-EXP(-0.0175*A64)))&lt;70,'Scénario référence'!$B$18*(32+38*(1-EXP(-0.0175*A64))),70*'Scénario référence'!$B$18)</f>
        <v>70</v>
      </c>
      <c r="FA64" s="12">
        <f>IF(A64&gt;30,10,('Scénario référence'!$B$16+'Scénario référence'!$B$17+'Scénario référence'!$B$18+'Scénario référence'!$B$9+'Scénario référence'!$B$10)*A64*10/30+('Scénario référence'!$F$8+'Scénario référence'!$F$9)*10)</f>
        <v>10</v>
      </c>
      <c r="FB64" s="12" t="e">
        <f>VLOOKUP(A64,'Données projet'!$A$217:$I$237,2,0)</f>
        <v>#N/A</v>
      </c>
      <c r="FC64" s="12" t="e">
        <f>VLOOKUP(A64,'Données projet'!$A$217:$I$237,9,0)</f>
        <v>#N/A</v>
      </c>
      <c r="FD64" s="12">
        <f t="array" ref="FD64">INDEX(FC:FC,MIN(IF(ISNUMBER(FC64:FC260),ROW(FC64:FC260),"")))</f>
        <v>13</v>
      </c>
      <c r="FE64" s="12">
        <f>IF('Données projet'!$A$218&gt;35,FE63+FD64-FM63,IF(A64&lt;'Données projet'!$A$218,$FB$205^A64,IF(A64='Données projet'!$A$218,'Données projet'!$B$218,FE63+FD64-FM63)))</f>
        <v>254.99999999999994</v>
      </c>
      <c r="FF64" s="17">
        <f>FE64*VLOOKUP('Données projet'!$B$16,Paramètres!$A$1:$I$89,3,0)*VLOOKUP('Données projet'!$B$16,Paramètres!$A$1:$I$89,5,0)</f>
        <v>218.78999999999996</v>
      </c>
      <c r="FG64" s="13">
        <f t="shared" si="47"/>
        <v>53.851813843863511</v>
      </c>
      <c r="FH64" s="20">
        <f t="shared" si="22"/>
        <v>474.85115911139559</v>
      </c>
      <c r="FI64" s="59">
        <f t="shared" si="23"/>
        <v>768.1844924447289</v>
      </c>
      <c r="FJ64" s="59">
        <f ca="1">AVERAGE(OFFSET($FI$3,0,0,'Données projet'!$E$16+1,1))-AVERAGE(OFFSET($H$3,0,0,'Données projet'!$E$16+1,1))</f>
        <v>383.97627237444709</v>
      </c>
      <c r="FK64" s="59">
        <f t="shared" si="48"/>
        <v>203.35476578922339</v>
      </c>
      <c r="FL64" s="15">
        <f>IF(ISNA(VLOOKUP(A64,'Données projet'!$A$217:$I$237,3,0)),0,VLOOKUP(A64,'Données projet'!$A$217:$I$237,3,0))</f>
        <v>0</v>
      </c>
      <c r="FM64" s="15">
        <f>IF(ISNA(VLOOKUP(A64,'Données projet'!$A$217:$I$237,4,0)),0,VLOOKUP(A64,'Données projet'!$A$217:$I$237,4,0))</f>
        <v>0</v>
      </c>
      <c r="FN64" s="16">
        <f>IF(ISNA(VLOOKUP(A64,'Données projet'!$A$217:$I$237,5,0)),0%,VLOOKUP(A64,'Données projet'!$A$217:$I$237,5,0)*VLOOKUP('Données projet'!$B$16,Paramètres!$A$1:$I$89,7,0))</f>
        <v>0</v>
      </c>
      <c r="FO64" s="16">
        <f>IF(ISNA(VLOOKUP(A64,'Données projet'!$A$217:$I$237,6,0)),0%,VLOOKUP(A64,'Données projet'!$A$217:$I$237,6,0)*VLOOKUP('Données projet'!$B$16,Paramètres!$A$1:$I$89,7,0))</f>
        <v>0</v>
      </c>
      <c r="FP64" s="16">
        <f>IF(ISNA(VLOOKUP(A64,'Données projet'!$A$217:$I$237,7,0)),0%,VLOOKUP(A64,'Données projet'!$A$217:$I$237,7,0))</f>
        <v>0</v>
      </c>
      <c r="FQ64" s="21">
        <f>EXP(-LN(2)/35)*FQ63+(1-EXP(-LN(2)/35))/(LN(2)/35)*FM64*FN64*VLOOKUP('Données projet'!$B$16,Paramètres!$A$1:$I$89,3,0)*0.475*44/12</f>
        <v>2.7887370440354764</v>
      </c>
      <c r="FR64" s="21">
        <f>EXP(-LN(2)/25)*FR63+(1-EXP(-LN(2)/25))/(LN(2)/25)*Calculateur!FM64*Calculateur!FO64*VLOOKUP('Données projet'!$B$16,Paramètres!$A$1:$I$89,3,0)*0.475*44/12</f>
        <v>2.4942391815264133</v>
      </c>
      <c r="FS64" s="21">
        <f>EXP(-LN(2)/2)*FS63+(1-EXP(-LN(2)/2))/(LN(2)/2)*FM64*FP64*VLOOKUP('Données projet'!$B$16,Paramètres!$A$1:$I$89,3,0)*0.475*44/12</f>
        <v>3.5921342845876569E-4</v>
      </c>
      <c r="FT64" s="22">
        <f t="shared" si="24"/>
        <v>5.2833354389903482</v>
      </c>
      <c r="FU64" s="75">
        <f>('Scénario référence'!$F$8+'Scénario référence'!$F$9+'Scénario référence'!$B$17+'Scénario référence'!$B$9+'Scénario référence'!$B$10)*70+IF((45+25*(1-EXP(-0.0175*A64)))&lt;70,'Scénario référence'!$B$16*(45+25*(1-EXP(-0.0175*A64))),70*'Scénario référence'!$B$16)+IF((32+38*(1-EXP(-0.0175*A64)))&lt;70,'Scénario référence'!$B$18*(32+38*(1-EXP(-0.0175*A64))),70*'Scénario référence'!$B$18)</f>
        <v>70</v>
      </c>
      <c r="FV64" s="12">
        <f>IF(A64&gt;30,10,('Scénario référence'!$B$16+'Scénario référence'!$B$17+'Scénario référence'!$B$18+'Scénario référence'!$B$9+'Scénario référence'!$B$10)*A64*10/30+('Scénario référence'!$F$8+'Scénario référence'!$F$9)*10)</f>
        <v>10</v>
      </c>
      <c r="FW64" s="12" t="e">
        <f>VLOOKUP(A64,'Données projet'!$A$243:$I$263,2,0)</f>
        <v>#N/A</v>
      </c>
      <c r="FX64" s="12" t="e">
        <f>VLOOKUP(A64,'Données projet'!$A$243:$I$263,9,0)</f>
        <v>#N/A</v>
      </c>
      <c r="FY64" s="12">
        <f t="array" ref="FY64">INDEX(FX:FX,MIN(IF(ISNUMBER(FX64:FX260),ROW(FX64:FX260),"")))</f>
        <v>8.374198717948719</v>
      </c>
      <c r="FZ64" s="12">
        <f>IF('Données projet'!$A$244&gt;35,FZ63+FY64-GH63,IF(A64&lt;'Données projet'!$A$244,$FW$205^A64,IF(A64='Données projet'!$A$244,'Données projet'!$B$244,FZ63+FY64-GH63)))</f>
        <v>203.54006410256414</v>
      </c>
      <c r="GA64" s="17">
        <f>FZ64*VLOOKUP('Données projet'!$B$17,Paramètres!$A$1:$I$89,3,0)*VLOOKUP('Données projet'!$B$17,Paramètres!$A$1:$I$89,5,0)</f>
        <v>219.09052500000004</v>
      </c>
      <c r="GB64" s="13">
        <f t="shared" si="49"/>
        <v>53.917168190682062</v>
      </c>
      <c r="GC64" s="20">
        <f t="shared" si="25"/>
        <v>475.48839897377138</v>
      </c>
      <c r="GD64" s="59">
        <f t="shared" si="26"/>
        <v>768.82173230710464</v>
      </c>
      <c r="GE64" s="59">
        <f ca="1">AVERAGE(OFFSET($GD$3,0,0,'Données projet'!$E$17+1,1))-AVERAGE(OFFSET($H$3,0,0,'Données projet'!$E$17+1,1))</f>
        <v>286.77702855541287</v>
      </c>
      <c r="GF64" s="59">
        <f t="shared" si="50"/>
        <v>227.12211541860779</v>
      </c>
      <c r="GG64" s="15">
        <f>IF(ISNA(VLOOKUP(A64,'Données projet'!$A$243:$I$263,3,0)),0,VLOOKUP(A64,'Données projet'!$A$243:$I$263,3,0))</f>
        <v>0</v>
      </c>
      <c r="GH64" s="15">
        <f>IF(ISNA(VLOOKUP(A64,'Données projet'!$A$243:$I$263,4,0)),0,VLOOKUP(A64,'Données projet'!$A$243:$I$263,4,0))</f>
        <v>0</v>
      </c>
      <c r="GI64" s="16">
        <f>IF(ISNA(VLOOKUP(A64,'Données projet'!$A$243:$I$263,5,0)),0%,VLOOKUP(A64,'Données projet'!$A$243:$I$263,5,0)*VLOOKUP('Données projet'!$B$17,Paramètres!$A$1:$I$89,7,0))</f>
        <v>0</v>
      </c>
      <c r="GJ64" s="16">
        <f>IF(ISNA(VLOOKUP(A64,'Données projet'!$A$243:$I$263,6,0)),0%,VLOOKUP(A64,'Données projet'!$A$243:$I$263,6,0)*VLOOKUP('Données projet'!$B$17,Paramètres!$A$1:$I$89,7,0))</f>
        <v>0</v>
      </c>
      <c r="GK64" s="16">
        <f>IF(ISNA(VLOOKUP(A64,'Données projet'!$A$243:$I$263,7,0)),0%,VLOOKUP(A64,'Données projet'!$A$243:$I$263,7,0))</f>
        <v>0</v>
      </c>
      <c r="GL64" s="21">
        <f>EXP(-LN(2)/35)*GL63+(1-EXP(-LN(2)/35))/(LN(2)/35)*GH64*GI64*VLOOKUP('Données projet'!$B$17,Paramètres!$A$1:$I$89,3,0)*0.475*44/12</f>
        <v>0</v>
      </c>
      <c r="GM64" s="21">
        <f>EXP(-LN(2)/25)*GM63+(1-EXP(-LN(2)/25))/(LN(2)/25)*Calculateur!GH64*Calculateur!GJ64*VLOOKUP('Données projet'!$B$17,Paramètres!$A$1:$I$89,3,0)*0.475*44/12</f>
        <v>0</v>
      </c>
      <c r="GN64" s="21">
        <f>EXP(-LN(2)/2)*GN63+(1-EXP(-LN(2)/2))/(LN(2)/2)*GH64*GK64*VLOOKUP('Données projet'!$B$17,Paramètres!$A$1:$I$89,3,0)*0.475*44/12</f>
        <v>0</v>
      </c>
      <c r="GO64" s="21">
        <f t="shared" si="27"/>
        <v>0</v>
      </c>
      <c r="GP64" s="75">
        <f>('Scénario référence'!$F$8+'Scénario référence'!$F$9+'Scénario référence'!$B$17+'Scénario référence'!$B$9+'Scénario référence'!$B$10)*70+IF((45+25*(1-EXP(-0.0175*A64)))&lt;70,'Scénario référence'!$B$16*(45+25*(1-EXP(-0.0175*A64))),70*'Scénario référence'!$B$16)+IF((32+38*(1-EXP(-0.0175*A64)))&lt;70,'Scénario référence'!$B$18*(32+38*(1-EXP(-0.0175*A64))),70*'Scénario référence'!$B$18)</f>
        <v>70</v>
      </c>
      <c r="GQ64" s="12">
        <f>IF(A64&gt;30,10,('Scénario référence'!$B$16+'Scénario référence'!$B$17+'Scénario référence'!$B$18+'Scénario référence'!$B$9+'Scénario référence'!$B$10)*A64*10/30+('Scénario référence'!$F$8+'Scénario référence'!$F$9)*10)</f>
        <v>10</v>
      </c>
      <c r="GR64" s="12" t="e">
        <f>VLOOKUP(A64,'Données projet'!$A$269:$I$289,2,0)</f>
        <v>#N/A</v>
      </c>
      <c r="GS64" s="12" t="e">
        <f>VLOOKUP(A64,'Données projet'!$A$269:$I$289,9,0)</f>
        <v>#N/A</v>
      </c>
      <c r="GT64" s="12">
        <f t="array" ref="GT64">INDEX(GS:GS,MIN(IF(ISNUMBER(GS64:GS260),ROW(GS64:GS260),"")))</f>
        <v>8.374198717948719</v>
      </c>
      <c r="GU64" s="12">
        <f>IF('Données projet'!$A$270&gt;35,GU63+GT64-HC63,IF(A64&lt;'Données projet'!$A$270,$GR$205^A64,IF(A64='Données projet'!$A$270,'Données projet'!$B$270,GU63+GT64-HC63)))</f>
        <v>203.54006410256414</v>
      </c>
      <c r="GV64" s="17">
        <f>GU64*VLOOKUP('Données projet'!$B$18,Paramètres!$A$1:$I$89,3,0)*VLOOKUP('Données projet'!$B$18,Paramètres!$A$1:$I$89,5,0)</f>
        <v>219.09052500000004</v>
      </c>
      <c r="GW64" s="13">
        <f t="shared" si="51"/>
        <v>53.917168190682062</v>
      </c>
      <c r="GX64" s="20">
        <f t="shared" si="28"/>
        <v>475.48839897377138</v>
      </c>
      <c r="GY64" s="59">
        <f t="shared" si="29"/>
        <v>768.82173230710464</v>
      </c>
      <c r="GZ64" s="59">
        <f ca="1">AVERAGE(OFFSET($GY$3,0,0,'Données projet'!$E$18+1,1))-AVERAGE(OFFSET($H$3,0,0,'Données projet'!$E$18+1,1))</f>
        <v>286.77702855541287</v>
      </c>
      <c r="HA64" s="59">
        <f t="shared" si="52"/>
        <v>227.12211541860779</v>
      </c>
      <c r="HB64" s="15">
        <f>IF(ISNA(VLOOKUP(A64,'Données projet'!$A$269:$I$289,3,0)),0,VLOOKUP(A64,'Données projet'!$A$269:$I$289,3,0))</f>
        <v>0</v>
      </c>
      <c r="HC64" s="15">
        <f>IF(ISNA(VLOOKUP(A64,'Données projet'!$A$269:$I$289,4,0)),0,VLOOKUP(A64,'Données projet'!$A$269:$I$289,4,0))</f>
        <v>0</v>
      </c>
      <c r="HD64" s="16">
        <f>IF(ISNA(VLOOKUP(A64,'Données projet'!$A$269:$I$289,5,0)),0%,VLOOKUP(A64,'Données projet'!$A$269:$I$289,5,0)*VLOOKUP('Données projet'!$B$18,Paramètres!$A$1:$I$89,7,0))</f>
        <v>0</v>
      </c>
      <c r="HE64" s="16">
        <f>IF(ISNA(VLOOKUP(A64,'Données projet'!$A$269:$I$289,6,0)),0%,VLOOKUP(A64,'Données projet'!$A$269:$I$289,6,0)*VLOOKUP('Données projet'!$B$18,Paramètres!$A$1:$I$89,7,0))</f>
        <v>0</v>
      </c>
      <c r="HF64" s="16">
        <f>IF(ISNA(VLOOKUP(A64,'Données projet'!$A$269:$I$289,7,0)),0%,VLOOKUP(A64,'Données projet'!$A$269:$I$289,7,0))</f>
        <v>0</v>
      </c>
      <c r="HG64" s="21">
        <f>EXP(-LN(2)/35)*HG63+(1-EXP(-LN(2)/35))/(LN(2)/35)*HC64*HD64*VLOOKUP('Données projet'!$B$18,Paramètres!$A$1:$I$89,3,0)*0.475*44/12</f>
        <v>0</v>
      </c>
      <c r="HH64" s="21">
        <f>EXP(-LN(2)/25)*HH63+(1-EXP(-LN(2)/25))/(LN(2)/25)*Calculateur!HC64*Calculateur!HE64*VLOOKUP('Données projet'!$B$18,Paramètres!$A$1:$I$89,3,0)*0.475*44/12</f>
        <v>0</v>
      </c>
      <c r="HI64" s="21">
        <f>EXP(-LN(2)/2)*HI63+(1-EXP(-LN(2)/2))/(LN(2)/2)*HC64*HF64*VLOOKUP('Données projet'!$B$18,Paramètres!$A$1:$I$89,3,0)*0.475*44/12</f>
        <v>0</v>
      </c>
      <c r="HJ64" s="22">
        <f t="shared" si="30"/>
        <v>0</v>
      </c>
    </row>
    <row r="65" spans="1:218" x14ac:dyDescent="0.25">
      <c r="A65" s="10">
        <f t="shared" si="31"/>
        <v>62</v>
      </c>
      <c r="B65" s="73">
        <f>'Scénario référence'!$B$16*5+'Scénario référence'!$B$17*0+'Scénario référence'!$B$18*5</f>
        <v>0</v>
      </c>
      <c r="C65" s="19">
        <f>Calculateur!C64+'Scénario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55.130400000000051</v>
      </c>
      <c r="D65" s="11">
        <f t="shared" si="32"/>
        <v>15.931082230000042</v>
      </c>
      <c r="E6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65" s="11">
        <f>IF(OR('Scénario référence'!$F$8&gt;0,'Scénario référence'!$F$9&gt;0),('Scénario référence'!$F$8+'Scénario référence'!$F$9)*10,0)</f>
        <v>10</v>
      </c>
      <c r="G65" s="11">
        <f>'Scénario référence'!$B$8*B65*44/12+'Scénario référence'!$B$9*(C65+D65)/0.475*44/12+'Scénario référence'!$B$10*(C65+D65)/0.475*44/12+'Scénario référence'!$F$8*(C65+D65)/0.475*44/12+'Scénario référence'!$F$9*(C65+D65)/0.475*44/12</f>
        <v>548.54477510877268</v>
      </c>
      <c r="H65" s="67">
        <f t="shared" si="1"/>
        <v>417.09874821725015</v>
      </c>
      <c r="I65" s="70">
        <f>('Scénario référence'!$F$8+'Scénario référence'!$F$9+'Scénario référence'!$B$17+'Scénario référence'!$B$9+'Scénario référence'!$B$10)*70+IF((45+25*(1-EXP(-0.0175*A65)))&lt;70,'Scénario référence'!$B$16*(45+25*(1-EXP(-0.0175*A65))),70*'Scénario référence'!$B$16)+IF((32+38*(1-EXP(-0.0175*A65)))&lt;70,'Scénario référence'!$B$18*(32+38*(1-EXP(-0.0175*A65))),70*'Scénario référence'!$B$18)</f>
        <v>70</v>
      </c>
      <c r="J65" s="13">
        <f>IF(A65&gt;30,10,('Scénario référence'!$B$16+'Scénario référence'!$B$17+'Scénario référence'!$B$18+'Scénario référence'!$B$9+'Scénario référence'!$B$10)*A65*10/30+('Scénario référence'!$F$8+'Scénario référence'!$F$9)*10)</f>
        <v>10</v>
      </c>
      <c r="K65" s="12" t="e">
        <f>VLOOKUP(A65,'Données projet'!$A$35:$I$55,2,0)</f>
        <v>#N/A</v>
      </c>
      <c r="L65" s="12" t="e">
        <f>VLOOKUP(A65,'Données projet'!$A$35:$I$55,9,0)</f>
        <v>#N/A</v>
      </c>
      <c r="M65" s="12">
        <f t="array" ref="M65">INDEX(L:L,MIN(IF(ISNUMBER(L65:L261),ROW(L65:L261),"")))</f>
        <v>0</v>
      </c>
      <c r="N65" s="13">
        <f>IF('Données projet'!$A$36&gt;35,N64+M65-V64,IF(A65&lt;'Données projet'!$A$36,$K$205^A65,IF(A65='Données projet'!$A$36,'Données projet'!$B$36,N64+M65-V64)))</f>
        <v>-2.2737367544323206E-13</v>
      </c>
      <c r="O65" s="13">
        <f>N65*VLOOKUP('Données projet'!$B$9,Paramètres!$A$1:$I$89,3,0)*VLOOKUP('Données projet'!$B$9,Paramètres!$A$1:$I$89,5,0)</f>
        <v>-1.2710188457276673E-13</v>
      </c>
      <c r="P65" s="13" t="e">
        <f t="shared" si="33"/>
        <v>#NUM!</v>
      </c>
      <c r="Q65" s="20" t="e">
        <f t="shared" si="53"/>
        <v>#NUM!</v>
      </c>
      <c r="R65" s="59" t="e">
        <f t="shared" si="0"/>
        <v>#NUM!</v>
      </c>
      <c r="S65" s="59">
        <f ca="1">AVERAGE(OFFSET($R$3,0,0,'Données projet'!$E$9+1,1))-AVERAGE(OFFSET($H$3,0,0,'Données projet'!$E$9+1,1))</f>
        <v>255.5374979188561</v>
      </c>
      <c r="T65" s="59">
        <f t="shared" si="34"/>
        <v>343.10418468620901</v>
      </c>
      <c r="U65" s="15">
        <f>IF(ISNA(VLOOKUP(A65,'Données projet'!$A$35:$I$55,3,0)),0,VLOOKUP(A65,'Données projet'!$A$35:$I$55,3,0))</f>
        <v>0</v>
      </c>
      <c r="V65" s="15">
        <f>IF(ISNA(VLOOKUP(A65,'Données projet'!$A$35:$I$55,4,0)),0,VLOOKUP(A65,'Données projet'!$A$35:$I$55,4,0))</f>
        <v>0</v>
      </c>
      <c r="W65" s="16">
        <f>IF(ISNA(VLOOKUP(A65,'Données projet'!$A$35:$I$55,5,0)),0%,VLOOKUP(A65,'Données projet'!$A$35:$I$55,5,0)*VLOOKUP('Données projet'!$B$9,Paramètres!$A$1:$I$89,7,0))</f>
        <v>0</v>
      </c>
      <c r="X65" s="16">
        <f>IF(ISNA(VLOOKUP(A65,'Données projet'!$A$35:$I$55,6,0)),0%,VLOOKUP(A65,'Données projet'!$A$35:$I$55,6,0)*VLOOKUP('Données projet'!$B$9,Paramètres!$A$1:$I$89,7,0))</f>
        <v>0</v>
      </c>
      <c r="Y65" s="16">
        <f>IF(ISNA(VLOOKUP(A65,'Données projet'!$A$35:$I$55,7,0)),0%,VLOOKUP(A65,'Données projet'!$A$35:$I$55,7,0))</f>
        <v>0</v>
      </c>
      <c r="Z65" s="21">
        <f>EXP(-LN(2)/35)*Z64+(1-EXP(-LN(2)/35))/(LN(2)/35)*V65*W65*VLOOKUP('Données projet'!$B$9,Paramètres!$A$1:$I$89,3,0)*0.475*44/12</f>
        <v>1.6395957944978121</v>
      </c>
      <c r="AA65" s="21">
        <f>EXP(-LN(2)/25)*AA64+(1-EXP(-LN(2)/25))/(LN(2)/25)*Calculateur!V65*Calculateur!X65*VLOOKUP('Données projet'!$B$9,Paramètres!$A$1:$I$89,3,0)*0.475*44/12</f>
        <v>6.5723630264757524</v>
      </c>
      <c r="AB65" s="21">
        <f>EXP(-LN(2)/2)*AB64+(1-EXP(-LN(2)/2))/(LN(2)/2)*V65*Y65*VLOOKUP('Données projet'!$B$9,Paramètres!$A$1:$I$89,3,0)*0.475*44/12</f>
        <v>2.5827821036591584E-5</v>
      </c>
      <c r="AC65" s="22">
        <f t="shared" si="3"/>
        <v>8.2119846487946013</v>
      </c>
      <c r="AD65" s="13">
        <f>('Scénario référence'!$F$8+'Scénario référence'!$F$9+'Scénario référence'!$B$17+'Scénario référence'!$B$9+'Scénario référence'!$B$10)*70+IF((45+25*(1-EXP(-0.0175*A65)))&lt;70,'Scénario référence'!$B$16*(45+25*(1-EXP(-0.0175*A65))),70*'Scénario référence'!$B$16)+IF((32+38*(1-EXP(-0.0175*A65)))&lt;70,'Scénario référence'!$B$18*(32+38*(1-EXP(-0.0175*A65))),70*'Scénario référence'!$B$18)</f>
        <v>70</v>
      </c>
      <c r="AE65" s="13">
        <f>IF(A65&gt;30,10,('Scénario référence'!$B$16+'Scénario référence'!$B$17+'Scénario référence'!$B$18+'Scénario référence'!$B$9+'Scénario référence'!$B$10)*A65*10/30+('Scénario référence'!$F$8+'Scénario référence'!$F$9)*10)</f>
        <v>10</v>
      </c>
      <c r="AF65" s="12" t="e">
        <f>VLOOKUP(A65,'Données projet'!$A$61:$I$81,2,0)</f>
        <v>#N/A</v>
      </c>
      <c r="AG65" s="12" t="e">
        <f>VLOOKUP(A65,'Données projet'!$A$61:$I$81,9,0)</f>
        <v>#N/A</v>
      </c>
      <c r="AH65" s="12">
        <f t="array" ref="AH65">INDEX(AG:AG,MIN(IF(ISNUMBER(AG65:AG261),ROW(AG65:AG261),"")))</f>
        <v>7.8</v>
      </c>
      <c r="AI65" s="13">
        <f>IF('Données projet'!$A$62&gt;35,AI64+AH65-AQ64,IF(A65&lt;'Données projet'!$A$62,$AF$205^A65,IF(A65='Données projet'!$A$62,'Données projet'!$B$62,AI64+AH65-AQ64)))</f>
        <v>364.59999999999991</v>
      </c>
      <c r="AJ65" s="13">
        <f>AI65*VLOOKUP('Données projet'!$B$10,Paramètres!$A$1:$I$89,3,0)*VLOOKUP('Données projet'!$B$10,Paramètres!$A$1:$I$89,5,0)</f>
        <v>227.51039999999995</v>
      </c>
      <c r="AK65" s="13">
        <f t="shared" si="35"/>
        <v>55.7440313076156</v>
      </c>
      <c r="AL65" s="20">
        <f t="shared" si="4"/>
        <v>493.33480119409711</v>
      </c>
      <c r="AM65" s="59">
        <f t="shared" si="5"/>
        <v>786.66813452743042</v>
      </c>
      <c r="AN65" s="59">
        <f ca="1">AVERAGE(OFFSET($AM$3,0,0,'Données projet'!$E$10+1,1))-AVERAGE(OFFSET($H$3,0,0,'Données projet'!$E$10+1,1))</f>
        <v>261.78489480911571</v>
      </c>
      <c r="AO65" s="59">
        <f t="shared" si="36"/>
        <v>297.50513563712764</v>
      </c>
      <c r="AP65" s="15">
        <f>IF(ISNA(VLOOKUP(A65,'Données projet'!$A$61:$I$81,3,0)),0,VLOOKUP(A65,'Données projet'!$A$61:$I$81,3,0))</f>
        <v>0</v>
      </c>
      <c r="AQ65" s="15">
        <f>IF(ISNA(VLOOKUP(A65,'Données projet'!$A$61:$I$81,4,0)),0,VLOOKUP(A65,'Données projet'!$A$61:$I$81,4,0))</f>
        <v>0</v>
      </c>
      <c r="AR65" s="16">
        <f>IF(ISNA(VLOOKUP(A65,'Données projet'!$A$61:$I$81,5,0)),0%,VLOOKUP(A65,'Données projet'!$A$61:$I$81,5,0)*VLOOKUP('Données projet'!$B$10,Paramètres!$A$1:$I$89,7,0))</f>
        <v>0</v>
      </c>
      <c r="AS65" s="16">
        <f>IF(ISNA(VLOOKUP(A65,'Données projet'!$A$61:$I$81,6,0)),0%,VLOOKUP(A65,'Données projet'!$A$61:$I$81,6,0)*VLOOKUP('Données projet'!$B$10,Paramètres!$A$1:$I$89,7,0))</f>
        <v>0</v>
      </c>
      <c r="AT65" s="16">
        <f>IF(ISNA(VLOOKUP(A65,'Données projet'!$A$61:$I$81,7,0)),0%,VLOOKUP(A65,'Données projet'!$A$61:$I$81,7,0))</f>
        <v>0</v>
      </c>
      <c r="AU65" s="21">
        <f>EXP(-LN(2)/35)*AU64+(1-EXP(-LN(2)/35))/(LN(2)/35)*AQ65*AR65*VLOOKUP('Données projet'!$B$10,Paramètres!$A$1:$I$89,3,0)*0.475*44/12</f>
        <v>4.4273724025902101</v>
      </c>
      <c r="AV65" s="21">
        <f>EXP(-LN(2)/25)*AV64+(1-EXP(-LN(2)/25))/(LN(2)/25)*Calculateur!AQ65*Calculateur!AS65*VLOOKUP('Données projet'!$B$10,Paramètres!$A$1:$I$89,3,0)*0.475*44/12</f>
        <v>11.476686349137903</v>
      </c>
      <c r="AW65" s="21">
        <f>EXP(-LN(2)/2)*AW64+(1-EXP(-LN(2)/2))/(LN(2)/2)*AQ65*AT65*VLOOKUP('Données projet'!$B$10,Paramètres!$A$1:$I$89,3,0)*0.475*44/12</f>
        <v>3.7233262843188293E-4</v>
      </c>
      <c r="AX65" s="21">
        <f t="shared" si="6"/>
        <v>15.904431084356546</v>
      </c>
      <c r="AY65" s="74">
        <f>('Scénario référence'!$F$8+'Scénario référence'!$F$9+'Scénario référence'!$B$17+'Scénario référence'!$B$9+'Scénario référence'!$B$10)*70+IF((45+25*(1-EXP(-0.0175*A65)))&lt;70,'Scénario référence'!$B$16*(45+25*(1-EXP(-0.0175*A65))),70*'Scénario référence'!$B$16)+IF((32+38*(1-EXP(-0.0175*A65)))&lt;70,'Scénario référence'!$B$18*(32+38*(1-EXP(-0.0175*A65))),70*'Scénario référence'!$B$18)</f>
        <v>70</v>
      </c>
      <c r="AZ65" s="12">
        <f>IF(A65&gt;30,10,('Scénario référence'!$B$16+'Scénario référence'!$B$17+'Scénario référence'!$B$18+'Scénario référence'!$B$9+'Scénario référence'!$B$10)*A65*10/30+('Scénario référence'!$F$8+'Scénario référence'!$F$9)*10)</f>
        <v>10</v>
      </c>
      <c r="BA65" s="12" t="e">
        <f>VLOOKUP(A65,'Données projet'!$A$87:$I$107,2,0)</f>
        <v>#N/A</v>
      </c>
      <c r="BB65" s="12" t="e">
        <f>VLOOKUP(A65,'Données projet'!$A$87:$I$107,9,0)</f>
        <v>#N/A</v>
      </c>
      <c r="BC65" s="12">
        <f t="array" ref="BC65">INDEX(BB:BB,MIN(IF(ISNUMBER(BB65:BB261),ROW(BB65:BB261),"")))</f>
        <v>16.399999999999999</v>
      </c>
      <c r="BD65" s="12">
        <f>IF('Données projet'!$A$88&gt;35,BD64+BC65-BL64,IF(A65&lt;'Données projet'!$A$88,$BA$205^A65,IF(A65='Données projet'!$A$88,'Données projet'!$B$88,BD64+BC65-BL64)))</f>
        <v>432.79999999999973</v>
      </c>
      <c r="BE65" s="13">
        <f>BD65*VLOOKUP('Données projet'!$B$11,Paramètres!$A$1:$I$89,3,0)*VLOOKUP('Données projet'!$B$11,Paramètres!$A$1:$I$89,5,0)</f>
        <v>258.81439999999986</v>
      </c>
      <c r="BF65" s="13">
        <f t="shared" si="37"/>
        <v>62.469588762855253</v>
      </c>
      <c r="BG65" s="20">
        <f t="shared" si="7"/>
        <v>559.56961376197262</v>
      </c>
      <c r="BH65" s="59">
        <f t="shared" si="8"/>
        <v>852.90294709530599</v>
      </c>
      <c r="BI65" s="59">
        <f ca="1">AVERAGE(OFFSET($BH$3,0,0,'Données projet'!$E$11+1,1))-AVERAGE(OFFSET($H$3,0,0,'Données projet'!$E$11+1,1))</f>
        <v>316.58509520829671</v>
      </c>
      <c r="BJ65" s="59">
        <f t="shared" si="38"/>
        <v>240.71332110643596</v>
      </c>
      <c r="BK65" s="15">
        <f>IF(ISNA(VLOOKUP(A65,'Données projet'!$A$87:$I$107,3,0)),0,VLOOKUP(A65,'Données projet'!$A$87:$I$107,3,0))</f>
        <v>0</v>
      </c>
      <c r="BL65" s="15">
        <f>IF(ISNA(VLOOKUP(A65,'Données projet'!$A$87:$I$107,4,0)),0,VLOOKUP(A65,'Données projet'!$A$87:$I$107,4,0))</f>
        <v>0</v>
      </c>
      <c r="BM65" s="16">
        <f>IF(ISNA(VLOOKUP(A65,'Données projet'!$A$87:$I$107,5,0)),0%,VLOOKUP(A65,'Données projet'!$A$87:$I$107,5,0)*VLOOKUP('Données projet'!$B$11,Paramètres!$A$1:$I$89,7,0))</f>
        <v>0</v>
      </c>
      <c r="BN65" s="16">
        <f>IF(ISNA(VLOOKUP(A65,'Données projet'!$A$87:$I$107,6,0)),0%,VLOOKUP(A65,'Données projet'!$A$87:$I$107,6,0)*VLOOKUP('Données projet'!$B$11,Paramètres!$A$1:$I$89,7,0))</f>
        <v>0</v>
      </c>
      <c r="BO65" s="16">
        <f>IF(ISNA(VLOOKUP(A65,'Données projet'!$A$87:$I$107,7,0)),0%,VLOOKUP(A65,'Données projet'!$A$87:$I$107,7,0))</f>
        <v>0</v>
      </c>
      <c r="BP65" s="21">
        <f>EXP(-LN(2)/35)*BP64+(1-EXP(-LN(2)/35))/(LN(2)/35)*BL65*BM65*VLOOKUP('Données projet'!$B$11,Paramètres!$A$1:$I$89,3,0)*0.475*44/12</f>
        <v>1.3448473090457238</v>
      </c>
      <c r="BQ65" s="21">
        <f>EXP(-LN(2)/25)*BQ64+(1-EXP(-LN(2)/25))/(LN(2)/25)*Calculateur!BL65*Calculateur!BN65*VLOOKUP('Données projet'!$B$11,Paramètres!$A$1:$I$89,3,0)*0.475*44/12</f>
        <v>6.2872636496910204</v>
      </c>
      <c r="BR65" s="21">
        <f>EXP(-LN(2)/2)*BR64+(1-EXP(-LN(2)/2))/(LN(2)/2)*BL65*BO65*VLOOKUP('Données projet'!$B$11,Paramètres!$A$1:$I$89,3,0)*0.475*44/12</f>
        <v>3.3476780807710022E-4</v>
      </c>
      <c r="BS65" s="22">
        <f t="shared" si="9"/>
        <v>7.6324457265448213</v>
      </c>
      <c r="BT65" s="75">
        <f>('Scénario référence'!$F$8+'Scénario référence'!$F$9+'Scénario référence'!$B$17+'Scénario référence'!$B$9+'Scénario référence'!$B$10)*70+IF((45+25*(1-EXP(-0.0175*A65)))&lt;70,'Scénario référence'!$B$16*(45+25*(1-EXP(-0.0175*A65))),70*'Scénario référence'!$B$16)+IF((32+38*(1-EXP(-0.0175*A65)))&lt;70,'Scénario référence'!$B$18*(32+38*(1-EXP(-0.0175*A65))),70*'Scénario référence'!$B$18)</f>
        <v>70</v>
      </c>
      <c r="BU65" s="12">
        <f>IF(A65&gt;30,10,('Scénario référence'!$B$16+'Scénario référence'!$B$17+'Scénario référence'!$B$18+'Scénario référence'!$B$9+'Scénario référence'!$B$10)*A65*10/30+('Scénario référence'!$F$8+'Scénario référence'!$F$9)*10)</f>
        <v>10</v>
      </c>
      <c r="BV65" s="12" t="e">
        <f>VLOOKUP(A65,'Données projet'!$A$113:$I$133,2,0)</f>
        <v>#N/A</v>
      </c>
      <c r="BW65" s="12" t="e">
        <f>VLOOKUP(A65,'Données projet'!$A$113:$I$133,9,0)</f>
        <v>#N/A</v>
      </c>
      <c r="BX65" s="12">
        <f t="array" ref="BX65">INDEX(BW:BW,MIN(IF(ISNUMBER(BW65:BW261),ROW(BW65:BW261),"")))</f>
        <v>7.3</v>
      </c>
      <c r="BY65" s="12">
        <f>IF('Données projet'!$A$114&gt;35,BY64+BX65-CG64,IF(A65&lt;'Données projet'!$A$114,$BV$205^A65,IF(A65='Données projet'!$A$114,'Données projet'!$B$114,BY64+BX65-CG64)))</f>
        <v>291.5999999999998</v>
      </c>
      <c r="BZ65" s="13">
        <f>BY65*VLOOKUP('Données projet'!$B$12,Paramètres!$A$1:$I$89,3,0)*VLOOKUP('Données projet'!$B$12,Paramètres!$A$1:$I$89,5,0)</f>
        <v>166.79519999999991</v>
      </c>
      <c r="CA65" s="13">
        <f t="shared" si="39"/>
        <v>42.371461898472788</v>
      </c>
      <c r="CB65" s="20">
        <f t="shared" si="10"/>
        <v>364.29860280650661</v>
      </c>
      <c r="CC65" s="59">
        <f t="shared" si="11"/>
        <v>657.63193613983992</v>
      </c>
      <c r="CD65" s="59">
        <f ca="1">AVERAGE(OFFSET($CC$3,0,0,'Données projet'!$E$12+1,1))-AVERAGE(OFFSET($H$3,0,0,'Données projet'!$E$12+1,1))</f>
        <v>188.64374818906128</v>
      </c>
      <c r="CE65" s="59">
        <f t="shared" si="40"/>
        <v>211.95157880548652</v>
      </c>
      <c r="CF65" s="15">
        <f>IF(ISNA(VLOOKUP(A65,'Données projet'!$A$113:$I$133,3,0)),0,VLOOKUP(A65,'Données projet'!$A$113:$I$133,3,0))</f>
        <v>0</v>
      </c>
      <c r="CG65" s="15">
        <f>IF(ISNA(VLOOKUP(A65,'Données projet'!$A$113:$I$133,4,0)),0,VLOOKUP(A65,'Données projet'!$A$113:$I$133,4,0))</f>
        <v>0</v>
      </c>
      <c r="CH65" s="16">
        <f>IF(ISNA(VLOOKUP(A65,'Données projet'!$A$113:$I$133,5,0)),0%,VLOOKUP(A65,'Données projet'!$A$113:$I$133,5,0)*VLOOKUP('Données projet'!$B$12,Paramètres!$A$1:$I$89,7,0))</f>
        <v>0</v>
      </c>
      <c r="CI65" s="16">
        <f>IF(ISNA(VLOOKUP(A65,'Données projet'!$A$113:$I$133,6,0)),0%,VLOOKUP(A65,'Données projet'!$A$113:$I$133,6,0)*VLOOKUP('Données projet'!$B$12,Paramètres!$A$1:$I$89,7,0))</f>
        <v>0</v>
      </c>
      <c r="CJ65" s="16">
        <f>IF(ISNA(VLOOKUP(A65,'Données projet'!$A$113:$I$133,7,0)),0%,VLOOKUP(A65,'Données projet'!$A$113:$I$133,7,0))</f>
        <v>0</v>
      </c>
      <c r="CK65" s="21">
        <f>EXP(-LN(2)/35)*CK64+(1-EXP(-LN(2)/35))/(LN(2)/35)*CG65*CH65*VLOOKUP('Données projet'!$B$12,Paramètres!$A$1:$I$89,3,0)*0.475*44/12</f>
        <v>1.3044936543346155</v>
      </c>
      <c r="CL65" s="21">
        <f>EXP(-LN(2)/25)*CL64+(1-EXP(-LN(2)/25))/(LN(2)/25)*Calculateur!CG65*Calculateur!CI65*VLOOKUP('Données projet'!$B$12,Paramètres!$A$1:$I$89,3,0)*0.475*44/12</f>
        <v>5.9177149018209354</v>
      </c>
      <c r="CM65" s="21">
        <f>EXP(-LN(2)/2)*CM64+(1-EXP(-LN(2)/2))/(LN(2)/2)*CG65*CJ65*VLOOKUP('Données projet'!$B$12,Paramètres!$A$1:$I$89,3,0)*0.475*44/12</f>
        <v>3.2419642950037001E-4</v>
      </c>
      <c r="CN65" s="22">
        <f t="shared" si="12"/>
        <v>7.2225327525850513</v>
      </c>
      <c r="CO65" s="75">
        <f>('Scénario référence'!$F$8+'Scénario référence'!$F$9+'Scénario référence'!$B$17+'Scénario référence'!$B$9+'Scénario référence'!$B$10)*70+IF((45+25*(1-EXP(-0.0175*A65)))&lt;70,'Scénario référence'!$B$16*(45+25*(1-EXP(-0.0175*A65))),70*'Scénario référence'!$B$16)+IF((32+38*(1-EXP(-0.0175*A65)))&lt;70,'Scénario référence'!$B$18*(32+38*(1-EXP(-0.0175*A65))),70*'Scénario référence'!$B$18)</f>
        <v>70</v>
      </c>
      <c r="CP65" s="12">
        <f>IF(A65&gt;30,10,('Scénario référence'!$B$16+'Scénario référence'!$B$17+'Scénario référence'!$B$18+'Scénario référence'!$B$9+'Scénario référence'!$B$10)*A65*10/30+('Scénario référence'!$F$8+'Scénario référence'!$F$9)*10)</f>
        <v>10</v>
      </c>
      <c r="CQ65" s="12" t="e">
        <f>VLOOKUP(A65,'Données projet'!$A$139:$I$159,2,0)</f>
        <v>#N/A</v>
      </c>
      <c r="CR65" s="12" t="e">
        <f>VLOOKUP(A65,'Données projet'!$A$139:$I$159,9,0)</f>
        <v>#N/A</v>
      </c>
      <c r="CS65" s="12">
        <f t="array" ref="CS65">INDEX(CR:CR,MIN(IF(ISNUMBER(CR65:CR261),ROW(CR65:CR261),"")))</f>
        <v>0</v>
      </c>
      <c r="CT65" s="12">
        <f>IF('Données projet'!$A$140&gt;35,CT64+CS65-DB64,IF(A65&lt;'Données projet'!$A$140,$CQ$205^A65,IF(A65='Données projet'!$A$140,'Données projet'!$B$140,CT64+CS65-DB64)))</f>
        <v>0</v>
      </c>
      <c r="CU65" s="17" t="e">
        <f>CT65*VLOOKUP('Données projet'!$B$13,Paramètres!$A$1:$I$89,3,0)*VLOOKUP('Données projet'!$B$13,Paramètres!$A$1:$I$89,5,0)</f>
        <v>#N/A</v>
      </c>
      <c r="CV65" s="13" t="e">
        <f t="shared" si="41"/>
        <v>#N/A</v>
      </c>
      <c r="CW65" s="20" t="e">
        <f t="shared" si="13"/>
        <v>#N/A</v>
      </c>
      <c r="CX65" s="59" t="e">
        <f t="shared" si="14"/>
        <v>#N/A</v>
      </c>
      <c r="CY65" s="59" t="e">
        <f ca="1">AVERAGE(OFFSET($CX$3,0,0,'Données projet'!$E$13+1,1))-AVERAGE(OFFSET($H$3,0,0,'Données projet'!$E$13+1,1))</f>
        <v>#N/A</v>
      </c>
      <c r="CZ65" s="59" t="e">
        <f t="shared" si="42"/>
        <v>#N/A</v>
      </c>
      <c r="DA65" s="15">
        <f>IF(ISNA(VLOOKUP(A65,'Données projet'!$A$139:$I$159,3,0)),0,VLOOKUP(A65,'Données projet'!$A$139:$I$159,3,0))</f>
        <v>0</v>
      </c>
      <c r="DB65" s="15">
        <f>IF(ISNA(VLOOKUP(A65,'Données projet'!$A$139:$I$159,4,0)),0,VLOOKUP(A65,'Données projet'!$A$139:$I$159,4,0))</f>
        <v>0</v>
      </c>
      <c r="DC65" s="16">
        <f>IF(ISNA(VLOOKUP(A65,'Données projet'!$A$139:$I$159,5,0)),0%,VLOOKUP(A65,'Données projet'!$A$139:$I$159,5,0)*VLOOKUP('Données projet'!$B$13,Paramètres!$A$1:$I$89,7,0))</f>
        <v>0</v>
      </c>
      <c r="DD65" s="16">
        <f>IF(ISNA(VLOOKUP(A65,'Données projet'!$A$139:$I$159,6,0)),0%,VLOOKUP(A65,'Données projet'!$A$139:$I$159,6,0)*VLOOKUP('Données projet'!$B$13,Paramètres!$A$1:$I$89,7,0))</f>
        <v>0</v>
      </c>
      <c r="DE65" s="16">
        <f>IF(ISNA(VLOOKUP(A65,'Données projet'!$A$139:$I$159,7,0)),0%,VLOOKUP(A65,'Données projet'!$A$139:$I$159,7,0))</f>
        <v>0</v>
      </c>
      <c r="DF65" s="21" t="e">
        <f>EXP(-LN(2)/35)*DF64+(1-EXP(-LN(2)/35))/(LN(2)/35)*DB65*DC65*VLOOKUP('Données projet'!$B$13,Paramètres!$A$1:$I$89,3,0)*0.475*44/12</f>
        <v>#N/A</v>
      </c>
      <c r="DG65" s="21" t="e">
        <f>EXP(-LN(2)/25)*DG64+(1-EXP(-LN(2)/25))/(LN(2)/25)*Calculateur!DB65*Calculateur!DD65*VLOOKUP('Données projet'!$B$13,Paramètres!$A$1:$I$89,3,0)*0.475*44/12</f>
        <v>#N/A</v>
      </c>
      <c r="DH65" s="21" t="e">
        <f>EXP(-LN(2)/2)*DH64+(1-EXP(-LN(2)/2))/(LN(2)/2)*DB65*DE65*VLOOKUP('Données projet'!$B$13,Paramètres!$A$1:$I$89,3,0)*0.475*44/12</f>
        <v>#N/A</v>
      </c>
      <c r="DI65" s="22" t="e">
        <f t="shared" si="15"/>
        <v>#N/A</v>
      </c>
      <c r="DJ65" s="75">
        <f>('Scénario référence'!$F$8+'Scénario référence'!$F$9+'Scénario référence'!$B$17+'Scénario référence'!$B$9+'Scénario référence'!$B$10)*70+IF((45+25*(1-EXP(-0.0175*A65)))&lt;70,'Scénario référence'!$B$16*(45+25*(1-EXP(-0.0175*A65))),70*'Scénario référence'!$B$16)+IF((32+38*(1-EXP(-0.0175*A65)))&lt;70,'Scénario référence'!$B$18*(32+38*(1-EXP(-0.0175*A65))),70*'Scénario référence'!$B$18)</f>
        <v>70</v>
      </c>
      <c r="DK65" s="12">
        <f>IF(A65&gt;30,10,('Scénario référence'!$B$16+'Scénario référence'!$B$17+'Scénario référence'!$B$18+'Scénario référence'!$B$9+'Scénario référence'!$B$10)*A65*10/30+('Scénario référence'!$F$8+'Scénario référence'!$F$9)*10)</f>
        <v>10</v>
      </c>
      <c r="DL65" s="12" t="e">
        <f>VLOOKUP(A65,'Données projet'!$A$165:$I$185,2,0)</f>
        <v>#N/A</v>
      </c>
      <c r="DM65" s="12" t="e">
        <f>VLOOKUP(A65,'Données projet'!$A$165:$I$185,9,0)</f>
        <v>#N/A</v>
      </c>
      <c r="DN65" s="12">
        <f t="array" ref="DN65">INDEX(DM:DM,MIN(IF(ISNUMBER(DM65:DM261),ROW(DM65:DM261),"")))</f>
        <v>5.6</v>
      </c>
      <c r="DO65" s="12">
        <f>IF('Données projet'!$A$166&gt;35,DO64+DN65-DW64,IF(A65&lt;'Données projet'!$A$166,$DL$205^A65,IF(A65='Données projet'!$A$166,'Données projet'!$B$166,DO64+DN65-DW64)))</f>
        <v>247.20000000000013</v>
      </c>
      <c r="DP65" s="17">
        <f>DO65*VLOOKUP('Données projet'!$B$14,Paramètres!$A$1:$I$89,3,0)*VLOOKUP('Données projet'!$B$14,Paramètres!$A$1:$I$89,5,0)</f>
        <v>161.96544000000009</v>
      </c>
      <c r="DQ65" s="13">
        <f t="shared" si="43"/>
        <v>41.285510388923619</v>
      </c>
      <c r="DR65" s="20">
        <f t="shared" si="16"/>
        <v>353.99540526070876</v>
      </c>
      <c r="DS65" s="59">
        <f t="shared" si="17"/>
        <v>647.32873859404208</v>
      </c>
      <c r="DT65" s="59">
        <f ca="1">AVERAGE(OFFSET($DS$3,0,0,'Données projet'!$E$14+1,1))-AVERAGE(OFFSET($H$3,0,0,'Données projet'!$E$14+1,1))</f>
        <v>188.68915783955595</v>
      </c>
      <c r="DU65" s="59">
        <f t="shared" si="44"/>
        <v>240.82467772396944</v>
      </c>
      <c r="DV65" s="15">
        <f>IF(ISNA(VLOOKUP(A65,'Données projet'!$A$165:$I$185,3,0)),0,VLOOKUP(A65,'Données projet'!$A$165:$I$185,3,0))</f>
        <v>0</v>
      </c>
      <c r="DW65" s="15">
        <f>IF(ISNA(VLOOKUP(A65,'Données projet'!$A$165:$I$185,4,0)),0,VLOOKUP(A65,'Données projet'!$A$165:$I$185,4,0))</f>
        <v>0</v>
      </c>
      <c r="DX65" s="16">
        <f>IF(ISNA(VLOOKUP(A65,'Données projet'!$A$165:$I$185,5,0)),0%,VLOOKUP(A65,'Données projet'!$A$165:$I$185,5,0)*VLOOKUP('Données projet'!$B$14,Paramètres!$A$1:$I$89,7,0))</f>
        <v>0</v>
      </c>
      <c r="DY65" s="16">
        <f>IF(ISNA(VLOOKUP(A65,'Données projet'!$A$165:$I$185,6,0)),0%,VLOOKUP(A65,'Données projet'!$A$165:$I$185,6,0)*VLOOKUP('Données projet'!$B$14,Paramètres!$A$1:$I$89,7,0))</f>
        <v>0</v>
      </c>
      <c r="DZ65" s="16">
        <f>IF(ISNA(VLOOKUP(A65,'Données projet'!$A$165:$I$185,7,0)),0%,VLOOKUP(A65,'Données projet'!$A$165:$I$185,7,0))</f>
        <v>0</v>
      </c>
      <c r="EA65" s="21">
        <f>EXP(-LN(2)/35)*EA64+(1-EXP(-LN(2)/35))/(LN(2)/35)*DW65*DX65*VLOOKUP('Données projet'!$B$14,Paramètres!$A$1:$I$89,3,0)*0.475*44/12</f>
        <v>0.8262891202750825</v>
      </c>
      <c r="EB65" s="21">
        <f>EXP(-LN(2)/25)*EB64+(1-EXP(-LN(2)/25))/(LN(2)/25)*Calculateur!DW65*Calculateur!DY65*VLOOKUP('Données projet'!$B$14,Paramètres!$A$1:$I$89,3,0)*0.475*44/12</f>
        <v>3.3100243404337268</v>
      </c>
      <c r="EC65" s="21">
        <f>EXP(-LN(2)/2)*EC64+(1-EXP(-LN(2)/2))/(LN(2)/2)*DW65*DZ65*VLOOKUP('Données projet'!$B$14,Paramètres!$A$1:$I$89,3,0)*0.475*44/12</f>
        <v>2.1356823709422435E-4</v>
      </c>
      <c r="ED65" s="22">
        <f t="shared" si="18"/>
        <v>4.1365270289459035</v>
      </c>
      <c r="EE65" s="75">
        <f>('Scénario référence'!$F$8+'Scénario référence'!$F$9+'Scénario référence'!$B$17+'Scénario référence'!$B$9+'Scénario référence'!$B$10)*70+IF((45+25*(1-EXP(-0.0175*A65)))&lt;70,'Scénario référence'!$B$16*(45+25*(1-EXP(-0.0175*A65))),70*'Scénario référence'!$B$16)+IF((32+38*(1-EXP(-0.0175*A65)))&lt;70,'Scénario référence'!$B$18*(32+38*(1-EXP(-0.0175*A65))),70*'Scénario référence'!$B$18)</f>
        <v>70</v>
      </c>
      <c r="EF65" s="12">
        <f>IF(A65&gt;30,10,('Scénario référence'!$B$16+'Scénario référence'!$B$17+'Scénario référence'!$B$18+'Scénario référence'!$B$9+'Scénario référence'!$B$10)*A65*10/30+('Scénario référence'!$F$8+'Scénario référence'!$F$9)*10)</f>
        <v>10</v>
      </c>
      <c r="EG65" s="12" t="e">
        <f>VLOOKUP(A65,'Données projet'!$A$191:$I$211,2,0)</f>
        <v>#N/A</v>
      </c>
      <c r="EH65" s="12" t="e">
        <f>VLOOKUP(A65,'Données projet'!$A$191:$I$211,9,0)</f>
        <v>#N/A</v>
      </c>
      <c r="EI65" s="12">
        <f t="array" ref="EI65">INDEX(EH:EH,MIN(IF(ISNUMBER(EH65:EH261),ROW(EH65:EH261),"")))</f>
        <v>5.9</v>
      </c>
      <c r="EJ65" s="12">
        <f>IF('Données projet'!$A$192&gt;35,EJ64+EI65-ER64,IF(A65&lt;'Données projet'!$A$192,$EG$205^A65,IF(A65='Données projet'!$A$192,'Données projet'!$B$192,EJ64+EI65-ER64)))</f>
        <v>227.79999999999998</v>
      </c>
      <c r="EK65" s="17">
        <f>EJ65*VLOOKUP('Données projet'!$B$15,Paramètres!$A$1:$I$89,3,0)*VLOOKUP('Données projet'!$B$15,Paramètres!$A$1:$I$89,5,0)</f>
        <v>184.79136</v>
      </c>
      <c r="EL65" s="13">
        <f t="shared" si="45"/>
        <v>46.386540185503208</v>
      </c>
      <c r="EM65" s="20">
        <f t="shared" si="19"/>
        <v>402.63484282308474</v>
      </c>
      <c r="EN65" s="59">
        <f t="shared" si="20"/>
        <v>695.96817615641805</v>
      </c>
      <c r="EO65" s="59">
        <f ca="1">AVERAGE(OFFSET($EN$3,0,0,'Données projet'!$E$15+1,1))-AVERAGE(OFFSET($H$3,0,0,'Données projet'!$E$15+1,1))</f>
        <v>205.5272583787887</v>
      </c>
      <c r="EP65" s="59">
        <f t="shared" si="46"/>
        <v>180.54762778843178</v>
      </c>
      <c r="EQ65" s="15">
        <f>IF(ISNA(VLOOKUP(A65,'Données projet'!$A$191:$I$211,3,0)),0,VLOOKUP(A65,'Données projet'!$A$191:$I$211,3,0))</f>
        <v>0</v>
      </c>
      <c r="ER65" s="15">
        <f>IF(ISNA(VLOOKUP(A65,'Données projet'!$A$191:$I$211,4,0)),0,VLOOKUP(A65,'Données projet'!$A$191:$I$211,4,0))</f>
        <v>0</v>
      </c>
      <c r="ES65" s="16">
        <f>IF(ISNA(VLOOKUP(A65,'Données projet'!$A$191:$I$211,5,0)),0%,VLOOKUP(A65,'Données projet'!$A$191:$I$211,5,0)*VLOOKUP('Données projet'!$B$15,Paramètres!$A$1:$I$89,7,0))</f>
        <v>0</v>
      </c>
      <c r="ET65" s="16">
        <f>IF(ISNA(VLOOKUP(A65,'Données projet'!$A$191:$I$211,6,0)),0%,VLOOKUP(A65,'Données projet'!$A$191:$I$211,6,0)*VLOOKUP('Données projet'!$B$15,Paramètres!$A$1:$I$89,7,0))</f>
        <v>0</v>
      </c>
      <c r="EU65" s="16">
        <f>IF(ISNA(VLOOKUP(A65,'Données projet'!$A$191:$I$211,7,0)),0%,VLOOKUP(A65,'Données projet'!$A$191:$I$211,7,0))</f>
        <v>0</v>
      </c>
      <c r="EV65" s="21">
        <f>EXP(-LN(2)/35)*EV64+(1-EXP(-LN(2)/35))/(LN(2)/35)*ER65*ES65*VLOOKUP('Données projet'!$B$15,Paramètres!$A$1:$I$89,3,0)*0.475*44/12</f>
        <v>0.53197280505329103</v>
      </c>
      <c r="EW65" s="21">
        <f>EXP(-LN(2)/25)*EW64+(1-EXP(-LN(2)/25))/(LN(2)/25)*Calculateur!ER65*Calculateur!ET65*VLOOKUP('Données projet'!$B$15,Paramètres!$A$1:$I$89,3,0)*0.475*44/12</f>
        <v>2.3899379865752914</v>
      </c>
      <c r="EX65" s="21">
        <f>EXP(-LN(2)/2)*EX64+(1-EXP(-LN(2)/2))/(LN(2)/2)*ER65*EU65*VLOOKUP('Données projet'!$B$15,Paramètres!$A$1:$I$89,3,0)*0.475*44/12</f>
        <v>1.3828559143646153E-4</v>
      </c>
      <c r="EY65" s="22">
        <f t="shared" si="21"/>
        <v>2.9220490772200192</v>
      </c>
      <c r="EZ65" s="75">
        <f>('Scénario référence'!$F$8+'Scénario référence'!$F$9+'Scénario référence'!$B$17+'Scénario référence'!$B$9+'Scénario référence'!$B$10)*70+IF((45+25*(1-EXP(-0.0175*A65)))&lt;70,'Scénario référence'!$B$16*(45+25*(1-EXP(-0.0175*A65))),70*'Scénario référence'!$B$16)+IF((32+38*(1-EXP(-0.0175*A65)))&lt;70,'Scénario référence'!$B$18*(32+38*(1-EXP(-0.0175*A65))),70*'Scénario référence'!$B$18)</f>
        <v>70</v>
      </c>
      <c r="FA65" s="12">
        <f>IF(A65&gt;30,10,('Scénario référence'!$B$16+'Scénario référence'!$B$17+'Scénario référence'!$B$18+'Scénario référence'!$B$9+'Scénario référence'!$B$10)*A65*10/30+('Scénario référence'!$F$8+'Scénario référence'!$F$9)*10)</f>
        <v>10</v>
      </c>
      <c r="FB65" s="12" t="e">
        <f>VLOOKUP(A65,'Données projet'!$A$217:$I$237,2,0)</f>
        <v>#N/A</v>
      </c>
      <c r="FC65" s="12" t="e">
        <f>VLOOKUP(A65,'Données projet'!$A$217:$I$237,9,0)</f>
        <v>#N/A</v>
      </c>
      <c r="FD65" s="12">
        <f t="array" ref="FD65">INDEX(FC:FC,MIN(IF(ISNUMBER(FC65:FC261),ROW(FC65:FC261),"")))</f>
        <v>13</v>
      </c>
      <c r="FE65" s="12">
        <f>IF('Données projet'!$A$218&gt;35,FE64+FD65-FM64,IF(A65&lt;'Données projet'!$A$218,$FB$205^A65,IF(A65='Données projet'!$A$218,'Données projet'!$B$218,FE64+FD65-FM64)))</f>
        <v>267.99999999999994</v>
      </c>
      <c r="FF65" s="17">
        <f>FE65*VLOOKUP('Données projet'!$B$16,Paramètres!$A$1:$I$89,3,0)*VLOOKUP('Données projet'!$B$16,Paramètres!$A$1:$I$89,5,0)</f>
        <v>229.94399999999996</v>
      </c>
      <c r="FG65" s="13">
        <f t="shared" si="47"/>
        <v>56.270572850262418</v>
      </c>
      <c r="FH65" s="20">
        <f t="shared" si="22"/>
        <v>498.49038104754027</v>
      </c>
      <c r="FI65" s="59">
        <f t="shared" si="23"/>
        <v>791.82371438087353</v>
      </c>
      <c r="FJ65" s="59">
        <f ca="1">AVERAGE(OFFSET($FI$3,0,0,'Données projet'!$E$16+1,1))-AVERAGE(OFFSET($H$3,0,0,'Données projet'!$E$16+1,1))</f>
        <v>383.97627237444709</v>
      </c>
      <c r="FK65" s="59">
        <f t="shared" si="48"/>
        <v>203.35476578922339</v>
      </c>
      <c r="FL65" s="15">
        <f>IF(ISNA(VLOOKUP(A65,'Données projet'!$A$217:$I$237,3,0)),0,VLOOKUP(A65,'Données projet'!$A$217:$I$237,3,0))</f>
        <v>0</v>
      </c>
      <c r="FM65" s="15">
        <f>IF(ISNA(VLOOKUP(A65,'Données projet'!$A$217:$I$237,4,0)),0,VLOOKUP(A65,'Données projet'!$A$217:$I$237,4,0))</f>
        <v>0</v>
      </c>
      <c r="FN65" s="16">
        <f>IF(ISNA(VLOOKUP(A65,'Données projet'!$A$217:$I$237,5,0)),0%,VLOOKUP(A65,'Données projet'!$A$217:$I$237,5,0)*VLOOKUP('Données projet'!$B$16,Paramètres!$A$1:$I$89,7,0))</f>
        <v>0</v>
      </c>
      <c r="FO65" s="16">
        <f>IF(ISNA(VLOOKUP(A65,'Données projet'!$A$217:$I$237,6,0)),0%,VLOOKUP(A65,'Données projet'!$A$217:$I$237,6,0)*VLOOKUP('Données projet'!$B$16,Paramètres!$A$1:$I$89,7,0))</f>
        <v>0</v>
      </c>
      <c r="FP65" s="16">
        <f>IF(ISNA(VLOOKUP(A65,'Données projet'!$A$217:$I$237,7,0)),0%,VLOOKUP(A65,'Données projet'!$A$217:$I$237,7,0))</f>
        <v>0</v>
      </c>
      <c r="FQ65" s="21">
        <f>EXP(-LN(2)/35)*FQ64+(1-EXP(-LN(2)/35))/(LN(2)/35)*FM65*FN65*VLOOKUP('Données projet'!$B$16,Paramètres!$A$1:$I$89,3,0)*0.475*44/12</f>
        <v>2.7340516115635816</v>
      </c>
      <c r="FR65" s="21">
        <f>EXP(-LN(2)/25)*FR64+(1-EXP(-LN(2)/25))/(LN(2)/25)*Calculateur!FM65*Calculateur!FO65*VLOOKUP('Données projet'!$B$16,Paramètres!$A$1:$I$89,3,0)*0.475*44/12</f>
        <v>2.4260340799412359</v>
      </c>
      <c r="FS65" s="21">
        <f>EXP(-LN(2)/2)*FS64+(1-EXP(-LN(2)/2))/(LN(2)/2)*FM65*FP65*VLOOKUP('Données projet'!$B$16,Paramètres!$A$1:$I$89,3,0)*0.475*44/12</f>
        <v>2.5400225115646197E-4</v>
      </c>
      <c r="FT65" s="22">
        <f t="shared" si="24"/>
        <v>5.160339693755974</v>
      </c>
      <c r="FU65" s="75">
        <f>('Scénario référence'!$F$8+'Scénario référence'!$F$9+'Scénario référence'!$B$17+'Scénario référence'!$B$9+'Scénario référence'!$B$10)*70+IF((45+25*(1-EXP(-0.0175*A65)))&lt;70,'Scénario référence'!$B$16*(45+25*(1-EXP(-0.0175*A65))),70*'Scénario référence'!$B$16)+IF((32+38*(1-EXP(-0.0175*A65)))&lt;70,'Scénario référence'!$B$18*(32+38*(1-EXP(-0.0175*A65))),70*'Scénario référence'!$B$18)</f>
        <v>70</v>
      </c>
      <c r="FV65" s="12">
        <f>IF(A65&gt;30,10,('Scénario référence'!$B$16+'Scénario référence'!$B$17+'Scénario référence'!$B$18+'Scénario référence'!$B$9+'Scénario référence'!$B$10)*A65*10/30+('Scénario référence'!$F$8+'Scénario référence'!$F$9)*10)</f>
        <v>10</v>
      </c>
      <c r="FW65" s="12" t="e">
        <f>VLOOKUP(A65,'Données projet'!$A$243:$I$263,2,0)</f>
        <v>#N/A</v>
      </c>
      <c r="FX65" s="12" t="e">
        <f>VLOOKUP(A65,'Données projet'!$A$243:$I$263,9,0)</f>
        <v>#N/A</v>
      </c>
      <c r="FY65" s="12">
        <f t="array" ref="FY65">INDEX(FX:FX,MIN(IF(ISNUMBER(FX65:FX261),ROW(FX65:FX261),"")))</f>
        <v>8.374198717948719</v>
      </c>
      <c r="FZ65" s="12">
        <f>IF('Données projet'!$A$244&gt;35,FZ64+FY65-GH64,IF(A65&lt;'Données projet'!$A$244,$FW$205^A65,IF(A65='Données projet'!$A$244,'Données projet'!$B$244,FZ64+FY65-GH64)))</f>
        <v>211.91426282051287</v>
      </c>
      <c r="GA65" s="17">
        <f>FZ65*VLOOKUP('Données projet'!$B$17,Paramètres!$A$1:$I$89,3,0)*VLOOKUP('Données projet'!$B$17,Paramètres!$A$1:$I$89,5,0)</f>
        <v>228.10451250000003</v>
      </c>
      <c r="GB65" s="13">
        <f t="shared" si="49"/>
        <v>55.872635631468107</v>
      </c>
      <c r="GC65" s="20">
        <f t="shared" si="25"/>
        <v>494.59353299564032</v>
      </c>
      <c r="GD65" s="59">
        <f t="shared" si="26"/>
        <v>787.92686632897357</v>
      </c>
      <c r="GE65" s="59">
        <f ca="1">AVERAGE(OFFSET($GD$3,0,0,'Données projet'!$E$17+1,1))-AVERAGE(OFFSET($H$3,0,0,'Données projet'!$E$17+1,1))</f>
        <v>286.77702855541287</v>
      </c>
      <c r="GF65" s="59">
        <f t="shared" si="50"/>
        <v>227.12211541860779</v>
      </c>
      <c r="GG65" s="15">
        <f>IF(ISNA(VLOOKUP(A65,'Données projet'!$A$243:$I$263,3,0)),0,VLOOKUP(A65,'Données projet'!$A$243:$I$263,3,0))</f>
        <v>0</v>
      </c>
      <c r="GH65" s="15">
        <f>IF(ISNA(VLOOKUP(A65,'Données projet'!$A$243:$I$263,4,0)),0,VLOOKUP(A65,'Données projet'!$A$243:$I$263,4,0))</f>
        <v>0</v>
      </c>
      <c r="GI65" s="16">
        <f>IF(ISNA(VLOOKUP(A65,'Données projet'!$A$243:$I$263,5,0)),0%,VLOOKUP(A65,'Données projet'!$A$243:$I$263,5,0)*VLOOKUP('Données projet'!$B$17,Paramètres!$A$1:$I$89,7,0))</f>
        <v>0</v>
      </c>
      <c r="GJ65" s="16">
        <f>IF(ISNA(VLOOKUP(A65,'Données projet'!$A$243:$I$263,6,0)),0%,VLOOKUP(A65,'Données projet'!$A$243:$I$263,6,0)*VLOOKUP('Données projet'!$B$17,Paramètres!$A$1:$I$89,7,0))</f>
        <v>0</v>
      </c>
      <c r="GK65" s="16">
        <f>IF(ISNA(VLOOKUP(A65,'Données projet'!$A$243:$I$263,7,0)),0%,VLOOKUP(A65,'Données projet'!$A$243:$I$263,7,0))</f>
        <v>0</v>
      </c>
      <c r="GL65" s="21">
        <f>EXP(-LN(2)/35)*GL64+(1-EXP(-LN(2)/35))/(LN(2)/35)*GH65*GI65*VLOOKUP('Données projet'!$B$17,Paramètres!$A$1:$I$89,3,0)*0.475*44/12</f>
        <v>0</v>
      </c>
      <c r="GM65" s="21">
        <f>EXP(-LN(2)/25)*GM64+(1-EXP(-LN(2)/25))/(LN(2)/25)*Calculateur!GH65*Calculateur!GJ65*VLOOKUP('Données projet'!$B$17,Paramètres!$A$1:$I$89,3,0)*0.475*44/12</f>
        <v>0</v>
      </c>
      <c r="GN65" s="21">
        <f>EXP(-LN(2)/2)*GN64+(1-EXP(-LN(2)/2))/(LN(2)/2)*GH65*GK65*VLOOKUP('Données projet'!$B$17,Paramètres!$A$1:$I$89,3,0)*0.475*44/12</f>
        <v>0</v>
      </c>
      <c r="GO65" s="21">
        <f t="shared" si="27"/>
        <v>0</v>
      </c>
      <c r="GP65" s="75">
        <f>('Scénario référence'!$F$8+'Scénario référence'!$F$9+'Scénario référence'!$B$17+'Scénario référence'!$B$9+'Scénario référence'!$B$10)*70+IF((45+25*(1-EXP(-0.0175*A65)))&lt;70,'Scénario référence'!$B$16*(45+25*(1-EXP(-0.0175*A65))),70*'Scénario référence'!$B$16)+IF((32+38*(1-EXP(-0.0175*A65)))&lt;70,'Scénario référence'!$B$18*(32+38*(1-EXP(-0.0175*A65))),70*'Scénario référence'!$B$18)</f>
        <v>70</v>
      </c>
      <c r="GQ65" s="12">
        <f>IF(A65&gt;30,10,('Scénario référence'!$B$16+'Scénario référence'!$B$17+'Scénario référence'!$B$18+'Scénario référence'!$B$9+'Scénario référence'!$B$10)*A65*10/30+('Scénario référence'!$F$8+'Scénario référence'!$F$9)*10)</f>
        <v>10</v>
      </c>
      <c r="GR65" s="12" t="e">
        <f>VLOOKUP(A65,'Données projet'!$A$269:$I$289,2,0)</f>
        <v>#N/A</v>
      </c>
      <c r="GS65" s="12" t="e">
        <f>VLOOKUP(A65,'Données projet'!$A$269:$I$289,9,0)</f>
        <v>#N/A</v>
      </c>
      <c r="GT65" s="12">
        <f t="array" ref="GT65">INDEX(GS:GS,MIN(IF(ISNUMBER(GS65:GS261),ROW(GS65:GS261),"")))</f>
        <v>8.374198717948719</v>
      </c>
      <c r="GU65" s="12">
        <f>IF('Données projet'!$A$270&gt;35,GU64+GT65-HC64,IF(A65&lt;'Données projet'!$A$270,$GR$205^A65,IF(A65='Données projet'!$A$270,'Données projet'!$B$270,GU64+GT65-HC64)))</f>
        <v>211.91426282051287</v>
      </c>
      <c r="GV65" s="17">
        <f>GU65*VLOOKUP('Données projet'!$B$18,Paramètres!$A$1:$I$89,3,0)*VLOOKUP('Données projet'!$B$18,Paramètres!$A$1:$I$89,5,0)</f>
        <v>228.10451250000003</v>
      </c>
      <c r="GW65" s="13">
        <f t="shared" si="51"/>
        <v>55.872635631468107</v>
      </c>
      <c r="GX65" s="20">
        <f t="shared" si="28"/>
        <v>494.59353299564032</v>
      </c>
      <c r="GY65" s="59">
        <f t="shared" si="29"/>
        <v>787.92686632897357</v>
      </c>
      <c r="GZ65" s="59">
        <f ca="1">AVERAGE(OFFSET($GY$3,0,0,'Données projet'!$E$18+1,1))-AVERAGE(OFFSET($H$3,0,0,'Données projet'!$E$18+1,1))</f>
        <v>286.77702855541287</v>
      </c>
      <c r="HA65" s="59">
        <f t="shared" si="52"/>
        <v>227.12211541860779</v>
      </c>
      <c r="HB65" s="15">
        <f>IF(ISNA(VLOOKUP(A65,'Données projet'!$A$269:$I$289,3,0)),0,VLOOKUP(A65,'Données projet'!$A$269:$I$289,3,0))</f>
        <v>0</v>
      </c>
      <c r="HC65" s="15">
        <f>IF(ISNA(VLOOKUP(A65,'Données projet'!$A$269:$I$289,4,0)),0,VLOOKUP(A65,'Données projet'!$A$269:$I$289,4,0))</f>
        <v>0</v>
      </c>
      <c r="HD65" s="16">
        <f>IF(ISNA(VLOOKUP(A65,'Données projet'!$A$269:$I$289,5,0)),0%,VLOOKUP(A65,'Données projet'!$A$269:$I$289,5,0)*VLOOKUP('Données projet'!$B$18,Paramètres!$A$1:$I$89,7,0))</f>
        <v>0</v>
      </c>
      <c r="HE65" s="16">
        <f>IF(ISNA(VLOOKUP(A65,'Données projet'!$A$269:$I$289,6,0)),0%,VLOOKUP(A65,'Données projet'!$A$269:$I$289,6,0)*VLOOKUP('Données projet'!$B$18,Paramètres!$A$1:$I$89,7,0))</f>
        <v>0</v>
      </c>
      <c r="HF65" s="16">
        <f>IF(ISNA(VLOOKUP(A65,'Données projet'!$A$269:$I$289,7,0)),0%,VLOOKUP(A65,'Données projet'!$A$269:$I$289,7,0))</f>
        <v>0</v>
      </c>
      <c r="HG65" s="21">
        <f>EXP(-LN(2)/35)*HG64+(1-EXP(-LN(2)/35))/(LN(2)/35)*HC65*HD65*VLOOKUP('Données projet'!$B$18,Paramètres!$A$1:$I$89,3,0)*0.475*44/12</f>
        <v>0</v>
      </c>
      <c r="HH65" s="21">
        <f>EXP(-LN(2)/25)*HH64+(1-EXP(-LN(2)/25))/(LN(2)/25)*Calculateur!HC65*Calculateur!HE65*VLOOKUP('Données projet'!$B$18,Paramètres!$A$1:$I$89,3,0)*0.475*44/12</f>
        <v>0</v>
      </c>
      <c r="HI65" s="21">
        <f>EXP(-LN(2)/2)*HI64+(1-EXP(-LN(2)/2))/(LN(2)/2)*HC65*HF65*VLOOKUP('Données projet'!$B$18,Paramètres!$A$1:$I$89,3,0)*0.475*44/12</f>
        <v>0</v>
      </c>
      <c r="HJ65" s="22">
        <f t="shared" si="30"/>
        <v>0</v>
      </c>
    </row>
    <row r="66" spans="1:218" x14ac:dyDescent="0.25">
      <c r="A66" s="10">
        <f t="shared" si="31"/>
        <v>63</v>
      </c>
      <c r="B66" s="73">
        <f>'Scénario référence'!$B$16*5+'Scénario référence'!$B$17*0+'Scénario référence'!$B$18*5</f>
        <v>0</v>
      </c>
      <c r="C66" s="19">
        <f>Calculateur!C65+'Scénario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56.019600000000054</v>
      </c>
      <c r="D66" s="11">
        <f t="shared" si="32"/>
        <v>16.157913987449295</v>
      </c>
      <c r="E6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66" s="11">
        <f>IF(OR('Scénario référence'!$F$8&gt;0,'Scénario référence'!$F$9&gt;0),('Scénario référence'!$F$8+'Scénario référence'!$F$9)*10,0)</f>
        <v>10</v>
      </c>
      <c r="G66" s="11">
        <f>'Scénario référence'!$B$8*B66*44/12+'Scénario référence'!$B$9*(C66+D66)/0.475*44/12+'Scénario référence'!$B$10*(C66+D66)/0.475*44/12+'Scénario référence'!$F$8*(C66+D66)/0.475*44/12+'Scénario référence'!$F$9*(C66+D66)/0.475*44/12</f>
        <v>557.15975709610018</v>
      </c>
      <c r="H66" s="67">
        <f t="shared" si="1"/>
        <v>419.04250352814091</v>
      </c>
      <c r="I66" s="70">
        <f>('Scénario référence'!$F$8+'Scénario référence'!$F$9+'Scénario référence'!$B$17+'Scénario référence'!$B$9+'Scénario référence'!$B$10)*70+IF((45+25*(1-EXP(-0.0175*A66)))&lt;70,'Scénario référence'!$B$16*(45+25*(1-EXP(-0.0175*A66))),70*'Scénario référence'!$B$16)+IF((32+38*(1-EXP(-0.0175*A66)))&lt;70,'Scénario référence'!$B$18*(32+38*(1-EXP(-0.0175*A66))),70*'Scénario référence'!$B$18)</f>
        <v>70</v>
      </c>
      <c r="J66" s="13">
        <f>IF(A66&gt;30,10,('Scénario référence'!$B$16+'Scénario référence'!$B$17+'Scénario référence'!$B$18+'Scénario référence'!$B$9+'Scénario référence'!$B$10)*A66*10/30+('Scénario référence'!$F$8+'Scénario référence'!$F$9)*10)</f>
        <v>10</v>
      </c>
      <c r="K66" s="12" t="e">
        <f>VLOOKUP(A66,'Données projet'!$A$35:$I$55,2,0)</f>
        <v>#N/A</v>
      </c>
      <c r="L66" s="12" t="e">
        <f>VLOOKUP(A66,'Données projet'!$A$35:$I$55,9,0)</f>
        <v>#N/A</v>
      </c>
      <c r="M66" s="12">
        <f t="array" ref="M66">INDEX(L:L,MIN(IF(ISNUMBER(L66:L262),ROW(L66:L262),"")))</f>
        <v>0</v>
      </c>
      <c r="N66" s="13">
        <f>IF('Données projet'!$A$36&gt;35,N65+M66-V65,IF(A66&lt;'Données projet'!$A$36,$K$205^A66,IF(A66='Données projet'!$A$36,'Données projet'!$B$36,N65+M66-V65)))</f>
        <v>-2.2737367544323206E-13</v>
      </c>
      <c r="O66" s="13">
        <f>N66*VLOOKUP('Données projet'!$B$9,Paramètres!$A$1:$I$89,3,0)*VLOOKUP('Données projet'!$B$9,Paramètres!$A$1:$I$89,5,0)</f>
        <v>-1.2710188457276673E-13</v>
      </c>
      <c r="P66" s="13" t="e">
        <f t="shared" si="33"/>
        <v>#NUM!</v>
      </c>
      <c r="Q66" s="20" t="e">
        <f t="shared" si="53"/>
        <v>#NUM!</v>
      </c>
      <c r="R66" s="59" t="e">
        <f t="shared" si="0"/>
        <v>#NUM!</v>
      </c>
      <c r="S66" s="59">
        <f ca="1">AVERAGE(OFFSET($R$3,0,0,'Données projet'!$E$9+1,1))-AVERAGE(OFFSET($H$3,0,0,'Données projet'!$E$9+1,1))</f>
        <v>255.5374979188561</v>
      </c>
      <c r="T66" s="59">
        <f t="shared" si="34"/>
        <v>343.10418468620901</v>
      </c>
      <c r="U66" s="15">
        <f>IF(ISNA(VLOOKUP(A66,'Données projet'!$A$35:$I$55,3,0)),0,VLOOKUP(A66,'Données projet'!$A$35:$I$55,3,0))</f>
        <v>0</v>
      </c>
      <c r="V66" s="15">
        <f>IF(ISNA(VLOOKUP(A66,'Données projet'!$A$35:$I$55,4,0)),0,VLOOKUP(A66,'Données projet'!$A$35:$I$55,4,0))</f>
        <v>0</v>
      </c>
      <c r="W66" s="16">
        <f>IF(ISNA(VLOOKUP(A66,'Données projet'!$A$35:$I$55,5,0)),0%,VLOOKUP(A66,'Données projet'!$A$35:$I$55,5,0)*VLOOKUP('Données projet'!$B$9,Paramètres!$A$1:$I$89,7,0))</f>
        <v>0</v>
      </c>
      <c r="X66" s="16">
        <f>IF(ISNA(VLOOKUP(A66,'Données projet'!$A$35:$I$55,6,0)),0%,VLOOKUP(A66,'Données projet'!$A$35:$I$55,6,0)*VLOOKUP('Données projet'!$B$9,Paramètres!$A$1:$I$89,7,0))</f>
        <v>0</v>
      </c>
      <c r="Y66" s="16">
        <f>IF(ISNA(VLOOKUP(A66,'Données projet'!$A$35:$I$55,7,0)),0%,VLOOKUP(A66,'Données projet'!$A$35:$I$55,7,0))</f>
        <v>0</v>
      </c>
      <c r="Z66" s="21">
        <f>EXP(-LN(2)/35)*Z65+(1-EXP(-LN(2)/35))/(LN(2)/35)*V66*W66*VLOOKUP('Données projet'!$B$9,Paramètres!$A$1:$I$89,3,0)*0.475*44/12</f>
        <v>1.6074443210223974</v>
      </c>
      <c r="AA66" s="21">
        <f>EXP(-LN(2)/25)*AA65+(1-EXP(-LN(2)/25))/(LN(2)/25)*Calculateur!V66*Calculateur!X66*VLOOKUP('Données projet'!$B$9,Paramètres!$A$1:$I$89,3,0)*0.475*44/12</f>
        <v>6.3926414138912229</v>
      </c>
      <c r="AB66" s="21">
        <f>EXP(-LN(2)/2)*AB65+(1-EXP(-LN(2)/2))/(LN(2)/2)*V66*Y66*VLOOKUP('Données projet'!$B$9,Paramètres!$A$1:$I$89,3,0)*0.475*44/12</f>
        <v>1.8263027398246474E-5</v>
      </c>
      <c r="AC66" s="22">
        <f t="shared" si="3"/>
        <v>8.000103997941018</v>
      </c>
      <c r="AD66" s="13">
        <f>('Scénario référence'!$F$8+'Scénario référence'!$F$9+'Scénario référence'!$B$17+'Scénario référence'!$B$9+'Scénario référence'!$B$10)*70+IF((45+25*(1-EXP(-0.0175*A66)))&lt;70,'Scénario référence'!$B$16*(45+25*(1-EXP(-0.0175*A66))),70*'Scénario référence'!$B$16)+IF((32+38*(1-EXP(-0.0175*A66)))&lt;70,'Scénario référence'!$B$18*(32+38*(1-EXP(-0.0175*A66))),70*'Scénario référence'!$B$18)</f>
        <v>70</v>
      </c>
      <c r="AE66" s="13">
        <f>IF(A66&gt;30,10,('Scénario référence'!$B$16+'Scénario référence'!$B$17+'Scénario référence'!$B$18+'Scénario référence'!$B$9+'Scénario référence'!$B$10)*A66*10/30+('Scénario référence'!$F$8+'Scénario référence'!$F$9)*10)</f>
        <v>10</v>
      </c>
      <c r="AF66" s="12" t="e">
        <f>VLOOKUP(A66,'Données projet'!$A$61:$I$81,2,0)</f>
        <v>#N/A</v>
      </c>
      <c r="AG66" s="12" t="e">
        <f>VLOOKUP(A66,'Données projet'!$A$61:$I$81,9,0)</f>
        <v>#N/A</v>
      </c>
      <c r="AH66" s="12">
        <f t="array" ref="AH66">INDEX(AG:AG,MIN(IF(ISNUMBER(AG66:AG262),ROW(AG66:AG262),"")))</f>
        <v>7.8</v>
      </c>
      <c r="AI66" s="13">
        <f>IF('Données projet'!$A$62&gt;35,AI65+AH66-AQ65,IF(A66&lt;'Données projet'!$A$62,$AF$205^A66,IF(A66='Données projet'!$A$62,'Données projet'!$B$62,AI65+AH66-AQ65)))</f>
        <v>372.39999999999992</v>
      </c>
      <c r="AJ66" s="13">
        <f>AI66*VLOOKUP('Données projet'!$B$10,Paramètres!$A$1:$I$89,3,0)*VLOOKUP('Données projet'!$B$10,Paramètres!$A$1:$I$89,5,0)</f>
        <v>232.37759999999994</v>
      </c>
      <c r="AK66" s="13">
        <f t="shared" si="35"/>
        <v>56.79646612603225</v>
      </c>
      <c r="AL66" s="20">
        <f t="shared" si="4"/>
        <v>503.64483183617267</v>
      </c>
      <c r="AM66" s="59">
        <f t="shared" si="5"/>
        <v>796.97816516950593</v>
      </c>
      <c r="AN66" s="59">
        <f ca="1">AVERAGE(OFFSET($AM$3,0,0,'Données projet'!$E$10+1,1))-AVERAGE(OFFSET($H$3,0,0,'Données projet'!$E$10+1,1))</f>
        <v>261.78489480911571</v>
      </c>
      <c r="AO66" s="59">
        <f t="shared" si="36"/>
        <v>297.50513563712764</v>
      </c>
      <c r="AP66" s="15">
        <f>IF(ISNA(VLOOKUP(A66,'Données projet'!$A$61:$I$81,3,0)),0,VLOOKUP(A66,'Données projet'!$A$61:$I$81,3,0))</f>
        <v>0</v>
      </c>
      <c r="AQ66" s="15">
        <f>IF(ISNA(VLOOKUP(A66,'Données projet'!$A$61:$I$81,4,0)),0,VLOOKUP(A66,'Données projet'!$A$61:$I$81,4,0))</f>
        <v>0</v>
      </c>
      <c r="AR66" s="16">
        <f>IF(ISNA(VLOOKUP(A66,'Données projet'!$A$61:$I$81,5,0)),0%,VLOOKUP(A66,'Données projet'!$A$61:$I$81,5,0)*VLOOKUP('Données projet'!$B$10,Paramètres!$A$1:$I$89,7,0))</f>
        <v>0</v>
      </c>
      <c r="AS66" s="16">
        <f>IF(ISNA(VLOOKUP(A66,'Données projet'!$A$61:$I$81,6,0)),0%,VLOOKUP(A66,'Données projet'!$A$61:$I$81,6,0)*VLOOKUP('Données projet'!$B$10,Paramètres!$A$1:$I$89,7,0))</f>
        <v>0</v>
      </c>
      <c r="AT66" s="16">
        <f>IF(ISNA(VLOOKUP(A66,'Données projet'!$A$61:$I$81,7,0)),0%,VLOOKUP(A66,'Données projet'!$A$61:$I$81,7,0))</f>
        <v>0</v>
      </c>
      <c r="AU66" s="21">
        <f>EXP(-LN(2)/35)*AU65+(1-EXP(-LN(2)/35))/(LN(2)/35)*AQ66*AR66*VLOOKUP('Données projet'!$B$10,Paramètres!$A$1:$I$89,3,0)*0.475*44/12</f>
        <v>4.3405543302059364</v>
      </c>
      <c r="AV66" s="21">
        <f>EXP(-LN(2)/25)*AV65+(1-EXP(-LN(2)/25))/(LN(2)/25)*Calculateur!AQ66*Calculateur!AS66*VLOOKUP('Données projet'!$B$10,Paramètres!$A$1:$I$89,3,0)*0.475*44/12</f>
        <v>11.162855757388023</v>
      </c>
      <c r="AW66" s="21">
        <f>EXP(-LN(2)/2)*AW65+(1-EXP(-LN(2)/2))/(LN(2)/2)*AQ66*AT66*VLOOKUP('Données projet'!$B$10,Paramètres!$A$1:$I$89,3,0)*0.475*44/12</f>
        <v>2.6327892642119554E-4</v>
      </c>
      <c r="AX66" s="21">
        <f t="shared" si="6"/>
        <v>15.503673366520381</v>
      </c>
      <c r="AY66" s="74">
        <f>('Scénario référence'!$F$8+'Scénario référence'!$F$9+'Scénario référence'!$B$17+'Scénario référence'!$B$9+'Scénario référence'!$B$10)*70+IF((45+25*(1-EXP(-0.0175*A66)))&lt;70,'Scénario référence'!$B$16*(45+25*(1-EXP(-0.0175*A66))),70*'Scénario référence'!$B$16)+IF((32+38*(1-EXP(-0.0175*A66)))&lt;70,'Scénario référence'!$B$18*(32+38*(1-EXP(-0.0175*A66))),70*'Scénario référence'!$B$18)</f>
        <v>70</v>
      </c>
      <c r="AZ66" s="12">
        <f>IF(A66&gt;30,10,('Scénario référence'!$B$16+'Scénario référence'!$B$17+'Scénario référence'!$B$18+'Scénario référence'!$B$9+'Scénario référence'!$B$10)*A66*10/30+('Scénario référence'!$F$8+'Scénario référence'!$F$9)*10)</f>
        <v>10</v>
      </c>
      <c r="BA66" s="12" t="e">
        <f>VLOOKUP(A66,'Données projet'!$A$87:$I$107,2,0)</f>
        <v>#N/A</v>
      </c>
      <c r="BB66" s="12" t="e">
        <f>VLOOKUP(A66,'Données projet'!$A$87:$I$107,9,0)</f>
        <v>#N/A</v>
      </c>
      <c r="BC66" s="12">
        <f t="array" ref="BC66">INDEX(BB:BB,MIN(IF(ISNUMBER(BB66:BB262),ROW(BB66:BB262),"")))</f>
        <v>16.399999999999999</v>
      </c>
      <c r="BD66" s="12">
        <f>IF('Données projet'!$A$88&gt;35,BD65+BC66-BL65,IF(A66&lt;'Données projet'!$A$88,$BA$205^A66,IF(A66='Données projet'!$A$88,'Données projet'!$B$88,BD65+BC66-BL65)))</f>
        <v>449.1999999999997</v>
      </c>
      <c r="BE66" s="13">
        <f>BD66*VLOOKUP('Données projet'!$B$11,Paramètres!$A$1:$I$89,3,0)*VLOOKUP('Données projet'!$B$11,Paramètres!$A$1:$I$89,5,0)</f>
        <v>268.62159999999983</v>
      </c>
      <c r="BF66" s="13">
        <f t="shared" si="37"/>
        <v>64.556650936372577</v>
      </c>
      <c r="BG66" s="20">
        <f t="shared" si="7"/>
        <v>580.28545371418193</v>
      </c>
      <c r="BH66" s="59">
        <f t="shared" si="8"/>
        <v>873.6187870475153</v>
      </c>
      <c r="BI66" s="59">
        <f ca="1">AVERAGE(OFFSET($BH$3,0,0,'Données projet'!$E$11+1,1))-AVERAGE(OFFSET($H$3,0,0,'Données projet'!$E$11+1,1))</f>
        <v>316.58509520829671</v>
      </c>
      <c r="BJ66" s="59">
        <f t="shared" si="38"/>
        <v>240.71332110643596</v>
      </c>
      <c r="BK66" s="15">
        <f>IF(ISNA(VLOOKUP(A66,'Données projet'!$A$87:$I$107,3,0)),0,VLOOKUP(A66,'Données projet'!$A$87:$I$107,3,0))</f>
        <v>0</v>
      </c>
      <c r="BL66" s="15">
        <f>IF(ISNA(VLOOKUP(A66,'Données projet'!$A$87:$I$107,4,0)),0,VLOOKUP(A66,'Données projet'!$A$87:$I$107,4,0))</f>
        <v>0</v>
      </c>
      <c r="BM66" s="16">
        <f>IF(ISNA(VLOOKUP(A66,'Données projet'!$A$87:$I$107,5,0)),0%,VLOOKUP(A66,'Données projet'!$A$87:$I$107,5,0)*VLOOKUP('Données projet'!$B$11,Paramètres!$A$1:$I$89,7,0))</f>
        <v>0</v>
      </c>
      <c r="BN66" s="16">
        <f>IF(ISNA(VLOOKUP(A66,'Données projet'!$A$87:$I$107,6,0)),0%,VLOOKUP(A66,'Données projet'!$A$87:$I$107,6,0)*VLOOKUP('Données projet'!$B$11,Paramètres!$A$1:$I$89,7,0))</f>
        <v>0</v>
      </c>
      <c r="BO66" s="16">
        <f>IF(ISNA(VLOOKUP(A66,'Données projet'!$A$87:$I$107,7,0)),0%,VLOOKUP(A66,'Données projet'!$A$87:$I$107,7,0))</f>
        <v>0</v>
      </c>
      <c r="BP66" s="21">
        <f>EXP(-LN(2)/35)*BP65+(1-EXP(-LN(2)/35))/(LN(2)/35)*BL66*BM66*VLOOKUP('Données projet'!$B$11,Paramètres!$A$1:$I$89,3,0)*0.475*44/12</f>
        <v>1.3184756735912002</v>
      </c>
      <c r="BQ66" s="21">
        <f>EXP(-LN(2)/25)*BQ65+(1-EXP(-LN(2)/25))/(LN(2)/25)*Calculateur!BL66*Calculateur!BN66*VLOOKUP('Données projet'!$B$11,Paramètres!$A$1:$I$89,3,0)*0.475*44/12</f>
        <v>6.1153380945573934</v>
      </c>
      <c r="BR66" s="21">
        <f>EXP(-LN(2)/2)*BR65+(1-EXP(-LN(2)/2))/(LN(2)/2)*BL66*BO66*VLOOKUP('Données projet'!$B$11,Paramètres!$A$1:$I$89,3,0)*0.475*44/12</f>
        <v>2.3671658721427426E-4</v>
      </c>
      <c r="BS66" s="22">
        <f t="shared" si="9"/>
        <v>7.434050484735808</v>
      </c>
      <c r="BT66" s="75">
        <f>('Scénario référence'!$F$8+'Scénario référence'!$F$9+'Scénario référence'!$B$17+'Scénario référence'!$B$9+'Scénario référence'!$B$10)*70+IF((45+25*(1-EXP(-0.0175*A66)))&lt;70,'Scénario référence'!$B$16*(45+25*(1-EXP(-0.0175*A66))),70*'Scénario référence'!$B$16)+IF((32+38*(1-EXP(-0.0175*A66)))&lt;70,'Scénario référence'!$B$18*(32+38*(1-EXP(-0.0175*A66))),70*'Scénario référence'!$B$18)</f>
        <v>70</v>
      </c>
      <c r="BU66" s="12">
        <f>IF(A66&gt;30,10,('Scénario référence'!$B$16+'Scénario référence'!$B$17+'Scénario référence'!$B$18+'Scénario référence'!$B$9+'Scénario référence'!$B$10)*A66*10/30+('Scénario référence'!$F$8+'Scénario référence'!$F$9)*10)</f>
        <v>10</v>
      </c>
      <c r="BV66" s="12" t="e">
        <f>VLOOKUP(A66,'Données projet'!$A$113:$I$133,2,0)</f>
        <v>#N/A</v>
      </c>
      <c r="BW66" s="12" t="e">
        <f>VLOOKUP(A66,'Données projet'!$A$113:$I$133,9,0)</f>
        <v>#N/A</v>
      </c>
      <c r="BX66" s="12">
        <f t="array" ref="BX66">INDEX(BW:BW,MIN(IF(ISNUMBER(BW66:BW262),ROW(BW66:BW262),"")))</f>
        <v>7.3</v>
      </c>
      <c r="BY66" s="12">
        <f>IF('Données projet'!$A$114&gt;35,BY65+BX66-CG65,IF(A66&lt;'Données projet'!$A$114,$BV$205^A66,IF(A66='Données projet'!$A$114,'Données projet'!$B$114,BY65+BX66-CG65)))</f>
        <v>298.89999999999981</v>
      </c>
      <c r="BZ66" s="13">
        <f>BY66*VLOOKUP('Données projet'!$B$12,Paramètres!$A$1:$I$89,3,0)*VLOOKUP('Données projet'!$B$12,Paramètres!$A$1:$I$89,5,0)</f>
        <v>170.97079999999988</v>
      </c>
      <c r="CA66" s="13">
        <f t="shared" si="39"/>
        <v>43.307378380938161</v>
      </c>
      <c r="CB66" s="20">
        <f t="shared" si="10"/>
        <v>373.2011606801338</v>
      </c>
      <c r="CC66" s="59">
        <f t="shared" si="11"/>
        <v>666.53449401346711</v>
      </c>
      <c r="CD66" s="59">
        <f ca="1">AVERAGE(OFFSET($CC$3,0,0,'Données projet'!$E$12+1,1))-AVERAGE(OFFSET($H$3,0,0,'Données projet'!$E$12+1,1))</f>
        <v>188.64374818906128</v>
      </c>
      <c r="CE66" s="59">
        <f t="shared" si="40"/>
        <v>211.95157880548652</v>
      </c>
      <c r="CF66" s="15">
        <f>IF(ISNA(VLOOKUP(A66,'Données projet'!$A$113:$I$133,3,0)),0,VLOOKUP(A66,'Données projet'!$A$113:$I$133,3,0))</f>
        <v>0</v>
      </c>
      <c r="CG66" s="15">
        <f>IF(ISNA(VLOOKUP(A66,'Données projet'!$A$113:$I$133,4,0)),0,VLOOKUP(A66,'Données projet'!$A$113:$I$133,4,0))</f>
        <v>0</v>
      </c>
      <c r="CH66" s="16">
        <f>IF(ISNA(VLOOKUP(A66,'Données projet'!$A$113:$I$133,5,0)),0%,VLOOKUP(A66,'Données projet'!$A$113:$I$133,5,0)*VLOOKUP('Données projet'!$B$12,Paramètres!$A$1:$I$89,7,0))</f>
        <v>0</v>
      </c>
      <c r="CI66" s="16">
        <f>IF(ISNA(VLOOKUP(A66,'Données projet'!$A$113:$I$133,6,0)),0%,VLOOKUP(A66,'Données projet'!$A$113:$I$133,6,0)*VLOOKUP('Données projet'!$B$12,Paramètres!$A$1:$I$89,7,0))</f>
        <v>0</v>
      </c>
      <c r="CJ66" s="16">
        <f>IF(ISNA(VLOOKUP(A66,'Données projet'!$A$113:$I$133,7,0)),0%,VLOOKUP(A66,'Données projet'!$A$113:$I$133,7,0))</f>
        <v>0</v>
      </c>
      <c r="CK66" s="21">
        <f>EXP(-LN(2)/35)*CK65+(1-EXP(-LN(2)/35))/(LN(2)/35)*CG66*CH66*VLOOKUP('Données projet'!$B$12,Paramètres!$A$1:$I$89,3,0)*0.475*44/12</f>
        <v>1.2789133294356776</v>
      </c>
      <c r="CL66" s="21">
        <f>EXP(-LN(2)/25)*CL65+(1-EXP(-LN(2)/25))/(LN(2)/25)*Calculateur!CG66*Calculateur!CI66*VLOOKUP('Données projet'!$B$12,Paramètres!$A$1:$I$89,3,0)*0.475*44/12</f>
        <v>5.7558946766315406</v>
      </c>
      <c r="CM66" s="21">
        <f>EXP(-LN(2)/2)*CM65+(1-EXP(-LN(2)/2))/(LN(2)/2)*CG66*CJ66*VLOOKUP('Données projet'!$B$12,Paramètres!$A$1:$I$89,3,0)*0.475*44/12</f>
        <v>2.2924149373617815E-4</v>
      </c>
      <c r="CN66" s="22">
        <f t="shared" si="12"/>
        <v>7.0350372475609539</v>
      </c>
      <c r="CO66" s="75">
        <f>('Scénario référence'!$F$8+'Scénario référence'!$F$9+'Scénario référence'!$B$17+'Scénario référence'!$B$9+'Scénario référence'!$B$10)*70+IF((45+25*(1-EXP(-0.0175*A66)))&lt;70,'Scénario référence'!$B$16*(45+25*(1-EXP(-0.0175*A66))),70*'Scénario référence'!$B$16)+IF((32+38*(1-EXP(-0.0175*A66)))&lt;70,'Scénario référence'!$B$18*(32+38*(1-EXP(-0.0175*A66))),70*'Scénario référence'!$B$18)</f>
        <v>70</v>
      </c>
      <c r="CP66" s="12">
        <f>IF(A66&gt;30,10,('Scénario référence'!$B$16+'Scénario référence'!$B$17+'Scénario référence'!$B$18+'Scénario référence'!$B$9+'Scénario référence'!$B$10)*A66*10/30+('Scénario référence'!$F$8+'Scénario référence'!$F$9)*10)</f>
        <v>10</v>
      </c>
      <c r="CQ66" s="12" t="e">
        <f>VLOOKUP(A66,'Données projet'!$A$139:$I$159,2,0)</f>
        <v>#N/A</v>
      </c>
      <c r="CR66" s="12" t="e">
        <f>VLOOKUP(A66,'Données projet'!$A$139:$I$159,9,0)</f>
        <v>#N/A</v>
      </c>
      <c r="CS66" s="12">
        <f t="array" ref="CS66">INDEX(CR:CR,MIN(IF(ISNUMBER(CR66:CR262),ROW(CR66:CR262),"")))</f>
        <v>0</v>
      </c>
      <c r="CT66" s="12">
        <f>IF('Données projet'!$A$140&gt;35,CT65+CS66-DB65,IF(A66&lt;'Données projet'!$A$140,$CQ$205^A66,IF(A66='Données projet'!$A$140,'Données projet'!$B$140,CT65+CS66-DB65)))</f>
        <v>0</v>
      </c>
      <c r="CU66" s="17" t="e">
        <f>CT66*VLOOKUP('Données projet'!$B$13,Paramètres!$A$1:$I$89,3,0)*VLOOKUP('Données projet'!$B$13,Paramètres!$A$1:$I$89,5,0)</f>
        <v>#N/A</v>
      </c>
      <c r="CV66" s="13" t="e">
        <f t="shared" si="41"/>
        <v>#N/A</v>
      </c>
      <c r="CW66" s="20" t="e">
        <f t="shared" si="13"/>
        <v>#N/A</v>
      </c>
      <c r="CX66" s="59" t="e">
        <f t="shared" si="14"/>
        <v>#N/A</v>
      </c>
      <c r="CY66" s="59" t="e">
        <f ca="1">AVERAGE(OFFSET($CX$3,0,0,'Données projet'!$E$13+1,1))-AVERAGE(OFFSET($H$3,0,0,'Données projet'!$E$13+1,1))</f>
        <v>#N/A</v>
      </c>
      <c r="CZ66" s="59" t="e">
        <f t="shared" si="42"/>
        <v>#N/A</v>
      </c>
      <c r="DA66" s="15">
        <f>IF(ISNA(VLOOKUP(A66,'Données projet'!$A$139:$I$159,3,0)),0,VLOOKUP(A66,'Données projet'!$A$139:$I$159,3,0))</f>
        <v>0</v>
      </c>
      <c r="DB66" s="15">
        <f>IF(ISNA(VLOOKUP(A66,'Données projet'!$A$139:$I$159,4,0)),0,VLOOKUP(A66,'Données projet'!$A$139:$I$159,4,0))</f>
        <v>0</v>
      </c>
      <c r="DC66" s="16">
        <f>IF(ISNA(VLOOKUP(A66,'Données projet'!$A$139:$I$159,5,0)),0%,VLOOKUP(A66,'Données projet'!$A$139:$I$159,5,0)*VLOOKUP('Données projet'!$B$13,Paramètres!$A$1:$I$89,7,0))</f>
        <v>0</v>
      </c>
      <c r="DD66" s="16">
        <f>IF(ISNA(VLOOKUP(A66,'Données projet'!$A$139:$I$159,6,0)),0%,VLOOKUP(A66,'Données projet'!$A$139:$I$159,6,0)*VLOOKUP('Données projet'!$B$13,Paramètres!$A$1:$I$89,7,0))</f>
        <v>0</v>
      </c>
      <c r="DE66" s="16">
        <f>IF(ISNA(VLOOKUP(A66,'Données projet'!$A$139:$I$159,7,0)),0%,VLOOKUP(A66,'Données projet'!$A$139:$I$159,7,0))</f>
        <v>0</v>
      </c>
      <c r="DF66" s="21" t="e">
        <f>EXP(-LN(2)/35)*DF65+(1-EXP(-LN(2)/35))/(LN(2)/35)*DB66*DC66*VLOOKUP('Données projet'!$B$13,Paramètres!$A$1:$I$89,3,0)*0.475*44/12</f>
        <v>#N/A</v>
      </c>
      <c r="DG66" s="21" t="e">
        <f>EXP(-LN(2)/25)*DG65+(1-EXP(-LN(2)/25))/(LN(2)/25)*Calculateur!DB66*Calculateur!DD66*VLOOKUP('Données projet'!$B$13,Paramètres!$A$1:$I$89,3,0)*0.475*44/12</f>
        <v>#N/A</v>
      </c>
      <c r="DH66" s="21" t="e">
        <f>EXP(-LN(2)/2)*DH65+(1-EXP(-LN(2)/2))/(LN(2)/2)*DB66*DE66*VLOOKUP('Données projet'!$B$13,Paramètres!$A$1:$I$89,3,0)*0.475*44/12</f>
        <v>#N/A</v>
      </c>
      <c r="DI66" s="22" t="e">
        <f t="shared" si="15"/>
        <v>#N/A</v>
      </c>
      <c r="DJ66" s="75">
        <f>('Scénario référence'!$F$8+'Scénario référence'!$F$9+'Scénario référence'!$B$17+'Scénario référence'!$B$9+'Scénario référence'!$B$10)*70+IF((45+25*(1-EXP(-0.0175*A66)))&lt;70,'Scénario référence'!$B$16*(45+25*(1-EXP(-0.0175*A66))),70*'Scénario référence'!$B$16)+IF((32+38*(1-EXP(-0.0175*A66)))&lt;70,'Scénario référence'!$B$18*(32+38*(1-EXP(-0.0175*A66))),70*'Scénario référence'!$B$18)</f>
        <v>70</v>
      </c>
      <c r="DK66" s="12">
        <f>IF(A66&gt;30,10,('Scénario référence'!$B$16+'Scénario référence'!$B$17+'Scénario référence'!$B$18+'Scénario référence'!$B$9+'Scénario référence'!$B$10)*A66*10/30+('Scénario référence'!$F$8+'Scénario référence'!$F$9)*10)</f>
        <v>10</v>
      </c>
      <c r="DL66" s="12" t="e">
        <f>VLOOKUP(A66,'Données projet'!$A$165:$I$185,2,0)</f>
        <v>#N/A</v>
      </c>
      <c r="DM66" s="12" t="e">
        <f>VLOOKUP(A66,'Données projet'!$A$165:$I$185,9,0)</f>
        <v>#N/A</v>
      </c>
      <c r="DN66" s="12">
        <f t="array" ref="DN66">INDEX(DM:DM,MIN(IF(ISNUMBER(DM66:DM262),ROW(DM66:DM262),"")))</f>
        <v>5.6</v>
      </c>
      <c r="DO66" s="12">
        <f>IF('Données projet'!$A$166&gt;35,DO65+DN66-DW65,IF(A66&lt;'Données projet'!$A$166,$DL$205^A66,IF(A66='Données projet'!$A$166,'Données projet'!$B$166,DO65+DN66-DW65)))</f>
        <v>252.80000000000013</v>
      </c>
      <c r="DP66" s="17">
        <f>DO66*VLOOKUP('Données projet'!$B$14,Paramètres!$A$1:$I$89,3,0)*VLOOKUP('Données projet'!$B$14,Paramètres!$A$1:$I$89,5,0)</f>
        <v>165.63456000000008</v>
      </c>
      <c r="DQ66" s="13">
        <f t="shared" si="43"/>
        <v>42.110834874947706</v>
      </c>
      <c r="DR66" s="20">
        <f t="shared" si="16"/>
        <v>361.8232294072007</v>
      </c>
      <c r="DS66" s="59">
        <f t="shared" si="17"/>
        <v>655.15656274053401</v>
      </c>
      <c r="DT66" s="59">
        <f ca="1">AVERAGE(OFFSET($DS$3,0,0,'Données projet'!$E$14+1,1))-AVERAGE(OFFSET($H$3,0,0,'Données projet'!$E$14+1,1))</f>
        <v>188.68915783955595</v>
      </c>
      <c r="DU66" s="59">
        <f t="shared" si="44"/>
        <v>240.82467772396944</v>
      </c>
      <c r="DV66" s="15">
        <f>IF(ISNA(VLOOKUP(A66,'Données projet'!$A$165:$I$185,3,0)),0,VLOOKUP(A66,'Données projet'!$A$165:$I$185,3,0))</f>
        <v>0</v>
      </c>
      <c r="DW66" s="15">
        <f>IF(ISNA(VLOOKUP(A66,'Données projet'!$A$165:$I$185,4,0)),0,VLOOKUP(A66,'Données projet'!$A$165:$I$185,4,0))</f>
        <v>0</v>
      </c>
      <c r="DX66" s="16">
        <f>IF(ISNA(VLOOKUP(A66,'Données projet'!$A$165:$I$185,5,0)),0%,VLOOKUP(A66,'Données projet'!$A$165:$I$185,5,0)*VLOOKUP('Données projet'!$B$14,Paramètres!$A$1:$I$89,7,0))</f>
        <v>0</v>
      </c>
      <c r="DY66" s="16">
        <f>IF(ISNA(VLOOKUP(A66,'Données projet'!$A$165:$I$185,6,0)),0%,VLOOKUP(A66,'Données projet'!$A$165:$I$185,6,0)*VLOOKUP('Données projet'!$B$14,Paramètres!$A$1:$I$89,7,0))</f>
        <v>0</v>
      </c>
      <c r="DZ66" s="16">
        <f>IF(ISNA(VLOOKUP(A66,'Données projet'!$A$165:$I$185,7,0)),0%,VLOOKUP(A66,'Données projet'!$A$165:$I$185,7,0))</f>
        <v>0</v>
      </c>
      <c r="EA66" s="21">
        <f>EXP(-LN(2)/35)*EA65+(1-EXP(-LN(2)/35))/(LN(2)/35)*DW66*DX66*VLOOKUP('Données projet'!$B$14,Paramètres!$A$1:$I$89,3,0)*0.475*44/12</f>
        <v>0.810086094613087</v>
      </c>
      <c r="EB66" s="21">
        <f>EXP(-LN(2)/25)*EB65+(1-EXP(-LN(2)/25))/(LN(2)/25)*Calculateur!DW66*Calculateur!DY66*VLOOKUP('Données projet'!$B$14,Paramètres!$A$1:$I$89,3,0)*0.475*44/12</f>
        <v>3.2195115507779515</v>
      </c>
      <c r="EC66" s="21">
        <f>EXP(-LN(2)/2)*EC65+(1-EXP(-LN(2)/2))/(LN(2)/2)*DW66*DZ66*VLOOKUP('Données projet'!$B$14,Paramètres!$A$1:$I$89,3,0)*0.475*44/12</f>
        <v>1.510155486953824E-4</v>
      </c>
      <c r="ED66" s="22">
        <f t="shared" si="18"/>
        <v>4.0297486609397337</v>
      </c>
      <c r="EE66" s="75">
        <f>('Scénario référence'!$F$8+'Scénario référence'!$F$9+'Scénario référence'!$B$17+'Scénario référence'!$B$9+'Scénario référence'!$B$10)*70+IF((45+25*(1-EXP(-0.0175*A66)))&lt;70,'Scénario référence'!$B$16*(45+25*(1-EXP(-0.0175*A66))),70*'Scénario référence'!$B$16)+IF((32+38*(1-EXP(-0.0175*A66)))&lt;70,'Scénario référence'!$B$18*(32+38*(1-EXP(-0.0175*A66))),70*'Scénario référence'!$B$18)</f>
        <v>70</v>
      </c>
      <c r="EF66" s="12">
        <f>IF(A66&gt;30,10,('Scénario référence'!$B$16+'Scénario référence'!$B$17+'Scénario référence'!$B$18+'Scénario référence'!$B$9+'Scénario référence'!$B$10)*A66*10/30+('Scénario référence'!$F$8+'Scénario référence'!$F$9)*10)</f>
        <v>10</v>
      </c>
      <c r="EG66" s="12" t="e">
        <f>VLOOKUP(A66,'Données projet'!$A$191:$I$211,2,0)</f>
        <v>#N/A</v>
      </c>
      <c r="EH66" s="12" t="e">
        <f>VLOOKUP(A66,'Données projet'!$A$191:$I$211,9,0)</f>
        <v>#N/A</v>
      </c>
      <c r="EI66" s="12">
        <f t="array" ref="EI66">INDEX(EH:EH,MIN(IF(ISNUMBER(EH66:EH262),ROW(EH66:EH262),"")))</f>
        <v>5.9</v>
      </c>
      <c r="EJ66" s="12">
        <f>IF('Données projet'!$A$192&gt;35,EJ65+EI66-ER65,IF(A66&lt;'Données projet'!$A$192,$EG$205^A66,IF(A66='Données projet'!$A$192,'Données projet'!$B$192,EJ65+EI66-ER65)))</f>
        <v>233.7</v>
      </c>
      <c r="EK66" s="17">
        <f>EJ66*VLOOKUP('Données projet'!$B$15,Paramètres!$A$1:$I$89,3,0)*VLOOKUP('Données projet'!$B$15,Paramètres!$A$1:$I$89,5,0)</f>
        <v>189.57744</v>
      </c>
      <c r="EL66" s="13">
        <f t="shared" si="45"/>
        <v>47.446518732558857</v>
      </c>
      <c r="EM66" s="20">
        <f t="shared" si="19"/>
        <v>412.81672812587334</v>
      </c>
      <c r="EN66" s="59">
        <f t="shared" si="20"/>
        <v>706.15006145920665</v>
      </c>
      <c r="EO66" s="59">
        <f ca="1">AVERAGE(OFFSET($EN$3,0,0,'Données projet'!$E$15+1,1))-AVERAGE(OFFSET($H$3,0,0,'Données projet'!$E$15+1,1))</f>
        <v>205.5272583787887</v>
      </c>
      <c r="EP66" s="59">
        <f t="shared" si="46"/>
        <v>180.54762778843178</v>
      </c>
      <c r="EQ66" s="15">
        <f>IF(ISNA(VLOOKUP(A66,'Données projet'!$A$191:$I$211,3,0)),0,VLOOKUP(A66,'Données projet'!$A$191:$I$211,3,0))</f>
        <v>0</v>
      </c>
      <c r="ER66" s="15">
        <f>IF(ISNA(VLOOKUP(A66,'Données projet'!$A$191:$I$211,4,0)),0,VLOOKUP(A66,'Données projet'!$A$191:$I$211,4,0))</f>
        <v>0</v>
      </c>
      <c r="ES66" s="16">
        <f>IF(ISNA(VLOOKUP(A66,'Données projet'!$A$191:$I$211,5,0)),0%,VLOOKUP(A66,'Données projet'!$A$191:$I$211,5,0)*VLOOKUP('Données projet'!$B$15,Paramètres!$A$1:$I$89,7,0))</f>
        <v>0</v>
      </c>
      <c r="ET66" s="16">
        <f>IF(ISNA(VLOOKUP(A66,'Données projet'!$A$191:$I$211,6,0)),0%,VLOOKUP(A66,'Données projet'!$A$191:$I$211,6,0)*VLOOKUP('Données projet'!$B$15,Paramètres!$A$1:$I$89,7,0))</f>
        <v>0</v>
      </c>
      <c r="EU66" s="16">
        <f>IF(ISNA(VLOOKUP(A66,'Données projet'!$A$191:$I$211,7,0)),0%,VLOOKUP(A66,'Données projet'!$A$191:$I$211,7,0))</f>
        <v>0</v>
      </c>
      <c r="EV66" s="21">
        <f>EXP(-LN(2)/35)*EV65+(1-EXP(-LN(2)/35))/(LN(2)/35)*ER66*ES66*VLOOKUP('Données projet'!$B$15,Paramètres!$A$1:$I$89,3,0)*0.475*44/12</f>
        <v>0.52154114281756814</v>
      </c>
      <c r="EW66" s="21">
        <f>EXP(-LN(2)/25)*EW65+(1-EXP(-LN(2)/25))/(LN(2)/25)*Calculateur!ER66*Calculateur!ET66*VLOOKUP('Données projet'!$B$15,Paramètres!$A$1:$I$89,3,0)*0.475*44/12</f>
        <v>2.3245850066510139</v>
      </c>
      <c r="EX66" s="21">
        <f>EXP(-LN(2)/2)*EX65+(1-EXP(-LN(2)/2))/(LN(2)/2)*ER66*EU66*VLOOKUP('Données projet'!$B$15,Paramètres!$A$1:$I$89,3,0)*0.475*44/12</f>
        <v>9.7782679445114314E-5</v>
      </c>
      <c r="EY66" s="22">
        <f t="shared" si="21"/>
        <v>2.8462239321480269</v>
      </c>
      <c r="EZ66" s="75">
        <f>('Scénario référence'!$F$8+'Scénario référence'!$F$9+'Scénario référence'!$B$17+'Scénario référence'!$B$9+'Scénario référence'!$B$10)*70+IF((45+25*(1-EXP(-0.0175*A66)))&lt;70,'Scénario référence'!$B$16*(45+25*(1-EXP(-0.0175*A66))),70*'Scénario référence'!$B$16)+IF((32+38*(1-EXP(-0.0175*A66)))&lt;70,'Scénario référence'!$B$18*(32+38*(1-EXP(-0.0175*A66))),70*'Scénario référence'!$B$18)</f>
        <v>70</v>
      </c>
      <c r="FA66" s="12">
        <f>IF(A66&gt;30,10,('Scénario référence'!$B$16+'Scénario référence'!$B$17+'Scénario référence'!$B$18+'Scénario référence'!$B$9+'Scénario référence'!$B$10)*A66*10/30+('Scénario référence'!$F$8+'Scénario référence'!$F$9)*10)</f>
        <v>10</v>
      </c>
      <c r="FB66" s="12" t="e">
        <f>VLOOKUP(A66,'Données projet'!$A$217:$I$237,2,0)</f>
        <v>#N/A</v>
      </c>
      <c r="FC66" s="12" t="e">
        <f>VLOOKUP(A66,'Données projet'!$A$217:$I$237,9,0)</f>
        <v>#N/A</v>
      </c>
      <c r="FD66" s="12">
        <f t="array" ref="FD66">INDEX(FC:FC,MIN(IF(ISNUMBER(FC66:FC262),ROW(FC66:FC262),"")))</f>
        <v>13</v>
      </c>
      <c r="FE66" s="12">
        <f>IF('Données projet'!$A$218&gt;35,FE65+FD66-FM65,IF(A66&lt;'Données projet'!$A$218,$FB$205^A66,IF(A66='Données projet'!$A$218,'Données projet'!$B$218,FE65+FD66-FM65)))</f>
        <v>280.99999999999994</v>
      </c>
      <c r="FF66" s="17">
        <f>FE66*VLOOKUP('Données projet'!$B$16,Paramètres!$A$1:$I$89,3,0)*VLOOKUP('Données projet'!$B$16,Paramètres!$A$1:$I$89,5,0)</f>
        <v>241.09799999999998</v>
      </c>
      <c r="FG66" s="13">
        <f t="shared" si="47"/>
        <v>58.675707735379945</v>
      </c>
      <c r="FH66" s="20">
        <f t="shared" si="22"/>
        <v>522.10587430578664</v>
      </c>
      <c r="FI66" s="59">
        <f t="shared" si="23"/>
        <v>815.43920763912001</v>
      </c>
      <c r="FJ66" s="59">
        <f ca="1">AVERAGE(OFFSET($FI$3,0,0,'Données projet'!$E$16+1,1))-AVERAGE(OFFSET($H$3,0,0,'Données projet'!$E$16+1,1))</f>
        <v>383.97627237444709</v>
      </c>
      <c r="FK66" s="59">
        <f t="shared" si="48"/>
        <v>203.35476578922339</v>
      </c>
      <c r="FL66" s="15">
        <f>IF(ISNA(VLOOKUP(A66,'Données projet'!$A$217:$I$237,3,0)),0,VLOOKUP(A66,'Données projet'!$A$217:$I$237,3,0))</f>
        <v>0</v>
      </c>
      <c r="FM66" s="15">
        <f>IF(ISNA(VLOOKUP(A66,'Données projet'!$A$217:$I$237,4,0)),0,VLOOKUP(A66,'Données projet'!$A$217:$I$237,4,0))</f>
        <v>0</v>
      </c>
      <c r="FN66" s="16">
        <f>IF(ISNA(VLOOKUP(A66,'Données projet'!$A$217:$I$237,5,0)),0%,VLOOKUP(A66,'Données projet'!$A$217:$I$237,5,0)*VLOOKUP('Données projet'!$B$16,Paramètres!$A$1:$I$89,7,0))</f>
        <v>0</v>
      </c>
      <c r="FO66" s="16">
        <f>IF(ISNA(VLOOKUP(A66,'Données projet'!$A$217:$I$237,6,0)),0%,VLOOKUP(A66,'Données projet'!$A$217:$I$237,6,0)*VLOOKUP('Données projet'!$B$16,Paramètres!$A$1:$I$89,7,0))</f>
        <v>0</v>
      </c>
      <c r="FP66" s="16">
        <f>IF(ISNA(VLOOKUP(A66,'Données projet'!$A$217:$I$237,7,0)),0%,VLOOKUP(A66,'Données projet'!$A$217:$I$237,7,0))</f>
        <v>0</v>
      </c>
      <c r="FQ66" s="21">
        <f>EXP(-LN(2)/35)*FQ65+(1-EXP(-LN(2)/35))/(LN(2)/35)*FM66*FN66*VLOOKUP('Données projet'!$B$16,Paramètres!$A$1:$I$89,3,0)*0.475*44/12</f>
        <v>2.6804385270676403</v>
      </c>
      <c r="FR66" s="21">
        <f>EXP(-LN(2)/25)*FR65+(1-EXP(-LN(2)/25))/(LN(2)/25)*Calculateur!FM66*Calculateur!FO66*VLOOKUP('Données projet'!$B$16,Paramètres!$A$1:$I$89,3,0)*0.475*44/12</f>
        <v>2.3596940504456554</v>
      </c>
      <c r="FS66" s="21">
        <f>EXP(-LN(2)/2)*FS65+(1-EXP(-LN(2)/2))/(LN(2)/2)*FM66*FP66*VLOOKUP('Données projet'!$B$16,Paramètres!$A$1:$I$89,3,0)*0.475*44/12</f>
        <v>1.7960671422938285E-4</v>
      </c>
      <c r="FT66" s="22">
        <f t="shared" si="24"/>
        <v>5.0403121842275249</v>
      </c>
      <c r="FU66" s="75">
        <f>('Scénario référence'!$F$8+'Scénario référence'!$F$9+'Scénario référence'!$B$17+'Scénario référence'!$B$9+'Scénario référence'!$B$10)*70+IF((45+25*(1-EXP(-0.0175*A66)))&lt;70,'Scénario référence'!$B$16*(45+25*(1-EXP(-0.0175*A66))),70*'Scénario référence'!$B$16)+IF((32+38*(1-EXP(-0.0175*A66)))&lt;70,'Scénario référence'!$B$18*(32+38*(1-EXP(-0.0175*A66))),70*'Scénario référence'!$B$18)</f>
        <v>70</v>
      </c>
      <c r="FV66" s="12">
        <f>IF(A66&gt;30,10,('Scénario référence'!$B$16+'Scénario référence'!$B$17+'Scénario référence'!$B$18+'Scénario référence'!$B$9+'Scénario référence'!$B$10)*A66*10/30+('Scénario référence'!$F$8+'Scénario référence'!$F$9)*10)</f>
        <v>10</v>
      </c>
      <c r="FW66" s="12">
        <f>VLOOKUP(A66,'Données projet'!$A$243:$I$263,2,0)</f>
        <v>220.28846153846152</v>
      </c>
      <c r="FX66" s="12">
        <f>VLOOKUP(A66,'Données projet'!$A$243:$I$263,9,0)</f>
        <v>8.374198717948719</v>
      </c>
      <c r="FY66" s="12">
        <f t="array" ref="FY66">INDEX(FX:FX,MIN(IF(ISNUMBER(FX66:FX262),ROW(FX66:FX262),"")))</f>
        <v>8.374198717948719</v>
      </c>
      <c r="FZ66" s="12">
        <f>IF('Données projet'!$A$244&gt;35,FZ65+FY66-GH65,IF(A66&lt;'Données projet'!$A$244,$FW$205^A66,IF(A66='Données projet'!$A$244,'Données projet'!$B$244,FZ65+FY66-GH65)))</f>
        <v>220.2884615384616</v>
      </c>
      <c r="GA66" s="17">
        <f>FZ66*VLOOKUP('Données projet'!$B$17,Paramètres!$A$1:$I$89,3,0)*VLOOKUP('Données projet'!$B$17,Paramètres!$A$1:$I$89,5,0)</f>
        <v>237.11850000000007</v>
      </c>
      <c r="GB66" s="13">
        <f t="shared" si="49"/>
        <v>57.819126560655327</v>
      </c>
      <c r="GC66" s="20">
        <f t="shared" si="25"/>
        <v>513.68303292647488</v>
      </c>
      <c r="GD66" s="59">
        <f t="shared" si="26"/>
        <v>807.01636625980814</v>
      </c>
      <c r="GE66" s="59">
        <f ca="1">AVERAGE(OFFSET($GD$3,0,0,'Données projet'!$E$17+1,1))-AVERAGE(OFFSET($H$3,0,0,'Données projet'!$E$17+1,1))</f>
        <v>286.77702855541287</v>
      </c>
      <c r="GF66" s="59">
        <f t="shared" si="50"/>
        <v>227.12211541860779</v>
      </c>
      <c r="GG66" s="15">
        <f>IF(ISNA(VLOOKUP(A66,'Données projet'!$A$243:$I$263,3,0)),0,VLOOKUP(A66,'Données projet'!$A$243:$I$263,3,0))</f>
        <v>5</v>
      </c>
      <c r="GH66" s="15">
        <f>IF(ISNA(VLOOKUP(A66,'Données projet'!$A$243:$I$263,4,0)),0,VLOOKUP(A66,'Données projet'!$A$243:$I$263,4,0))</f>
        <v>41.724358974358978</v>
      </c>
      <c r="GI66" s="16">
        <f>IF(ISNA(VLOOKUP(A66,'Données projet'!$A$243:$I$263,5,0)),0%,VLOOKUP(A66,'Données projet'!$A$243:$I$263,5,0)*VLOOKUP('Données projet'!$B$17,Paramètres!$A$1:$I$89,7,0))</f>
        <v>0</v>
      </c>
      <c r="GJ66" s="16">
        <f>IF(ISNA(VLOOKUP(A66,'Données projet'!$A$243:$I$263,6,0)),0%,VLOOKUP(A66,'Données projet'!$A$243:$I$263,6,0)*VLOOKUP('Données projet'!$B$17,Paramètres!$A$1:$I$89,7,0))</f>
        <v>0</v>
      </c>
      <c r="GK66" s="16">
        <f>IF(ISNA(VLOOKUP(A66,'Données projet'!$A$243:$I$263,7,0)),0%,VLOOKUP(A66,'Données projet'!$A$243:$I$263,7,0))</f>
        <v>0</v>
      </c>
      <c r="GL66" s="21">
        <f>EXP(-LN(2)/35)*GL65+(1-EXP(-LN(2)/35))/(LN(2)/35)*GH66*GI66*VLOOKUP('Données projet'!$B$17,Paramètres!$A$1:$I$89,3,0)*0.475*44/12</f>
        <v>0</v>
      </c>
      <c r="GM66" s="21">
        <f>EXP(-LN(2)/25)*GM65+(1-EXP(-LN(2)/25))/(LN(2)/25)*Calculateur!GH66*Calculateur!GJ66*VLOOKUP('Données projet'!$B$17,Paramètres!$A$1:$I$89,3,0)*0.475*44/12</f>
        <v>0</v>
      </c>
      <c r="GN66" s="21">
        <f>EXP(-LN(2)/2)*GN65+(1-EXP(-LN(2)/2))/(LN(2)/2)*GH66*GK66*VLOOKUP('Données projet'!$B$17,Paramètres!$A$1:$I$89,3,0)*0.475*44/12</f>
        <v>0</v>
      </c>
      <c r="GO66" s="21">
        <f t="shared" si="27"/>
        <v>0</v>
      </c>
      <c r="GP66" s="75">
        <f>('Scénario référence'!$F$8+'Scénario référence'!$F$9+'Scénario référence'!$B$17+'Scénario référence'!$B$9+'Scénario référence'!$B$10)*70+IF((45+25*(1-EXP(-0.0175*A66)))&lt;70,'Scénario référence'!$B$16*(45+25*(1-EXP(-0.0175*A66))),70*'Scénario référence'!$B$16)+IF((32+38*(1-EXP(-0.0175*A66)))&lt;70,'Scénario référence'!$B$18*(32+38*(1-EXP(-0.0175*A66))),70*'Scénario référence'!$B$18)</f>
        <v>70</v>
      </c>
      <c r="GQ66" s="12">
        <f>IF(A66&gt;30,10,('Scénario référence'!$B$16+'Scénario référence'!$B$17+'Scénario référence'!$B$18+'Scénario référence'!$B$9+'Scénario référence'!$B$10)*A66*10/30+('Scénario référence'!$F$8+'Scénario référence'!$F$9)*10)</f>
        <v>10</v>
      </c>
      <c r="GR66" s="12">
        <f>VLOOKUP(A66,'Données projet'!$A$269:$I$289,2,0)</f>
        <v>220.28846153846152</v>
      </c>
      <c r="GS66" s="12">
        <f>VLOOKUP(A66,'Données projet'!$A$269:$I$289,9,0)</f>
        <v>8.374198717948719</v>
      </c>
      <c r="GT66" s="12">
        <f t="array" ref="GT66">INDEX(GS:GS,MIN(IF(ISNUMBER(GS66:GS262),ROW(GS66:GS262),"")))</f>
        <v>8.374198717948719</v>
      </c>
      <c r="GU66" s="12">
        <f>IF('Données projet'!$A$270&gt;35,GU65+GT66-HC65,IF(A66&lt;'Données projet'!$A$270,$GR$205^A66,IF(A66='Données projet'!$A$270,'Données projet'!$B$270,GU65+GT66-HC65)))</f>
        <v>220.2884615384616</v>
      </c>
      <c r="GV66" s="17">
        <f>GU66*VLOOKUP('Données projet'!$B$18,Paramètres!$A$1:$I$89,3,0)*VLOOKUP('Données projet'!$B$18,Paramètres!$A$1:$I$89,5,0)</f>
        <v>237.11850000000007</v>
      </c>
      <c r="GW66" s="13">
        <f t="shared" si="51"/>
        <v>57.819126560655327</v>
      </c>
      <c r="GX66" s="20">
        <f t="shared" si="28"/>
        <v>513.68303292647488</v>
      </c>
      <c r="GY66" s="59">
        <f t="shared" si="29"/>
        <v>807.01636625980814</v>
      </c>
      <c r="GZ66" s="59">
        <f ca="1">AVERAGE(OFFSET($GY$3,0,0,'Données projet'!$E$18+1,1))-AVERAGE(OFFSET($H$3,0,0,'Données projet'!$E$18+1,1))</f>
        <v>286.77702855541287</v>
      </c>
      <c r="HA66" s="59">
        <f t="shared" si="52"/>
        <v>227.12211541860779</v>
      </c>
      <c r="HB66" s="15">
        <f>IF(ISNA(VLOOKUP(A66,'Données projet'!$A$269:$I$289,3,0)),0,VLOOKUP(A66,'Données projet'!$A$269:$I$289,3,0))</f>
        <v>5</v>
      </c>
      <c r="HC66" s="15">
        <f>IF(ISNA(VLOOKUP(A66,'Données projet'!$A$269:$I$289,4,0)),0,VLOOKUP(A66,'Données projet'!$A$269:$I$289,4,0))</f>
        <v>41.724358974358978</v>
      </c>
      <c r="HD66" s="16">
        <f>IF(ISNA(VLOOKUP(A66,'Données projet'!$A$269:$I$289,5,0)),0%,VLOOKUP(A66,'Données projet'!$A$269:$I$289,5,0)*VLOOKUP('Données projet'!$B$18,Paramètres!$A$1:$I$89,7,0))</f>
        <v>0</v>
      </c>
      <c r="HE66" s="16">
        <f>IF(ISNA(VLOOKUP(A66,'Données projet'!$A$269:$I$289,6,0)),0%,VLOOKUP(A66,'Données projet'!$A$269:$I$289,6,0)*VLOOKUP('Données projet'!$B$18,Paramètres!$A$1:$I$89,7,0))</f>
        <v>0</v>
      </c>
      <c r="HF66" s="16">
        <f>IF(ISNA(VLOOKUP(A66,'Données projet'!$A$269:$I$289,7,0)),0%,VLOOKUP(A66,'Données projet'!$A$269:$I$289,7,0))</f>
        <v>0</v>
      </c>
      <c r="HG66" s="21">
        <f>EXP(-LN(2)/35)*HG65+(1-EXP(-LN(2)/35))/(LN(2)/35)*HC66*HD66*VLOOKUP('Données projet'!$B$18,Paramètres!$A$1:$I$89,3,0)*0.475*44/12</f>
        <v>0</v>
      </c>
      <c r="HH66" s="21">
        <f>EXP(-LN(2)/25)*HH65+(1-EXP(-LN(2)/25))/(LN(2)/25)*Calculateur!HC66*Calculateur!HE66*VLOOKUP('Données projet'!$B$18,Paramètres!$A$1:$I$89,3,0)*0.475*44/12</f>
        <v>0</v>
      </c>
      <c r="HI66" s="21">
        <f>EXP(-LN(2)/2)*HI65+(1-EXP(-LN(2)/2))/(LN(2)/2)*HC66*HF66*VLOOKUP('Données projet'!$B$18,Paramètres!$A$1:$I$89,3,0)*0.475*44/12</f>
        <v>0</v>
      </c>
      <c r="HJ66" s="22">
        <f t="shared" si="30"/>
        <v>0</v>
      </c>
    </row>
    <row r="67" spans="1:218" x14ac:dyDescent="0.25">
      <c r="A67" s="10">
        <f t="shared" si="31"/>
        <v>64</v>
      </c>
      <c r="B67" s="73">
        <f>'Scénario référence'!$B$16*5+'Scénario référence'!$B$17*0+'Scénario référence'!$B$18*5</f>
        <v>0</v>
      </c>
      <c r="C67" s="19">
        <f>Calculateur!C66+'Scénario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56.908800000000056</v>
      </c>
      <c r="D67" s="11">
        <f t="shared" si="32"/>
        <v>16.384327014561212</v>
      </c>
      <c r="E6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67" s="11">
        <f>IF(OR('Scénario référence'!$F$8&gt;0,'Scénario référence'!$F$9&gt;0),('Scénario référence'!$F$8+'Scénario référence'!$F$9)*10,0)</f>
        <v>10</v>
      </c>
      <c r="G67" s="11">
        <f>'Scénario référence'!$B$8*B67*44/12+'Scénario référence'!$B$9*(C67+D67)/0.475*44/12+'Scénario référence'!$B$10*(C67+D67)/0.475*44/12+'Scénario référence'!$F$8*(C67+D67)/0.475*44/12+'Scénario référence'!$F$9*(C67+D67)/0.475*44/12</f>
        <v>565.77150677906945</v>
      </c>
      <c r="H67" s="67">
        <f t="shared" si="1"/>
        <v>420.98552955036087</v>
      </c>
      <c r="I67" s="70">
        <f>('Scénario référence'!$F$8+'Scénario référence'!$F$9+'Scénario référence'!$B$17+'Scénario référence'!$B$9+'Scénario référence'!$B$10)*70+IF((45+25*(1-EXP(-0.0175*A67)))&lt;70,'Scénario référence'!$B$16*(45+25*(1-EXP(-0.0175*A67))),70*'Scénario référence'!$B$16)+IF((32+38*(1-EXP(-0.0175*A67)))&lt;70,'Scénario référence'!$B$18*(32+38*(1-EXP(-0.0175*A67))),70*'Scénario référence'!$B$18)</f>
        <v>70</v>
      </c>
      <c r="J67" s="13">
        <f>IF(A67&gt;30,10,('Scénario référence'!$B$16+'Scénario référence'!$B$17+'Scénario référence'!$B$18+'Scénario référence'!$B$9+'Scénario référence'!$B$10)*A67*10/30+('Scénario référence'!$F$8+'Scénario référence'!$F$9)*10)</f>
        <v>10</v>
      </c>
      <c r="K67" s="12" t="e">
        <f>VLOOKUP(A67,'Données projet'!$A$35:$I$55,2,0)</f>
        <v>#N/A</v>
      </c>
      <c r="L67" s="12" t="e">
        <f>VLOOKUP(A67,'Données projet'!$A$35:$I$55,9,0)</f>
        <v>#N/A</v>
      </c>
      <c r="M67" s="12">
        <f t="array" ref="M67">INDEX(L:L,MIN(IF(ISNUMBER(L67:L263),ROW(L67:L263),"")))</f>
        <v>0</v>
      </c>
      <c r="N67" s="13">
        <f>IF('Données projet'!$A$36&gt;35,N66+M67-V66,IF(A67&lt;'Données projet'!$A$36,$K$205^A67,IF(A67='Données projet'!$A$36,'Données projet'!$B$36,N66+M67-V66)))</f>
        <v>-2.2737367544323206E-13</v>
      </c>
      <c r="O67" s="13">
        <f>N67*VLOOKUP('Données projet'!$B$9,Paramètres!$A$1:$I$89,3,0)*VLOOKUP('Données projet'!$B$9,Paramètres!$A$1:$I$89,5,0)</f>
        <v>-1.2710188457276673E-13</v>
      </c>
      <c r="P67" s="13" t="e">
        <f t="shared" si="33"/>
        <v>#NUM!</v>
      </c>
      <c r="Q67" s="20" t="e">
        <f t="shared" ref="Q67:Q98" si="54">(O67+P67)*0.475*44/12</f>
        <v>#NUM!</v>
      </c>
      <c r="R67" s="59" t="e">
        <f t="shared" ref="R67:R130" si="55">Q67+(I67+J67)*44/12</f>
        <v>#NUM!</v>
      </c>
      <c r="S67" s="59">
        <f ca="1">AVERAGE(OFFSET($R$3,0,0,'Données projet'!$E$9+1,1))-AVERAGE(OFFSET($H$3,0,0,'Données projet'!$E$9+1,1))</f>
        <v>255.5374979188561</v>
      </c>
      <c r="T67" s="59">
        <f t="shared" si="34"/>
        <v>343.10418468620901</v>
      </c>
      <c r="U67" s="15">
        <f>IF(ISNA(VLOOKUP(A67,'Données projet'!$A$35:$I$55,3,0)),0,VLOOKUP(A67,'Données projet'!$A$35:$I$55,3,0))</f>
        <v>0</v>
      </c>
      <c r="V67" s="15">
        <f>IF(ISNA(VLOOKUP(A67,'Données projet'!$A$35:$I$55,4,0)),0,VLOOKUP(A67,'Données projet'!$A$35:$I$55,4,0))</f>
        <v>0</v>
      </c>
      <c r="W67" s="16">
        <f>IF(ISNA(VLOOKUP(A67,'Données projet'!$A$35:$I$55,5,0)),0%,VLOOKUP(A67,'Données projet'!$A$35:$I$55,5,0)*VLOOKUP('Données projet'!$B$9,Paramètres!$A$1:$I$89,7,0))</f>
        <v>0</v>
      </c>
      <c r="X67" s="16">
        <f>IF(ISNA(VLOOKUP(A67,'Données projet'!$A$35:$I$55,6,0)),0%,VLOOKUP(A67,'Données projet'!$A$35:$I$55,6,0)*VLOOKUP('Données projet'!$B$9,Paramètres!$A$1:$I$89,7,0))</f>
        <v>0</v>
      </c>
      <c r="Y67" s="16">
        <f>IF(ISNA(VLOOKUP(A67,'Données projet'!$A$35:$I$55,7,0)),0%,VLOOKUP(A67,'Données projet'!$A$35:$I$55,7,0))</f>
        <v>0</v>
      </c>
      <c r="Z67" s="21">
        <f>EXP(-LN(2)/35)*Z66+(1-EXP(-LN(2)/35))/(LN(2)/35)*V67*W67*VLOOKUP('Données projet'!$B$9,Paramètres!$A$1:$I$89,3,0)*0.475*44/12</f>
        <v>1.5759233183313732</v>
      </c>
      <c r="AA67" s="21">
        <f>EXP(-LN(2)/25)*AA66+(1-EXP(-LN(2)/25))/(LN(2)/25)*Calculateur!V67*Calculateur!X67*VLOOKUP('Données projet'!$B$9,Paramètres!$A$1:$I$89,3,0)*0.475*44/12</f>
        <v>6.2178342982539663</v>
      </c>
      <c r="AB67" s="21">
        <f>EXP(-LN(2)/2)*AB66+(1-EXP(-LN(2)/2))/(LN(2)/2)*V67*Y67*VLOOKUP('Données projet'!$B$9,Paramètres!$A$1:$I$89,3,0)*0.475*44/12</f>
        <v>1.2913910518295792E-5</v>
      </c>
      <c r="AC67" s="22">
        <f t="shared" si="3"/>
        <v>7.7937705304958582</v>
      </c>
      <c r="AD67" s="13">
        <f>('Scénario référence'!$F$8+'Scénario référence'!$F$9+'Scénario référence'!$B$17+'Scénario référence'!$B$9+'Scénario référence'!$B$10)*70+IF((45+25*(1-EXP(-0.0175*A67)))&lt;70,'Scénario référence'!$B$16*(45+25*(1-EXP(-0.0175*A67))),70*'Scénario référence'!$B$16)+IF((32+38*(1-EXP(-0.0175*A67)))&lt;70,'Scénario référence'!$B$18*(32+38*(1-EXP(-0.0175*A67))),70*'Scénario référence'!$B$18)</f>
        <v>70</v>
      </c>
      <c r="AE67" s="13">
        <f>IF(A67&gt;30,10,('Scénario référence'!$B$16+'Scénario référence'!$B$17+'Scénario référence'!$B$18+'Scénario référence'!$B$9+'Scénario référence'!$B$10)*A67*10/30+('Scénario référence'!$F$8+'Scénario référence'!$F$9)*10)</f>
        <v>10</v>
      </c>
      <c r="AF67" s="12" t="e">
        <f>VLOOKUP(A67,'Données projet'!$A$61:$I$81,2,0)</f>
        <v>#N/A</v>
      </c>
      <c r="AG67" s="12" t="e">
        <f>VLOOKUP(A67,'Données projet'!$A$61:$I$81,9,0)</f>
        <v>#N/A</v>
      </c>
      <c r="AH67" s="12">
        <f t="array" ref="AH67">INDEX(AG:AG,MIN(IF(ISNUMBER(AG67:AG263),ROW(AG67:AG263),"")))</f>
        <v>7.8</v>
      </c>
      <c r="AI67" s="13">
        <f>IF('Données projet'!$A$62&gt;35,AI66+AH67-AQ66,IF(A67&lt;'Données projet'!$A$62,$AF$205^A67,IF(A67='Données projet'!$A$62,'Données projet'!$B$62,AI66+AH67-AQ66)))</f>
        <v>380.19999999999993</v>
      </c>
      <c r="AJ67" s="13">
        <f>AI67*VLOOKUP('Données projet'!$B$10,Paramètres!$A$1:$I$89,3,0)*VLOOKUP('Données projet'!$B$10,Paramètres!$A$1:$I$89,5,0)</f>
        <v>237.24479999999994</v>
      </c>
      <c r="AK67" s="13">
        <f t="shared" si="35"/>
        <v>57.846338010686594</v>
      </c>
      <c r="AL67" s="20">
        <f t="shared" si="4"/>
        <v>513.9503987019458</v>
      </c>
      <c r="AM67" s="59">
        <f t="shared" si="5"/>
        <v>807.28373203527917</v>
      </c>
      <c r="AN67" s="59">
        <f ca="1">AVERAGE(OFFSET($AM$3,0,0,'Données projet'!$E$10+1,1))-AVERAGE(OFFSET($H$3,0,0,'Données projet'!$E$10+1,1))</f>
        <v>261.78489480911571</v>
      </c>
      <c r="AO67" s="59">
        <f t="shared" si="36"/>
        <v>297.50513563712764</v>
      </c>
      <c r="AP67" s="15">
        <f>IF(ISNA(VLOOKUP(A67,'Données projet'!$A$61:$I$81,3,0)),0,VLOOKUP(A67,'Données projet'!$A$61:$I$81,3,0))</f>
        <v>0</v>
      </c>
      <c r="AQ67" s="15">
        <f>IF(ISNA(VLOOKUP(A67,'Données projet'!$A$61:$I$81,4,0)),0,VLOOKUP(A67,'Données projet'!$A$61:$I$81,4,0))</f>
        <v>0</v>
      </c>
      <c r="AR67" s="16">
        <f>IF(ISNA(VLOOKUP(A67,'Données projet'!$A$61:$I$81,5,0)),0%,VLOOKUP(A67,'Données projet'!$A$61:$I$81,5,0)*VLOOKUP('Données projet'!$B$10,Paramètres!$A$1:$I$89,7,0))</f>
        <v>0</v>
      </c>
      <c r="AS67" s="16">
        <f>IF(ISNA(VLOOKUP(A67,'Données projet'!$A$61:$I$81,6,0)),0%,VLOOKUP(A67,'Données projet'!$A$61:$I$81,6,0)*VLOOKUP('Données projet'!$B$10,Paramètres!$A$1:$I$89,7,0))</f>
        <v>0</v>
      </c>
      <c r="AT67" s="16">
        <f>IF(ISNA(VLOOKUP(A67,'Données projet'!$A$61:$I$81,7,0)),0%,VLOOKUP(A67,'Données projet'!$A$61:$I$81,7,0))</f>
        <v>0</v>
      </c>
      <c r="AU67" s="21">
        <f>EXP(-LN(2)/35)*AU66+(1-EXP(-LN(2)/35))/(LN(2)/35)*AQ67*AR67*VLOOKUP('Données projet'!$B$10,Paramètres!$A$1:$I$89,3,0)*0.475*44/12</f>
        <v>4.2554387072673228</v>
      </c>
      <c r="AV67" s="21">
        <f>EXP(-LN(2)/25)*AV66+(1-EXP(-LN(2)/25))/(LN(2)/25)*Calculateur!AQ67*Calculateur!AS67*VLOOKUP('Données projet'!$B$10,Paramètres!$A$1:$I$89,3,0)*0.475*44/12</f>
        <v>10.857606879673176</v>
      </c>
      <c r="AW67" s="21">
        <f>EXP(-LN(2)/2)*AW66+(1-EXP(-LN(2)/2))/(LN(2)/2)*AQ67*AT67*VLOOKUP('Données projet'!$B$10,Paramètres!$A$1:$I$89,3,0)*0.475*44/12</f>
        <v>1.8616631421594147E-4</v>
      </c>
      <c r="AX67" s="21">
        <f t="shared" si="6"/>
        <v>15.113231753254713</v>
      </c>
      <c r="AY67" s="74">
        <f>('Scénario référence'!$F$8+'Scénario référence'!$F$9+'Scénario référence'!$B$17+'Scénario référence'!$B$9+'Scénario référence'!$B$10)*70+IF((45+25*(1-EXP(-0.0175*A67)))&lt;70,'Scénario référence'!$B$16*(45+25*(1-EXP(-0.0175*A67))),70*'Scénario référence'!$B$16)+IF((32+38*(1-EXP(-0.0175*A67)))&lt;70,'Scénario référence'!$B$18*(32+38*(1-EXP(-0.0175*A67))),70*'Scénario référence'!$B$18)</f>
        <v>70</v>
      </c>
      <c r="AZ67" s="12">
        <f>IF(A67&gt;30,10,('Scénario référence'!$B$16+'Scénario référence'!$B$17+'Scénario référence'!$B$18+'Scénario référence'!$B$9+'Scénario référence'!$B$10)*A67*10/30+('Scénario référence'!$F$8+'Scénario référence'!$F$9)*10)</f>
        <v>10</v>
      </c>
      <c r="BA67" s="12" t="e">
        <f>VLOOKUP(A67,'Données projet'!$A$87:$I$107,2,0)</f>
        <v>#N/A</v>
      </c>
      <c r="BB67" s="12" t="e">
        <f>VLOOKUP(A67,'Données projet'!$A$87:$I$107,9,0)</f>
        <v>#N/A</v>
      </c>
      <c r="BC67" s="12">
        <f t="array" ref="BC67">INDEX(BB:BB,MIN(IF(ISNUMBER(BB67:BB263),ROW(BB67:BB263),"")))</f>
        <v>16.399999999999999</v>
      </c>
      <c r="BD67" s="12">
        <f>IF('Données projet'!$A$88&gt;35,BD66+BC67-BL66,IF(A67&lt;'Données projet'!$A$88,$BA$205^A67,IF(A67='Données projet'!$A$88,'Données projet'!$B$88,BD66+BC67-BL66)))</f>
        <v>465.59999999999968</v>
      </c>
      <c r="BE67" s="13">
        <f>BD67*VLOOKUP('Données projet'!$B$11,Paramètres!$A$1:$I$89,3,0)*VLOOKUP('Données projet'!$B$11,Paramètres!$A$1:$I$89,5,0)</f>
        <v>278.42879999999985</v>
      </c>
      <c r="BF67" s="13">
        <f t="shared" si="37"/>
        <v>66.634860488094674</v>
      </c>
      <c r="BG67" s="20">
        <f t="shared" si="7"/>
        <v>600.9858753500979</v>
      </c>
      <c r="BH67" s="59">
        <f t="shared" si="8"/>
        <v>894.31920868343127</v>
      </c>
      <c r="BI67" s="59">
        <f ca="1">AVERAGE(OFFSET($BH$3,0,0,'Données projet'!$E$11+1,1))-AVERAGE(OFFSET($H$3,0,0,'Données projet'!$E$11+1,1))</f>
        <v>316.58509520829671</v>
      </c>
      <c r="BJ67" s="59">
        <f t="shared" si="38"/>
        <v>240.71332110643596</v>
      </c>
      <c r="BK67" s="15">
        <f>IF(ISNA(VLOOKUP(A67,'Données projet'!$A$87:$I$107,3,0)),0,VLOOKUP(A67,'Données projet'!$A$87:$I$107,3,0))</f>
        <v>0</v>
      </c>
      <c r="BL67" s="15">
        <f>IF(ISNA(VLOOKUP(A67,'Données projet'!$A$87:$I$107,4,0)),0,VLOOKUP(A67,'Données projet'!$A$87:$I$107,4,0))</f>
        <v>0</v>
      </c>
      <c r="BM67" s="16">
        <f>IF(ISNA(VLOOKUP(A67,'Données projet'!$A$87:$I$107,5,0)),0%,VLOOKUP(A67,'Données projet'!$A$87:$I$107,5,0)*VLOOKUP('Données projet'!$B$11,Paramètres!$A$1:$I$89,7,0))</f>
        <v>0</v>
      </c>
      <c r="BN67" s="16">
        <f>IF(ISNA(VLOOKUP(A67,'Données projet'!$A$87:$I$107,6,0)),0%,VLOOKUP(A67,'Données projet'!$A$87:$I$107,6,0)*VLOOKUP('Données projet'!$B$11,Paramètres!$A$1:$I$89,7,0))</f>
        <v>0</v>
      </c>
      <c r="BO67" s="16">
        <f>IF(ISNA(VLOOKUP(A67,'Données projet'!$A$87:$I$107,7,0)),0%,VLOOKUP(A67,'Données projet'!$A$87:$I$107,7,0))</f>
        <v>0</v>
      </c>
      <c r="BP67" s="21">
        <f>EXP(-LN(2)/35)*BP66+(1-EXP(-LN(2)/35))/(LN(2)/35)*BL67*BM67*VLOOKUP('Données projet'!$B$11,Paramètres!$A$1:$I$89,3,0)*0.475*44/12</f>
        <v>1.2926211698228305</v>
      </c>
      <c r="BQ67" s="21">
        <f>EXP(-LN(2)/25)*BQ66+(1-EXP(-LN(2)/25))/(LN(2)/25)*Calculateur!BL67*Calculateur!BN67*VLOOKUP('Données projet'!$B$11,Paramètres!$A$1:$I$89,3,0)*0.475*44/12</f>
        <v>5.9481138527700681</v>
      </c>
      <c r="BR67" s="21">
        <f>EXP(-LN(2)/2)*BR66+(1-EXP(-LN(2)/2))/(LN(2)/2)*BL67*BO67*VLOOKUP('Données projet'!$B$11,Paramètres!$A$1:$I$89,3,0)*0.475*44/12</f>
        <v>1.6738390403855014E-4</v>
      </c>
      <c r="BS67" s="22">
        <f t="shared" si="9"/>
        <v>7.2409024064969376</v>
      </c>
      <c r="BT67" s="75">
        <f>('Scénario référence'!$F$8+'Scénario référence'!$F$9+'Scénario référence'!$B$17+'Scénario référence'!$B$9+'Scénario référence'!$B$10)*70+IF((45+25*(1-EXP(-0.0175*A67)))&lt;70,'Scénario référence'!$B$16*(45+25*(1-EXP(-0.0175*A67))),70*'Scénario référence'!$B$16)+IF((32+38*(1-EXP(-0.0175*A67)))&lt;70,'Scénario référence'!$B$18*(32+38*(1-EXP(-0.0175*A67))),70*'Scénario référence'!$B$18)</f>
        <v>70</v>
      </c>
      <c r="BU67" s="12">
        <f>IF(A67&gt;30,10,('Scénario référence'!$B$16+'Scénario référence'!$B$17+'Scénario référence'!$B$18+'Scénario référence'!$B$9+'Scénario référence'!$B$10)*A67*10/30+('Scénario référence'!$F$8+'Scénario référence'!$F$9)*10)</f>
        <v>10</v>
      </c>
      <c r="BV67" s="12" t="e">
        <f>VLOOKUP(A67,'Données projet'!$A$113:$I$133,2,0)</f>
        <v>#N/A</v>
      </c>
      <c r="BW67" s="12" t="e">
        <f>VLOOKUP(A67,'Données projet'!$A$113:$I$133,9,0)</f>
        <v>#N/A</v>
      </c>
      <c r="BX67" s="12">
        <f t="array" ref="BX67">INDEX(BW:BW,MIN(IF(ISNUMBER(BW67:BW263),ROW(BW67:BW263),"")))</f>
        <v>7.3</v>
      </c>
      <c r="BY67" s="12">
        <f>IF('Données projet'!$A$114&gt;35,BY66+BX67-CG66,IF(A67&lt;'Données projet'!$A$114,$BV$205^A67,IF(A67='Données projet'!$A$114,'Données projet'!$B$114,BY66+BX67-CG66)))</f>
        <v>306.19999999999982</v>
      </c>
      <c r="BZ67" s="13">
        <f>BY67*VLOOKUP('Données projet'!$B$12,Paramètres!$A$1:$I$89,3,0)*VLOOKUP('Données projet'!$B$12,Paramètres!$A$1:$I$89,5,0)</f>
        <v>175.14639999999991</v>
      </c>
      <c r="CA67" s="13">
        <f t="shared" si="39"/>
        <v>44.240637716978583</v>
      </c>
      <c r="CB67" s="20">
        <f t="shared" si="10"/>
        <v>382.09909069040424</v>
      </c>
      <c r="CC67" s="59">
        <f t="shared" si="11"/>
        <v>675.43242402373755</v>
      </c>
      <c r="CD67" s="59">
        <f ca="1">AVERAGE(OFFSET($CC$3,0,0,'Données projet'!$E$12+1,1))-AVERAGE(OFFSET($H$3,0,0,'Données projet'!$E$12+1,1))</f>
        <v>188.64374818906128</v>
      </c>
      <c r="CE67" s="59">
        <f t="shared" si="40"/>
        <v>211.95157880548652</v>
      </c>
      <c r="CF67" s="15">
        <f>IF(ISNA(VLOOKUP(A67,'Données projet'!$A$113:$I$133,3,0)),0,VLOOKUP(A67,'Données projet'!$A$113:$I$133,3,0))</f>
        <v>0</v>
      </c>
      <c r="CG67" s="15">
        <f>IF(ISNA(VLOOKUP(A67,'Données projet'!$A$113:$I$133,4,0)),0,VLOOKUP(A67,'Données projet'!$A$113:$I$133,4,0))</f>
        <v>0</v>
      </c>
      <c r="CH67" s="16">
        <f>IF(ISNA(VLOOKUP(A67,'Données projet'!$A$113:$I$133,5,0)),0%,VLOOKUP(A67,'Données projet'!$A$113:$I$133,5,0)*VLOOKUP('Données projet'!$B$12,Paramètres!$A$1:$I$89,7,0))</f>
        <v>0</v>
      </c>
      <c r="CI67" s="16">
        <f>IF(ISNA(VLOOKUP(A67,'Données projet'!$A$113:$I$133,6,0)),0%,VLOOKUP(A67,'Données projet'!$A$113:$I$133,6,0)*VLOOKUP('Données projet'!$B$12,Paramètres!$A$1:$I$89,7,0))</f>
        <v>0</v>
      </c>
      <c r="CJ67" s="16">
        <f>IF(ISNA(VLOOKUP(A67,'Données projet'!$A$113:$I$133,7,0)),0%,VLOOKUP(A67,'Données projet'!$A$113:$I$133,7,0))</f>
        <v>0</v>
      </c>
      <c r="CK67" s="21">
        <f>EXP(-LN(2)/35)*CK66+(1-EXP(-LN(2)/35))/(LN(2)/35)*CG67*CH67*VLOOKUP('Données projet'!$B$12,Paramètres!$A$1:$I$89,3,0)*0.475*44/12</f>
        <v>1.2538346191055503</v>
      </c>
      <c r="CL67" s="21">
        <f>EXP(-LN(2)/25)*CL66+(1-EXP(-LN(2)/25))/(LN(2)/25)*Calculateur!CG67*Calculateur!CI67*VLOOKUP('Données projet'!$B$12,Paramètres!$A$1:$I$89,3,0)*0.475*44/12</f>
        <v>5.598499434009705</v>
      </c>
      <c r="CM67" s="21">
        <f>EXP(-LN(2)/2)*CM66+(1-EXP(-LN(2)/2))/(LN(2)/2)*CG67*CJ67*VLOOKUP('Données projet'!$B$12,Paramètres!$A$1:$I$89,3,0)*0.475*44/12</f>
        <v>1.6209821475018503E-4</v>
      </c>
      <c r="CN67" s="22">
        <f t="shared" si="12"/>
        <v>6.8524961513300058</v>
      </c>
      <c r="CO67" s="75">
        <f>('Scénario référence'!$F$8+'Scénario référence'!$F$9+'Scénario référence'!$B$17+'Scénario référence'!$B$9+'Scénario référence'!$B$10)*70+IF((45+25*(1-EXP(-0.0175*A67)))&lt;70,'Scénario référence'!$B$16*(45+25*(1-EXP(-0.0175*A67))),70*'Scénario référence'!$B$16)+IF((32+38*(1-EXP(-0.0175*A67)))&lt;70,'Scénario référence'!$B$18*(32+38*(1-EXP(-0.0175*A67))),70*'Scénario référence'!$B$18)</f>
        <v>70</v>
      </c>
      <c r="CP67" s="12">
        <f>IF(A67&gt;30,10,('Scénario référence'!$B$16+'Scénario référence'!$B$17+'Scénario référence'!$B$18+'Scénario référence'!$B$9+'Scénario référence'!$B$10)*A67*10/30+('Scénario référence'!$F$8+'Scénario référence'!$F$9)*10)</f>
        <v>10</v>
      </c>
      <c r="CQ67" s="12" t="e">
        <f>VLOOKUP(A67,'Données projet'!$A$139:$I$159,2,0)</f>
        <v>#N/A</v>
      </c>
      <c r="CR67" s="12" t="e">
        <f>VLOOKUP(A67,'Données projet'!$A$139:$I$159,9,0)</f>
        <v>#N/A</v>
      </c>
      <c r="CS67" s="12">
        <f t="array" ref="CS67">INDEX(CR:CR,MIN(IF(ISNUMBER(CR67:CR263),ROW(CR67:CR263),"")))</f>
        <v>0</v>
      </c>
      <c r="CT67" s="12">
        <f>IF('Données projet'!$A$140&gt;35,CT66+CS67-DB66,IF(A67&lt;'Données projet'!$A$140,$CQ$205^A67,IF(A67='Données projet'!$A$140,'Données projet'!$B$140,CT66+CS67-DB66)))</f>
        <v>0</v>
      </c>
      <c r="CU67" s="17" t="e">
        <f>CT67*VLOOKUP('Données projet'!$B$13,Paramètres!$A$1:$I$89,3,0)*VLOOKUP('Données projet'!$B$13,Paramètres!$A$1:$I$89,5,0)</f>
        <v>#N/A</v>
      </c>
      <c r="CV67" s="13" t="e">
        <f t="shared" si="41"/>
        <v>#N/A</v>
      </c>
      <c r="CW67" s="20" t="e">
        <f t="shared" si="13"/>
        <v>#N/A</v>
      </c>
      <c r="CX67" s="59" t="e">
        <f t="shared" si="14"/>
        <v>#N/A</v>
      </c>
      <c r="CY67" s="59" t="e">
        <f ca="1">AVERAGE(OFFSET($CX$3,0,0,'Données projet'!$E$13+1,1))-AVERAGE(OFFSET($H$3,0,0,'Données projet'!$E$13+1,1))</f>
        <v>#N/A</v>
      </c>
      <c r="CZ67" s="59" t="e">
        <f t="shared" si="42"/>
        <v>#N/A</v>
      </c>
      <c r="DA67" s="15">
        <f>IF(ISNA(VLOOKUP(A67,'Données projet'!$A$139:$I$159,3,0)),0,VLOOKUP(A67,'Données projet'!$A$139:$I$159,3,0))</f>
        <v>0</v>
      </c>
      <c r="DB67" s="15">
        <f>IF(ISNA(VLOOKUP(A67,'Données projet'!$A$139:$I$159,4,0)),0,VLOOKUP(A67,'Données projet'!$A$139:$I$159,4,0))</f>
        <v>0</v>
      </c>
      <c r="DC67" s="16">
        <f>IF(ISNA(VLOOKUP(A67,'Données projet'!$A$139:$I$159,5,0)),0%,VLOOKUP(A67,'Données projet'!$A$139:$I$159,5,0)*VLOOKUP('Données projet'!$B$13,Paramètres!$A$1:$I$89,7,0))</f>
        <v>0</v>
      </c>
      <c r="DD67" s="16">
        <f>IF(ISNA(VLOOKUP(A67,'Données projet'!$A$139:$I$159,6,0)),0%,VLOOKUP(A67,'Données projet'!$A$139:$I$159,6,0)*VLOOKUP('Données projet'!$B$13,Paramètres!$A$1:$I$89,7,0))</f>
        <v>0</v>
      </c>
      <c r="DE67" s="16">
        <f>IF(ISNA(VLOOKUP(A67,'Données projet'!$A$139:$I$159,7,0)),0%,VLOOKUP(A67,'Données projet'!$A$139:$I$159,7,0))</f>
        <v>0</v>
      </c>
      <c r="DF67" s="21" t="e">
        <f>EXP(-LN(2)/35)*DF66+(1-EXP(-LN(2)/35))/(LN(2)/35)*DB67*DC67*VLOOKUP('Données projet'!$B$13,Paramètres!$A$1:$I$89,3,0)*0.475*44/12</f>
        <v>#N/A</v>
      </c>
      <c r="DG67" s="21" t="e">
        <f>EXP(-LN(2)/25)*DG66+(1-EXP(-LN(2)/25))/(LN(2)/25)*Calculateur!DB67*Calculateur!DD67*VLOOKUP('Données projet'!$B$13,Paramètres!$A$1:$I$89,3,0)*0.475*44/12</f>
        <v>#N/A</v>
      </c>
      <c r="DH67" s="21" t="e">
        <f>EXP(-LN(2)/2)*DH66+(1-EXP(-LN(2)/2))/(LN(2)/2)*DB67*DE67*VLOOKUP('Données projet'!$B$13,Paramètres!$A$1:$I$89,3,0)*0.475*44/12</f>
        <v>#N/A</v>
      </c>
      <c r="DI67" s="22" t="e">
        <f t="shared" si="15"/>
        <v>#N/A</v>
      </c>
      <c r="DJ67" s="75">
        <f>('Scénario référence'!$F$8+'Scénario référence'!$F$9+'Scénario référence'!$B$17+'Scénario référence'!$B$9+'Scénario référence'!$B$10)*70+IF((45+25*(1-EXP(-0.0175*A67)))&lt;70,'Scénario référence'!$B$16*(45+25*(1-EXP(-0.0175*A67))),70*'Scénario référence'!$B$16)+IF((32+38*(1-EXP(-0.0175*A67)))&lt;70,'Scénario référence'!$B$18*(32+38*(1-EXP(-0.0175*A67))),70*'Scénario référence'!$B$18)</f>
        <v>70</v>
      </c>
      <c r="DK67" s="12">
        <f>IF(A67&gt;30,10,('Scénario référence'!$B$16+'Scénario référence'!$B$17+'Scénario référence'!$B$18+'Scénario référence'!$B$9+'Scénario référence'!$B$10)*A67*10/30+('Scénario référence'!$F$8+'Scénario référence'!$F$9)*10)</f>
        <v>10</v>
      </c>
      <c r="DL67" s="12" t="e">
        <f>VLOOKUP(A67,'Données projet'!$A$165:$I$185,2,0)</f>
        <v>#N/A</v>
      </c>
      <c r="DM67" s="12" t="e">
        <f>VLOOKUP(A67,'Données projet'!$A$165:$I$185,9,0)</f>
        <v>#N/A</v>
      </c>
      <c r="DN67" s="12">
        <f t="array" ref="DN67">INDEX(DM:DM,MIN(IF(ISNUMBER(DM67:DM263),ROW(DM67:DM263),"")))</f>
        <v>5.6</v>
      </c>
      <c r="DO67" s="12">
        <f>IF('Données projet'!$A$166&gt;35,DO66+DN67-DW66,IF(A67&lt;'Données projet'!$A$166,$DL$205^A67,IF(A67='Données projet'!$A$166,'Données projet'!$B$166,DO66+DN67-DW66)))</f>
        <v>258.40000000000015</v>
      </c>
      <c r="DP67" s="17">
        <f>DO67*VLOOKUP('Données projet'!$B$14,Paramètres!$A$1:$I$89,3,0)*VLOOKUP('Données projet'!$B$14,Paramètres!$A$1:$I$89,5,0)</f>
        <v>169.3036800000001</v>
      </c>
      <c r="DQ67" s="13">
        <f t="shared" si="43"/>
        <v>42.934033834973256</v>
      </c>
      <c r="DR67" s="20">
        <f t="shared" si="16"/>
        <v>369.64735159591191</v>
      </c>
      <c r="DS67" s="59">
        <f t="shared" si="17"/>
        <v>662.98068492924517</v>
      </c>
      <c r="DT67" s="59">
        <f ca="1">AVERAGE(OFFSET($DS$3,0,0,'Données projet'!$E$14+1,1))-AVERAGE(OFFSET($H$3,0,0,'Données projet'!$E$14+1,1))</f>
        <v>188.68915783955595</v>
      </c>
      <c r="DU67" s="59">
        <f t="shared" si="44"/>
        <v>240.82467772396944</v>
      </c>
      <c r="DV67" s="15">
        <f>IF(ISNA(VLOOKUP(A67,'Données projet'!$A$165:$I$185,3,0)),0,VLOOKUP(A67,'Données projet'!$A$165:$I$185,3,0))</f>
        <v>0</v>
      </c>
      <c r="DW67" s="15">
        <f>IF(ISNA(VLOOKUP(A67,'Données projet'!$A$165:$I$185,4,0)),0,VLOOKUP(A67,'Données projet'!$A$165:$I$185,4,0))</f>
        <v>0</v>
      </c>
      <c r="DX67" s="16">
        <f>IF(ISNA(VLOOKUP(A67,'Données projet'!$A$165:$I$185,5,0)),0%,VLOOKUP(A67,'Données projet'!$A$165:$I$185,5,0)*VLOOKUP('Données projet'!$B$14,Paramètres!$A$1:$I$89,7,0))</f>
        <v>0</v>
      </c>
      <c r="DY67" s="16">
        <f>IF(ISNA(VLOOKUP(A67,'Données projet'!$A$165:$I$185,6,0)),0%,VLOOKUP(A67,'Données projet'!$A$165:$I$185,6,0)*VLOOKUP('Données projet'!$B$14,Paramètres!$A$1:$I$89,7,0))</f>
        <v>0</v>
      </c>
      <c r="DZ67" s="16">
        <f>IF(ISNA(VLOOKUP(A67,'Données projet'!$A$165:$I$185,7,0)),0%,VLOOKUP(A67,'Données projet'!$A$165:$I$185,7,0))</f>
        <v>0</v>
      </c>
      <c r="EA67" s="21">
        <f>EXP(-LN(2)/35)*EA66+(1-EXP(-LN(2)/35))/(LN(2)/35)*DW67*DX67*VLOOKUP('Données projet'!$B$14,Paramètres!$A$1:$I$89,3,0)*0.475*44/12</f>
        <v>0.79420080040145336</v>
      </c>
      <c r="EB67" s="21">
        <f>EXP(-LN(2)/25)*EB66+(1-EXP(-LN(2)/25))/(LN(2)/25)*Calculateur!DW67*Calculateur!DY67*VLOOKUP('Données projet'!$B$14,Paramètres!$A$1:$I$89,3,0)*0.475*44/12</f>
        <v>3.1314738381151743</v>
      </c>
      <c r="EC67" s="21">
        <f>EXP(-LN(2)/2)*EC66+(1-EXP(-LN(2)/2))/(LN(2)/2)*DW67*DZ67*VLOOKUP('Données projet'!$B$14,Paramètres!$A$1:$I$89,3,0)*0.475*44/12</f>
        <v>1.0678411854711218E-4</v>
      </c>
      <c r="ED67" s="22">
        <f t="shared" si="18"/>
        <v>3.925781422635175</v>
      </c>
      <c r="EE67" s="75">
        <f>('Scénario référence'!$F$8+'Scénario référence'!$F$9+'Scénario référence'!$B$17+'Scénario référence'!$B$9+'Scénario référence'!$B$10)*70+IF((45+25*(1-EXP(-0.0175*A67)))&lt;70,'Scénario référence'!$B$16*(45+25*(1-EXP(-0.0175*A67))),70*'Scénario référence'!$B$16)+IF((32+38*(1-EXP(-0.0175*A67)))&lt;70,'Scénario référence'!$B$18*(32+38*(1-EXP(-0.0175*A67))),70*'Scénario référence'!$B$18)</f>
        <v>70</v>
      </c>
      <c r="EF67" s="12">
        <f>IF(A67&gt;30,10,('Scénario référence'!$B$16+'Scénario référence'!$B$17+'Scénario référence'!$B$18+'Scénario référence'!$B$9+'Scénario référence'!$B$10)*A67*10/30+('Scénario référence'!$F$8+'Scénario référence'!$F$9)*10)</f>
        <v>10</v>
      </c>
      <c r="EG67" s="12" t="e">
        <f>VLOOKUP(A67,'Données projet'!$A$191:$I$211,2,0)</f>
        <v>#N/A</v>
      </c>
      <c r="EH67" s="12" t="e">
        <f>VLOOKUP(A67,'Données projet'!$A$191:$I$211,9,0)</f>
        <v>#N/A</v>
      </c>
      <c r="EI67" s="12">
        <f t="array" ref="EI67">INDEX(EH:EH,MIN(IF(ISNUMBER(EH67:EH263),ROW(EH67:EH263),"")))</f>
        <v>5.9</v>
      </c>
      <c r="EJ67" s="12">
        <f>IF('Données projet'!$A$192&gt;35,EJ66+EI67-ER66,IF(A67&lt;'Données projet'!$A$192,$EG$205^A67,IF(A67='Données projet'!$A$192,'Données projet'!$B$192,EJ66+EI67-ER66)))</f>
        <v>239.6</v>
      </c>
      <c r="EK67" s="17">
        <f>EJ67*VLOOKUP('Données projet'!$B$15,Paramètres!$A$1:$I$89,3,0)*VLOOKUP('Données projet'!$B$15,Paramètres!$A$1:$I$89,5,0)</f>
        <v>194.36351999999999</v>
      </c>
      <c r="EL67" s="13">
        <f t="shared" si="45"/>
        <v>48.503386608105338</v>
      </c>
      <c r="EM67" s="20">
        <f t="shared" si="19"/>
        <v>422.9931956757834</v>
      </c>
      <c r="EN67" s="59">
        <f t="shared" si="20"/>
        <v>716.32652900911671</v>
      </c>
      <c r="EO67" s="59">
        <f ca="1">AVERAGE(OFFSET($EN$3,0,0,'Données projet'!$E$15+1,1))-AVERAGE(OFFSET($H$3,0,0,'Données projet'!$E$15+1,1))</f>
        <v>205.5272583787887</v>
      </c>
      <c r="EP67" s="59">
        <f t="shared" si="46"/>
        <v>180.54762778843178</v>
      </c>
      <c r="EQ67" s="15">
        <f>IF(ISNA(VLOOKUP(A67,'Données projet'!$A$191:$I$211,3,0)),0,VLOOKUP(A67,'Données projet'!$A$191:$I$211,3,0))</f>
        <v>0</v>
      </c>
      <c r="ER67" s="15">
        <f>IF(ISNA(VLOOKUP(A67,'Données projet'!$A$191:$I$211,4,0)),0,VLOOKUP(A67,'Données projet'!$A$191:$I$211,4,0))</f>
        <v>0</v>
      </c>
      <c r="ES67" s="16">
        <f>IF(ISNA(VLOOKUP(A67,'Données projet'!$A$191:$I$211,5,0)),0%,VLOOKUP(A67,'Données projet'!$A$191:$I$211,5,0)*VLOOKUP('Données projet'!$B$15,Paramètres!$A$1:$I$89,7,0))</f>
        <v>0</v>
      </c>
      <c r="ET67" s="16">
        <f>IF(ISNA(VLOOKUP(A67,'Données projet'!$A$191:$I$211,6,0)),0%,VLOOKUP(A67,'Données projet'!$A$191:$I$211,6,0)*VLOOKUP('Données projet'!$B$15,Paramètres!$A$1:$I$89,7,0))</f>
        <v>0</v>
      </c>
      <c r="EU67" s="16">
        <f>IF(ISNA(VLOOKUP(A67,'Données projet'!$A$191:$I$211,7,0)),0%,VLOOKUP(A67,'Données projet'!$A$191:$I$211,7,0))</f>
        <v>0</v>
      </c>
      <c r="EV67" s="21">
        <f>EXP(-LN(2)/35)*EV66+(1-EXP(-LN(2)/35))/(LN(2)/35)*ER67*ES67*VLOOKUP('Données projet'!$B$15,Paramètres!$A$1:$I$89,3,0)*0.475*44/12</f>
        <v>0.51131403911560214</v>
      </c>
      <c r="EW67" s="21">
        <f>EXP(-LN(2)/25)*EW66+(1-EXP(-LN(2)/25))/(LN(2)/25)*Calculateur!ER67*Calculateur!ET67*VLOOKUP('Données projet'!$B$15,Paramètres!$A$1:$I$89,3,0)*0.475*44/12</f>
        <v>2.2610191073995294</v>
      </c>
      <c r="EX67" s="21">
        <f>EXP(-LN(2)/2)*EX66+(1-EXP(-LN(2)/2))/(LN(2)/2)*ER67*EU67*VLOOKUP('Données projet'!$B$15,Paramètres!$A$1:$I$89,3,0)*0.475*44/12</f>
        <v>6.9142795718230764E-5</v>
      </c>
      <c r="EY67" s="22">
        <f t="shared" si="21"/>
        <v>2.7724022893108495</v>
      </c>
      <c r="EZ67" s="75">
        <f>('Scénario référence'!$F$8+'Scénario référence'!$F$9+'Scénario référence'!$B$17+'Scénario référence'!$B$9+'Scénario référence'!$B$10)*70+IF((45+25*(1-EXP(-0.0175*A67)))&lt;70,'Scénario référence'!$B$16*(45+25*(1-EXP(-0.0175*A67))),70*'Scénario référence'!$B$16)+IF((32+38*(1-EXP(-0.0175*A67)))&lt;70,'Scénario référence'!$B$18*(32+38*(1-EXP(-0.0175*A67))),70*'Scénario référence'!$B$18)</f>
        <v>70</v>
      </c>
      <c r="FA67" s="12">
        <f>IF(A67&gt;30,10,('Scénario référence'!$B$16+'Scénario référence'!$B$17+'Scénario référence'!$B$18+'Scénario référence'!$B$9+'Scénario référence'!$B$10)*A67*10/30+('Scénario référence'!$F$8+'Scénario référence'!$F$9)*10)</f>
        <v>10</v>
      </c>
      <c r="FB67" s="12" t="e">
        <f>VLOOKUP(A67,'Données projet'!$A$217:$I$237,2,0)</f>
        <v>#N/A</v>
      </c>
      <c r="FC67" s="12" t="e">
        <f>VLOOKUP(A67,'Données projet'!$A$217:$I$237,9,0)</f>
        <v>#N/A</v>
      </c>
      <c r="FD67" s="12">
        <f t="array" ref="FD67">INDEX(FC:FC,MIN(IF(ISNUMBER(FC67:FC263),ROW(FC67:FC263),"")))</f>
        <v>13</v>
      </c>
      <c r="FE67" s="12">
        <f>IF('Données projet'!$A$218&gt;35,FE66+FD67-FM66,IF(A67&lt;'Données projet'!$A$218,$FB$205^A67,IF(A67='Données projet'!$A$218,'Données projet'!$B$218,FE66+FD67-FM66)))</f>
        <v>293.99999999999994</v>
      </c>
      <c r="FF67" s="17">
        <f>FE67*VLOOKUP('Données projet'!$B$16,Paramètres!$A$1:$I$89,3,0)*VLOOKUP('Données projet'!$B$16,Paramètres!$A$1:$I$89,5,0)</f>
        <v>252.25199999999998</v>
      </c>
      <c r="FG67" s="13">
        <f t="shared" si="47"/>
        <v>61.067920784150822</v>
      </c>
      <c r="FH67" s="20">
        <f t="shared" si="22"/>
        <v>545.69886203239594</v>
      </c>
      <c r="FI67" s="59">
        <f t="shared" si="23"/>
        <v>839.03219536572919</v>
      </c>
      <c r="FJ67" s="59">
        <f ca="1">AVERAGE(OFFSET($FI$3,0,0,'Données projet'!$E$16+1,1))-AVERAGE(OFFSET($H$3,0,0,'Données projet'!$E$16+1,1))</f>
        <v>383.97627237444709</v>
      </c>
      <c r="FK67" s="59">
        <f t="shared" si="48"/>
        <v>203.35476578922339</v>
      </c>
      <c r="FL67" s="15">
        <f>IF(ISNA(VLOOKUP(A67,'Données projet'!$A$217:$I$237,3,0)),0,VLOOKUP(A67,'Données projet'!$A$217:$I$237,3,0))</f>
        <v>0</v>
      </c>
      <c r="FM67" s="15">
        <f>IF(ISNA(VLOOKUP(A67,'Données projet'!$A$217:$I$237,4,0)),0,VLOOKUP(A67,'Données projet'!$A$217:$I$237,4,0))</f>
        <v>0</v>
      </c>
      <c r="FN67" s="16">
        <f>IF(ISNA(VLOOKUP(A67,'Données projet'!$A$217:$I$237,5,0)),0%,VLOOKUP(A67,'Données projet'!$A$217:$I$237,5,0)*VLOOKUP('Données projet'!$B$16,Paramètres!$A$1:$I$89,7,0))</f>
        <v>0</v>
      </c>
      <c r="FO67" s="16">
        <f>IF(ISNA(VLOOKUP(A67,'Données projet'!$A$217:$I$237,6,0)),0%,VLOOKUP(A67,'Données projet'!$A$217:$I$237,6,0)*VLOOKUP('Données projet'!$B$16,Paramètres!$A$1:$I$89,7,0))</f>
        <v>0</v>
      </c>
      <c r="FP67" s="16">
        <f>IF(ISNA(VLOOKUP(A67,'Données projet'!$A$217:$I$237,7,0)),0%,VLOOKUP(A67,'Données projet'!$A$217:$I$237,7,0))</f>
        <v>0</v>
      </c>
      <c r="FQ67" s="21">
        <f>EXP(-LN(2)/35)*FQ66+(1-EXP(-LN(2)/35))/(LN(2)/35)*FM67*FN67*VLOOKUP('Données projet'!$B$16,Paramètres!$A$1:$I$89,3,0)*0.475*44/12</f>
        <v>2.627876762457912</v>
      </c>
      <c r="FR67" s="21">
        <f>EXP(-LN(2)/25)*FR66+(1-EXP(-LN(2)/25))/(LN(2)/25)*Calculateur!FM67*Calculateur!FO67*VLOOKUP('Données projet'!$B$16,Paramètres!$A$1:$I$89,3,0)*0.475*44/12</f>
        <v>2.295168092545302</v>
      </c>
      <c r="FS67" s="21">
        <f>EXP(-LN(2)/2)*FS66+(1-EXP(-LN(2)/2))/(LN(2)/2)*FM67*FP67*VLOOKUP('Données projet'!$B$16,Paramètres!$A$1:$I$89,3,0)*0.475*44/12</f>
        <v>1.2700112557823099E-4</v>
      </c>
      <c r="FT67" s="22">
        <f t="shared" si="24"/>
        <v>4.9231718561287918</v>
      </c>
      <c r="FU67" s="75">
        <f>('Scénario référence'!$F$8+'Scénario référence'!$F$9+'Scénario référence'!$B$17+'Scénario référence'!$B$9+'Scénario référence'!$B$10)*70+IF((45+25*(1-EXP(-0.0175*A67)))&lt;70,'Scénario référence'!$B$16*(45+25*(1-EXP(-0.0175*A67))),70*'Scénario référence'!$B$16)+IF((32+38*(1-EXP(-0.0175*A67)))&lt;70,'Scénario référence'!$B$18*(32+38*(1-EXP(-0.0175*A67))),70*'Scénario référence'!$B$18)</f>
        <v>70</v>
      </c>
      <c r="FV67" s="12">
        <f>IF(A67&gt;30,10,('Scénario référence'!$B$16+'Scénario référence'!$B$17+'Scénario référence'!$B$18+'Scénario référence'!$B$9+'Scénario référence'!$B$10)*A67*10/30+('Scénario référence'!$F$8+'Scénario référence'!$F$9)*10)</f>
        <v>10</v>
      </c>
      <c r="FW67" s="12" t="e">
        <f>VLOOKUP(A67,'Données projet'!$A$243:$I$263,2,0)</f>
        <v>#N/A</v>
      </c>
      <c r="FX67" s="12" t="e">
        <f>VLOOKUP(A67,'Données projet'!$A$243:$I$263,9,0)</f>
        <v>#N/A</v>
      </c>
      <c r="FY67" s="12">
        <f t="array" ref="FY67">INDEX(FX:FX,MIN(IF(ISNUMBER(FX67:FX263),ROW(FX67:FX263),"")))</f>
        <v>8.1001602564102555</v>
      </c>
      <c r="FZ67" s="12">
        <f>IF('Données projet'!$A$244&gt;35,FZ66+FY67-GH66,IF(A67&lt;'Données projet'!$A$244,$FW$205^A67,IF(A67='Données projet'!$A$244,'Données projet'!$B$244,FZ66+FY67-GH66)))</f>
        <v>186.66426282051287</v>
      </c>
      <c r="GA67" s="17">
        <f>FZ67*VLOOKUP('Données projet'!$B$17,Paramètres!$A$1:$I$89,3,0)*VLOOKUP('Données projet'!$B$17,Paramètres!$A$1:$I$89,5,0)</f>
        <v>200.92541250000005</v>
      </c>
      <c r="GB67" s="13">
        <f t="shared" si="49"/>
        <v>49.947490708913911</v>
      </c>
      <c r="GC67" s="20">
        <f t="shared" si="25"/>
        <v>436.93697308885839</v>
      </c>
      <c r="GD67" s="59">
        <f t="shared" si="26"/>
        <v>730.27030642219165</v>
      </c>
      <c r="GE67" s="59">
        <f ca="1">AVERAGE(OFFSET($GD$3,0,0,'Données projet'!$E$17+1,1))-AVERAGE(OFFSET($H$3,0,0,'Données projet'!$E$17+1,1))</f>
        <v>286.77702855541287</v>
      </c>
      <c r="GF67" s="59">
        <f t="shared" si="50"/>
        <v>227.12211541860779</v>
      </c>
      <c r="GG67" s="15">
        <f>IF(ISNA(VLOOKUP(A67,'Données projet'!$A$243:$I$263,3,0)),0,VLOOKUP(A67,'Données projet'!$A$243:$I$263,3,0))</f>
        <v>0</v>
      </c>
      <c r="GH67" s="15">
        <f>IF(ISNA(VLOOKUP(A67,'Données projet'!$A$243:$I$263,4,0)),0,VLOOKUP(A67,'Données projet'!$A$243:$I$263,4,0))</f>
        <v>0</v>
      </c>
      <c r="GI67" s="16">
        <f>IF(ISNA(VLOOKUP(A67,'Données projet'!$A$243:$I$263,5,0)),0%,VLOOKUP(A67,'Données projet'!$A$243:$I$263,5,0)*VLOOKUP('Données projet'!$B$17,Paramètres!$A$1:$I$89,7,0))</f>
        <v>0</v>
      </c>
      <c r="GJ67" s="16">
        <f>IF(ISNA(VLOOKUP(A67,'Données projet'!$A$243:$I$263,6,0)),0%,VLOOKUP(A67,'Données projet'!$A$243:$I$263,6,0)*VLOOKUP('Données projet'!$B$17,Paramètres!$A$1:$I$89,7,0))</f>
        <v>0</v>
      </c>
      <c r="GK67" s="16">
        <f>IF(ISNA(VLOOKUP(A67,'Données projet'!$A$243:$I$263,7,0)),0%,VLOOKUP(A67,'Données projet'!$A$243:$I$263,7,0))</f>
        <v>0</v>
      </c>
      <c r="GL67" s="21">
        <f>EXP(-LN(2)/35)*GL66+(1-EXP(-LN(2)/35))/(LN(2)/35)*GH67*GI67*VLOOKUP('Données projet'!$B$17,Paramètres!$A$1:$I$89,3,0)*0.475*44/12</f>
        <v>0</v>
      </c>
      <c r="GM67" s="21">
        <f>EXP(-LN(2)/25)*GM66+(1-EXP(-LN(2)/25))/(LN(2)/25)*Calculateur!GH67*Calculateur!GJ67*VLOOKUP('Données projet'!$B$17,Paramètres!$A$1:$I$89,3,0)*0.475*44/12</f>
        <v>0</v>
      </c>
      <c r="GN67" s="21">
        <f>EXP(-LN(2)/2)*GN66+(1-EXP(-LN(2)/2))/(LN(2)/2)*GH67*GK67*VLOOKUP('Données projet'!$B$17,Paramètres!$A$1:$I$89,3,0)*0.475*44/12</f>
        <v>0</v>
      </c>
      <c r="GO67" s="21">
        <f t="shared" si="27"/>
        <v>0</v>
      </c>
      <c r="GP67" s="75">
        <f>('Scénario référence'!$F$8+'Scénario référence'!$F$9+'Scénario référence'!$B$17+'Scénario référence'!$B$9+'Scénario référence'!$B$10)*70+IF((45+25*(1-EXP(-0.0175*A67)))&lt;70,'Scénario référence'!$B$16*(45+25*(1-EXP(-0.0175*A67))),70*'Scénario référence'!$B$16)+IF((32+38*(1-EXP(-0.0175*A67)))&lt;70,'Scénario référence'!$B$18*(32+38*(1-EXP(-0.0175*A67))),70*'Scénario référence'!$B$18)</f>
        <v>70</v>
      </c>
      <c r="GQ67" s="12">
        <f>IF(A67&gt;30,10,('Scénario référence'!$B$16+'Scénario référence'!$B$17+'Scénario référence'!$B$18+'Scénario référence'!$B$9+'Scénario référence'!$B$10)*A67*10/30+('Scénario référence'!$F$8+'Scénario référence'!$F$9)*10)</f>
        <v>10</v>
      </c>
      <c r="GR67" s="12" t="e">
        <f>VLOOKUP(A67,'Données projet'!$A$269:$I$289,2,0)</f>
        <v>#N/A</v>
      </c>
      <c r="GS67" s="12" t="e">
        <f>VLOOKUP(A67,'Données projet'!$A$269:$I$289,9,0)</f>
        <v>#N/A</v>
      </c>
      <c r="GT67" s="12">
        <f t="array" ref="GT67">INDEX(GS:GS,MIN(IF(ISNUMBER(GS67:GS263),ROW(GS67:GS263),"")))</f>
        <v>8.1001602564102555</v>
      </c>
      <c r="GU67" s="12">
        <f>IF('Données projet'!$A$270&gt;35,GU66+GT67-HC66,IF(A67&lt;'Données projet'!$A$270,$GR$205^A67,IF(A67='Données projet'!$A$270,'Données projet'!$B$270,GU66+GT67-HC66)))</f>
        <v>186.66426282051287</v>
      </c>
      <c r="GV67" s="17">
        <f>GU67*VLOOKUP('Données projet'!$B$18,Paramètres!$A$1:$I$89,3,0)*VLOOKUP('Données projet'!$B$18,Paramètres!$A$1:$I$89,5,0)</f>
        <v>200.92541250000005</v>
      </c>
      <c r="GW67" s="13">
        <f t="shared" si="51"/>
        <v>49.947490708913911</v>
      </c>
      <c r="GX67" s="20">
        <f t="shared" si="28"/>
        <v>436.93697308885839</v>
      </c>
      <c r="GY67" s="59">
        <f t="shared" si="29"/>
        <v>730.27030642219165</v>
      </c>
      <c r="GZ67" s="59">
        <f ca="1">AVERAGE(OFFSET($GY$3,0,0,'Données projet'!$E$18+1,1))-AVERAGE(OFFSET($H$3,0,0,'Données projet'!$E$18+1,1))</f>
        <v>286.77702855541287</v>
      </c>
      <c r="HA67" s="59">
        <f t="shared" si="52"/>
        <v>227.12211541860779</v>
      </c>
      <c r="HB67" s="15">
        <f>IF(ISNA(VLOOKUP(A67,'Données projet'!$A$269:$I$289,3,0)),0,VLOOKUP(A67,'Données projet'!$A$269:$I$289,3,0))</f>
        <v>0</v>
      </c>
      <c r="HC67" s="15">
        <f>IF(ISNA(VLOOKUP(A67,'Données projet'!$A$269:$I$289,4,0)),0,VLOOKUP(A67,'Données projet'!$A$269:$I$289,4,0))</f>
        <v>0</v>
      </c>
      <c r="HD67" s="16">
        <f>IF(ISNA(VLOOKUP(A67,'Données projet'!$A$269:$I$289,5,0)),0%,VLOOKUP(A67,'Données projet'!$A$269:$I$289,5,0)*VLOOKUP('Données projet'!$B$18,Paramètres!$A$1:$I$89,7,0))</f>
        <v>0</v>
      </c>
      <c r="HE67" s="16">
        <f>IF(ISNA(VLOOKUP(A67,'Données projet'!$A$269:$I$289,6,0)),0%,VLOOKUP(A67,'Données projet'!$A$269:$I$289,6,0)*VLOOKUP('Données projet'!$B$18,Paramètres!$A$1:$I$89,7,0))</f>
        <v>0</v>
      </c>
      <c r="HF67" s="16">
        <f>IF(ISNA(VLOOKUP(A67,'Données projet'!$A$269:$I$289,7,0)),0%,VLOOKUP(A67,'Données projet'!$A$269:$I$289,7,0))</f>
        <v>0</v>
      </c>
      <c r="HG67" s="21">
        <f>EXP(-LN(2)/35)*HG66+(1-EXP(-LN(2)/35))/(LN(2)/35)*HC67*HD67*VLOOKUP('Données projet'!$B$18,Paramètres!$A$1:$I$89,3,0)*0.475*44/12</f>
        <v>0</v>
      </c>
      <c r="HH67" s="21">
        <f>EXP(-LN(2)/25)*HH66+(1-EXP(-LN(2)/25))/(LN(2)/25)*Calculateur!HC67*Calculateur!HE67*VLOOKUP('Données projet'!$B$18,Paramètres!$A$1:$I$89,3,0)*0.475*44/12</f>
        <v>0</v>
      </c>
      <c r="HI67" s="21">
        <f>EXP(-LN(2)/2)*HI66+(1-EXP(-LN(2)/2))/(LN(2)/2)*HC67*HF67*VLOOKUP('Données projet'!$B$18,Paramètres!$A$1:$I$89,3,0)*0.475*44/12</f>
        <v>0</v>
      </c>
      <c r="HJ67" s="22">
        <f t="shared" si="30"/>
        <v>0</v>
      </c>
    </row>
    <row r="68" spans="1:218" x14ac:dyDescent="0.25">
      <c r="A68" s="10">
        <f t="shared" si="31"/>
        <v>65</v>
      </c>
      <c r="B68" s="73">
        <f>'Scénario référence'!$B$16*5+'Scénario référence'!$B$17*0+'Scénario référence'!$B$18*5</f>
        <v>0</v>
      </c>
      <c r="C68" s="19">
        <f>Calculateur!C67+'Scénario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57.798000000000059</v>
      </c>
      <c r="D68" s="11">
        <f t="shared" si="32"/>
        <v>16.610328609523005</v>
      </c>
      <c r="E6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68" s="11">
        <f>IF(OR('Scénario référence'!$F$8&gt;0,'Scénario référence'!$F$9&gt;0),('Scénario référence'!$F$8+'Scénario référence'!$F$9)*10,0)</f>
        <v>10</v>
      </c>
      <c r="G68" s="11">
        <f>'Scénario référence'!$B$8*B68*44/12+'Scénario référence'!$B$9*(C68+D68)/0.475*44/12+'Scénario référence'!$B$10*(C68+D68)/0.475*44/12+'Scénario référence'!$F$8*(C68+D68)/0.475*44/12+'Scénario référence'!$F$9*(C68+D68)/0.475*44/12</f>
        <v>574.38008049456403</v>
      </c>
      <c r="H68" s="67">
        <f t="shared" ref="H68:H131" si="56">(B68+E68+F68)*44/12+(C68+D68)*0.475*44/12</f>
        <v>422.92783899491928</v>
      </c>
      <c r="I68" s="70">
        <f>('Scénario référence'!$F$8+'Scénario référence'!$F$9+'Scénario référence'!$B$17+'Scénario référence'!$B$9+'Scénario référence'!$B$10)*70+IF((45+25*(1-EXP(-0.0175*A68)))&lt;70,'Scénario référence'!$B$16*(45+25*(1-EXP(-0.0175*A68))),70*'Scénario référence'!$B$16)+IF((32+38*(1-EXP(-0.0175*A68)))&lt;70,'Scénario référence'!$B$18*(32+38*(1-EXP(-0.0175*A68))),70*'Scénario référence'!$B$18)</f>
        <v>70</v>
      </c>
      <c r="J68" s="13">
        <f>IF(A68&gt;30,10,('Scénario référence'!$B$16+'Scénario référence'!$B$17+'Scénario référence'!$B$18+'Scénario référence'!$B$9+'Scénario référence'!$B$10)*A68*10/30+('Scénario référence'!$F$8+'Scénario référence'!$F$9)*10)</f>
        <v>10</v>
      </c>
      <c r="K68" s="12" t="e">
        <f>VLOOKUP(A68,'Données projet'!$A$35:$I$55,2,0)</f>
        <v>#N/A</v>
      </c>
      <c r="L68" s="12" t="e">
        <f>VLOOKUP(A68,'Données projet'!$A$35:$I$55,9,0)</f>
        <v>#N/A</v>
      </c>
      <c r="M68" s="12">
        <f t="array" ref="M68">INDEX(L:L,MIN(IF(ISNUMBER(L68:L264),ROW(L68:L264),"")))</f>
        <v>0</v>
      </c>
      <c r="N68" s="13">
        <f>IF('Données projet'!$A$36&gt;35,N67+M68-V67,IF(A68&lt;'Données projet'!$A$36,$K$205^A68,IF(A68='Données projet'!$A$36,'Données projet'!$B$36,N67+M68-V67)))</f>
        <v>-2.2737367544323206E-13</v>
      </c>
      <c r="O68" s="13">
        <f>N68*VLOOKUP('Données projet'!$B$9,Paramètres!$A$1:$I$89,3,0)*VLOOKUP('Données projet'!$B$9,Paramètres!$A$1:$I$89,5,0)</f>
        <v>-1.2710188457276673E-13</v>
      </c>
      <c r="P68" s="13" t="e">
        <f t="shared" si="33"/>
        <v>#NUM!</v>
      </c>
      <c r="Q68" s="20" t="e">
        <f t="shared" si="54"/>
        <v>#NUM!</v>
      </c>
      <c r="R68" s="59" t="e">
        <f t="shared" si="55"/>
        <v>#NUM!</v>
      </c>
      <c r="S68" s="59">
        <f ca="1">AVERAGE(OFFSET($R$3,0,0,'Données projet'!$E$9+1,1))-AVERAGE(OFFSET($H$3,0,0,'Données projet'!$E$9+1,1))</f>
        <v>255.5374979188561</v>
      </c>
      <c r="T68" s="59">
        <f t="shared" si="34"/>
        <v>343.10418468620901</v>
      </c>
      <c r="U68" s="15">
        <f>IF(ISNA(VLOOKUP(A68,'Données projet'!$A$35:$I$55,3,0)),0,VLOOKUP(A68,'Données projet'!$A$35:$I$55,3,0))</f>
        <v>0</v>
      </c>
      <c r="V68" s="15">
        <f>IF(ISNA(VLOOKUP(A68,'Données projet'!$A$35:$I$55,4,0)),0,VLOOKUP(A68,'Données projet'!$A$35:$I$55,4,0))</f>
        <v>0</v>
      </c>
      <c r="W68" s="16">
        <f>IF(ISNA(VLOOKUP(A68,'Données projet'!$A$35:$I$55,5,0)),0%,VLOOKUP(A68,'Données projet'!$A$35:$I$55,5,0)*VLOOKUP('Données projet'!$B$9,Paramètres!$A$1:$I$89,7,0))</f>
        <v>0</v>
      </c>
      <c r="X68" s="16">
        <f>IF(ISNA(VLOOKUP(A68,'Données projet'!$A$35:$I$55,6,0)),0%,VLOOKUP(A68,'Données projet'!$A$35:$I$55,6,0)*VLOOKUP('Données projet'!$B$9,Paramètres!$A$1:$I$89,7,0))</f>
        <v>0</v>
      </c>
      <c r="Y68" s="16">
        <f>IF(ISNA(VLOOKUP(A68,'Données projet'!$A$35:$I$55,7,0)),0%,VLOOKUP(A68,'Données projet'!$A$35:$I$55,7,0))</f>
        <v>0</v>
      </c>
      <c r="Z68" s="21">
        <f>EXP(-LN(2)/35)*Z67+(1-EXP(-LN(2)/35))/(LN(2)/35)*V68*W68*VLOOKUP('Données projet'!$B$9,Paramètres!$A$1:$I$89,3,0)*0.475*44/12</f>
        <v>1.5450204232772067</v>
      </c>
      <c r="AA68" s="21">
        <f>EXP(-LN(2)/25)*AA67+(1-EXP(-LN(2)/25))/(LN(2)/25)*Calculateur!V68*Calculateur!X68*VLOOKUP('Données projet'!$B$9,Paramètres!$A$1:$I$89,3,0)*0.475*44/12</f>
        <v>6.0478072923865165</v>
      </c>
      <c r="AB68" s="21">
        <f>EXP(-LN(2)/2)*AB67+(1-EXP(-LN(2)/2))/(LN(2)/2)*V68*Y68*VLOOKUP('Données projet'!$B$9,Paramètres!$A$1:$I$89,3,0)*0.475*44/12</f>
        <v>9.1315136991232369E-6</v>
      </c>
      <c r="AC68" s="22">
        <f t="shared" ref="AC68:AC131" si="57">SUM(Z68:AB68)</f>
        <v>7.5928368471774226</v>
      </c>
      <c r="AD68" s="13">
        <f>('Scénario référence'!$F$8+'Scénario référence'!$F$9+'Scénario référence'!$B$17+'Scénario référence'!$B$9+'Scénario référence'!$B$10)*70+IF((45+25*(1-EXP(-0.0175*A68)))&lt;70,'Scénario référence'!$B$16*(45+25*(1-EXP(-0.0175*A68))),70*'Scénario référence'!$B$16)+IF((32+38*(1-EXP(-0.0175*A68)))&lt;70,'Scénario référence'!$B$18*(32+38*(1-EXP(-0.0175*A68))),70*'Scénario référence'!$B$18)</f>
        <v>70</v>
      </c>
      <c r="AE68" s="13">
        <f>IF(A68&gt;30,10,('Scénario référence'!$B$16+'Scénario référence'!$B$17+'Scénario référence'!$B$18+'Scénario référence'!$B$9+'Scénario référence'!$B$10)*A68*10/30+('Scénario référence'!$F$8+'Scénario référence'!$F$9)*10)</f>
        <v>10</v>
      </c>
      <c r="AF68" s="12" t="e">
        <f>VLOOKUP(A68,'Données projet'!$A$61:$I$81,2,0)</f>
        <v>#N/A</v>
      </c>
      <c r="AG68" s="12" t="e">
        <f>VLOOKUP(A68,'Données projet'!$A$61:$I$81,9,0)</f>
        <v>#N/A</v>
      </c>
      <c r="AH68" s="12">
        <f t="array" ref="AH68">INDEX(AG:AG,MIN(IF(ISNUMBER(AG68:AG264),ROW(AG68:AG264),"")))</f>
        <v>7.8</v>
      </c>
      <c r="AI68" s="13">
        <f>IF('Données projet'!$A$62&gt;35,AI67+AH68-AQ67,IF(A68&lt;'Données projet'!$A$62,$AF$205^A68,IF(A68='Données projet'!$A$62,'Données projet'!$B$62,AI67+AH68-AQ67)))</f>
        <v>387.99999999999994</v>
      </c>
      <c r="AJ68" s="13">
        <f>AI68*VLOOKUP('Données projet'!$B$10,Paramètres!$A$1:$I$89,3,0)*VLOOKUP('Données projet'!$B$10,Paramètres!$A$1:$I$89,5,0)</f>
        <v>242.11199999999994</v>
      </c>
      <c r="AK68" s="13">
        <f t="shared" si="35"/>
        <v>58.893705600066006</v>
      </c>
      <c r="AL68" s="20">
        <f t="shared" ref="AL68:AL131" si="58">(AJ68+AK68)*0.475*44/12</f>
        <v>524.2516039201148</v>
      </c>
      <c r="AM68" s="59">
        <f t="shared" ref="AM68:AM131" si="59">AL68+(AD68+AE68)*44/12</f>
        <v>817.58493725344806</v>
      </c>
      <c r="AN68" s="59">
        <f ca="1">AVERAGE(OFFSET($AM$3,0,0,'Données projet'!$E$10+1,1))-AVERAGE(OFFSET($H$3,0,0,'Données projet'!$E$10+1,1))</f>
        <v>261.78489480911571</v>
      </c>
      <c r="AO68" s="59">
        <f t="shared" si="36"/>
        <v>297.50513563712764</v>
      </c>
      <c r="AP68" s="15">
        <f>IF(ISNA(VLOOKUP(A68,'Données projet'!$A$61:$I$81,3,0)),0,VLOOKUP(A68,'Données projet'!$A$61:$I$81,3,0))</f>
        <v>0</v>
      </c>
      <c r="AQ68" s="15">
        <f>IF(ISNA(VLOOKUP(A68,'Données projet'!$A$61:$I$81,4,0)),0,VLOOKUP(A68,'Données projet'!$A$61:$I$81,4,0))</f>
        <v>0</v>
      </c>
      <c r="AR68" s="16">
        <f>IF(ISNA(VLOOKUP(A68,'Données projet'!$A$61:$I$81,5,0)),0%,VLOOKUP(A68,'Données projet'!$A$61:$I$81,5,0)*VLOOKUP('Données projet'!$B$10,Paramètres!$A$1:$I$89,7,0))</f>
        <v>0</v>
      </c>
      <c r="AS68" s="16">
        <f>IF(ISNA(VLOOKUP(A68,'Données projet'!$A$61:$I$81,6,0)),0%,VLOOKUP(A68,'Données projet'!$A$61:$I$81,6,0)*VLOOKUP('Données projet'!$B$10,Paramètres!$A$1:$I$89,7,0))</f>
        <v>0</v>
      </c>
      <c r="AT68" s="16">
        <f>IF(ISNA(VLOOKUP(A68,'Données projet'!$A$61:$I$81,7,0)),0%,VLOOKUP(A68,'Données projet'!$A$61:$I$81,7,0))</f>
        <v>0</v>
      </c>
      <c r="AU68" s="21">
        <f>EXP(-LN(2)/35)*AU67+(1-EXP(-LN(2)/35))/(LN(2)/35)*AQ68*AR68*VLOOKUP('Données projet'!$B$10,Paramètres!$A$1:$I$89,3,0)*0.475*44/12</f>
        <v>4.1719921497791317</v>
      </c>
      <c r="AV68" s="21">
        <f>EXP(-LN(2)/25)*AV67+(1-EXP(-LN(2)/25))/(LN(2)/25)*Calculateur!AQ68*Calculateur!AS68*VLOOKUP('Données projet'!$B$10,Paramètres!$A$1:$I$89,3,0)*0.475*44/12</f>
        <v>10.560705048571782</v>
      </c>
      <c r="AW68" s="21">
        <f>EXP(-LN(2)/2)*AW67+(1-EXP(-LN(2)/2))/(LN(2)/2)*AQ68*AT68*VLOOKUP('Données projet'!$B$10,Paramètres!$A$1:$I$89,3,0)*0.475*44/12</f>
        <v>1.3163946321059777E-4</v>
      </c>
      <c r="AX68" s="21">
        <f t="shared" ref="AX68:AX131" si="60">SUM(AU68:AW68)</f>
        <v>14.732828837814123</v>
      </c>
      <c r="AY68" s="74">
        <f>('Scénario référence'!$F$8+'Scénario référence'!$F$9+'Scénario référence'!$B$17+'Scénario référence'!$B$9+'Scénario référence'!$B$10)*70+IF((45+25*(1-EXP(-0.0175*A68)))&lt;70,'Scénario référence'!$B$16*(45+25*(1-EXP(-0.0175*A68))),70*'Scénario référence'!$B$16)+IF((32+38*(1-EXP(-0.0175*A68)))&lt;70,'Scénario référence'!$B$18*(32+38*(1-EXP(-0.0175*A68))),70*'Scénario référence'!$B$18)</f>
        <v>70</v>
      </c>
      <c r="AZ68" s="12">
        <f>IF(A68&gt;30,10,('Scénario référence'!$B$16+'Scénario référence'!$B$17+'Scénario référence'!$B$18+'Scénario référence'!$B$9+'Scénario référence'!$B$10)*A68*10/30+('Scénario référence'!$F$8+'Scénario référence'!$F$9)*10)</f>
        <v>10</v>
      </c>
      <c r="BA68" s="12" t="e">
        <f>VLOOKUP(A68,'Données projet'!$A$87:$I$107,2,0)</f>
        <v>#N/A</v>
      </c>
      <c r="BB68" s="12" t="e">
        <f>VLOOKUP(A68,'Données projet'!$A$87:$I$107,9,0)</f>
        <v>#N/A</v>
      </c>
      <c r="BC68" s="12">
        <f t="array" ref="BC68">INDEX(BB:BB,MIN(IF(ISNUMBER(BB68:BB264),ROW(BB68:BB264),"")))</f>
        <v>16.399999999999999</v>
      </c>
      <c r="BD68" s="12">
        <f>IF('Données projet'!$A$88&gt;35,BD67+BC68-BL67,IF(A68&lt;'Données projet'!$A$88,$BA$205^A68,IF(A68='Données projet'!$A$88,'Données projet'!$B$88,BD67+BC68-BL67)))</f>
        <v>481.99999999999966</v>
      </c>
      <c r="BE68" s="13">
        <f>BD68*VLOOKUP('Données projet'!$B$11,Paramètres!$A$1:$I$89,3,0)*VLOOKUP('Données projet'!$B$11,Paramètres!$A$1:$I$89,5,0)</f>
        <v>288.23599999999982</v>
      </c>
      <c r="BF68" s="13">
        <f t="shared" si="37"/>
        <v>68.704564966369475</v>
      </c>
      <c r="BG68" s="20">
        <f t="shared" ref="BG68:BG131" si="61">(BE68+BF68)*0.475*44/12</f>
        <v>621.67148398309314</v>
      </c>
      <c r="BH68" s="59">
        <f t="shared" ref="BH68:BH131" si="62">BG68+(AY68+AZ68)*44/12</f>
        <v>915.0048173164264</v>
      </c>
      <c r="BI68" s="59">
        <f ca="1">AVERAGE(OFFSET($BH$3,0,0,'Données projet'!$E$11+1,1))-AVERAGE(OFFSET($H$3,0,0,'Données projet'!$E$11+1,1))</f>
        <v>316.58509520829671</v>
      </c>
      <c r="BJ68" s="59">
        <f t="shared" si="38"/>
        <v>240.71332110643596</v>
      </c>
      <c r="BK68" s="15">
        <f>IF(ISNA(VLOOKUP(A68,'Données projet'!$A$87:$I$107,3,0)),0,VLOOKUP(A68,'Données projet'!$A$87:$I$107,3,0))</f>
        <v>0</v>
      </c>
      <c r="BL68" s="15">
        <f>IF(ISNA(VLOOKUP(A68,'Données projet'!$A$87:$I$107,4,0)),0,VLOOKUP(A68,'Données projet'!$A$87:$I$107,4,0))</f>
        <v>0</v>
      </c>
      <c r="BM68" s="16">
        <f>IF(ISNA(VLOOKUP(A68,'Données projet'!$A$87:$I$107,5,0)),0%,VLOOKUP(A68,'Données projet'!$A$87:$I$107,5,0)*VLOOKUP('Données projet'!$B$11,Paramètres!$A$1:$I$89,7,0))</f>
        <v>0</v>
      </c>
      <c r="BN68" s="16">
        <f>IF(ISNA(VLOOKUP(A68,'Données projet'!$A$87:$I$107,6,0)),0%,VLOOKUP(A68,'Données projet'!$A$87:$I$107,6,0)*VLOOKUP('Données projet'!$B$11,Paramètres!$A$1:$I$89,7,0))</f>
        <v>0</v>
      </c>
      <c r="BO68" s="16">
        <f>IF(ISNA(VLOOKUP(A68,'Données projet'!$A$87:$I$107,7,0)),0%,VLOOKUP(A68,'Données projet'!$A$87:$I$107,7,0))</f>
        <v>0</v>
      </c>
      <c r="BP68" s="21">
        <f>EXP(-LN(2)/35)*BP67+(1-EXP(-LN(2)/35))/(LN(2)/35)*BL68*BM68*VLOOKUP('Données projet'!$B$11,Paramètres!$A$1:$I$89,3,0)*0.475*44/12</f>
        <v>1.2672736571036682</v>
      </c>
      <c r="BQ68" s="21">
        <f>EXP(-LN(2)/25)*BQ67+(1-EXP(-LN(2)/25))/(LN(2)/25)*Calculateur!BL68*Calculateur!BN68*VLOOKUP('Données projet'!$B$11,Paramètres!$A$1:$I$89,3,0)*0.475*44/12</f>
        <v>5.7854623666683578</v>
      </c>
      <c r="BR68" s="21">
        <f>EXP(-LN(2)/2)*BR67+(1-EXP(-LN(2)/2))/(LN(2)/2)*BL68*BO68*VLOOKUP('Données projet'!$B$11,Paramètres!$A$1:$I$89,3,0)*0.475*44/12</f>
        <v>1.1835829360713715E-4</v>
      </c>
      <c r="BS68" s="22">
        <f t="shared" ref="BS68:BS131" si="63">SUM(BP68:BR68)</f>
        <v>7.0528543820656324</v>
      </c>
      <c r="BT68" s="75">
        <f>('Scénario référence'!$F$8+'Scénario référence'!$F$9+'Scénario référence'!$B$17+'Scénario référence'!$B$9+'Scénario référence'!$B$10)*70+IF((45+25*(1-EXP(-0.0175*A68)))&lt;70,'Scénario référence'!$B$16*(45+25*(1-EXP(-0.0175*A68))),70*'Scénario référence'!$B$16)+IF((32+38*(1-EXP(-0.0175*A68)))&lt;70,'Scénario référence'!$B$18*(32+38*(1-EXP(-0.0175*A68))),70*'Scénario référence'!$B$18)</f>
        <v>70</v>
      </c>
      <c r="BU68" s="12">
        <f>IF(A68&gt;30,10,('Scénario référence'!$B$16+'Scénario référence'!$B$17+'Scénario référence'!$B$18+'Scénario référence'!$B$9+'Scénario référence'!$B$10)*A68*10/30+('Scénario référence'!$F$8+'Scénario référence'!$F$9)*10)</f>
        <v>10</v>
      </c>
      <c r="BV68" s="12" t="e">
        <f>VLOOKUP(A68,'Données projet'!$A$113:$I$133,2,0)</f>
        <v>#N/A</v>
      </c>
      <c r="BW68" s="12" t="e">
        <f>VLOOKUP(A68,'Données projet'!$A$113:$I$133,9,0)</f>
        <v>#N/A</v>
      </c>
      <c r="BX68" s="12">
        <f t="array" ref="BX68">INDEX(BW:BW,MIN(IF(ISNUMBER(BW68:BW264),ROW(BW68:BW264),"")))</f>
        <v>7.3</v>
      </c>
      <c r="BY68" s="12">
        <f>IF('Données projet'!$A$114&gt;35,BY67+BX68-CG67,IF(A68&lt;'Données projet'!$A$114,$BV$205^A68,IF(A68='Données projet'!$A$114,'Données projet'!$B$114,BY67+BX68-CG67)))</f>
        <v>313.49999999999983</v>
      </c>
      <c r="BZ68" s="13">
        <f>BY68*VLOOKUP('Données projet'!$B$12,Paramètres!$A$1:$I$89,3,0)*VLOOKUP('Données projet'!$B$12,Paramètres!$A$1:$I$89,5,0)</f>
        <v>179.32199999999989</v>
      </c>
      <c r="CA68" s="13">
        <f t="shared" si="39"/>
        <v>45.171310543834437</v>
      </c>
      <c r="CB68" s="20">
        <f t="shared" ref="CB68:CB131" si="64">(BZ68+CA68)*0.475*44/12</f>
        <v>390.9925158638448</v>
      </c>
      <c r="CC68" s="59">
        <f t="shared" ref="CC68:CC131" si="65">CB68+(BT68+BU68)*44/12</f>
        <v>684.32584919717806</v>
      </c>
      <c r="CD68" s="59">
        <f ca="1">AVERAGE(OFFSET($CC$3,0,0,'Données projet'!$E$12+1,1))-AVERAGE(OFFSET($H$3,0,0,'Données projet'!$E$12+1,1))</f>
        <v>188.64374818906128</v>
      </c>
      <c r="CE68" s="59">
        <f t="shared" si="40"/>
        <v>211.95157880548652</v>
      </c>
      <c r="CF68" s="15">
        <f>IF(ISNA(VLOOKUP(A68,'Données projet'!$A$113:$I$133,3,0)),0,VLOOKUP(A68,'Données projet'!$A$113:$I$133,3,0))</f>
        <v>0</v>
      </c>
      <c r="CG68" s="15">
        <f>IF(ISNA(VLOOKUP(A68,'Données projet'!$A$113:$I$133,4,0)),0,VLOOKUP(A68,'Données projet'!$A$113:$I$133,4,0))</f>
        <v>0</v>
      </c>
      <c r="CH68" s="16">
        <f>IF(ISNA(VLOOKUP(A68,'Données projet'!$A$113:$I$133,5,0)),0%,VLOOKUP(A68,'Données projet'!$A$113:$I$133,5,0)*VLOOKUP('Données projet'!$B$12,Paramètres!$A$1:$I$89,7,0))</f>
        <v>0</v>
      </c>
      <c r="CI68" s="16">
        <f>IF(ISNA(VLOOKUP(A68,'Données projet'!$A$113:$I$133,6,0)),0%,VLOOKUP(A68,'Données projet'!$A$113:$I$133,6,0)*VLOOKUP('Données projet'!$B$12,Paramètres!$A$1:$I$89,7,0))</f>
        <v>0</v>
      </c>
      <c r="CJ68" s="16">
        <f>IF(ISNA(VLOOKUP(A68,'Données projet'!$A$113:$I$133,7,0)),0%,VLOOKUP(A68,'Données projet'!$A$113:$I$133,7,0))</f>
        <v>0</v>
      </c>
      <c r="CK68" s="21">
        <f>EXP(-LN(2)/35)*CK67+(1-EXP(-LN(2)/35))/(LN(2)/35)*CG68*CH68*VLOOKUP('Données projet'!$B$12,Paramètres!$A$1:$I$89,3,0)*0.475*44/12</f>
        <v>1.2292476869884938</v>
      </c>
      <c r="CL68" s="21">
        <f>EXP(-LN(2)/25)*CL67+(1-EXP(-LN(2)/25))/(LN(2)/25)*Calculateur!CG68*Calculateur!CI68*VLOOKUP('Données projet'!$B$12,Paramètres!$A$1:$I$89,3,0)*0.475*44/12</f>
        <v>5.4454081725744201</v>
      </c>
      <c r="CM68" s="21">
        <f>EXP(-LN(2)/2)*CM67+(1-EXP(-LN(2)/2))/(LN(2)/2)*CG68*CJ68*VLOOKUP('Données projet'!$B$12,Paramètres!$A$1:$I$89,3,0)*0.475*44/12</f>
        <v>1.1462074686808909E-4</v>
      </c>
      <c r="CN68" s="22">
        <f t="shared" ref="CN68:CN131" si="66">SUM(CK68:CM68)</f>
        <v>6.6747704803097818</v>
      </c>
      <c r="CO68" s="75">
        <f>('Scénario référence'!$F$8+'Scénario référence'!$F$9+'Scénario référence'!$B$17+'Scénario référence'!$B$9+'Scénario référence'!$B$10)*70+IF((45+25*(1-EXP(-0.0175*A68)))&lt;70,'Scénario référence'!$B$16*(45+25*(1-EXP(-0.0175*A68))),70*'Scénario référence'!$B$16)+IF((32+38*(1-EXP(-0.0175*A68)))&lt;70,'Scénario référence'!$B$18*(32+38*(1-EXP(-0.0175*A68))),70*'Scénario référence'!$B$18)</f>
        <v>70</v>
      </c>
      <c r="CP68" s="12">
        <f>IF(A68&gt;30,10,('Scénario référence'!$B$16+'Scénario référence'!$B$17+'Scénario référence'!$B$18+'Scénario référence'!$B$9+'Scénario référence'!$B$10)*A68*10/30+('Scénario référence'!$F$8+'Scénario référence'!$F$9)*10)</f>
        <v>10</v>
      </c>
      <c r="CQ68" s="12" t="e">
        <f>VLOOKUP(A68,'Données projet'!$A$139:$I$159,2,0)</f>
        <v>#N/A</v>
      </c>
      <c r="CR68" s="12" t="e">
        <f>VLOOKUP(A68,'Données projet'!$A$139:$I$159,9,0)</f>
        <v>#N/A</v>
      </c>
      <c r="CS68" s="12">
        <f t="array" ref="CS68">INDEX(CR:CR,MIN(IF(ISNUMBER(CR68:CR264),ROW(CR68:CR264),"")))</f>
        <v>0</v>
      </c>
      <c r="CT68" s="12">
        <f>IF('Données projet'!$A$140&gt;35,CT67+CS68-DB67,IF(A68&lt;'Données projet'!$A$140,$CQ$205^A68,IF(A68='Données projet'!$A$140,'Données projet'!$B$140,CT67+CS68-DB67)))</f>
        <v>0</v>
      </c>
      <c r="CU68" s="17" t="e">
        <f>CT68*VLOOKUP('Données projet'!$B$13,Paramètres!$A$1:$I$89,3,0)*VLOOKUP('Données projet'!$B$13,Paramètres!$A$1:$I$89,5,0)</f>
        <v>#N/A</v>
      </c>
      <c r="CV68" s="13" t="e">
        <f t="shared" si="41"/>
        <v>#N/A</v>
      </c>
      <c r="CW68" s="20" t="e">
        <f t="shared" ref="CW68:CW131" si="67">(CU68+CV68)*0.475*44/12</f>
        <v>#N/A</v>
      </c>
      <c r="CX68" s="59" t="e">
        <f t="shared" ref="CX68:CX131" si="68">CW68+(CO68+CP68)*44/12</f>
        <v>#N/A</v>
      </c>
      <c r="CY68" s="59" t="e">
        <f ca="1">AVERAGE(OFFSET($CX$3,0,0,'Données projet'!$E$13+1,1))-AVERAGE(OFFSET($H$3,0,0,'Données projet'!$E$13+1,1))</f>
        <v>#N/A</v>
      </c>
      <c r="CZ68" s="59" t="e">
        <f t="shared" si="42"/>
        <v>#N/A</v>
      </c>
      <c r="DA68" s="15">
        <f>IF(ISNA(VLOOKUP(A68,'Données projet'!$A$139:$I$159,3,0)),0,VLOOKUP(A68,'Données projet'!$A$139:$I$159,3,0))</f>
        <v>0</v>
      </c>
      <c r="DB68" s="15">
        <f>IF(ISNA(VLOOKUP(A68,'Données projet'!$A$139:$I$159,4,0)),0,VLOOKUP(A68,'Données projet'!$A$139:$I$159,4,0))</f>
        <v>0</v>
      </c>
      <c r="DC68" s="16">
        <f>IF(ISNA(VLOOKUP(A68,'Données projet'!$A$139:$I$159,5,0)),0%,VLOOKUP(A68,'Données projet'!$A$139:$I$159,5,0)*VLOOKUP('Données projet'!$B$13,Paramètres!$A$1:$I$89,7,0))</f>
        <v>0</v>
      </c>
      <c r="DD68" s="16">
        <f>IF(ISNA(VLOOKUP(A68,'Données projet'!$A$139:$I$159,6,0)),0%,VLOOKUP(A68,'Données projet'!$A$139:$I$159,6,0)*VLOOKUP('Données projet'!$B$13,Paramètres!$A$1:$I$89,7,0))</f>
        <v>0</v>
      </c>
      <c r="DE68" s="16">
        <f>IF(ISNA(VLOOKUP(A68,'Données projet'!$A$139:$I$159,7,0)),0%,VLOOKUP(A68,'Données projet'!$A$139:$I$159,7,0))</f>
        <v>0</v>
      </c>
      <c r="DF68" s="21" t="e">
        <f>EXP(-LN(2)/35)*DF67+(1-EXP(-LN(2)/35))/(LN(2)/35)*DB68*DC68*VLOOKUP('Données projet'!$B$13,Paramètres!$A$1:$I$89,3,0)*0.475*44/12</f>
        <v>#N/A</v>
      </c>
      <c r="DG68" s="21" t="e">
        <f>EXP(-LN(2)/25)*DG67+(1-EXP(-LN(2)/25))/(LN(2)/25)*Calculateur!DB68*Calculateur!DD68*VLOOKUP('Données projet'!$B$13,Paramètres!$A$1:$I$89,3,0)*0.475*44/12</f>
        <v>#N/A</v>
      </c>
      <c r="DH68" s="21" t="e">
        <f>EXP(-LN(2)/2)*DH67+(1-EXP(-LN(2)/2))/(LN(2)/2)*DB68*DE68*VLOOKUP('Données projet'!$B$13,Paramètres!$A$1:$I$89,3,0)*0.475*44/12</f>
        <v>#N/A</v>
      </c>
      <c r="DI68" s="22" t="e">
        <f t="shared" ref="DI68:DI131" si="69">SUM(DF68:DH68)</f>
        <v>#N/A</v>
      </c>
      <c r="DJ68" s="75">
        <f>('Scénario référence'!$F$8+'Scénario référence'!$F$9+'Scénario référence'!$B$17+'Scénario référence'!$B$9+'Scénario référence'!$B$10)*70+IF((45+25*(1-EXP(-0.0175*A68)))&lt;70,'Scénario référence'!$B$16*(45+25*(1-EXP(-0.0175*A68))),70*'Scénario référence'!$B$16)+IF((32+38*(1-EXP(-0.0175*A68)))&lt;70,'Scénario référence'!$B$18*(32+38*(1-EXP(-0.0175*A68))),70*'Scénario référence'!$B$18)</f>
        <v>70</v>
      </c>
      <c r="DK68" s="12">
        <f>IF(A68&gt;30,10,('Scénario référence'!$B$16+'Scénario référence'!$B$17+'Scénario référence'!$B$18+'Scénario référence'!$B$9+'Scénario référence'!$B$10)*A68*10/30+('Scénario référence'!$F$8+'Scénario référence'!$F$9)*10)</f>
        <v>10</v>
      </c>
      <c r="DL68" s="12" t="e">
        <f>VLOOKUP(A68,'Données projet'!$A$165:$I$185,2,0)</f>
        <v>#N/A</v>
      </c>
      <c r="DM68" s="12" t="e">
        <f>VLOOKUP(A68,'Données projet'!$A$165:$I$185,9,0)</f>
        <v>#N/A</v>
      </c>
      <c r="DN68" s="12">
        <f t="array" ref="DN68">INDEX(DM:DM,MIN(IF(ISNUMBER(DM68:DM264),ROW(DM68:DM264),"")))</f>
        <v>5.6</v>
      </c>
      <c r="DO68" s="12">
        <f>IF('Données projet'!$A$166&gt;35,DO67+DN68-DW67,IF(A68&lt;'Données projet'!$A$166,$DL$205^A68,IF(A68='Données projet'!$A$166,'Données projet'!$B$166,DO67+DN68-DW67)))</f>
        <v>264.00000000000017</v>
      </c>
      <c r="DP68" s="17">
        <f>DO68*VLOOKUP('Données projet'!$B$14,Paramètres!$A$1:$I$89,3,0)*VLOOKUP('Données projet'!$B$14,Paramètres!$A$1:$I$89,5,0)</f>
        <v>172.97280000000012</v>
      </c>
      <c r="DQ68" s="13">
        <f t="shared" si="43"/>
        <v>43.75515863819728</v>
      </c>
      <c r="DR68" s="20">
        <f t="shared" ref="DR68:DR131" si="70">(DP68+DQ68)*0.475*44/12</f>
        <v>377.46786129486048</v>
      </c>
      <c r="DS68" s="59">
        <f t="shared" ref="DS68:DS131" si="71">DR68+(DJ68+DK68)*44/12</f>
        <v>670.8011946281938</v>
      </c>
      <c r="DT68" s="59">
        <f ca="1">AVERAGE(OFFSET($DS$3,0,0,'Données projet'!$E$14+1,1))-AVERAGE(OFFSET($H$3,0,0,'Données projet'!$E$14+1,1))</f>
        <v>188.68915783955595</v>
      </c>
      <c r="DU68" s="59">
        <f t="shared" si="44"/>
        <v>240.82467772396944</v>
      </c>
      <c r="DV68" s="15">
        <f>IF(ISNA(VLOOKUP(A68,'Données projet'!$A$165:$I$185,3,0)),0,VLOOKUP(A68,'Données projet'!$A$165:$I$185,3,0))</f>
        <v>0</v>
      </c>
      <c r="DW68" s="15">
        <f>IF(ISNA(VLOOKUP(A68,'Données projet'!$A$165:$I$185,4,0)),0,VLOOKUP(A68,'Données projet'!$A$165:$I$185,4,0))</f>
        <v>0</v>
      </c>
      <c r="DX68" s="16">
        <f>IF(ISNA(VLOOKUP(A68,'Données projet'!$A$165:$I$185,5,0)),0%,VLOOKUP(A68,'Données projet'!$A$165:$I$185,5,0)*VLOOKUP('Données projet'!$B$14,Paramètres!$A$1:$I$89,7,0))</f>
        <v>0</v>
      </c>
      <c r="DY68" s="16">
        <f>IF(ISNA(VLOOKUP(A68,'Données projet'!$A$165:$I$185,6,0)),0%,VLOOKUP(A68,'Données projet'!$A$165:$I$185,6,0)*VLOOKUP('Données projet'!$B$14,Paramètres!$A$1:$I$89,7,0))</f>
        <v>0</v>
      </c>
      <c r="DZ68" s="16">
        <f>IF(ISNA(VLOOKUP(A68,'Données projet'!$A$165:$I$185,7,0)),0%,VLOOKUP(A68,'Données projet'!$A$165:$I$185,7,0))</f>
        <v>0</v>
      </c>
      <c r="EA68" s="21">
        <f>EXP(-LN(2)/35)*EA67+(1-EXP(-LN(2)/35))/(LN(2)/35)*DW68*DX68*VLOOKUP('Données projet'!$B$14,Paramètres!$A$1:$I$89,3,0)*0.475*44/12</f>
        <v>0.77862700712023714</v>
      </c>
      <c r="EB68" s="21">
        <f>EXP(-LN(2)/25)*EB67+(1-EXP(-LN(2)/25))/(LN(2)/25)*Calculateur!DW68*Calculateur!DY68*VLOOKUP('Données projet'!$B$14,Paramètres!$A$1:$I$89,3,0)*0.475*44/12</f>
        <v>3.0458435213348629</v>
      </c>
      <c r="EC68" s="21">
        <f>EXP(-LN(2)/2)*EC67+(1-EXP(-LN(2)/2))/(LN(2)/2)*DW68*DZ68*VLOOKUP('Données projet'!$B$14,Paramètres!$A$1:$I$89,3,0)*0.475*44/12</f>
        <v>7.55077743476912E-5</v>
      </c>
      <c r="ED68" s="22">
        <f t="shared" ref="ED68:ED131" si="72">SUM(EA68:EC68)</f>
        <v>3.8245460362294477</v>
      </c>
      <c r="EE68" s="75">
        <f>('Scénario référence'!$F$8+'Scénario référence'!$F$9+'Scénario référence'!$B$17+'Scénario référence'!$B$9+'Scénario référence'!$B$10)*70+IF((45+25*(1-EXP(-0.0175*A68)))&lt;70,'Scénario référence'!$B$16*(45+25*(1-EXP(-0.0175*A68))),70*'Scénario référence'!$B$16)+IF((32+38*(1-EXP(-0.0175*A68)))&lt;70,'Scénario référence'!$B$18*(32+38*(1-EXP(-0.0175*A68))),70*'Scénario référence'!$B$18)</f>
        <v>70</v>
      </c>
      <c r="EF68" s="12">
        <f>IF(A68&gt;30,10,('Scénario référence'!$B$16+'Scénario référence'!$B$17+'Scénario référence'!$B$18+'Scénario référence'!$B$9+'Scénario référence'!$B$10)*A68*10/30+('Scénario référence'!$F$8+'Scénario référence'!$F$9)*10)</f>
        <v>10</v>
      </c>
      <c r="EG68" s="12" t="e">
        <f>VLOOKUP(A68,'Données projet'!$A$191:$I$211,2,0)</f>
        <v>#N/A</v>
      </c>
      <c r="EH68" s="12" t="e">
        <f>VLOOKUP(A68,'Données projet'!$A$191:$I$211,9,0)</f>
        <v>#N/A</v>
      </c>
      <c r="EI68" s="12">
        <f t="array" ref="EI68">INDEX(EH:EH,MIN(IF(ISNUMBER(EH68:EH264),ROW(EH68:EH264),"")))</f>
        <v>5.9</v>
      </c>
      <c r="EJ68" s="12">
        <f>IF('Données projet'!$A$192&gt;35,EJ67+EI68-ER67,IF(A68&lt;'Données projet'!$A$192,$EG$205^A68,IF(A68='Données projet'!$A$192,'Données projet'!$B$192,EJ67+EI68-ER67)))</f>
        <v>245.5</v>
      </c>
      <c r="EK68" s="17">
        <f>EJ68*VLOOKUP('Données projet'!$B$15,Paramètres!$A$1:$I$89,3,0)*VLOOKUP('Données projet'!$B$15,Paramètres!$A$1:$I$89,5,0)</f>
        <v>199.14960000000002</v>
      </c>
      <c r="EL68" s="13">
        <f t="shared" si="45"/>
        <v>49.557229221549441</v>
      </c>
      <c r="EM68" s="20">
        <f t="shared" ref="EM68:EM131" si="73">(EK68+EL68)*0.475*44/12</f>
        <v>433.164394227532</v>
      </c>
      <c r="EN68" s="59">
        <f t="shared" ref="EN68:EN131" si="74">EM68+(EE68+EF68)*44/12</f>
        <v>726.49772756086531</v>
      </c>
      <c r="EO68" s="59">
        <f ca="1">AVERAGE(OFFSET($EN$3,0,0,'Données projet'!$E$15+1,1))-AVERAGE(OFFSET($H$3,0,0,'Données projet'!$E$15+1,1))</f>
        <v>205.5272583787887</v>
      </c>
      <c r="EP68" s="59">
        <f t="shared" si="46"/>
        <v>180.54762778843178</v>
      </c>
      <c r="EQ68" s="15">
        <f>IF(ISNA(VLOOKUP(A68,'Données projet'!$A$191:$I$211,3,0)),0,VLOOKUP(A68,'Données projet'!$A$191:$I$211,3,0))</f>
        <v>0</v>
      </c>
      <c r="ER68" s="15">
        <f>IF(ISNA(VLOOKUP(A68,'Données projet'!$A$191:$I$211,4,0)),0,VLOOKUP(A68,'Données projet'!$A$191:$I$211,4,0))</f>
        <v>0</v>
      </c>
      <c r="ES68" s="16">
        <f>IF(ISNA(VLOOKUP(A68,'Données projet'!$A$191:$I$211,5,0)),0%,VLOOKUP(A68,'Données projet'!$A$191:$I$211,5,0)*VLOOKUP('Données projet'!$B$15,Paramètres!$A$1:$I$89,7,0))</f>
        <v>0</v>
      </c>
      <c r="ET68" s="16">
        <f>IF(ISNA(VLOOKUP(A68,'Données projet'!$A$191:$I$211,6,0)),0%,VLOOKUP(A68,'Données projet'!$A$191:$I$211,6,0)*VLOOKUP('Données projet'!$B$15,Paramètres!$A$1:$I$89,7,0))</f>
        <v>0</v>
      </c>
      <c r="EU68" s="16">
        <f>IF(ISNA(VLOOKUP(A68,'Données projet'!$A$191:$I$211,7,0)),0%,VLOOKUP(A68,'Données projet'!$A$191:$I$211,7,0))</f>
        <v>0</v>
      </c>
      <c r="EV68" s="21">
        <f>EXP(-LN(2)/35)*EV67+(1-EXP(-LN(2)/35))/(LN(2)/35)*ER68*ES68*VLOOKUP('Données projet'!$B$15,Paramètres!$A$1:$I$89,3,0)*0.475*44/12</f>
        <v>0.50128748267931433</v>
      </c>
      <c r="EW68" s="21">
        <f>EXP(-LN(2)/25)*EW67+(1-EXP(-LN(2)/25))/(LN(2)/25)*Calculateur!ER68*Calculateur!ET68*VLOOKUP('Données projet'!$B$15,Paramètres!$A$1:$I$89,3,0)*0.475*44/12</f>
        <v>2.1991914210058621</v>
      </c>
      <c r="EX68" s="21">
        <f>EXP(-LN(2)/2)*EX67+(1-EXP(-LN(2)/2))/(LN(2)/2)*ER68*EU68*VLOOKUP('Données projet'!$B$15,Paramètres!$A$1:$I$89,3,0)*0.475*44/12</f>
        <v>4.8891339722557157E-5</v>
      </c>
      <c r="EY68" s="22">
        <f t="shared" ref="EY68:EY131" si="75">SUM(EV68:EX68)</f>
        <v>2.7005277950248989</v>
      </c>
      <c r="EZ68" s="75">
        <f>('Scénario référence'!$F$8+'Scénario référence'!$F$9+'Scénario référence'!$B$17+'Scénario référence'!$B$9+'Scénario référence'!$B$10)*70+IF((45+25*(1-EXP(-0.0175*A68)))&lt;70,'Scénario référence'!$B$16*(45+25*(1-EXP(-0.0175*A68))),70*'Scénario référence'!$B$16)+IF((32+38*(1-EXP(-0.0175*A68)))&lt;70,'Scénario référence'!$B$18*(32+38*(1-EXP(-0.0175*A68))),70*'Scénario référence'!$B$18)</f>
        <v>70</v>
      </c>
      <c r="FA68" s="12">
        <f>IF(A68&gt;30,10,('Scénario référence'!$B$16+'Scénario référence'!$B$17+'Scénario référence'!$B$18+'Scénario référence'!$B$9+'Scénario référence'!$B$10)*A68*10/30+('Scénario référence'!$F$8+'Scénario référence'!$F$9)*10)</f>
        <v>10</v>
      </c>
      <c r="FB68" s="12" t="e">
        <f>VLOOKUP(A68,'Données projet'!$A$217:$I$237,2,0)</f>
        <v>#N/A</v>
      </c>
      <c r="FC68" s="12" t="e">
        <f>VLOOKUP(A68,'Données projet'!$A$217:$I$237,9,0)</f>
        <v>#N/A</v>
      </c>
      <c r="FD68" s="12">
        <f t="array" ref="FD68">INDEX(FC:FC,MIN(IF(ISNUMBER(FC68:FC264),ROW(FC68:FC264),"")))</f>
        <v>13</v>
      </c>
      <c r="FE68" s="12">
        <f>IF('Données projet'!$A$218&gt;35,FE67+FD68-FM67,IF(A68&lt;'Données projet'!$A$218,$FB$205^A68,IF(A68='Données projet'!$A$218,'Données projet'!$B$218,FE67+FD68-FM67)))</f>
        <v>306.99999999999994</v>
      </c>
      <c r="FF68" s="17">
        <f>FE68*VLOOKUP('Données projet'!$B$16,Paramètres!$A$1:$I$89,3,0)*VLOOKUP('Données projet'!$B$16,Paramètres!$A$1:$I$89,5,0)</f>
        <v>263.40600000000001</v>
      </c>
      <c r="FG68" s="13">
        <f t="shared" si="47"/>
        <v>63.447848663121114</v>
      </c>
      <c r="FH68" s="20">
        <f t="shared" ref="FH68:FH131" si="76">(FF68+FG68)*0.475*44/12</f>
        <v>569.27045308826928</v>
      </c>
      <c r="FI68" s="59">
        <f t="shared" ref="FI68:FI131" si="77">FH68+(EZ68+FA68)*44/12</f>
        <v>862.60378642160254</v>
      </c>
      <c r="FJ68" s="59">
        <f ca="1">AVERAGE(OFFSET($FI$3,0,0,'Données projet'!$E$16+1,1))-AVERAGE(OFFSET($H$3,0,0,'Données projet'!$E$16+1,1))</f>
        <v>383.97627237444709</v>
      </c>
      <c r="FK68" s="59">
        <f t="shared" si="48"/>
        <v>203.35476578922339</v>
      </c>
      <c r="FL68" s="15">
        <f>IF(ISNA(VLOOKUP(A68,'Données projet'!$A$217:$I$237,3,0)),0,VLOOKUP(A68,'Données projet'!$A$217:$I$237,3,0))</f>
        <v>0</v>
      </c>
      <c r="FM68" s="15">
        <f>IF(ISNA(VLOOKUP(A68,'Données projet'!$A$217:$I$237,4,0)),0,VLOOKUP(A68,'Données projet'!$A$217:$I$237,4,0))</f>
        <v>0</v>
      </c>
      <c r="FN68" s="16">
        <f>IF(ISNA(VLOOKUP(A68,'Données projet'!$A$217:$I$237,5,0)),0%,VLOOKUP(A68,'Données projet'!$A$217:$I$237,5,0)*VLOOKUP('Données projet'!$B$16,Paramètres!$A$1:$I$89,7,0))</f>
        <v>0</v>
      </c>
      <c r="FO68" s="16">
        <f>IF(ISNA(VLOOKUP(A68,'Données projet'!$A$217:$I$237,6,0)),0%,VLOOKUP(A68,'Données projet'!$A$217:$I$237,6,0)*VLOOKUP('Données projet'!$B$16,Paramètres!$A$1:$I$89,7,0))</f>
        <v>0</v>
      </c>
      <c r="FP68" s="16">
        <f>IF(ISNA(VLOOKUP(A68,'Données projet'!$A$217:$I$237,7,0)),0%,VLOOKUP(A68,'Données projet'!$A$217:$I$237,7,0))</f>
        <v>0</v>
      </c>
      <c r="FQ68" s="21">
        <f>EXP(-LN(2)/35)*FQ67+(1-EXP(-LN(2)/35))/(LN(2)/35)*FM68*FN68*VLOOKUP('Données projet'!$B$16,Paramètres!$A$1:$I$89,3,0)*0.475*44/12</f>
        <v>2.5763457019926697</v>
      </c>
      <c r="FR68" s="21">
        <f>EXP(-LN(2)/25)*FR67+(1-EXP(-LN(2)/25))/(LN(2)/25)*Calculateur!FM68*Calculateur!FO68*VLOOKUP('Données projet'!$B$16,Paramètres!$A$1:$I$89,3,0)*0.475*44/12</f>
        <v>2.2324066003570064</v>
      </c>
      <c r="FS68" s="21">
        <f>EXP(-LN(2)/2)*FS67+(1-EXP(-LN(2)/2))/(LN(2)/2)*FM68*FP68*VLOOKUP('Données projet'!$B$16,Paramètres!$A$1:$I$89,3,0)*0.475*44/12</f>
        <v>8.9803357114691423E-5</v>
      </c>
      <c r="FT68" s="22">
        <f t="shared" ref="FT68:FT131" si="78">SUM(FQ68:FS68)</f>
        <v>4.8088421057067912</v>
      </c>
      <c r="FU68" s="75">
        <f>('Scénario référence'!$F$8+'Scénario référence'!$F$9+'Scénario référence'!$B$17+'Scénario référence'!$B$9+'Scénario référence'!$B$10)*70+IF((45+25*(1-EXP(-0.0175*A68)))&lt;70,'Scénario référence'!$B$16*(45+25*(1-EXP(-0.0175*A68))),70*'Scénario référence'!$B$16)+IF((32+38*(1-EXP(-0.0175*A68)))&lt;70,'Scénario référence'!$B$18*(32+38*(1-EXP(-0.0175*A68))),70*'Scénario référence'!$B$18)</f>
        <v>70</v>
      </c>
      <c r="FV68" s="12">
        <f>IF(A68&gt;30,10,('Scénario référence'!$B$16+'Scénario référence'!$B$17+'Scénario référence'!$B$18+'Scénario référence'!$B$9+'Scénario référence'!$B$10)*A68*10/30+('Scénario référence'!$F$8+'Scénario référence'!$F$9)*10)</f>
        <v>10</v>
      </c>
      <c r="FW68" s="12" t="e">
        <f>VLOOKUP(A68,'Données projet'!$A$243:$I$263,2,0)</f>
        <v>#N/A</v>
      </c>
      <c r="FX68" s="12" t="e">
        <f>VLOOKUP(A68,'Données projet'!$A$243:$I$263,9,0)</f>
        <v>#N/A</v>
      </c>
      <c r="FY68" s="12">
        <f t="array" ref="FY68">INDEX(FX:FX,MIN(IF(ISNUMBER(FX68:FX264),ROW(FX68:FX264),"")))</f>
        <v>8.1001602564102555</v>
      </c>
      <c r="FZ68" s="12">
        <f>IF('Données projet'!$A$244&gt;35,FZ67+FY68-GH67,IF(A68&lt;'Données projet'!$A$244,$FW$205^A68,IF(A68='Données projet'!$A$244,'Données projet'!$B$244,FZ67+FY68-GH67)))</f>
        <v>194.76442307692312</v>
      </c>
      <c r="GA68" s="17">
        <f>FZ68*VLOOKUP('Données projet'!$B$17,Paramètres!$A$1:$I$89,3,0)*VLOOKUP('Données projet'!$B$17,Paramètres!$A$1:$I$89,5,0)</f>
        <v>209.64442500000004</v>
      </c>
      <c r="GB68" s="13">
        <f t="shared" si="49"/>
        <v>51.857875952677823</v>
      </c>
      <c r="GC68" s="20">
        <f t="shared" ref="GC68:GC131" si="79">(GA68+GB68)*0.475*44/12</f>
        <v>455.4498408259139</v>
      </c>
      <c r="GD68" s="59">
        <f t="shared" ref="GD68:GD131" si="80">GC68+(FU68+FV68)*44/12</f>
        <v>748.78317415924721</v>
      </c>
      <c r="GE68" s="59">
        <f ca="1">AVERAGE(OFFSET($GD$3,0,0,'Données projet'!$E$17+1,1))-AVERAGE(OFFSET($H$3,0,0,'Données projet'!$E$17+1,1))</f>
        <v>286.77702855541287</v>
      </c>
      <c r="GF68" s="59">
        <f t="shared" si="50"/>
        <v>227.12211541860779</v>
      </c>
      <c r="GG68" s="15">
        <f>IF(ISNA(VLOOKUP(A68,'Données projet'!$A$243:$I$263,3,0)),0,VLOOKUP(A68,'Données projet'!$A$243:$I$263,3,0))</f>
        <v>0</v>
      </c>
      <c r="GH68" s="15">
        <f>IF(ISNA(VLOOKUP(A68,'Données projet'!$A$243:$I$263,4,0)),0,VLOOKUP(A68,'Données projet'!$A$243:$I$263,4,0))</f>
        <v>0</v>
      </c>
      <c r="GI68" s="16">
        <f>IF(ISNA(VLOOKUP(A68,'Données projet'!$A$243:$I$263,5,0)),0%,VLOOKUP(A68,'Données projet'!$A$243:$I$263,5,0)*VLOOKUP('Données projet'!$B$17,Paramètres!$A$1:$I$89,7,0))</f>
        <v>0</v>
      </c>
      <c r="GJ68" s="16">
        <f>IF(ISNA(VLOOKUP(A68,'Données projet'!$A$243:$I$263,6,0)),0%,VLOOKUP(A68,'Données projet'!$A$243:$I$263,6,0)*VLOOKUP('Données projet'!$B$17,Paramètres!$A$1:$I$89,7,0))</f>
        <v>0</v>
      </c>
      <c r="GK68" s="16">
        <f>IF(ISNA(VLOOKUP(A68,'Données projet'!$A$243:$I$263,7,0)),0%,VLOOKUP(A68,'Données projet'!$A$243:$I$263,7,0))</f>
        <v>0</v>
      </c>
      <c r="GL68" s="21">
        <f>EXP(-LN(2)/35)*GL67+(1-EXP(-LN(2)/35))/(LN(2)/35)*GH68*GI68*VLOOKUP('Données projet'!$B$17,Paramètres!$A$1:$I$89,3,0)*0.475*44/12</f>
        <v>0</v>
      </c>
      <c r="GM68" s="21">
        <f>EXP(-LN(2)/25)*GM67+(1-EXP(-LN(2)/25))/(LN(2)/25)*Calculateur!GH68*Calculateur!GJ68*VLOOKUP('Données projet'!$B$17,Paramètres!$A$1:$I$89,3,0)*0.475*44/12</f>
        <v>0</v>
      </c>
      <c r="GN68" s="21">
        <f>EXP(-LN(2)/2)*GN67+(1-EXP(-LN(2)/2))/(LN(2)/2)*GH68*GK68*VLOOKUP('Données projet'!$B$17,Paramètres!$A$1:$I$89,3,0)*0.475*44/12</f>
        <v>0</v>
      </c>
      <c r="GO68" s="21">
        <f t="shared" ref="GO68:GO131" si="81">SUM(GL68:GN68)</f>
        <v>0</v>
      </c>
      <c r="GP68" s="75">
        <f>('Scénario référence'!$F$8+'Scénario référence'!$F$9+'Scénario référence'!$B$17+'Scénario référence'!$B$9+'Scénario référence'!$B$10)*70+IF((45+25*(1-EXP(-0.0175*A68)))&lt;70,'Scénario référence'!$B$16*(45+25*(1-EXP(-0.0175*A68))),70*'Scénario référence'!$B$16)+IF((32+38*(1-EXP(-0.0175*A68)))&lt;70,'Scénario référence'!$B$18*(32+38*(1-EXP(-0.0175*A68))),70*'Scénario référence'!$B$18)</f>
        <v>70</v>
      </c>
      <c r="GQ68" s="12">
        <f>IF(A68&gt;30,10,('Scénario référence'!$B$16+'Scénario référence'!$B$17+'Scénario référence'!$B$18+'Scénario référence'!$B$9+'Scénario référence'!$B$10)*A68*10/30+('Scénario référence'!$F$8+'Scénario référence'!$F$9)*10)</f>
        <v>10</v>
      </c>
      <c r="GR68" s="12" t="e">
        <f>VLOOKUP(A68,'Données projet'!$A$269:$I$289,2,0)</f>
        <v>#N/A</v>
      </c>
      <c r="GS68" s="12" t="e">
        <f>VLOOKUP(A68,'Données projet'!$A$269:$I$289,9,0)</f>
        <v>#N/A</v>
      </c>
      <c r="GT68" s="12">
        <f t="array" ref="GT68">INDEX(GS:GS,MIN(IF(ISNUMBER(GS68:GS264),ROW(GS68:GS264),"")))</f>
        <v>8.1001602564102555</v>
      </c>
      <c r="GU68" s="12">
        <f>IF('Données projet'!$A$270&gt;35,GU67+GT68-HC67,IF(A68&lt;'Données projet'!$A$270,$GR$205^A68,IF(A68='Données projet'!$A$270,'Données projet'!$B$270,GU67+GT68-HC67)))</f>
        <v>194.76442307692312</v>
      </c>
      <c r="GV68" s="17">
        <f>GU68*VLOOKUP('Données projet'!$B$18,Paramètres!$A$1:$I$89,3,0)*VLOOKUP('Données projet'!$B$18,Paramètres!$A$1:$I$89,5,0)</f>
        <v>209.64442500000004</v>
      </c>
      <c r="GW68" s="13">
        <f t="shared" si="51"/>
        <v>51.857875952677823</v>
      </c>
      <c r="GX68" s="20">
        <f t="shared" ref="GX68:GX131" si="82">(GV68+GW68)*0.475*44/12</f>
        <v>455.4498408259139</v>
      </c>
      <c r="GY68" s="59">
        <f t="shared" ref="GY68:GY131" si="83">GX68+(GP68+GQ68)*44/12</f>
        <v>748.78317415924721</v>
      </c>
      <c r="GZ68" s="59">
        <f ca="1">AVERAGE(OFFSET($GY$3,0,0,'Données projet'!$E$18+1,1))-AVERAGE(OFFSET($H$3,0,0,'Données projet'!$E$18+1,1))</f>
        <v>286.77702855541287</v>
      </c>
      <c r="HA68" s="59">
        <f t="shared" si="52"/>
        <v>227.12211541860779</v>
      </c>
      <c r="HB68" s="15">
        <f>IF(ISNA(VLOOKUP(A68,'Données projet'!$A$269:$I$289,3,0)),0,VLOOKUP(A68,'Données projet'!$A$269:$I$289,3,0))</f>
        <v>0</v>
      </c>
      <c r="HC68" s="15">
        <f>IF(ISNA(VLOOKUP(A68,'Données projet'!$A$269:$I$289,4,0)),0,VLOOKUP(A68,'Données projet'!$A$269:$I$289,4,0))</f>
        <v>0</v>
      </c>
      <c r="HD68" s="16">
        <f>IF(ISNA(VLOOKUP(A68,'Données projet'!$A$269:$I$289,5,0)),0%,VLOOKUP(A68,'Données projet'!$A$269:$I$289,5,0)*VLOOKUP('Données projet'!$B$18,Paramètres!$A$1:$I$89,7,0))</f>
        <v>0</v>
      </c>
      <c r="HE68" s="16">
        <f>IF(ISNA(VLOOKUP(A68,'Données projet'!$A$269:$I$289,6,0)),0%,VLOOKUP(A68,'Données projet'!$A$269:$I$289,6,0)*VLOOKUP('Données projet'!$B$18,Paramètres!$A$1:$I$89,7,0))</f>
        <v>0</v>
      </c>
      <c r="HF68" s="16">
        <f>IF(ISNA(VLOOKUP(A68,'Données projet'!$A$269:$I$289,7,0)),0%,VLOOKUP(A68,'Données projet'!$A$269:$I$289,7,0))</f>
        <v>0</v>
      </c>
      <c r="HG68" s="21">
        <f>EXP(-LN(2)/35)*HG67+(1-EXP(-LN(2)/35))/(LN(2)/35)*HC68*HD68*VLOOKUP('Données projet'!$B$18,Paramètres!$A$1:$I$89,3,0)*0.475*44/12</f>
        <v>0</v>
      </c>
      <c r="HH68" s="21">
        <f>EXP(-LN(2)/25)*HH67+(1-EXP(-LN(2)/25))/(LN(2)/25)*Calculateur!HC68*Calculateur!HE68*VLOOKUP('Données projet'!$B$18,Paramètres!$A$1:$I$89,3,0)*0.475*44/12</f>
        <v>0</v>
      </c>
      <c r="HI68" s="21">
        <f>EXP(-LN(2)/2)*HI67+(1-EXP(-LN(2)/2))/(LN(2)/2)*HC68*HF68*VLOOKUP('Données projet'!$B$18,Paramètres!$A$1:$I$89,3,0)*0.475*44/12</f>
        <v>0</v>
      </c>
      <c r="HJ68" s="22">
        <f t="shared" ref="HJ68:HJ131" si="84">SUM(HG68:HI68)</f>
        <v>0</v>
      </c>
    </row>
    <row r="69" spans="1:218" x14ac:dyDescent="0.25">
      <c r="A69" s="10">
        <f t="shared" ref="A69:A132" si="85">A68+1</f>
        <v>66</v>
      </c>
      <c r="B69" s="73">
        <f>'Scénario référence'!$B$16*5+'Scénario référence'!$B$17*0+'Scénario référence'!$B$18*5</f>
        <v>0</v>
      </c>
      <c r="C69" s="19">
        <f>Calculateur!C68+'Scénario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58.687200000000061</v>
      </c>
      <c r="D69" s="11">
        <f t="shared" ref="D69:D132" si="86">IFERROR(EXP(-1.0587+0.8836*LN(C69)+0.284),0)</f>
        <v>16.835925833077553</v>
      </c>
      <c r="E6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69" s="11">
        <f>IF(OR('Scénario référence'!$F$8&gt;0,'Scénario référence'!$F$9&gt;0),('Scénario référence'!$F$8+'Scénario référence'!$F$9)*10,0)</f>
        <v>10</v>
      </c>
      <c r="G69" s="11">
        <f>'Scénario référence'!$B$8*B69*44/12+'Scénario référence'!$B$9*(C69+D69)/0.475*44/12+'Scénario référence'!$B$10*(C69+D69)/0.475*44/12+'Scénario référence'!$F$8*(C69+D69)/0.475*44/12+'Scénario référence'!$F$9*(C69+D69)/0.475*44/12</f>
        <v>582.98553274656399</v>
      </c>
      <c r="H69" s="67">
        <f t="shared" si="56"/>
        <v>424.86944415927678</v>
      </c>
      <c r="I69" s="70">
        <f>('Scénario référence'!$F$8+'Scénario référence'!$F$9+'Scénario référence'!$B$17+'Scénario référence'!$B$9+'Scénario référence'!$B$10)*70+IF((45+25*(1-EXP(-0.0175*A69)))&lt;70,'Scénario référence'!$B$16*(45+25*(1-EXP(-0.0175*A69))),70*'Scénario référence'!$B$16)+IF((32+38*(1-EXP(-0.0175*A69)))&lt;70,'Scénario référence'!$B$18*(32+38*(1-EXP(-0.0175*A69))),70*'Scénario référence'!$B$18)</f>
        <v>70</v>
      </c>
      <c r="J69" s="13">
        <f>IF(A69&gt;30,10,('Scénario référence'!$B$16+'Scénario référence'!$B$17+'Scénario référence'!$B$18+'Scénario référence'!$B$9+'Scénario référence'!$B$10)*A69*10/30+('Scénario référence'!$F$8+'Scénario référence'!$F$9)*10)</f>
        <v>10</v>
      </c>
      <c r="K69" s="12" t="e">
        <f>VLOOKUP(A69,'Données projet'!$A$35:$I$55,2,0)</f>
        <v>#N/A</v>
      </c>
      <c r="L69" s="12" t="e">
        <f>VLOOKUP(A69,'Données projet'!$A$35:$I$55,9,0)</f>
        <v>#N/A</v>
      </c>
      <c r="M69" s="12">
        <f t="array" ref="M69">INDEX(L:L,MIN(IF(ISNUMBER(L69:L265),ROW(L69:L265),"")))</f>
        <v>0</v>
      </c>
      <c r="N69" s="13">
        <f>IF('Données projet'!$A$36&gt;35,N68+M69-V68,IF(A69&lt;'Données projet'!$A$36,$K$205^A69,IF(A69='Données projet'!$A$36,'Données projet'!$B$36,N68+M69-V68)))</f>
        <v>-2.2737367544323206E-13</v>
      </c>
      <c r="O69" s="13">
        <f>N69*VLOOKUP('Données projet'!$B$9,Paramètres!$A$1:$I$89,3,0)*VLOOKUP('Données projet'!$B$9,Paramètres!$A$1:$I$89,5,0)</f>
        <v>-1.2710188457276673E-13</v>
      </c>
      <c r="P69" s="13" t="e">
        <f t="shared" ref="P69:P132" si="87">EXP(-1.0587+0.8836*LN(O69)+0.284)</f>
        <v>#NUM!</v>
      </c>
      <c r="Q69" s="20" t="e">
        <f t="shared" si="54"/>
        <v>#NUM!</v>
      </c>
      <c r="R69" s="59" t="e">
        <f t="shared" si="55"/>
        <v>#NUM!</v>
      </c>
      <c r="S69" s="59">
        <f ca="1">AVERAGE(OFFSET($R$3,0,0,'Données projet'!$E$9+1,1))-AVERAGE(OFFSET($H$3,0,0,'Données projet'!$E$9+1,1))</f>
        <v>255.5374979188561</v>
      </c>
      <c r="T69" s="59">
        <f t="shared" ref="T69:T132" si="88">$T$3</f>
        <v>343.10418468620901</v>
      </c>
      <c r="U69" s="15">
        <f>IF(ISNA(VLOOKUP(A69,'Données projet'!$A$35:$I$55,3,0)),0,VLOOKUP(A69,'Données projet'!$A$35:$I$55,3,0))</f>
        <v>0</v>
      </c>
      <c r="V69" s="15">
        <f>IF(ISNA(VLOOKUP(A69,'Données projet'!$A$35:$I$55,4,0)),0,VLOOKUP(A69,'Données projet'!$A$35:$I$55,4,0))</f>
        <v>0</v>
      </c>
      <c r="W69" s="16">
        <f>IF(ISNA(VLOOKUP(A69,'Données projet'!$A$35:$I$55,5,0)),0%,VLOOKUP(A69,'Données projet'!$A$35:$I$55,5,0)*VLOOKUP('Données projet'!$B$9,Paramètres!$A$1:$I$89,7,0))</f>
        <v>0</v>
      </c>
      <c r="X69" s="16">
        <f>IF(ISNA(VLOOKUP(A69,'Données projet'!$A$35:$I$55,6,0)),0%,VLOOKUP(A69,'Données projet'!$A$35:$I$55,6,0)*VLOOKUP('Données projet'!$B$9,Paramètres!$A$1:$I$89,7,0))</f>
        <v>0</v>
      </c>
      <c r="Y69" s="16">
        <f>IF(ISNA(VLOOKUP(A69,'Données projet'!$A$35:$I$55,7,0)),0%,VLOOKUP(A69,'Données projet'!$A$35:$I$55,7,0))</f>
        <v>0</v>
      </c>
      <c r="Z69" s="21">
        <f>EXP(-LN(2)/35)*Z68+(1-EXP(-LN(2)/35))/(LN(2)/35)*V69*W69*VLOOKUP('Données projet'!$B$9,Paramètres!$A$1:$I$89,3,0)*0.475*44/12</f>
        <v>1.5147235151461476</v>
      </c>
      <c r="AA69" s="21">
        <f>EXP(-LN(2)/25)*AA68+(1-EXP(-LN(2)/25))/(LN(2)/25)*Calculateur!V69*Calculateur!X69*VLOOKUP('Données projet'!$B$9,Paramètres!$A$1:$I$89,3,0)*0.475*44/12</f>
        <v>5.8824296839358441</v>
      </c>
      <c r="AB69" s="21">
        <f>EXP(-LN(2)/2)*AB68+(1-EXP(-LN(2)/2))/(LN(2)/2)*V69*Y69*VLOOKUP('Données projet'!$B$9,Paramètres!$A$1:$I$89,3,0)*0.475*44/12</f>
        <v>6.456955259147896E-6</v>
      </c>
      <c r="AC69" s="22">
        <f t="shared" si="57"/>
        <v>7.3971596560372506</v>
      </c>
      <c r="AD69" s="13">
        <f>('Scénario référence'!$F$8+'Scénario référence'!$F$9+'Scénario référence'!$B$17+'Scénario référence'!$B$9+'Scénario référence'!$B$10)*70+IF((45+25*(1-EXP(-0.0175*A69)))&lt;70,'Scénario référence'!$B$16*(45+25*(1-EXP(-0.0175*A69))),70*'Scénario référence'!$B$16)+IF((32+38*(1-EXP(-0.0175*A69)))&lt;70,'Scénario référence'!$B$18*(32+38*(1-EXP(-0.0175*A69))),70*'Scénario référence'!$B$18)</f>
        <v>70</v>
      </c>
      <c r="AE69" s="13">
        <f>IF(A69&gt;30,10,('Scénario référence'!$B$16+'Scénario référence'!$B$17+'Scénario référence'!$B$18+'Scénario référence'!$B$9+'Scénario référence'!$B$10)*A69*10/30+('Scénario référence'!$F$8+'Scénario référence'!$F$9)*10)</f>
        <v>10</v>
      </c>
      <c r="AF69" s="12" t="e">
        <f>VLOOKUP(A69,'Données projet'!$A$61:$I$81,2,0)</f>
        <v>#N/A</v>
      </c>
      <c r="AG69" s="12" t="e">
        <f>VLOOKUP(A69,'Données projet'!$A$61:$I$81,9,0)</f>
        <v>#N/A</v>
      </c>
      <c r="AH69" s="12">
        <f t="array" ref="AH69">INDEX(AG:AG,MIN(IF(ISNUMBER(AG69:AG265),ROW(AG69:AG265),"")))</f>
        <v>7.8</v>
      </c>
      <c r="AI69" s="13">
        <f>IF('Données projet'!$A$62&gt;35,AI68+AH69-AQ68,IF(A69&lt;'Données projet'!$A$62,$AF$205^A69,IF(A69='Données projet'!$A$62,'Données projet'!$B$62,AI68+AH69-AQ68)))</f>
        <v>395.79999999999995</v>
      </c>
      <c r="AJ69" s="13">
        <f>AI69*VLOOKUP('Données projet'!$B$10,Paramètres!$A$1:$I$89,3,0)*VLOOKUP('Données projet'!$B$10,Paramètres!$A$1:$I$89,5,0)</f>
        <v>246.97919999999999</v>
      </c>
      <c r="AK69" s="13">
        <f t="shared" ref="AK69:AK132" si="89">EXP(-1.0587+0.8836*LN(AJ69)+0.284)</f>
        <v>59.938625040227144</v>
      </c>
      <c r="AL69" s="20">
        <f t="shared" si="58"/>
        <v>534.54854527839552</v>
      </c>
      <c r="AM69" s="59">
        <f t="shared" si="59"/>
        <v>827.88187861172878</v>
      </c>
      <c r="AN69" s="59">
        <f ca="1">AVERAGE(OFFSET($AM$3,0,0,'Données projet'!$E$10+1,1))-AVERAGE(OFFSET($H$3,0,0,'Données projet'!$E$10+1,1))</f>
        <v>261.78489480911571</v>
      </c>
      <c r="AO69" s="59">
        <f t="shared" ref="AO69:AO132" si="90">$AO$3</f>
        <v>297.50513563712764</v>
      </c>
      <c r="AP69" s="15">
        <f>IF(ISNA(VLOOKUP(A69,'Données projet'!$A$61:$I$81,3,0)),0,VLOOKUP(A69,'Données projet'!$A$61:$I$81,3,0))</f>
        <v>0</v>
      </c>
      <c r="AQ69" s="15">
        <f>IF(ISNA(VLOOKUP(A69,'Données projet'!$A$61:$I$81,4,0)),0,VLOOKUP(A69,'Données projet'!$A$61:$I$81,4,0))</f>
        <v>0</v>
      </c>
      <c r="AR69" s="16">
        <f>IF(ISNA(VLOOKUP(A69,'Données projet'!$A$61:$I$81,5,0)),0%,VLOOKUP(A69,'Données projet'!$A$61:$I$81,5,0)*VLOOKUP('Données projet'!$B$10,Paramètres!$A$1:$I$89,7,0))</f>
        <v>0</v>
      </c>
      <c r="AS69" s="16">
        <f>IF(ISNA(VLOOKUP(A69,'Données projet'!$A$61:$I$81,6,0)),0%,VLOOKUP(A69,'Données projet'!$A$61:$I$81,6,0)*VLOOKUP('Données projet'!$B$10,Paramètres!$A$1:$I$89,7,0))</f>
        <v>0</v>
      </c>
      <c r="AT69" s="16">
        <f>IF(ISNA(VLOOKUP(A69,'Données projet'!$A$61:$I$81,7,0)),0%,VLOOKUP(A69,'Données projet'!$A$61:$I$81,7,0))</f>
        <v>0</v>
      </c>
      <c r="AU69" s="21">
        <f>EXP(-LN(2)/35)*AU68+(1-EXP(-LN(2)/35))/(LN(2)/35)*AQ69*AR69*VLOOKUP('Données projet'!$B$10,Paramètres!$A$1:$I$89,3,0)*0.475*44/12</f>
        <v>4.0901819283859098</v>
      </c>
      <c r="AV69" s="21">
        <f>EXP(-LN(2)/25)*AV68+(1-EXP(-LN(2)/25))/(LN(2)/25)*Calculateur!AQ69*Calculateur!AS69*VLOOKUP('Données projet'!$B$10,Paramètres!$A$1:$I$89,3,0)*0.475*44/12</f>
        <v>10.271922013655244</v>
      </c>
      <c r="AW69" s="21">
        <f>EXP(-LN(2)/2)*AW68+(1-EXP(-LN(2)/2))/(LN(2)/2)*AQ69*AT69*VLOOKUP('Données projet'!$B$10,Paramètres!$A$1:$I$89,3,0)*0.475*44/12</f>
        <v>9.3083157107970733E-5</v>
      </c>
      <c r="AX69" s="21">
        <f t="shared" si="60"/>
        <v>14.362197025198261</v>
      </c>
      <c r="AY69" s="74">
        <f>('Scénario référence'!$F$8+'Scénario référence'!$F$9+'Scénario référence'!$B$17+'Scénario référence'!$B$9+'Scénario référence'!$B$10)*70+IF((45+25*(1-EXP(-0.0175*A69)))&lt;70,'Scénario référence'!$B$16*(45+25*(1-EXP(-0.0175*A69))),70*'Scénario référence'!$B$16)+IF((32+38*(1-EXP(-0.0175*A69)))&lt;70,'Scénario référence'!$B$18*(32+38*(1-EXP(-0.0175*A69))),70*'Scénario référence'!$B$18)</f>
        <v>70</v>
      </c>
      <c r="AZ69" s="12">
        <f>IF(A69&gt;30,10,('Scénario référence'!$B$16+'Scénario référence'!$B$17+'Scénario référence'!$B$18+'Scénario référence'!$B$9+'Scénario référence'!$B$10)*A69*10/30+('Scénario référence'!$F$8+'Scénario référence'!$F$9)*10)</f>
        <v>10</v>
      </c>
      <c r="BA69" s="12" t="e">
        <f>VLOOKUP(A69,'Données projet'!$A$87:$I$107,2,0)</f>
        <v>#N/A</v>
      </c>
      <c r="BB69" s="12" t="e">
        <f>VLOOKUP(A69,'Données projet'!$A$87:$I$107,9,0)</f>
        <v>#N/A</v>
      </c>
      <c r="BC69" s="12">
        <f t="array" ref="BC69">INDEX(BB:BB,MIN(IF(ISNUMBER(BB69:BB265),ROW(BB69:BB265),"")))</f>
        <v>16.399999999999999</v>
      </c>
      <c r="BD69" s="12">
        <f>IF('Données projet'!$A$88&gt;35,BD68+BC69-BL68,IF(A69&lt;'Données projet'!$A$88,$BA$205^A69,IF(A69='Données projet'!$A$88,'Données projet'!$B$88,BD68+BC69-BL68)))</f>
        <v>498.39999999999964</v>
      </c>
      <c r="BE69" s="13">
        <f>BD69*VLOOKUP('Données projet'!$B$11,Paramètres!$A$1:$I$89,3,0)*VLOOKUP('Données projet'!$B$11,Paramètres!$A$1:$I$89,5,0)</f>
        <v>298.04319999999979</v>
      </c>
      <c r="BF69" s="13">
        <f t="shared" ref="BF69:BF132" si="91">EXP(-1.0587+0.8836*LN(BE69)+0.284)</f>
        <v>70.766086927307597</v>
      </c>
      <c r="BG69" s="20">
        <f t="shared" si="61"/>
        <v>642.3428413983936</v>
      </c>
      <c r="BH69" s="59">
        <f t="shared" si="62"/>
        <v>935.67617473172686</v>
      </c>
      <c r="BI69" s="59">
        <f ca="1">AVERAGE(OFFSET($BH$3,0,0,'Données projet'!$E$11+1,1))-AVERAGE(OFFSET($H$3,0,0,'Données projet'!$E$11+1,1))</f>
        <v>316.58509520829671</v>
      </c>
      <c r="BJ69" s="59">
        <f t="shared" ref="BJ69:BJ132" si="92">$BJ$3</f>
        <v>240.71332110643596</v>
      </c>
      <c r="BK69" s="15">
        <f>IF(ISNA(VLOOKUP(A69,'Données projet'!$A$87:$I$107,3,0)),0,VLOOKUP(A69,'Données projet'!$A$87:$I$107,3,0))</f>
        <v>0</v>
      </c>
      <c r="BL69" s="15">
        <f>IF(ISNA(VLOOKUP(A69,'Données projet'!$A$87:$I$107,4,0)),0,VLOOKUP(A69,'Données projet'!$A$87:$I$107,4,0))</f>
        <v>0</v>
      </c>
      <c r="BM69" s="16">
        <f>IF(ISNA(VLOOKUP(A69,'Données projet'!$A$87:$I$107,5,0)),0%,VLOOKUP(A69,'Données projet'!$A$87:$I$107,5,0)*VLOOKUP('Données projet'!$B$11,Paramètres!$A$1:$I$89,7,0))</f>
        <v>0</v>
      </c>
      <c r="BN69" s="16">
        <f>IF(ISNA(VLOOKUP(A69,'Données projet'!$A$87:$I$107,6,0)),0%,VLOOKUP(A69,'Données projet'!$A$87:$I$107,6,0)*VLOOKUP('Données projet'!$B$11,Paramètres!$A$1:$I$89,7,0))</f>
        <v>0</v>
      </c>
      <c r="BO69" s="16">
        <f>IF(ISNA(VLOOKUP(A69,'Données projet'!$A$87:$I$107,7,0)),0%,VLOOKUP(A69,'Données projet'!$A$87:$I$107,7,0))</f>
        <v>0</v>
      </c>
      <c r="BP69" s="21">
        <f>EXP(-LN(2)/35)*BP68+(1-EXP(-LN(2)/35))/(LN(2)/35)*BL69*BM69*VLOOKUP('Données projet'!$B$11,Paramètres!$A$1:$I$89,3,0)*0.475*44/12</f>
        <v>1.2424231936484726</v>
      </c>
      <c r="BQ69" s="21">
        <f>EXP(-LN(2)/25)*BQ68+(1-EXP(-LN(2)/25))/(LN(2)/25)*Calculateur!BL69*Calculateur!BN69*VLOOKUP('Données projet'!$B$11,Paramètres!$A$1:$I$89,3,0)*0.475*44/12</f>
        <v>5.6272585940075688</v>
      </c>
      <c r="BR69" s="21">
        <f>EXP(-LN(2)/2)*BR68+(1-EXP(-LN(2)/2))/(LN(2)/2)*BL69*BO69*VLOOKUP('Données projet'!$B$11,Paramètres!$A$1:$I$89,3,0)*0.475*44/12</f>
        <v>8.3691952019275081E-5</v>
      </c>
      <c r="BS69" s="22">
        <f t="shared" si="63"/>
        <v>6.8697654796080609</v>
      </c>
      <c r="BT69" s="75">
        <f>('Scénario référence'!$F$8+'Scénario référence'!$F$9+'Scénario référence'!$B$17+'Scénario référence'!$B$9+'Scénario référence'!$B$10)*70+IF((45+25*(1-EXP(-0.0175*A69)))&lt;70,'Scénario référence'!$B$16*(45+25*(1-EXP(-0.0175*A69))),70*'Scénario référence'!$B$16)+IF((32+38*(1-EXP(-0.0175*A69)))&lt;70,'Scénario référence'!$B$18*(32+38*(1-EXP(-0.0175*A69))),70*'Scénario référence'!$B$18)</f>
        <v>70</v>
      </c>
      <c r="BU69" s="12">
        <f>IF(A69&gt;30,10,('Scénario référence'!$B$16+'Scénario référence'!$B$17+'Scénario référence'!$B$18+'Scénario référence'!$B$9+'Scénario référence'!$B$10)*A69*10/30+('Scénario référence'!$F$8+'Scénario référence'!$F$9)*10)</f>
        <v>10</v>
      </c>
      <c r="BV69" s="12" t="e">
        <f>VLOOKUP(A69,'Données projet'!$A$113:$I$133,2,0)</f>
        <v>#N/A</v>
      </c>
      <c r="BW69" s="12" t="e">
        <f>VLOOKUP(A69,'Données projet'!$A$113:$I$133,9,0)</f>
        <v>#N/A</v>
      </c>
      <c r="BX69" s="12">
        <f t="array" ref="BX69">INDEX(BW:BW,MIN(IF(ISNUMBER(BW69:BW265),ROW(BW69:BW265),"")))</f>
        <v>7.3</v>
      </c>
      <c r="BY69" s="12">
        <f>IF('Données projet'!$A$114&gt;35,BY68+BX69-CG68,IF(A69&lt;'Données projet'!$A$114,$BV$205^A69,IF(A69='Données projet'!$A$114,'Données projet'!$B$114,BY68+BX69-CG68)))</f>
        <v>320.79999999999984</v>
      </c>
      <c r="BZ69" s="13">
        <f>BY69*VLOOKUP('Données projet'!$B$12,Paramètres!$A$1:$I$89,3,0)*VLOOKUP('Données projet'!$B$12,Paramètres!$A$1:$I$89,5,0)</f>
        <v>183.49759999999992</v>
      </c>
      <c r="CA69" s="13">
        <f t="shared" ref="CA69:CA132" si="93">EXP(-1.0587+0.8836*LN(BZ69)+0.284)</f>
        <v>46.099464021411315</v>
      </c>
      <c r="CB69" s="20">
        <f t="shared" si="64"/>
        <v>399.88155317062456</v>
      </c>
      <c r="CC69" s="59">
        <f t="shared" si="65"/>
        <v>693.21488650395781</v>
      </c>
      <c r="CD69" s="59">
        <f ca="1">AVERAGE(OFFSET($CC$3,0,0,'Données projet'!$E$12+1,1))-AVERAGE(OFFSET($H$3,0,0,'Données projet'!$E$12+1,1))</f>
        <v>188.64374818906128</v>
      </c>
      <c r="CE69" s="59">
        <f t="shared" ref="CE69:CE132" si="94">$CE$3</f>
        <v>211.95157880548652</v>
      </c>
      <c r="CF69" s="15">
        <f>IF(ISNA(VLOOKUP(A69,'Données projet'!$A$113:$I$133,3,0)),0,VLOOKUP(A69,'Données projet'!$A$113:$I$133,3,0))</f>
        <v>0</v>
      </c>
      <c r="CG69" s="15">
        <f>IF(ISNA(VLOOKUP(A69,'Données projet'!$A$113:$I$133,4,0)),0,VLOOKUP(A69,'Données projet'!$A$113:$I$133,4,0))</f>
        <v>0</v>
      </c>
      <c r="CH69" s="16">
        <f>IF(ISNA(VLOOKUP(A69,'Données projet'!$A$113:$I$133,5,0)),0%,VLOOKUP(A69,'Données projet'!$A$113:$I$133,5,0)*VLOOKUP('Données projet'!$B$12,Paramètres!$A$1:$I$89,7,0))</f>
        <v>0</v>
      </c>
      <c r="CI69" s="16">
        <f>IF(ISNA(VLOOKUP(A69,'Données projet'!$A$113:$I$133,6,0)),0%,VLOOKUP(A69,'Données projet'!$A$113:$I$133,6,0)*VLOOKUP('Données projet'!$B$12,Paramètres!$A$1:$I$89,7,0))</f>
        <v>0</v>
      </c>
      <c r="CJ69" s="16">
        <f>IF(ISNA(VLOOKUP(A69,'Données projet'!$A$113:$I$133,7,0)),0%,VLOOKUP(A69,'Données projet'!$A$113:$I$133,7,0))</f>
        <v>0</v>
      </c>
      <c r="CK69" s="21">
        <f>EXP(-LN(2)/35)*CK68+(1-EXP(-LN(2)/35))/(LN(2)/35)*CG69*CH69*VLOOKUP('Données projet'!$B$12,Paramètres!$A$1:$I$89,3,0)*0.475*44/12</f>
        <v>1.2051428896137053</v>
      </c>
      <c r="CL69" s="21">
        <f>EXP(-LN(2)/25)*CL68+(1-EXP(-LN(2)/25))/(LN(2)/25)*Calculateur!CG69*Calculateur!CI69*VLOOKUP('Données projet'!$B$12,Paramètres!$A$1:$I$89,3,0)*0.475*44/12</f>
        <v>5.2965031997338023</v>
      </c>
      <c r="CM69" s="21">
        <f>EXP(-LN(2)/2)*CM68+(1-EXP(-LN(2)/2))/(LN(2)/2)*CG69*CJ69*VLOOKUP('Données projet'!$B$12,Paramètres!$A$1:$I$89,3,0)*0.475*44/12</f>
        <v>8.1049107375092531E-5</v>
      </c>
      <c r="CN69" s="22">
        <f t="shared" si="66"/>
        <v>6.5017271384548829</v>
      </c>
      <c r="CO69" s="75">
        <f>('Scénario référence'!$F$8+'Scénario référence'!$F$9+'Scénario référence'!$B$17+'Scénario référence'!$B$9+'Scénario référence'!$B$10)*70+IF((45+25*(1-EXP(-0.0175*A69)))&lt;70,'Scénario référence'!$B$16*(45+25*(1-EXP(-0.0175*A69))),70*'Scénario référence'!$B$16)+IF((32+38*(1-EXP(-0.0175*A69)))&lt;70,'Scénario référence'!$B$18*(32+38*(1-EXP(-0.0175*A69))),70*'Scénario référence'!$B$18)</f>
        <v>70</v>
      </c>
      <c r="CP69" s="12">
        <f>IF(A69&gt;30,10,('Scénario référence'!$B$16+'Scénario référence'!$B$17+'Scénario référence'!$B$18+'Scénario référence'!$B$9+'Scénario référence'!$B$10)*A69*10/30+('Scénario référence'!$F$8+'Scénario référence'!$F$9)*10)</f>
        <v>10</v>
      </c>
      <c r="CQ69" s="12" t="e">
        <f>VLOOKUP(A69,'Données projet'!$A$139:$I$159,2,0)</f>
        <v>#N/A</v>
      </c>
      <c r="CR69" s="12" t="e">
        <f>VLOOKUP(A69,'Données projet'!$A$139:$I$159,9,0)</f>
        <v>#N/A</v>
      </c>
      <c r="CS69" s="12">
        <f t="array" ref="CS69">INDEX(CR:CR,MIN(IF(ISNUMBER(CR69:CR265),ROW(CR69:CR265),"")))</f>
        <v>0</v>
      </c>
      <c r="CT69" s="12">
        <f>IF('Données projet'!$A$140&gt;35,CT68+CS69-DB68,IF(A69&lt;'Données projet'!$A$140,$CQ$205^A69,IF(A69='Données projet'!$A$140,'Données projet'!$B$140,CT68+CS69-DB68)))</f>
        <v>0</v>
      </c>
      <c r="CU69" s="17" t="e">
        <f>CT69*VLOOKUP('Données projet'!$B$13,Paramètres!$A$1:$I$89,3,0)*VLOOKUP('Données projet'!$B$13,Paramètres!$A$1:$I$89,5,0)</f>
        <v>#N/A</v>
      </c>
      <c r="CV69" s="13" t="e">
        <f t="shared" ref="CV69:CV132" si="95">EXP(-1.0587+0.8836*LN(CU69)+0.284)</f>
        <v>#N/A</v>
      </c>
      <c r="CW69" s="20" t="e">
        <f t="shared" si="67"/>
        <v>#N/A</v>
      </c>
      <c r="CX69" s="59" t="e">
        <f t="shared" si="68"/>
        <v>#N/A</v>
      </c>
      <c r="CY69" s="59" t="e">
        <f ca="1">AVERAGE(OFFSET($CX$3,0,0,'Données projet'!$E$13+1,1))-AVERAGE(OFFSET($H$3,0,0,'Données projet'!$E$13+1,1))</f>
        <v>#N/A</v>
      </c>
      <c r="CZ69" s="59" t="e">
        <f t="shared" ref="CZ69:CZ132" si="96">$CZ$3</f>
        <v>#N/A</v>
      </c>
      <c r="DA69" s="15">
        <f>IF(ISNA(VLOOKUP(A69,'Données projet'!$A$139:$I$159,3,0)),0,VLOOKUP(A69,'Données projet'!$A$139:$I$159,3,0))</f>
        <v>0</v>
      </c>
      <c r="DB69" s="15">
        <f>IF(ISNA(VLOOKUP(A69,'Données projet'!$A$139:$I$159,4,0)),0,VLOOKUP(A69,'Données projet'!$A$139:$I$159,4,0))</f>
        <v>0</v>
      </c>
      <c r="DC69" s="16">
        <f>IF(ISNA(VLOOKUP(A69,'Données projet'!$A$139:$I$159,5,0)),0%,VLOOKUP(A69,'Données projet'!$A$139:$I$159,5,0)*VLOOKUP('Données projet'!$B$13,Paramètres!$A$1:$I$89,7,0))</f>
        <v>0</v>
      </c>
      <c r="DD69" s="16">
        <f>IF(ISNA(VLOOKUP(A69,'Données projet'!$A$139:$I$159,6,0)),0%,VLOOKUP(A69,'Données projet'!$A$139:$I$159,6,0)*VLOOKUP('Données projet'!$B$13,Paramètres!$A$1:$I$89,7,0))</f>
        <v>0</v>
      </c>
      <c r="DE69" s="16">
        <f>IF(ISNA(VLOOKUP(A69,'Données projet'!$A$139:$I$159,7,0)),0%,VLOOKUP(A69,'Données projet'!$A$139:$I$159,7,0))</f>
        <v>0</v>
      </c>
      <c r="DF69" s="21" t="e">
        <f>EXP(-LN(2)/35)*DF68+(1-EXP(-LN(2)/35))/(LN(2)/35)*DB69*DC69*VLOOKUP('Données projet'!$B$13,Paramètres!$A$1:$I$89,3,0)*0.475*44/12</f>
        <v>#N/A</v>
      </c>
      <c r="DG69" s="21" t="e">
        <f>EXP(-LN(2)/25)*DG68+(1-EXP(-LN(2)/25))/(LN(2)/25)*Calculateur!DB69*Calculateur!DD69*VLOOKUP('Données projet'!$B$13,Paramètres!$A$1:$I$89,3,0)*0.475*44/12</f>
        <v>#N/A</v>
      </c>
      <c r="DH69" s="21" t="e">
        <f>EXP(-LN(2)/2)*DH68+(1-EXP(-LN(2)/2))/(LN(2)/2)*DB69*DE69*VLOOKUP('Données projet'!$B$13,Paramètres!$A$1:$I$89,3,0)*0.475*44/12</f>
        <v>#N/A</v>
      </c>
      <c r="DI69" s="22" t="e">
        <f t="shared" si="69"/>
        <v>#N/A</v>
      </c>
      <c r="DJ69" s="75">
        <f>('Scénario référence'!$F$8+'Scénario référence'!$F$9+'Scénario référence'!$B$17+'Scénario référence'!$B$9+'Scénario référence'!$B$10)*70+IF((45+25*(1-EXP(-0.0175*A69)))&lt;70,'Scénario référence'!$B$16*(45+25*(1-EXP(-0.0175*A69))),70*'Scénario référence'!$B$16)+IF((32+38*(1-EXP(-0.0175*A69)))&lt;70,'Scénario référence'!$B$18*(32+38*(1-EXP(-0.0175*A69))),70*'Scénario référence'!$B$18)</f>
        <v>70</v>
      </c>
      <c r="DK69" s="12">
        <f>IF(A69&gt;30,10,('Scénario référence'!$B$16+'Scénario référence'!$B$17+'Scénario référence'!$B$18+'Scénario référence'!$B$9+'Scénario référence'!$B$10)*A69*10/30+('Scénario référence'!$F$8+'Scénario référence'!$F$9)*10)</f>
        <v>10</v>
      </c>
      <c r="DL69" s="12" t="e">
        <f>VLOOKUP(A69,'Données projet'!$A$165:$I$185,2,0)</f>
        <v>#N/A</v>
      </c>
      <c r="DM69" s="12" t="e">
        <f>VLOOKUP(A69,'Données projet'!$A$165:$I$185,9,0)</f>
        <v>#N/A</v>
      </c>
      <c r="DN69" s="12">
        <f t="array" ref="DN69">INDEX(DM:DM,MIN(IF(ISNUMBER(DM69:DM265),ROW(DM69:DM265),"")))</f>
        <v>5.6</v>
      </c>
      <c r="DO69" s="12">
        <f>IF('Données projet'!$A$166&gt;35,DO68+DN69-DW68,IF(A69&lt;'Données projet'!$A$166,$DL$205^A69,IF(A69='Données projet'!$A$166,'Données projet'!$B$166,DO68+DN69-DW68)))</f>
        <v>269.60000000000019</v>
      </c>
      <c r="DP69" s="17">
        <f>DO69*VLOOKUP('Données projet'!$B$14,Paramètres!$A$1:$I$89,3,0)*VLOOKUP('Données projet'!$B$14,Paramètres!$A$1:$I$89,5,0)</f>
        <v>176.64192000000011</v>
      </c>
      <c r="DQ69" s="13">
        <f t="shared" ref="DQ69:DQ132" si="97">EXP(-1.0587+0.8836*LN(DP69)+0.284)</f>
        <v>44.574258350008236</v>
      </c>
      <c r="DR69" s="20">
        <f t="shared" si="70"/>
        <v>385.28484395959794</v>
      </c>
      <c r="DS69" s="59">
        <f t="shared" si="71"/>
        <v>678.61817729293125</v>
      </c>
      <c r="DT69" s="59">
        <f ca="1">AVERAGE(OFFSET($DS$3,0,0,'Données projet'!$E$14+1,1))-AVERAGE(OFFSET($H$3,0,0,'Données projet'!$E$14+1,1))</f>
        <v>188.68915783955595</v>
      </c>
      <c r="DU69" s="59">
        <f t="shared" ref="DU69:DU132" si="98">$DU$3</f>
        <v>240.82467772396944</v>
      </c>
      <c r="DV69" s="15">
        <f>IF(ISNA(VLOOKUP(A69,'Données projet'!$A$165:$I$185,3,0)),0,VLOOKUP(A69,'Données projet'!$A$165:$I$185,3,0))</f>
        <v>0</v>
      </c>
      <c r="DW69" s="15">
        <f>IF(ISNA(VLOOKUP(A69,'Données projet'!$A$165:$I$185,4,0)),0,VLOOKUP(A69,'Données projet'!$A$165:$I$185,4,0))</f>
        <v>0</v>
      </c>
      <c r="DX69" s="16">
        <f>IF(ISNA(VLOOKUP(A69,'Données projet'!$A$165:$I$185,5,0)),0%,VLOOKUP(A69,'Données projet'!$A$165:$I$185,5,0)*VLOOKUP('Données projet'!$B$14,Paramètres!$A$1:$I$89,7,0))</f>
        <v>0</v>
      </c>
      <c r="DY69" s="16">
        <f>IF(ISNA(VLOOKUP(A69,'Données projet'!$A$165:$I$185,6,0)),0%,VLOOKUP(A69,'Données projet'!$A$165:$I$185,6,0)*VLOOKUP('Données projet'!$B$14,Paramètres!$A$1:$I$89,7,0))</f>
        <v>0</v>
      </c>
      <c r="DZ69" s="16">
        <f>IF(ISNA(VLOOKUP(A69,'Données projet'!$A$165:$I$185,7,0)),0%,VLOOKUP(A69,'Données projet'!$A$165:$I$185,7,0))</f>
        <v>0</v>
      </c>
      <c r="EA69" s="21">
        <f>EXP(-LN(2)/35)*EA68+(1-EXP(-LN(2)/35))/(LN(2)/35)*DW69*DX69*VLOOKUP('Données projet'!$B$14,Paramètres!$A$1:$I$89,3,0)*0.475*44/12</f>
        <v>0.76335860642618958</v>
      </c>
      <c r="EB69" s="21">
        <f>EXP(-LN(2)/25)*EB68+(1-EXP(-LN(2)/25))/(LN(2)/25)*Calculateur!DW69*Calculateur!DY69*VLOOKUP('Données projet'!$B$14,Paramètres!$A$1:$I$89,3,0)*0.475*44/12</f>
        <v>2.9625547700700117</v>
      </c>
      <c r="EC69" s="21">
        <f>EXP(-LN(2)/2)*EC68+(1-EXP(-LN(2)/2))/(LN(2)/2)*DW69*DZ69*VLOOKUP('Données projet'!$B$14,Paramètres!$A$1:$I$89,3,0)*0.475*44/12</f>
        <v>5.3392059273556088E-5</v>
      </c>
      <c r="ED69" s="22">
        <f t="shared" si="72"/>
        <v>3.7259667685554745</v>
      </c>
      <c r="EE69" s="75">
        <f>('Scénario référence'!$F$8+'Scénario référence'!$F$9+'Scénario référence'!$B$17+'Scénario référence'!$B$9+'Scénario référence'!$B$10)*70+IF((45+25*(1-EXP(-0.0175*A69)))&lt;70,'Scénario référence'!$B$16*(45+25*(1-EXP(-0.0175*A69))),70*'Scénario référence'!$B$16)+IF((32+38*(1-EXP(-0.0175*A69)))&lt;70,'Scénario référence'!$B$18*(32+38*(1-EXP(-0.0175*A69))),70*'Scénario référence'!$B$18)</f>
        <v>70</v>
      </c>
      <c r="EF69" s="12">
        <f>IF(A69&gt;30,10,('Scénario référence'!$B$16+'Scénario référence'!$B$17+'Scénario référence'!$B$18+'Scénario référence'!$B$9+'Scénario référence'!$B$10)*A69*10/30+('Scénario référence'!$F$8+'Scénario référence'!$F$9)*10)</f>
        <v>10</v>
      </c>
      <c r="EG69" s="12" t="e">
        <f>VLOOKUP(A69,'Données projet'!$A$191:$I$211,2,0)</f>
        <v>#N/A</v>
      </c>
      <c r="EH69" s="12" t="e">
        <f>VLOOKUP(A69,'Données projet'!$A$191:$I$211,9,0)</f>
        <v>#N/A</v>
      </c>
      <c r="EI69" s="12">
        <f t="array" ref="EI69">INDEX(EH:EH,MIN(IF(ISNUMBER(EH69:EH265),ROW(EH69:EH265),"")))</f>
        <v>5.9</v>
      </c>
      <c r="EJ69" s="12">
        <f>IF('Données projet'!$A$192&gt;35,EJ68+EI69-ER68,IF(A69&lt;'Données projet'!$A$192,$EG$205^A69,IF(A69='Données projet'!$A$192,'Données projet'!$B$192,EJ68+EI69-ER68)))</f>
        <v>251.4</v>
      </c>
      <c r="EK69" s="17">
        <f>EJ69*VLOOKUP('Données projet'!$B$15,Paramètres!$A$1:$I$89,3,0)*VLOOKUP('Données projet'!$B$15,Paramètres!$A$1:$I$89,5,0)</f>
        <v>203.93568000000002</v>
      </c>
      <c r="EL69" s="13">
        <f t="shared" ref="EL69:EL132" si="99">EXP(-1.0587+0.8836*LN(EK69)+0.284)</f>
        <v>50.608127642968469</v>
      </c>
      <c r="EM69" s="20">
        <f t="shared" si="73"/>
        <v>443.33046497817014</v>
      </c>
      <c r="EN69" s="59">
        <f t="shared" si="74"/>
        <v>736.66379831150346</v>
      </c>
      <c r="EO69" s="59">
        <f ca="1">AVERAGE(OFFSET($EN$3,0,0,'Données projet'!$E$15+1,1))-AVERAGE(OFFSET($H$3,0,0,'Données projet'!$E$15+1,1))</f>
        <v>205.5272583787887</v>
      </c>
      <c r="EP69" s="59">
        <f t="shared" ref="EP69:EP132" si="100">$EP$3</f>
        <v>180.54762778843178</v>
      </c>
      <c r="EQ69" s="15">
        <f>IF(ISNA(VLOOKUP(A69,'Données projet'!$A$191:$I$211,3,0)),0,VLOOKUP(A69,'Données projet'!$A$191:$I$211,3,0))</f>
        <v>0</v>
      </c>
      <c r="ER69" s="15">
        <f>IF(ISNA(VLOOKUP(A69,'Données projet'!$A$191:$I$211,4,0)),0,VLOOKUP(A69,'Données projet'!$A$191:$I$211,4,0))</f>
        <v>0</v>
      </c>
      <c r="ES69" s="16">
        <f>IF(ISNA(VLOOKUP(A69,'Données projet'!$A$191:$I$211,5,0)),0%,VLOOKUP(A69,'Données projet'!$A$191:$I$211,5,0)*VLOOKUP('Données projet'!$B$15,Paramètres!$A$1:$I$89,7,0))</f>
        <v>0</v>
      </c>
      <c r="ET69" s="16">
        <f>IF(ISNA(VLOOKUP(A69,'Données projet'!$A$191:$I$211,6,0)),0%,VLOOKUP(A69,'Données projet'!$A$191:$I$211,6,0)*VLOOKUP('Données projet'!$B$15,Paramètres!$A$1:$I$89,7,0))</f>
        <v>0</v>
      </c>
      <c r="EU69" s="16">
        <f>IF(ISNA(VLOOKUP(A69,'Données projet'!$A$191:$I$211,7,0)),0%,VLOOKUP(A69,'Données projet'!$A$191:$I$211,7,0))</f>
        <v>0</v>
      </c>
      <c r="EV69" s="21">
        <f>EXP(-LN(2)/35)*EV68+(1-EXP(-LN(2)/35))/(LN(2)/35)*ER69*ES69*VLOOKUP('Données projet'!$B$15,Paramètres!$A$1:$I$89,3,0)*0.475*44/12</f>
        <v>0.49145754089914662</v>
      </c>
      <c r="EW69" s="21">
        <f>EXP(-LN(2)/25)*EW68+(1-EXP(-LN(2)/25))/(LN(2)/25)*Calculateur!ER69*Calculateur!ET69*VLOOKUP('Données projet'!$B$15,Paramètres!$A$1:$I$89,3,0)*0.475*44/12</f>
        <v>2.139054415948006</v>
      </c>
      <c r="EX69" s="21">
        <f>EXP(-LN(2)/2)*EX68+(1-EXP(-LN(2)/2))/(LN(2)/2)*ER69*EU69*VLOOKUP('Données projet'!$B$15,Paramètres!$A$1:$I$89,3,0)*0.475*44/12</f>
        <v>3.4571397859115382E-5</v>
      </c>
      <c r="EY69" s="22">
        <f t="shared" si="75"/>
        <v>2.630546528245012</v>
      </c>
      <c r="EZ69" s="75">
        <f>('Scénario référence'!$F$8+'Scénario référence'!$F$9+'Scénario référence'!$B$17+'Scénario référence'!$B$9+'Scénario référence'!$B$10)*70+IF((45+25*(1-EXP(-0.0175*A69)))&lt;70,'Scénario référence'!$B$16*(45+25*(1-EXP(-0.0175*A69))),70*'Scénario référence'!$B$16)+IF((32+38*(1-EXP(-0.0175*A69)))&lt;70,'Scénario référence'!$B$18*(32+38*(1-EXP(-0.0175*A69))),70*'Scénario référence'!$B$18)</f>
        <v>70</v>
      </c>
      <c r="FA69" s="12">
        <f>IF(A69&gt;30,10,('Scénario référence'!$B$16+'Scénario référence'!$B$17+'Scénario référence'!$B$18+'Scénario référence'!$B$9+'Scénario référence'!$B$10)*A69*10/30+('Scénario référence'!$F$8+'Scénario référence'!$F$9)*10)</f>
        <v>10</v>
      </c>
      <c r="FB69" s="12" t="e">
        <f>VLOOKUP(A69,'Données projet'!$A$217:$I$237,2,0)</f>
        <v>#N/A</v>
      </c>
      <c r="FC69" s="12" t="e">
        <f>VLOOKUP(A69,'Données projet'!$A$217:$I$237,9,0)</f>
        <v>#N/A</v>
      </c>
      <c r="FD69" s="12">
        <f t="array" ref="FD69">INDEX(FC:FC,MIN(IF(ISNUMBER(FC69:FC265),ROW(FC69:FC265),"")))</f>
        <v>13</v>
      </c>
      <c r="FE69" s="12">
        <f>IF('Données projet'!$A$218&gt;35,FE68+FD69-FM68,IF(A69&lt;'Données projet'!$A$218,$FB$205^A69,IF(A69='Données projet'!$A$218,'Données projet'!$B$218,FE68+FD69-FM68)))</f>
        <v>319.99999999999994</v>
      </c>
      <c r="FF69" s="17">
        <f>FE69*VLOOKUP('Données projet'!$B$16,Paramètres!$A$1:$I$89,3,0)*VLOOKUP('Données projet'!$B$16,Paramètres!$A$1:$I$89,5,0)</f>
        <v>274.55999999999995</v>
      </c>
      <c r="FG69" s="13">
        <f t="shared" ref="FG69:FG132" si="101">EXP(-1.0587+0.8836*LN(FF69)+0.284)</f>
        <v>65.816071069188197</v>
      </c>
      <c r="FH69" s="20">
        <f t="shared" si="76"/>
        <v>592.82165711216931</v>
      </c>
      <c r="FI69" s="59">
        <f t="shared" si="77"/>
        <v>886.15499044550256</v>
      </c>
      <c r="FJ69" s="59">
        <f ca="1">AVERAGE(OFFSET($FI$3,0,0,'Données projet'!$E$16+1,1))-AVERAGE(OFFSET($H$3,0,0,'Données projet'!$E$16+1,1))</f>
        <v>383.97627237444709</v>
      </c>
      <c r="FK69" s="59">
        <f t="shared" ref="FK69:FK132" si="102">$FK$3</f>
        <v>203.35476578922339</v>
      </c>
      <c r="FL69" s="15">
        <f>IF(ISNA(VLOOKUP(A69,'Données projet'!$A$217:$I$237,3,0)),0,VLOOKUP(A69,'Données projet'!$A$217:$I$237,3,0))</f>
        <v>0</v>
      </c>
      <c r="FM69" s="15">
        <f>IF(ISNA(VLOOKUP(A69,'Données projet'!$A$217:$I$237,4,0)),0,VLOOKUP(A69,'Données projet'!$A$217:$I$237,4,0))</f>
        <v>0</v>
      </c>
      <c r="FN69" s="16">
        <f>IF(ISNA(VLOOKUP(A69,'Données projet'!$A$217:$I$237,5,0)),0%,VLOOKUP(A69,'Données projet'!$A$217:$I$237,5,0)*VLOOKUP('Données projet'!$B$16,Paramètres!$A$1:$I$89,7,0))</f>
        <v>0</v>
      </c>
      <c r="FO69" s="16">
        <f>IF(ISNA(VLOOKUP(A69,'Données projet'!$A$217:$I$237,6,0)),0%,VLOOKUP(A69,'Données projet'!$A$217:$I$237,6,0)*VLOOKUP('Données projet'!$B$16,Paramètres!$A$1:$I$89,7,0))</f>
        <v>0</v>
      </c>
      <c r="FP69" s="16">
        <f>IF(ISNA(VLOOKUP(A69,'Données projet'!$A$217:$I$237,7,0)),0%,VLOOKUP(A69,'Données projet'!$A$217:$I$237,7,0))</f>
        <v>0</v>
      </c>
      <c r="FQ69" s="21">
        <f>EXP(-LN(2)/35)*FQ68+(1-EXP(-LN(2)/35))/(LN(2)/35)*FM69*FN69*VLOOKUP('Données projet'!$B$16,Paramètres!$A$1:$I$89,3,0)*0.475*44/12</f>
        <v>2.5258251341923073</v>
      </c>
      <c r="FR69" s="21">
        <f>EXP(-LN(2)/25)*FR68+(1-EXP(-LN(2)/25))/(LN(2)/25)*Calculateur!FM69*Calculateur!FO69*VLOOKUP('Données projet'!$B$16,Paramètres!$A$1:$I$89,3,0)*0.475*44/12</f>
        <v>2.1713613244730832</v>
      </c>
      <c r="FS69" s="21">
        <f>EXP(-LN(2)/2)*FS68+(1-EXP(-LN(2)/2))/(LN(2)/2)*FM69*FP69*VLOOKUP('Données projet'!$B$16,Paramètres!$A$1:$I$89,3,0)*0.475*44/12</f>
        <v>6.3500562789115493E-5</v>
      </c>
      <c r="FT69" s="22">
        <f t="shared" si="78"/>
        <v>4.6972499592281798</v>
      </c>
      <c r="FU69" s="75">
        <f>('Scénario référence'!$F$8+'Scénario référence'!$F$9+'Scénario référence'!$B$17+'Scénario référence'!$B$9+'Scénario référence'!$B$10)*70+IF((45+25*(1-EXP(-0.0175*A69)))&lt;70,'Scénario référence'!$B$16*(45+25*(1-EXP(-0.0175*A69))),70*'Scénario référence'!$B$16)+IF((32+38*(1-EXP(-0.0175*A69)))&lt;70,'Scénario référence'!$B$18*(32+38*(1-EXP(-0.0175*A69))),70*'Scénario référence'!$B$18)</f>
        <v>70</v>
      </c>
      <c r="FV69" s="12">
        <f>IF(A69&gt;30,10,('Scénario référence'!$B$16+'Scénario référence'!$B$17+'Scénario référence'!$B$18+'Scénario référence'!$B$9+'Scénario référence'!$B$10)*A69*10/30+('Scénario référence'!$F$8+'Scénario référence'!$F$9)*10)</f>
        <v>10</v>
      </c>
      <c r="FW69" s="12" t="e">
        <f>VLOOKUP(A69,'Données projet'!$A$243:$I$263,2,0)</f>
        <v>#N/A</v>
      </c>
      <c r="FX69" s="12" t="e">
        <f>VLOOKUP(A69,'Données projet'!$A$243:$I$263,9,0)</f>
        <v>#N/A</v>
      </c>
      <c r="FY69" s="12">
        <f t="array" ref="FY69">INDEX(FX:FX,MIN(IF(ISNUMBER(FX69:FX265),ROW(FX69:FX265),"")))</f>
        <v>8.1001602564102555</v>
      </c>
      <c r="FZ69" s="12">
        <f>IF('Données projet'!$A$244&gt;35,FZ68+FY69-GH68,IF(A69&lt;'Données projet'!$A$244,$FW$205^A69,IF(A69='Données projet'!$A$244,'Données projet'!$B$244,FZ68+FY69-GH68)))</f>
        <v>202.86458333333337</v>
      </c>
      <c r="GA69" s="17">
        <f>FZ69*VLOOKUP('Données projet'!$B$17,Paramètres!$A$1:$I$89,3,0)*VLOOKUP('Données projet'!$B$17,Paramètres!$A$1:$I$89,5,0)</f>
        <v>218.36343750000006</v>
      </c>
      <c r="GB69" s="13">
        <f t="shared" ref="GB69:GB132" si="103">EXP(-1.0587+0.8836*LN(GA69)+0.284)</f>
        <v>53.759032521098476</v>
      </c>
      <c r="GC69" s="20">
        <f t="shared" si="79"/>
        <v>473.94663528674664</v>
      </c>
      <c r="GD69" s="59">
        <f t="shared" si="80"/>
        <v>767.2799686200799</v>
      </c>
      <c r="GE69" s="59">
        <f ca="1">AVERAGE(OFFSET($GD$3,0,0,'Données projet'!$E$17+1,1))-AVERAGE(OFFSET($H$3,0,0,'Données projet'!$E$17+1,1))</f>
        <v>286.77702855541287</v>
      </c>
      <c r="GF69" s="59">
        <f t="shared" ref="GF69:GF132" si="104">$GF$3</f>
        <v>227.12211541860779</v>
      </c>
      <c r="GG69" s="15">
        <f>IF(ISNA(VLOOKUP(A69,'Données projet'!$A$243:$I$263,3,0)),0,VLOOKUP(A69,'Données projet'!$A$243:$I$263,3,0))</f>
        <v>0</v>
      </c>
      <c r="GH69" s="15">
        <f>IF(ISNA(VLOOKUP(A69,'Données projet'!$A$243:$I$263,4,0)),0,VLOOKUP(A69,'Données projet'!$A$243:$I$263,4,0))</f>
        <v>0</v>
      </c>
      <c r="GI69" s="16">
        <f>IF(ISNA(VLOOKUP(A69,'Données projet'!$A$243:$I$263,5,0)),0%,VLOOKUP(A69,'Données projet'!$A$243:$I$263,5,0)*VLOOKUP('Données projet'!$B$17,Paramètres!$A$1:$I$89,7,0))</f>
        <v>0</v>
      </c>
      <c r="GJ69" s="16">
        <f>IF(ISNA(VLOOKUP(A69,'Données projet'!$A$243:$I$263,6,0)),0%,VLOOKUP(A69,'Données projet'!$A$243:$I$263,6,0)*VLOOKUP('Données projet'!$B$17,Paramètres!$A$1:$I$89,7,0))</f>
        <v>0</v>
      </c>
      <c r="GK69" s="16">
        <f>IF(ISNA(VLOOKUP(A69,'Données projet'!$A$243:$I$263,7,0)),0%,VLOOKUP(A69,'Données projet'!$A$243:$I$263,7,0))</f>
        <v>0</v>
      </c>
      <c r="GL69" s="21">
        <f>EXP(-LN(2)/35)*GL68+(1-EXP(-LN(2)/35))/(LN(2)/35)*GH69*GI69*VLOOKUP('Données projet'!$B$17,Paramètres!$A$1:$I$89,3,0)*0.475*44/12</f>
        <v>0</v>
      </c>
      <c r="GM69" s="21">
        <f>EXP(-LN(2)/25)*GM68+(1-EXP(-LN(2)/25))/(LN(2)/25)*Calculateur!GH69*Calculateur!GJ69*VLOOKUP('Données projet'!$B$17,Paramètres!$A$1:$I$89,3,0)*0.475*44/12</f>
        <v>0</v>
      </c>
      <c r="GN69" s="21">
        <f>EXP(-LN(2)/2)*GN68+(1-EXP(-LN(2)/2))/(LN(2)/2)*GH69*GK69*VLOOKUP('Données projet'!$B$17,Paramètres!$A$1:$I$89,3,0)*0.475*44/12</f>
        <v>0</v>
      </c>
      <c r="GO69" s="21">
        <f t="shared" si="81"/>
        <v>0</v>
      </c>
      <c r="GP69" s="75">
        <f>('Scénario référence'!$F$8+'Scénario référence'!$F$9+'Scénario référence'!$B$17+'Scénario référence'!$B$9+'Scénario référence'!$B$10)*70+IF((45+25*(1-EXP(-0.0175*A69)))&lt;70,'Scénario référence'!$B$16*(45+25*(1-EXP(-0.0175*A69))),70*'Scénario référence'!$B$16)+IF((32+38*(1-EXP(-0.0175*A69)))&lt;70,'Scénario référence'!$B$18*(32+38*(1-EXP(-0.0175*A69))),70*'Scénario référence'!$B$18)</f>
        <v>70</v>
      </c>
      <c r="GQ69" s="12">
        <f>IF(A69&gt;30,10,('Scénario référence'!$B$16+'Scénario référence'!$B$17+'Scénario référence'!$B$18+'Scénario référence'!$B$9+'Scénario référence'!$B$10)*A69*10/30+('Scénario référence'!$F$8+'Scénario référence'!$F$9)*10)</f>
        <v>10</v>
      </c>
      <c r="GR69" s="12" t="e">
        <f>VLOOKUP(A69,'Données projet'!$A$269:$I$289,2,0)</f>
        <v>#N/A</v>
      </c>
      <c r="GS69" s="12" t="e">
        <f>VLOOKUP(A69,'Données projet'!$A$269:$I$289,9,0)</f>
        <v>#N/A</v>
      </c>
      <c r="GT69" s="12">
        <f t="array" ref="GT69">INDEX(GS:GS,MIN(IF(ISNUMBER(GS69:GS265),ROW(GS69:GS265),"")))</f>
        <v>8.1001602564102555</v>
      </c>
      <c r="GU69" s="12">
        <f>IF('Données projet'!$A$270&gt;35,GU68+GT69-HC68,IF(A69&lt;'Données projet'!$A$270,$GR$205^A69,IF(A69='Données projet'!$A$270,'Données projet'!$B$270,GU68+GT69-HC68)))</f>
        <v>202.86458333333337</v>
      </c>
      <c r="GV69" s="17">
        <f>GU69*VLOOKUP('Données projet'!$B$18,Paramètres!$A$1:$I$89,3,0)*VLOOKUP('Données projet'!$B$18,Paramètres!$A$1:$I$89,5,0)</f>
        <v>218.36343750000006</v>
      </c>
      <c r="GW69" s="13">
        <f t="shared" ref="GW69:GW132" si="105">EXP(-1.0587+0.8836*LN(GV69)+0.284)</f>
        <v>53.759032521098476</v>
      </c>
      <c r="GX69" s="20">
        <f t="shared" si="82"/>
        <v>473.94663528674664</v>
      </c>
      <c r="GY69" s="59">
        <f t="shared" si="83"/>
        <v>767.2799686200799</v>
      </c>
      <c r="GZ69" s="59">
        <f ca="1">AVERAGE(OFFSET($GY$3,0,0,'Données projet'!$E$18+1,1))-AVERAGE(OFFSET($H$3,0,0,'Données projet'!$E$18+1,1))</f>
        <v>286.77702855541287</v>
      </c>
      <c r="HA69" s="59">
        <f t="shared" ref="HA69:HA132" si="106">$HA$3</f>
        <v>227.12211541860779</v>
      </c>
      <c r="HB69" s="15">
        <f>IF(ISNA(VLOOKUP(A69,'Données projet'!$A$269:$I$289,3,0)),0,VLOOKUP(A69,'Données projet'!$A$269:$I$289,3,0))</f>
        <v>0</v>
      </c>
      <c r="HC69" s="15">
        <f>IF(ISNA(VLOOKUP(A69,'Données projet'!$A$269:$I$289,4,0)),0,VLOOKUP(A69,'Données projet'!$A$269:$I$289,4,0))</f>
        <v>0</v>
      </c>
      <c r="HD69" s="16">
        <f>IF(ISNA(VLOOKUP(A69,'Données projet'!$A$269:$I$289,5,0)),0%,VLOOKUP(A69,'Données projet'!$A$269:$I$289,5,0)*VLOOKUP('Données projet'!$B$18,Paramètres!$A$1:$I$89,7,0))</f>
        <v>0</v>
      </c>
      <c r="HE69" s="16">
        <f>IF(ISNA(VLOOKUP(A69,'Données projet'!$A$269:$I$289,6,0)),0%,VLOOKUP(A69,'Données projet'!$A$269:$I$289,6,0)*VLOOKUP('Données projet'!$B$18,Paramètres!$A$1:$I$89,7,0))</f>
        <v>0</v>
      </c>
      <c r="HF69" s="16">
        <f>IF(ISNA(VLOOKUP(A69,'Données projet'!$A$269:$I$289,7,0)),0%,VLOOKUP(A69,'Données projet'!$A$269:$I$289,7,0))</f>
        <v>0</v>
      </c>
      <c r="HG69" s="21">
        <f>EXP(-LN(2)/35)*HG68+(1-EXP(-LN(2)/35))/(LN(2)/35)*HC69*HD69*VLOOKUP('Données projet'!$B$18,Paramètres!$A$1:$I$89,3,0)*0.475*44/12</f>
        <v>0</v>
      </c>
      <c r="HH69" s="21">
        <f>EXP(-LN(2)/25)*HH68+(1-EXP(-LN(2)/25))/(LN(2)/25)*Calculateur!HC69*Calculateur!HE69*VLOOKUP('Données projet'!$B$18,Paramètres!$A$1:$I$89,3,0)*0.475*44/12</f>
        <v>0</v>
      </c>
      <c r="HI69" s="21">
        <f>EXP(-LN(2)/2)*HI68+(1-EXP(-LN(2)/2))/(LN(2)/2)*HC69*HF69*VLOOKUP('Données projet'!$B$18,Paramètres!$A$1:$I$89,3,0)*0.475*44/12</f>
        <v>0</v>
      </c>
      <c r="HJ69" s="22">
        <f t="shared" si="84"/>
        <v>0</v>
      </c>
    </row>
    <row r="70" spans="1:218" x14ac:dyDescent="0.25">
      <c r="A70" s="10">
        <f t="shared" si="85"/>
        <v>67</v>
      </c>
      <c r="B70" s="73">
        <f>'Scénario référence'!$B$16*5+'Scénario référence'!$B$17*0+'Scénario référence'!$B$18*5</f>
        <v>0</v>
      </c>
      <c r="C70" s="19">
        <f>Calculateur!C69+'Scénario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59.576400000000064</v>
      </c>
      <c r="D70" s="11">
        <f t="shared" si="86"/>
        <v>17.061125519726964</v>
      </c>
      <c r="E7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70" s="11">
        <f>IF(OR('Scénario référence'!$F$8&gt;0,'Scénario référence'!$F$9&gt;0),('Scénario référence'!$F$8+'Scénario référence'!$F$9)*10,0)</f>
        <v>10</v>
      </c>
      <c r="G70" s="11">
        <f>'Scénario référence'!$B$8*B70*44/12+'Scénario référence'!$B$9*(C70+D70)/0.475*44/12+'Scénario référence'!$B$10*(C70+D70)/0.475*44/12+'Scénario référence'!$F$8*(C70+D70)/0.475*44/12+'Scénario référence'!$F$9*(C70+D70)/0.475*44/12</f>
        <v>591.58791629262976</v>
      </c>
      <c r="H70" s="67">
        <f t="shared" si="56"/>
        <v>426.81035694685789</v>
      </c>
      <c r="I70" s="70">
        <f>('Scénario référence'!$F$8+'Scénario référence'!$F$9+'Scénario référence'!$B$17+'Scénario référence'!$B$9+'Scénario référence'!$B$10)*70+IF((45+25*(1-EXP(-0.0175*A70)))&lt;70,'Scénario référence'!$B$16*(45+25*(1-EXP(-0.0175*A70))),70*'Scénario référence'!$B$16)+IF((32+38*(1-EXP(-0.0175*A70)))&lt;70,'Scénario référence'!$B$18*(32+38*(1-EXP(-0.0175*A70))),70*'Scénario référence'!$B$18)</f>
        <v>70</v>
      </c>
      <c r="J70" s="13">
        <f>IF(A70&gt;30,10,('Scénario référence'!$B$16+'Scénario référence'!$B$17+'Scénario référence'!$B$18+'Scénario référence'!$B$9+'Scénario référence'!$B$10)*A70*10/30+('Scénario référence'!$F$8+'Scénario référence'!$F$9)*10)</f>
        <v>10</v>
      </c>
      <c r="K70" s="12" t="e">
        <f>VLOOKUP(A70,'Données projet'!$A$35:$I$55,2,0)</f>
        <v>#N/A</v>
      </c>
      <c r="L70" s="12" t="e">
        <f>VLOOKUP(A70,'Données projet'!$A$35:$I$55,9,0)</f>
        <v>#N/A</v>
      </c>
      <c r="M70" s="12">
        <f t="array" ref="M70">INDEX(L:L,MIN(IF(ISNUMBER(L70:L266),ROW(L70:L266),"")))</f>
        <v>0</v>
      </c>
      <c r="N70" s="13">
        <f>IF('Données projet'!$A$36&gt;35,N69+M70-V69,IF(A70&lt;'Données projet'!$A$36,$K$205^A70,IF(A70='Données projet'!$A$36,'Données projet'!$B$36,N69+M70-V69)))</f>
        <v>-2.2737367544323206E-13</v>
      </c>
      <c r="O70" s="13">
        <f>N70*VLOOKUP('Données projet'!$B$9,Paramètres!$A$1:$I$89,3,0)*VLOOKUP('Données projet'!$B$9,Paramètres!$A$1:$I$89,5,0)</f>
        <v>-1.2710188457276673E-13</v>
      </c>
      <c r="P70" s="13" t="e">
        <f t="shared" si="87"/>
        <v>#NUM!</v>
      </c>
      <c r="Q70" s="20" t="e">
        <f t="shared" si="54"/>
        <v>#NUM!</v>
      </c>
      <c r="R70" s="59" t="e">
        <f t="shared" si="55"/>
        <v>#NUM!</v>
      </c>
      <c r="S70" s="59">
        <f ca="1">AVERAGE(OFFSET($R$3,0,0,'Données projet'!$E$9+1,1))-AVERAGE(OFFSET($H$3,0,0,'Données projet'!$E$9+1,1))</f>
        <v>255.5374979188561</v>
      </c>
      <c r="T70" s="59">
        <f t="shared" si="88"/>
        <v>343.10418468620901</v>
      </c>
      <c r="U70" s="15">
        <f>IF(ISNA(VLOOKUP(A70,'Données projet'!$A$35:$I$55,3,0)),0,VLOOKUP(A70,'Données projet'!$A$35:$I$55,3,0))</f>
        <v>0</v>
      </c>
      <c r="V70" s="15">
        <f>IF(ISNA(VLOOKUP(A70,'Données projet'!$A$35:$I$55,4,0)),0,VLOOKUP(A70,'Données projet'!$A$35:$I$55,4,0))</f>
        <v>0</v>
      </c>
      <c r="W70" s="16">
        <f>IF(ISNA(VLOOKUP(A70,'Données projet'!$A$35:$I$55,5,0)),0%,VLOOKUP(A70,'Données projet'!$A$35:$I$55,5,0)*VLOOKUP('Données projet'!$B$9,Paramètres!$A$1:$I$89,7,0))</f>
        <v>0</v>
      </c>
      <c r="X70" s="16">
        <f>IF(ISNA(VLOOKUP(A70,'Données projet'!$A$35:$I$55,6,0)),0%,VLOOKUP(A70,'Données projet'!$A$35:$I$55,6,0)*VLOOKUP('Données projet'!$B$9,Paramètres!$A$1:$I$89,7,0))</f>
        <v>0</v>
      </c>
      <c r="Y70" s="16">
        <f>IF(ISNA(VLOOKUP(A70,'Données projet'!$A$35:$I$55,7,0)),0%,VLOOKUP(A70,'Données projet'!$A$35:$I$55,7,0))</f>
        <v>0</v>
      </c>
      <c r="Z70" s="21">
        <f>EXP(-LN(2)/35)*Z69+(1-EXP(-LN(2)/35))/(LN(2)/35)*V70*W70*VLOOKUP('Données projet'!$B$9,Paramètres!$A$1:$I$89,3,0)*0.475*44/12</f>
        <v>1.4850207109042493</v>
      </c>
      <c r="AA70" s="21">
        <f>EXP(-LN(2)/25)*AA69+(1-EXP(-LN(2)/25))/(LN(2)/25)*Calculateur!V70*Calculateur!X70*VLOOKUP('Données projet'!$B$9,Paramètres!$A$1:$I$89,3,0)*0.475*44/12</f>
        <v>5.7215743348850863</v>
      </c>
      <c r="AB70" s="21">
        <f>EXP(-LN(2)/2)*AB69+(1-EXP(-LN(2)/2))/(LN(2)/2)*V70*Y70*VLOOKUP('Données projet'!$B$9,Paramètres!$A$1:$I$89,3,0)*0.475*44/12</f>
        <v>4.5657568495616185E-6</v>
      </c>
      <c r="AC70" s="22">
        <f t="shared" si="57"/>
        <v>7.206599611546185</v>
      </c>
      <c r="AD70" s="13">
        <f>('Scénario référence'!$F$8+'Scénario référence'!$F$9+'Scénario référence'!$B$17+'Scénario référence'!$B$9+'Scénario référence'!$B$10)*70+IF((45+25*(1-EXP(-0.0175*A70)))&lt;70,'Scénario référence'!$B$16*(45+25*(1-EXP(-0.0175*A70))),70*'Scénario référence'!$B$16)+IF((32+38*(1-EXP(-0.0175*A70)))&lt;70,'Scénario référence'!$B$18*(32+38*(1-EXP(-0.0175*A70))),70*'Scénario référence'!$B$18)</f>
        <v>70</v>
      </c>
      <c r="AE70" s="13">
        <f>IF(A70&gt;30,10,('Scénario référence'!$B$16+'Scénario référence'!$B$17+'Scénario référence'!$B$18+'Scénario référence'!$B$9+'Scénario référence'!$B$10)*A70*10/30+('Scénario référence'!$F$8+'Scénario référence'!$F$9)*10)</f>
        <v>10</v>
      </c>
      <c r="AF70" s="12" t="e">
        <f>VLOOKUP(A70,'Données projet'!$A$61:$I$81,2,0)</f>
        <v>#N/A</v>
      </c>
      <c r="AG70" s="12" t="e">
        <f>VLOOKUP(A70,'Données projet'!$A$61:$I$81,9,0)</f>
        <v>#N/A</v>
      </c>
      <c r="AH70" s="12">
        <f t="array" ref="AH70">INDEX(AG:AG,MIN(IF(ISNUMBER(AG70:AG266),ROW(AG70:AG266),"")))</f>
        <v>7.8</v>
      </c>
      <c r="AI70" s="13">
        <f>IF('Données projet'!$A$62&gt;35,AI69+AH70-AQ69,IF(A70&lt;'Données projet'!$A$62,$AF$205^A70,IF(A70='Données projet'!$A$62,'Données projet'!$B$62,AI69+AH70-AQ69)))</f>
        <v>403.59999999999997</v>
      </c>
      <c r="AJ70" s="13">
        <f>AI70*VLOOKUP('Données projet'!$B$10,Paramètres!$A$1:$I$89,3,0)*VLOOKUP('Données projet'!$B$10,Paramètres!$A$1:$I$89,5,0)</f>
        <v>251.84639999999999</v>
      </c>
      <c r="AK70" s="13">
        <f t="shared" si="89"/>
        <v>60.981150137731454</v>
      </c>
      <c r="AL70" s="20">
        <f t="shared" si="58"/>
        <v>544.84131648988216</v>
      </c>
      <c r="AM70" s="59">
        <f t="shared" si="59"/>
        <v>838.17464982321553</v>
      </c>
      <c r="AN70" s="59">
        <f ca="1">AVERAGE(OFFSET($AM$3,0,0,'Données projet'!$E$10+1,1))-AVERAGE(OFFSET($H$3,0,0,'Données projet'!$E$10+1,1))</f>
        <v>261.78489480911571</v>
      </c>
      <c r="AO70" s="59">
        <f t="shared" si="90"/>
        <v>297.50513563712764</v>
      </c>
      <c r="AP70" s="15">
        <f>IF(ISNA(VLOOKUP(A70,'Données projet'!$A$61:$I$81,3,0)),0,VLOOKUP(A70,'Données projet'!$A$61:$I$81,3,0))</f>
        <v>0</v>
      </c>
      <c r="AQ70" s="15">
        <f>IF(ISNA(VLOOKUP(A70,'Données projet'!$A$61:$I$81,4,0)),0,VLOOKUP(A70,'Données projet'!$A$61:$I$81,4,0))</f>
        <v>0</v>
      </c>
      <c r="AR70" s="16">
        <f>IF(ISNA(VLOOKUP(A70,'Données projet'!$A$61:$I$81,5,0)),0%,VLOOKUP(A70,'Données projet'!$A$61:$I$81,5,0)*VLOOKUP('Données projet'!$B$10,Paramètres!$A$1:$I$89,7,0))</f>
        <v>0</v>
      </c>
      <c r="AS70" s="16">
        <f>IF(ISNA(VLOOKUP(A70,'Données projet'!$A$61:$I$81,6,0)),0%,VLOOKUP(A70,'Données projet'!$A$61:$I$81,6,0)*VLOOKUP('Données projet'!$B$10,Paramètres!$A$1:$I$89,7,0))</f>
        <v>0</v>
      </c>
      <c r="AT70" s="16">
        <f>IF(ISNA(VLOOKUP(A70,'Données projet'!$A$61:$I$81,7,0)),0%,VLOOKUP(A70,'Données projet'!$A$61:$I$81,7,0))</f>
        <v>0</v>
      </c>
      <c r="AU70" s="21">
        <f>EXP(-LN(2)/35)*AU69+(1-EXP(-LN(2)/35))/(LN(2)/35)*AQ70*AR70*VLOOKUP('Données projet'!$B$10,Paramètres!$A$1:$I$89,3,0)*0.475*44/12</f>
        <v>4.0099759555349008</v>
      </c>
      <c r="AV70" s="21">
        <f>EXP(-LN(2)/25)*AV69+(1-EXP(-LN(2)/25))/(LN(2)/25)*Calculateur!AQ70*Calculateur!AS70*VLOOKUP('Données projet'!$B$10,Paramètres!$A$1:$I$89,3,0)*0.475*44/12</f>
        <v>9.9910357660149387</v>
      </c>
      <c r="AW70" s="21">
        <f>EXP(-LN(2)/2)*AW69+(1-EXP(-LN(2)/2))/(LN(2)/2)*AQ70*AT70*VLOOKUP('Données projet'!$B$10,Paramètres!$A$1:$I$89,3,0)*0.475*44/12</f>
        <v>6.5819731605298886E-5</v>
      </c>
      <c r="AX70" s="21">
        <f t="shared" si="60"/>
        <v>14.001077541281445</v>
      </c>
      <c r="AY70" s="74">
        <f>('Scénario référence'!$F$8+'Scénario référence'!$F$9+'Scénario référence'!$B$17+'Scénario référence'!$B$9+'Scénario référence'!$B$10)*70+IF((45+25*(1-EXP(-0.0175*A70)))&lt;70,'Scénario référence'!$B$16*(45+25*(1-EXP(-0.0175*A70))),70*'Scénario référence'!$B$16)+IF((32+38*(1-EXP(-0.0175*A70)))&lt;70,'Scénario référence'!$B$18*(32+38*(1-EXP(-0.0175*A70))),70*'Scénario référence'!$B$18)</f>
        <v>70</v>
      </c>
      <c r="AZ70" s="12">
        <f>IF(A70&gt;30,10,('Scénario référence'!$B$16+'Scénario référence'!$B$17+'Scénario référence'!$B$18+'Scénario référence'!$B$9+'Scénario référence'!$B$10)*A70*10/30+('Scénario référence'!$F$8+'Scénario référence'!$F$9)*10)</f>
        <v>10</v>
      </c>
      <c r="BA70" s="12" t="e">
        <f>VLOOKUP(A70,'Données projet'!$A$87:$I$107,2,0)</f>
        <v>#N/A</v>
      </c>
      <c r="BB70" s="12" t="e">
        <f>VLOOKUP(A70,'Données projet'!$A$87:$I$107,9,0)</f>
        <v>#N/A</v>
      </c>
      <c r="BC70" s="12">
        <f t="array" ref="BC70">INDEX(BB:BB,MIN(IF(ISNUMBER(BB70:BB266),ROW(BB70:BB266),"")))</f>
        <v>16.399999999999999</v>
      </c>
      <c r="BD70" s="12">
        <f>IF('Données projet'!$A$88&gt;35,BD69+BC70-BL69,IF(A70&lt;'Données projet'!$A$88,$BA$205^A70,IF(A70='Données projet'!$A$88,'Données projet'!$B$88,BD69+BC70-BL69)))</f>
        <v>514.79999999999961</v>
      </c>
      <c r="BE70" s="13">
        <f>BD70*VLOOKUP('Données projet'!$B$11,Paramètres!$A$1:$I$89,3,0)*VLOOKUP('Données projet'!$B$11,Paramètres!$A$1:$I$89,5,0)</f>
        <v>307.85039999999975</v>
      </c>
      <c r="BF70" s="13">
        <f t="shared" si="91"/>
        <v>72.819726494623737</v>
      </c>
      <c r="BG70" s="20">
        <f t="shared" si="61"/>
        <v>663.00047031146926</v>
      </c>
      <c r="BH70" s="59">
        <f t="shared" si="62"/>
        <v>956.33380364480263</v>
      </c>
      <c r="BI70" s="59">
        <f ca="1">AVERAGE(OFFSET($BH$3,0,0,'Données projet'!$E$11+1,1))-AVERAGE(OFFSET($H$3,0,0,'Données projet'!$E$11+1,1))</f>
        <v>316.58509520829671</v>
      </c>
      <c r="BJ70" s="59">
        <f t="shared" si="92"/>
        <v>240.71332110643596</v>
      </c>
      <c r="BK70" s="15">
        <f>IF(ISNA(VLOOKUP(A70,'Données projet'!$A$87:$I$107,3,0)),0,VLOOKUP(A70,'Données projet'!$A$87:$I$107,3,0))</f>
        <v>0</v>
      </c>
      <c r="BL70" s="15">
        <f>IF(ISNA(VLOOKUP(A70,'Données projet'!$A$87:$I$107,4,0)),0,VLOOKUP(A70,'Données projet'!$A$87:$I$107,4,0))</f>
        <v>0</v>
      </c>
      <c r="BM70" s="16">
        <f>IF(ISNA(VLOOKUP(A70,'Données projet'!$A$87:$I$107,5,0)),0%,VLOOKUP(A70,'Données projet'!$A$87:$I$107,5,0)*VLOOKUP('Données projet'!$B$11,Paramètres!$A$1:$I$89,7,0))</f>
        <v>0</v>
      </c>
      <c r="BN70" s="16">
        <f>IF(ISNA(VLOOKUP(A70,'Données projet'!$A$87:$I$107,6,0)),0%,VLOOKUP(A70,'Données projet'!$A$87:$I$107,6,0)*VLOOKUP('Données projet'!$B$11,Paramètres!$A$1:$I$89,7,0))</f>
        <v>0</v>
      </c>
      <c r="BO70" s="16">
        <f>IF(ISNA(VLOOKUP(A70,'Données projet'!$A$87:$I$107,7,0)),0%,VLOOKUP(A70,'Données projet'!$A$87:$I$107,7,0))</f>
        <v>0</v>
      </c>
      <c r="BP70" s="21">
        <f>EXP(-LN(2)/35)*BP69+(1-EXP(-LN(2)/35))/(LN(2)/35)*BL70*BM70*VLOOKUP('Données projet'!$B$11,Paramètres!$A$1:$I$89,3,0)*0.475*44/12</f>
        <v>1.2180600326243474</v>
      </c>
      <c r="BQ70" s="21">
        <f>EXP(-LN(2)/25)*BQ69+(1-EXP(-LN(2)/25))/(LN(2)/25)*Calculateur!BL70*Calculateur!BN70*VLOOKUP('Données projet'!$B$11,Paramètres!$A$1:$I$89,3,0)*0.475*44/12</f>
        <v>5.4733809118297634</v>
      </c>
      <c r="BR70" s="21">
        <f>EXP(-LN(2)/2)*BR69+(1-EXP(-LN(2)/2))/(LN(2)/2)*BL70*BO70*VLOOKUP('Données projet'!$B$11,Paramètres!$A$1:$I$89,3,0)*0.475*44/12</f>
        <v>5.9179146803568586E-5</v>
      </c>
      <c r="BS70" s="22">
        <f t="shared" si="63"/>
        <v>6.691500123600914</v>
      </c>
      <c r="BT70" s="75">
        <f>('Scénario référence'!$F$8+'Scénario référence'!$F$9+'Scénario référence'!$B$17+'Scénario référence'!$B$9+'Scénario référence'!$B$10)*70+IF((45+25*(1-EXP(-0.0175*A70)))&lt;70,'Scénario référence'!$B$16*(45+25*(1-EXP(-0.0175*A70))),70*'Scénario référence'!$B$16)+IF((32+38*(1-EXP(-0.0175*A70)))&lt;70,'Scénario référence'!$B$18*(32+38*(1-EXP(-0.0175*A70))),70*'Scénario référence'!$B$18)</f>
        <v>70</v>
      </c>
      <c r="BU70" s="12">
        <f>IF(A70&gt;30,10,('Scénario référence'!$B$16+'Scénario référence'!$B$17+'Scénario référence'!$B$18+'Scénario référence'!$B$9+'Scénario référence'!$B$10)*A70*10/30+('Scénario référence'!$F$8+'Scénario référence'!$F$9)*10)</f>
        <v>10</v>
      </c>
      <c r="BV70" s="12" t="e">
        <f>VLOOKUP(A70,'Données projet'!$A$113:$I$133,2,0)</f>
        <v>#N/A</v>
      </c>
      <c r="BW70" s="12" t="e">
        <f>VLOOKUP(A70,'Données projet'!$A$113:$I$133,9,0)</f>
        <v>#N/A</v>
      </c>
      <c r="BX70" s="12">
        <f t="array" ref="BX70">INDEX(BW:BW,MIN(IF(ISNUMBER(BW70:BW266),ROW(BW70:BW266),"")))</f>
        <v>7.3</v>
      </c>
      <c r="BY70" s="12">
        <f>IF('Données projet'!$A$114&gt;35,BY69+BX70-CG69,IF(A70&lt;'Données projet'!$A$114,$BV$205^A70,IF(A70='Données projet'!$A$114,'Données projet'!$B$114,BY69+BX70-CG69)))</f>
        <v>328.09999999999985</v>
      </c>
      <c r="BZ70" s="13">
        <f>BY70*VLOOKUP('Données projet'!$B$12,Paramètres!$A$1:$I$89,3,0)*VLOOKUP('Données projet'!$B$12,Paramètres!$A$1:$I$89,5,0)</f>
        <v>187.67319999999995</v>
      </c>
      <c r="CA70" s="13">
        <f t="shared" si="93"/>
        <v>47.025162078636761</v>
      </c>
      <c r="CB70" s="20">
        <f t="shared" si="64"/>
        <v>408.76631395362557</v>
      </c>
      <c r="CC70" s="59">
        <f t="shared" si="65"/>
        <v>702.09964728695888</v>
      </c>
      <c r="CD70" s="59">
        <f ca="1">AVERAGE(OFFSET($CC$3,0,0,'Données projet'!$E$12+1,1))-AVERAGE(OFFSET($H$3,0,0,'Données projet'!$E$12+1,1))</f>
        <v>188.64374818906128</v>
      </c>
      <c r="CE70" s="59">
        <f t="shared" si="94"/>
        <v>211.95157880548652</v>
      </c>
      <c r="CF70" s="15">
        <f>IF(ISNA(VLOOKUP(A70,'Données projet'!$A$113:$I$133,3,0)),0,VLOOKUP(A70,'Données projet'!$A$113:$I$133,3,0))</f>
        <v>0</v>
      </c>
      <c r="CG70" s="15">
        <f>IF(ISNA(VLOOKUP(A70,'Données projet'!$A$113:$I$133,4,0)),0,VLOOKUP(A70,'Données projet'!$A$113:$I$133,4,0))</f>
        <v>0</v>
      </c>
      <c r="CH70" s="16">
        <f>IF(ISNA(VLOOKUP(A70,'Données projet'!$A$113:$I$133,5,0)),0%,VLOOKUP(A70,'Données projet'!$A$113:$I$133,5,0)*VLOOKUP('Données projet'!$B$12,Paramètres!$A$1:$I$89,7,0))</f>
        <v>0</v>
      </c>
      <c r="CI70" s="16">
        <f>IF(ISNA(VLOOKUP(A70,'Données projet'!$A$113:$I$133,6,0)),0%,VLOOKUP(A70,'Données projet'!$A$113:$I$133,6,0)*VLOOKUP('Données projet'!$B$12,Paramètres!$A$1:$I$89,7,0))</f>
        <v>0</v>
      </c>
      <c r="CJ70" s="16">
        <f>IF(ISNA(VLOOKUP(A70,'Données projet'!$A$113:$I$133,7,0)),0%,VLOOKUP(A70,'Données projet'!$A$113:$I$133,7,0))</f>
        <v>0</v>
      </c>
      <c r="CK70" s="21">
        <f>EXP(-LN(2)/35)*CK69+(1-EXP(-LN(2)/35))/(LN(2)/35)*CG70*CH70*VLOOKUP('Données projet'!$B$12,Paramètres!$A$1:$I$89,3,0)*0.475*44/12</f>
        <v>1.1815107726129617</v>
      </c>
      <c r="CL70" s="21">
        <f>EXP(-LN(2)/25)*CL69+(1-EXP(-LN(2)/25))/(LN(2)/25)*Calculateur!CG70*Calculateur!CI70*VLOOKUP('Données projet'!$B$12,Paramètres!$A$1:$I$89,3,0)*0.475*44/12</f>
        <v>5.1516700412060832</v>
      </c>
      <c r="CM70" s="21">
        <f>EXP(-LN(2)/2)*CM69+(1-EXP(-LN(2)/2))/(LN(2)/2)*CG70*CJ70*VLOOKUP('Données projet'!$B$12,Paramètres!$A$1:$I$89,3,0)*0.475*44/12</f>
        <v>5.731037343404455E-5</v>
      </c>
      <c r="CN70" s="22">
        <f t="shared" si="66"/>
        <v>6.3332381241924791</v>
      </c>
      <c r="CO70" s="75">
        <f>('Scénario référence'!$F$8+'Scénario référence'!$F$9+'Scénario référence'!$B$17+'Scénario référence'!$B$9+'Scénario référence'!$B$10)*70+IF((45+25*(1-EXP(-0.0175*A70)))&lt;70,'Scénario référence'!$B$16*(45+25*(1-EXP(-0.0175*A70))),70*'Scénario référence'!$B$16)+IF((32+38*(1-EXP(-0.0175*A70)))&lt;70,'Scénario référence'!$B$18*(32+38*(1-EXP(-0.0175*A70))),70*'Scénario référence'!$B$18)</f>
        <v>70</v>
      </c>
      <c r="CP70" s="12">
        <f>IF(A70&gt;30,10,('Scénario référence'!$B$16+'Scénario référence'!$B$17+'Scénario référence'!$B$18+'Scénario référence'!$B$9+'Scénario référence'!$B$10)*A70*10/30+('Scénario référence'!$F$8+'Scénario référence'!$F$9)*10)</f>
        <v>10</v>
      </c>
      <c r="CQ70" s="12" t="e">
        <f>VLOOKUP(A70,'Données projet'!$A$139:$I$159,2,0)</f>
        <v>#N/A</v>
      </c>
      <c r="CR70" s="12" t="e">
        <f>VLOOKUP(A70,'Données projet'!$A$139:$I$159,9,0)</f>
        <v>#N/A</v>
      </c>
      <c r="CS70" s="12">
        <f t="array" ref="CS70">INDEX(CR:CR,MIN(IF(ISNUMBER(CR70:CR266),ROW(CR70:CR266),"")))</f>
        <v>0</v>
      </c>
      <c r="CT70" s="12">
        <f>IF('Données projet'!$A$140&gt;35,CT69+CS70-DB69,IF(A70&lt;'Données projet'!$A$140,$CQ$205^A70,IF(A70='Données projet'!$A$140,'Données projet'!$B$140,CT69+CS70-DB69)))</f>
        <v>0</v>
      </c>
      <c r="CU70" s="17" t="e">
        <f>CT70*VLOOKUP('Données projet'!$B$13,Paramètres!$A$1:$I$89,3,0)*VLOOKUP('Données projet'!$B$13,Paramètres!$A$1:$I$89,5,0)</f>
        <v>#N/A</v>
      </c>
      <c r="CV70" s="13" t="e">
        <f t="shared" si="95"/>
        <v>#N/A</v>
      </c>
      <c r="CW70" s="20" t="e">
        <f t="shared" si="67"/>
        <v>#N/A</v>
      </c>
      <c r="CX70" s="59" t="e">
        <f t="shared" si="68"/>
        <v>#N/A</v>
      </c>
      <c r="CY70" s="59" t="e">
        <f ca="1">AVERAGE(OFFSET($CX$3,0,0,'Données projet'!$E$13+1,1))-AVERAGE(OFFSET($H$3,0,0,'Données projet'!$E$13+1,1))</f>
        <v>#N/A</v>
      </c>
      <c r="CZ70" s="59" t="e">
        <f t="shared" si="96"/>
        <v>#N/A</v>
      </c>
      <c r="DA70" s="15">
        <f>IF(ISNA(VLOOKUP(A70,'Données projet'!$A$139:$I$159,3,0)),0,VLOOKUP(A70,'Données projet'!$A$139:$I$159,3,0))</f>
        <v>0</v>
      </c>
      <c r="DB70" s="15">
        <f>IF(ISNA(VLOOKUP(A70,'Données projet'!$A$139:$I$159,4,0)),0,VLOOKUP(A70,'Données projet'!$A$139:$I$159,4,0))</f>
        <v>0</v>
      </c>
      <c r="DC70" s="16">
        <f>IF(ISNA(VLOOKUP(A70,'Données projet'!$A$139:$I$159,5,0)),0%,VLOOKUP(A70,'Données projet'!$A$139:$I$159,5,0)*VLOOKUP('Données projet'!$B$13,Paramètres!$A$1:$I$89,7,0))</f>
        <v>0</v>
      </c>
      <c r="DD70" s="16">
        <f>IF(ISNA(VLOOKUP(A70,'Données projet'!$A$139:$I$159,6,0)),0%,VLOOKUP(A70,'Données projet'!$A$139:$I$159,6,0)*VLOOKUP('Données projet'!$B$13,Paramètres!$A$1:$I$89,7,0))</f>
        <v>0</v>
      </c>
      <c r="DE70" s="16">
        <f>IF(ISNA(VLOOKUP(A70,'Données projet'!$A$139:$I$159,7,0)),0%,VLOOKUP(A70,'Données projet'!$A$139:$I$159,7,0))</f>
        <v>0</v>
      </c>
      <c r="DF70" s="21" t="e">
        <f>EXP(-LN(2)/35)*DF69+(1-EXP(-LN(2)/35))/(LN(2)/35)*DB70*DC70*VLOOKUP('Données projet'!$B$13,Paramètres!$A$1:$I$89,3,0)*0.475*44/12</f>
        <v>#N/A</v>
      </c>
      <c r="DG70" s="21" t="e">
        <f>EXP(-LN(2)/25)*DG69+(1-EXP(-LN(2)/25))/(LN(2)/25)*Calculateur!DB70*Calculateur!DD70*VLOOKUP('Données projet'!$B$13,Paramètres!$A$1:$I$89,3,0)*0.475*44/12</f>
        <v>#N/A</v>
      </c>
      <c r="DH70" s="21" t="e">
        <f>EXP(-LN(2)/2)*DH69+(1-EXP(-LN(2)/2))/(LN(2)/2)*DB70*DE70*VLOOKUP('Données projet'!$B$13,Paramètres!$A$1:$I$89,3,0)*0.475*44/12</f>
        <v>#N/A</v>
      </c>
      <c r="DI70" s="22" t="e">
        <f t="shared" si="69"/>
        <v>#N/A</v>
      </c>
      <c r="DJ70" s="75">
        <f>('Scénario référence'!$F$8+'Scénario référence'!$F$9+'Scénario référence'!$B$17+'Scénario référence'!$B$9+'Scénario référence'!$B$10)*70+IF((45+25*(1-EXP(-0.0175*A70)))&lt;70,'Scénario référence'!$B$16*(45+25*(1-EXP(-0.0175*A70))),70*'Scénario référence'!$B$16)+IF((32+38*(1-EXP(-0.0175*A70)))&lt;70,'Scénario référence'!$B$18*(32+38*(1-EXP(-0.0175*A70))),70*'Scénario référence'!$B$18)</f>
        <v>70</v>
      </c>
      <c r="DK70" s="12">
        <f>IF(A70&gt;30,10,('Scénario référence'!$B$16+'Scénario référence'!$B$17+'Scénario référence'!$B$18+'Scénario référence'!$B$9+'Scénario référence'!$B$10)*A70*10/30+('Scénario référence'!$F$8+'Scénario référence'!$F$9)*10)</f>
        <v>10</v>
      </c>
      <c r="DL70" s="12" t="e">
        <f>VLOOKUP(A70,'Données projet'!$A$165:$I$185,2,0)</f>
        <v>#N/A</v>
      </c>
      <c r="DM70" s="12" t="e">
        <f>VLOOKUP(A70,'Données projet'!$A$165:$I$185,9,0)</f>
        <v>#N/A</v>
      </c>
      <c r="DN70" s="12">
        <f t="array" ref="DN70">INDEX(DM:DM,MIN(IF(ISNUMBER(DM70:DM266),ROW(DM70:DM266),"")))</f>
        <v>5.6</v>
      </c>
      <c r="DO70" s="12">
        <f>IF('Données projet'!$A$166&gt;35,DO69+DN70-DW69,IF(A70&lt;'Données projet'!$A$166,$DL$205^A70,IF(A70='Données projet'!$A$166,'Données projet'!$B$166,DO69+DN70-DW69)))</f>
        <v>275.20000000000022</v>
      </c>
      <c r="DP70" s="17">
        <f>DO70*VLOOKUP('Données projet'!$B$14,Paramètres!$A$1:$I$89,3,0)*VLOOKUP('Données projet'!$B$14,Paramètres!$A$1:$I$89,5,0)</f>
        <v>180.31104000000013</v>
      </c>
      <c r="DQ70" s="13">
        <f t="shared" si="97"/>
        <v>45.391379880979613</v>
      </c>
      <c r="DR70" s="20">
        <f t="shared" si="70"/>
        <v>393.09838129270634</v>
      </c>
      <c r="DS70" s="59">
        <f t="shared" si="71"/>
        <v>686.43171462603959</v>
      </c>
      <c r="DT70" s="59">
        <f ca="1">AVERAGE(OFFSET($DS$3,0,0,'Données projet'!$E$14+1,1))-AVERAGE(OFFSET($H$3,0,0,'Données projet'!$E$14+1,1))</f>
        <v>188.68915783955595</v>
      </c>
      <c r="DU70" s="59">
        <f t="shared" si="98"/>
        <v>240.82467772396944</v>
      </c>
      <c r="DV70" s="15">
        <f>IF(ISNA(VLOOKUP(A70,'Données projet'!$A$165:$I$185,3,0)),0,VLOOKUP(A70,'Données projet'!$A$165:$I$185,3,0))</f>
        <v>0</v>
      </c>
      <c r="DW70" s="15">
        <f>IF(ISNA(VLOOKUP(A70,'Données projet'!$A$165:$I$185,4,0)),0,VLOOKUP(A70,'Données projet'!$A$165:$I$185,4,0))</f>
        <v>0</v>
      </c>
      <c r="DX70" s="16">
        <f>IF(ISNA(VLOOKUP(A70,'Données projet'!$A$165:$I$185,5,0)),0%,VLOOKUP(A70,'Données projet'!$A$165:$I$185,5,0)*VLOOKUP('Données projet'!$B$14,Paramètres!$A$1:$I$89,7,0))</f>
        <v>0</v>
      </c>
      <c r="DY70" s="16">
        <f>IF(ISNA(VLOOKUP(A70,'Données projet'!$A$165:$I$185,6,0)),0%,VLOOKUP(A70,'Données projet'!$A$165:$I$185,6,0)*VLOOKUP('Données projet'!$B$14,Paramètres!$A$1:$I$89,7,0))</f>
        <v>0</v>
      </c>
      <c r="DZ70" s="16">
        <f>IF(ISNA(VLOOKUP(A70,'Données projet'!$A$165:$I$185,7,0)),0%,VLOOKUP(A70,'Données projet'!$A$165:$I$185,7,0))</f>
        <v>0</v>
      </c>
      <c r="EA70" s="21">
        <f>EXP(-LN(2)/35)*EA69+(1-EXP(-LN(2)/35))/(LN(2)/35)*DW70*DX70*VLOOKUP('Données projet'!$B$14,Paramètres!$A$1:$I$89,3,0)*0.475*44/12</f>
        <v>0.74838960975694746</v>
      </c>
      <c r="EB70" s="21">
        <f>EXP(-LN(2)/25)*EB69+(1-EXP(-LN(2)/25))/(LN(2)/25)*Calculateur!DW70*Calculateur!DY70*VLOOKUP('Données projet'!$B$14,Paramètres!$A$1:$I$89,3,0)*0.475*44/12</f>
        <v>2.8815435540884629</v>
      </c>
      <c r="EC70" s="21">
        <f>EXP(-LN(2)/2)*EC69+(1-EXP(-LN(2)/2))/(LN(2)/2)*DW70*DZ70*VLOOKUP('Données projet'!$B$14,Paramètres!$A$1:$I$89,3,0)*0.475*44/12</f>
        <v>3.77538871738456E-5</v>
      </c>
      <c r="ED70" s="22">
        <f t="shared" si="72"/>
        <v>3.6299709177325843</v>
      </c>
      <c r="EE70" s="75">
        <f>('Scénario référence'!$F$8+'Scénario référence'!$F$9+'Scénario référence'!$B$17+'Scénario référence'!$B$9+'Scénario référence'!$B$10)*70+IF((45+25*(1-EXP(-0.0175*A70)))&lt;70,'Scénario référence'!$B$16*(45+25*(1-EXP(-0.0175*A70))),70*'Scénario référence'!$B$16)+IF((32+38*(1-EXP(-0.0175*A70)))&lt;70,'Scénario référence'!$B$18*(32+38*(1-EXP(-0.0175*A70))),70*'Scénario référence'!$B$18)</f>
        <v>70</v>
      </c>
      <c r="EF70" s="12">
        <f>IF(A70&gt;30,10,('Scénario référence'!$B$16+'Scénario référence'!$B$17+'Scénario référence'!$B$18+'Scénario référence'!$B$9+'Scénario référence'!$B$10)*A70*10/30+('Scénario référence'!$F$8+'Scénario référence'!$F$9)*10)</f>
        <v>10</v>
      </c>
      <c r="EG70" s="12" t="e">
        <f>VLOOKUP(A70,'Données projet'!$A$191:$I$211,2,0)</f>
        <v>#N/A</v>
      </c>
      <c r="EH70" s="12" t="e">
        <f>VLOOKUP(A70,'Données projet'!$A$191:$I$211,9,0)</f>
        <v>#N/A</v>
      </c>
      <c r="EI70" s="12">
        <f t="array" ref="EI70">INDEX(EH:EH,MIN(IF(ISNUMBER(EH70:EH266),ROW(EH70:EH266),"")))</f>
        <v>5.9</v>
      </c>
      <c r="EJ70" s="12">
        <f>IF('Données projet'!$A$192&gt;35,EJ69+EI70-ER69,IF(A70&lt;'Données projet'!$A$192,$EG$205^A70,IF(A70='Données projet'!$A$192,'Données projet'!$B$192,EJ69+EI70-ER69)))</f>
        <v>257.3</v>
      </c>
      <c r="EK70" s="17">
        <f>EJ70*VLOOKUP('Données projet'!$B$15,Paramètres!$A$1:$I$89,3,0)*VLOOKUP('Données projet'!$B$15,Paramètres!$A$1:$I$89,5,0)</f>
        <v>208.72176000000005</v>
      </c>
      <c r="EL70" s="13">
        <f t="shared" si="99"/>
        <v>51.656158920162433</v>
      </c>
      <c r="EM70" s="20">
        <f t="shared" si="73"/>
        <v>453.49154211928294</v>
      </c>
      <c r="EN70" s="59">
        <f t="shared" si="74"/>
        <v>746.8248754526162</v>
      </c>
      <c r="EO70" s="59">
        <f ca="1">AVERAGE(OFFSET($EN$3,0,0,'Données projet'!$E$15+1,1))-AVERAGE(OFFSET($H$3,0,0,'Données projet'!$E$15+1,1))</f>
        <v>205.5272583787887</v>
      </c>
      <c r="EP70" s="59">
        <f t="shared" si="100"/>
        <v>180.54762778843178</v>
      </c>
      <c r="EQ70" s="15">
        <f>IF(ISNA(VLOOKUP(A70,'Données projet'!$A$191:$I$211,3,0)),0,VLOOKUP(A70,'Données projet'!$A$191:$I$211,3,0))</f>
        <v>0</v>
      </c>
      <c r="ER70" s="15">
        <f>IF(ISNA(VLOOKUP(A70,'Données projet'!$A$191:$I$211,4,0)),0,VLOOKUP(A70,'Données projet'!$A$191:$I$211,4,0))</f>
        <v>0</v>
      </c>
      <c r="ES70" s="16">
        <f>IF(ISNA(VLOOKUP(A70,'Données projet'!$A$191:$I$211,5,0)),0%,VLOOKUP(A70,'Données projet'!$A$191:$I$211,5,0)*VLOOKUP('Données projet'!$B$15,Paramètres!$A$1:$I$89,7,0))</f>
        <v>0</v>
      </c>
      <c r="ET70" s="16">
        <f>IF(ISNA(VLOOKUP(A70,'Données projet'!$A$191:$I$211,6,0)),0%,VLOOKUP(A70,'Données projet'!$A$191:$I$211,6,0)*VLOOKUP('Données projet'!$B$15,Paramètres!$A$1:$I$89,7,0))</f>
        <v>0</v>
      </c>
      <c r="EU70" s="16">
        <f>IF(ISNA(VLOOKUP(A70,'Données projet'!$A$191:$I$211,7,0)),0%,VLOOKUP(A70,'Données projet'!$A$191:$I$211,7,0))</f>
        <v>0</v>
      </c>
      <c r="EV70" s="21">
        <f>EXP(-LN(2)/35)*EV69+(1-EXP(-LN(2)/35))/(LN(2)/35)*ER70*ES70*VLOOKUP('Données projet'!$B$15,Paramètres!$A$1:$I$89,3,0)*0.475*44/12</f>
        <v>0.48182035828161551</v>
      </c>
      <c r="EW70" s="21">
        <f>EXP(-LN(2)/25)*EW69+(1-EXP(-LN(2)/25))/(LN(2)/25)*Calculateur!ER70*Calculateur!ET70*VLOOKUP('Données projet'!$B$15,Paramètres!$A$1:$I$89,3,0)*0.475*44/12</f>
        <v>2.0805618604559251</v>
      </c>
      <c r="EX70" s="21">
        <f>EXP(-LN(2)/2)*EX69+(1-EXP(-LN(2)/2))/(LN(2)/2)*ER70*EU70*VLOOKUP('Données projet'!$B$15,Paramètres!$A$1:$I$89,3,0)*0.475*44/12</f>
        <v>2.4445669861278578E-5</v>
      </c>
      <c r="EY70" s="22">
        <f t="shared" si="75"/>
        <v>2.5624066644074017</v>
      </c>
      <c r="EZ70" s="75">
        <f>('Scénario référence'!$F$8+'Scénario référence'!$F$9+'Scénario référence'!$B$17+'Scénario référence'!$B$9+'Scénario référence'!$B$10)*70+IF((45+25*(1-EXP(-0.0175*A70)))&lt;70,'Scénario référence'!$B$16*(45+25*(1-EXP(-0.0175*A70))),70*'Scénario référence'!$B$16)+IF((32+38*(1-EXP(-0.0175*A70)))&lt;70,'Scénario référence'!$B$18*(32+38*(1-EXP(-0.0175*A70))),70*'Scénario référence'!$B$18)</f>
        <v>70</v>
      </c>
      <c r="FA70" s="12">
        <f>IF(A70&gt;30,10,('Scénario référence'!$B$16+'Scénario référence'!$B$17+'Scénario référence'!$B$18+'Scénario référence'!$B$9+'Scénario référence'!$B$10)*A70*10/30+('Scénario référence'!$F$8+'Scénario référence'!$F$9)*10)</f>
        <v>10</v>
      </c>
      <c r="FB70" s="12" t="e">
        <f>VLOOKUP(A70,'Données projet'!$A$217:$I$237,2,0)</f>
        <v>#N/A</v>
      </c>
      <c r="FC70" s="12" t="e">
        <f>VLOOKUP(A70,'Données projet'!$A$217:$I$237,9,0)</f>
        <v>#N/A</v>
      </c>
      <c r="FD70" s="12">
        <f t="array" ref="FD70">INDEX(FC:FC,MIN(IF(ISNUMBER(FC70:FC266),ROW(FC70:FC266),"")))</f>
        <v>13</v>
      </c>
      <c r="FE70" s="12">
        <f>IF('Données projet'!$A$218&gt;35,FE69+FD70-FM69,IF(A70&lt;'Données projet'!$A$218,$FB$205^A70,IF(A70='Données projet'!$A$218,'Données projet'!$B$218,FE69+FD70-FM69)))</f>
        <v>332.99999999999994</v>
      </c>
      <c r="FF70" s="17">
        <f>FE70*VLOOKUP('Données projet'!$B$16,Paramètres!$A$1:$I$89,3,0)*VLOOKUP('Données projet'!$B$16,Paramètres!$A$1:$I$89,5,0)</f>
        <v>285.714</v>
      </c>
      <c r="FG70" s="13">
        <f t="shared" si="101"/>
        <v>68.173117933344528</v>
      </c>
      <c r="FH70" s="20">
        <f t="shared" si="76"/>
        <v>616.35339706724176</v>
      </c>
      <c r="FI70" s="59">
        <f t="shared" si="77"/>
        <v>909.68673040057502</v>
      </c>
      <c r="FJ70" s="59">
        <f ca="1">AVERAGE(OFFSET($FI$3,0,0,'Données projet'!$E$16+1,1))-AVERAGE(OFFSET($H$3,0,0,'Données projet'!$E$16+1,1))</f>
        <v>383.97627237444709</v>
      </c>
      <c r="FK70" s="59">
        <f t="shared" si="102"/>
        <v>203.35476578922339</v>
      </c>
      <c r="FL70" s="15">
        <f>IF(ISNA(VLOOKUP(A70,'Données projet'!$A$217:$I$237,3,0)),0,VLOOKUP(A70,'Données projet'!$A$217:$I$237,3,0))</f>
        <v>0</v>
      </c>
      <c r="FM70" s="15">
        <f>IF(ISNA(VLOOKUP(A70,'Données projet'!$A$217:$I$237,4,0)),0,VLOOKUP(A70,'Données projet'!$A$217:$I$237,4,0))</f>
        <v>0</v>
      </c>
      <c r="FN70" s="16">
        <f>IF(ISNA(VLOOKUP(A70,'Données projet'!$A$217:$I$237,5,0)),0%,VLOOKUP(A70,'Données projet'!$A$217:$I$237,5,0)*VLOOKUP('Données projet'!$B$16,Paramètres!$A$1:$I$89,7,0))</f>
        <v>0</v>
      </c>
      <c r="FO70" s="16">
        <f>IF(ISNA(VLOOKUP(A70,'Données projet'!$A$217:$I$237,6,0)),0%,VLOOKUP(A70,'Données projet'!$A$217:$I$237,6,0)*VLOOKUP('Données projet'!$B$16,Paramètres!$A$1:$I$89,7,0))</f>
        <v>0</v>
      </c>
      <c r="FP70" s="16">
        <f>IF(ISNA(VLOOKUP(A70,'Données projet'!$A$217:$I$237,7,0)),0%,VLOOKUP(A70,'Données projet'!$A$217:$I$237,7,0))</f>
        <v>0</v>
      </c>
      <c r="FQ70" s="21">
        <f>EXP(-LN(2)/35)*FQ69+(1-EXP(-LN(2)/35))/(LN(2)/35)*FM70*FN70*VLOOKUP('Données projet'!$B$16,Paramètres!$A$1:$I$89,3,0)*0.475*44/12</f>
        <v>2.4762952439120061</v>
      </c>
      <c r="FR70" s="21">
        <f>EXP(-LN(2)/25)*FR69+(1-EXP(-LN(2)/25))/(LN(2)/25)*Calculateur!FM70*Calculateur!FO70*VLOOKUP('Données projet'!$B$16,Paramètres!$A$1:$I$89,3,0)*0.475*44/12</f>
        <v>2.1119853348684372</v>
      </c>
      <c r="FS70" s="21">
        <f>EXP(-LN(2)/2)*FS69+(1-EXP(-LN(2)/2))/(LN(2)/2)*FM70*FP70*VLOOKUP('Données projet'!$B$16,Paramètres!$A$1:$I$89,3,0)*0.475*44/12</f>
        <v>4.4901678557345711E-5</v>
      </c>
      <c r="FT70" s="22">
        <f t="shared" si="78"/>
        <v>4.5883254804590008</v>
      </c>
      <c r="FU70" s="75">
        <f>('Scénario référence'!$F$8+'Scénario référence'!$F$9+'Scénario référence'!$B$17+'Scénario référence'!$B$9+'Scénario référence'!$B$10)*70+IF((45+25*(1-EXP(-0.0175*A70)))&lt;70,'Scénario référence'!$B$16*(45+25*(1-EXP(-0.0175*A70))),70*'Scénario référence'!$B$16)+IF((32+38*(1-EXP(-0.0175*A70)))&lt;70,'Scénario référence'!$B$18*(32+38*(1-EXP(-0.0175*A70))),70*'Scénario référence'!$B$18)</f>
        <v>70</v>
      </c>
      <c r="FV70" s="12">
        <f>IF(A70&gt;30,10,('Scénario référence'!$B$16+'Scénario référence'!$B$17+'Scénario référence'!$B$18+'Scénario référence'!$B$9+'Scénario référence'!$B$10)*A70*10/30+('Scénario référence'!$F$8+'Scénario référence'!$F$9)*10)</f>
        <v>10</v>
      </c>
      <c r="FW70" s="12" t="e">
        <f>VLOOKUP(A70,'Données projet'!$A$243:$I$263,2,0)</f>
        <v>#N/A</v>
      </c>
      <c r="FX70" s="12" t="e">
        <f>VLOOKUP(A70,'Données projet'!$A$243:$I$263,9,0)</f>
        <v>#N/A</v>
      </c>
      <c r="FY70" s="12">
        <f t="array" ref="FY70">INDEX(FX:FX,MIN(IF(ISNUMBER(FX70:FX266),ROW(FX70:FX266),"")))</f>
        <v>8.1001602564102555</v>
      </c>
      <c r="FZ70" s="12">
        <f>IF('Données projet'!$A$244&gt;35,FZ69+FY70-GH69,IF(A70&lt;'Données projet'!$A$244,$FW$205^A70,IF(A70='Données projet'!$A$244,'Données projet'!$B$244,FZ69+FY70-GH69)))</f>
        <v>210.96474358974362</v>
      </c>
      <c r="GA70" s="17">
        <f>FZ70*VLOOKUP('Données projet'!$B$17,Paramètres!$A$1:$I$89,3,0)*VLOOKUP('Données projet'!$B$17,Paramètres!$A$1:$I$89,5,0)</f>
        <v>227.08244999999999</v>
      </c>
      <c r="GB70" s="13">
        <f t="shared" si="103"/>
        <v>55.651371065236084</v>
      </c>
      <c r="GC70" s="20">
        <f t="shared" si="79"/>
        <v>492.42807168861947</v>
      </c>
      <c r="GD70" s="59">
        <f t="shared" si="80"/>
        <v>785.76140502195278</v>
      </c>
      <c r="GE70" s="59">
        <f ca="1">AVERAGE(OFFSET($GD$3,0,0,'Données projet'!$E$17+1,1))-AVERAGE(OFFSET($H$3,0,0,'Données projet'!$E$17+1,1))</f>
        <v>286.77702855541287</v>
      </c>
      <c r="GF70" s="59">
        <f t="shared" si="104"/>
        <v>227.12211541860779</v>
      </c>
      <c r="GG70" s="15">
        <f>IF(ISNA(VLOOKUP(A70,'Données projet'!$A$243:$I$263,3,0)),0,VLOOKUP(A70,'Données projet'!$A$243:$I$263,3,0))</f>
        <v>0</v>
      </c>
      <c r="GH70" s="15">
        <f>IF(ISNA(VLOOKUP(A70,'Données projet'!$A$243:$I$263,4,0)),0,VLOOKUP(A70,'Données projet'!$A$243:$I$263,4,0))</f>
        <v>0</v>
      </c>
      <c r="GI70" s="16">
        <f>IF(ISNA(VLOOKUP(A70,'Données projet'!$A$243:$I$263,5,0)),0%,VLOOKUP(A70,'Données projet'!$A$243:$I$263,5,0)*VLOOKUP('Données projet'!$B$17,Paramètres!$A$1:$I$89,7,0))</f>
        <v>0</v>
      </c>
      <c r="GJ70" s="16">
        <f>IF(ISNA(VLOOKUP(A70,'Données projet'!$A$243:$I$263,6,0)),0%,VLOOKUP(A70,'Données projet'!$A$243:$I$263,6,0)*VLOOKUP('Données projet'!$B$17,Paramètres!$A$1:$I$89,7,0))</f>
        <v>0</v>
      </c>
      <c r="GK70" s="16">
        <f>IF(ISNA(VLOOKUP(A70,'Données projet'!$A$243:$I$263,7,0)),0%,VLOOKUP(A70,'Données projet'!$A$243:$I$263,7,0))</f>
        <v>0</v>
      </c>
      <c r="GL70" s="21">
        <f>EXP(-LN(2)/35)*GL69+(1-EXP(-LN(2)/35))/(LN(2)/35)*GH70*GI70*VLOOKUP('Données projet'!$B$17,Paramètres!$A$1:$I$89,3,0)*0.475*44/12</f>
        <v>0</v>
      </c>
      <c r="GM70" s="21">
        <f>EXP(-LN(2)/25)*GM69+(1-EXP(-LN(2)/25))/(LN(2)/25)*Calculateur!GH70*Calculateur!GJ70*VLOOKUP('Données projet'!$B$17,Paramètres!$A$1:$I$89,3,0)*0.475*44/12</f>
        <v>0</v>
      </c>
      <c r="GN70" s="21">
        <f>EXP(-LN(2)/2)*GN69+(1-EXP(-LN(2)/2))/(LN(2)/2)*GH70*GK70*VLOOKUP('Données projet'!$B$17,Paramètres!$A$1:$I$89,3,0)*0.475*44/12</f>
        <v>0</v>
      </c>
      <c r="GO70" s="21">
        <f t="shared" si="81"/>
        <v>0</v>
      </c>
      <c r="GP70" s="75">
        <f>('Scénario référence'!$F$8+'Scénario référence'!$F$9+'Scénario référence'!$B$17+'Scénario référence'!$B$9+'Scénario référence'!$B$10)*70+IF((45+25*(1-EXP(-0.0175*A70)))&lt;70,'Scénario référence'!$B$16*(45+25*(1-EXP(-0.0175*A70))),70*'Scénario référence'!$B$16)+IF((32+38*(1-EXP(-0.0175*A70)))&lt;70,'Scénario référence'!$B$18*(32+38*(1-EXP(-0.0175*A70))),70*'Scénario référence'!$B$18)</f>
        <v>70</v>
      </c>
      <c r="GQ70" s="12">
        <f>IF(A70&gt;30,10,('Scénario référence'!$B$16+'Scénario référence'!$B$17+'Scénario référence'!$B$18+'Scénario référence'!$B$9+'Scénario référence'!$B$10)*A70*10/30+('Scénario référence'!$F$8+'Scénario référence'!$F$9)*10)</f>
        <v>10</v>
      </c>
      <c r="GR70" s="12" t="e">
        <f>VLOOKUP(A70,'Données projet'!$A$269:$I$289,2,0)</f>
        <v>#N/A</v>
      </c>
      <c r="GS70" s="12" t="e">
        <f>VLOOKUP(A70,'Données projet'!$A$269:$I$289,9,0)</f>
        <v>#N/A</v>
      </c>
      <c r="GT70" s="12">
        <f t="array" ref="GT70">INDEX(GS:GS,MIN(IF(ISNUMBER(GS70:GS266),ROW(GS70:GS266),"")))</f>
        <v>8.1001602564102555</v>
      </c>
      <c r="GU70" s="12">
        <f>IF('Données projet'!$A$270&gt;35,GU69+GT70-HC69,IF(A70&lt;'Données projet'!$A$270,$GR$205^A70,IF(A70='Données projet'!$A$270,'Données projet'!$B$270,GU69+GT70-HC69)))</f>
        <v>210.96474358974362</v>
      </c>
      <c r="GV70" s="17">
        <f>GU70*VLOOKUP('Données projet'!$B$18,Paramètres!$A$1:$I$89,3,0)*VLOOKUP('Données projet'!$B$18,Paramètres!$A$1:$I$89,5,0)</f>
        <v>227.08244999999999</v>
      </c>
      <c r="GW70" s="13">
        <f t="shared" si="105"/>
        <v>55.651371065236084</v>
      </c>
      <c r="GX70" s="20">
        <f t="shared" si="82"/>
        <v>492.42807168861947</v>
      </c>
      <c r="GY70" s="59">
        <f t="shared" si="83"/>
        <v>785.76140502195278</v>
      </c>
      <c r="GZ70" s="59">
        <f ca="1">AVERAGE(OFFSET($GY$3,0,0,'Données projet'!$E$18+1,1))-AVERAGE(OFFSET($H$3,0,0,'Données projet'!$E$18+1,1))</f>
        <v>286.77702855541287</v>
      </c>
      <c r="HA70" s="59">
        <f t="shared" si="106"/>
        <v>227.12211541860779</v>
      </c>
      <c r="HB70" s="15">
        <f>IF(ISNA(VLOOKUP(A70,'Données projet'!$A$269:$I$289,3,0)),0,VLOOKUP(A70,'Données projet'!$A$269:$I$289,3,0))</f>
        <v>0</v>
      </c>
      <c r="HC70" s="15">
        <f>IF(ISNA(VLOOKUP(A70,'Données projet'!$A$269:$I$289,4,0)),0,VLOOKUP(A70,'Données projet'!$A$269:$I$289,4,0))</f>
        <v>0</v>
      </c>
      <c r="HD70" s="16">
        <f>IF(ISNA(VLOOKUP(A70,'Données projet'!$A$269:$I$289,5,0)),0%,VLOOKUP(A70,'Données projet'!$A$269:$I$289,5,0)*VLOOKUP('Données projet'!$B$18,Paramètres!$A$1:$I$89,7,0))</f>
        <v>0</v>
      </c>
      <c r="HE70" s="16">
        <f>IF(ISNA(VLOOKUP(A70,'Données projet'!$A$269:$I$289,6,0)),0%,VLOOKUP(A70,'Données projet'!$A$269:$I$289,6,0)*VLOOKUP('Données projet'!$B$18,Paramètres!$A$1:$I$89,7,0))</f>
        <v>0</v>
      </c>
      <c r="HF70" s="16">
        <f>IF(ISNA(VLOOKUP(A70,'Données projet'!$A$269:$I$289,7,0)),0%,VLOOKUP(A70,'Données projet'!$A$269:$I$289,7,0))</f>
        <v>0</v>
      </c>
      <c r="HG70" s="21">
        <f>EXP(-LN(2)/35)*HG69+(1-EXP(-LN(2)/35))/(LN(2)/35)*HC70*HD70*VLOOKUP('Données projet'!$B$18,Paramètres!$A$1:$I$89,3,0)*0.475*44/12</f>
        <v>0</v>
      </c>
      <c r="HH70" s="21">
        <f>EXP(-LN(2)/25)*HH69+(1-EXP(-LN(2)/25))/(LN(2)/25)*Calculateur!HC70*Calculateur!HE70*VLOOKUP('Données projet'!$B$18,Paramètres!$A$1:$I$89,3,0)*0.475*44/12</f>
        <v>0</v>
      </c>
      <c r="HI70" s="21">
        <f>EXP(-LN(2)/2)*HI69+(1-EXP(-LN(2)/2))/(LN(2)/2)*HC70*HF70*VLOOKUP('Données projet'!$B$18,Paramètres!$A$1:$I$89,3,0)*0.475*44/12</f>
        <v>0</v>
      </c>
      <c r="HJ70" s="22">
        <f t="shared" si="84"/>
        <v>0</v>
      </c>
    </row>
    <row r="71" spans="1:218" x14ac:dyDescent="0.25">
      <c r="A71" s="10">
        <f t="shared" si="85"/>
        <v>68</v>
      </c>
      <c r="B71" s="73">
        <f>'Scénario référence'!$B$16*5+'Scénario référence'!$B$17*0+'Scénario référence'!$B$18*5</f>
        <v>0</v>
      </c>
      <c r="C71" s="19">
        <f>Calculateur!C70+'Scénario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60.465600000000066</v>
      </c>
      <c r="D71" s="11">
        <f t="shared" si="86"/>
        <v>17.285934288248221</v>
      </c>
      <c r="E7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71" s="11">
        <f>IF(OR('Scénario référence'!$F$8&gt;0,'Scénario référence'!$F$9&gt;0),('Scénario référence'!$F$8+'Scénario référence'!$F$9)*10,0)</f>
        <v>10</v>
      </c>
      <c r="G71" s="11">
        <f>'Scénario référence'!$B$8*B71*44/12+'Scénario référence'!$B$9*(C71+D71)/0.475*44/12+'Scénario référence'!$B$10*(C71+D71)/0.475*44/12+'Scénario référence'!$F$8*(C71+D71)/0.475*44/12+'Scénario référence'!$F$9*(C71+D71)/0.475*44/12</f>
        <v>600.18728222507445</v>
      </c>
      <c r="H71" s="67">
        <f t="shared" si="56"/>
        <v>428.75058888536569</v>
      </c>
      <c r="I71" s="70">
        <f>('Scénario référence'!$F$8+'Scénario référence'!$F$9+'Scénario référence'!$B$17+'Scénario référence'!$B$9+'Scénario référence'!$B$10)*70+IF((45+25*(1-EXP(-0.0175*A71)))&lt;70,'Scénario référence'!$B$16*(45+25*(1-EXP(-0.0175*A71))),70*'Scénario référence'!$B$16)+IF((32+38*(1-EXP(-0.0175*A71)))&lt;70,'Scénario référence'!$B$18*(32+38*(1-EXP(-0.0175*A71))),70*'Scénario référence'!$B$18)</f>
        <v>70</v>
      </c>
      <c r="J71" s="13">
        <f>IF(A71&gt;30,10,('Scénario référence'!$B$16+'Scénario référence'!$B$17+'Scénario référence'!$B$18+'Scénario référence'!$B$9+'Scénario référence'!$B$10)*A71*10/30+('Scénario référence'!$F$8+'Scénario référence'!$F$9)*10)</f>
        <v>10</v>
      </c>
      <c r="K71" s="12" t="e">
        <f>VLOOKUP(A71,'Données projet'!$A$35:$I$55,2,0)</f>
        <v>#N/A</v>
      </c>
      <c r="L71" s="12" t="e">
        <f>VLOOKUP(A71,'Données projet'!$A$35:$I$55,9,0)</f>
        <v>#N/A</v>
      </c>
      <c r="M71" s="12">
        <f t="array" ref="M71">INDEX(L:L,MIN(IF(ISNUMBER(L71:L267),ROW(L71:L267),"")))</f>
        <v>0</v>
      </c>
      <c r="N71" s="13">
        <f>IF('Données projet'!$A$36&gt;35,N70+M71-V70,IF(A71&lt;'Données projet'!$A$36,$K$205^A71,IF(A71='Données projet'!$A$36,'Données projet'!$B$36,N70+M71-V70)))</f>
        <v>-2.2737367544323206E-13</v>
      </c>
      <c r="O71" s="13">
        <f>N71*VLOOKUP('Données projet'!$B$9,Paramètres!$A$1:$I$89,3,0)*VLOOKUP('Données projet'!$B$9,Paramètres!$A$1:$I$89,5,0)</f>
        <v>-1.2710188457276673E-13</v>
      </c>
      <c r="P71" s="13" t="e">
        <f t="shared" si="87"/>
        <v>#NUM!</v>
      </c>
      <c r="Q71" s="20" t="e">
        <f t="shared" si="54"/>
        <v>#NUM!</v>
      </c>
      <c r="R71" s="59" t="e">
        <f t="shared" si="55"/>
        <v>#NUM!</v>
      </c>
      <c r="S71" s="59">
        <f ca="1">AVERAGE(OFFSET($R$3,0,0,'Données projet'!$E$9+1,1))-AVERAGE(OFFSET($H$3,0,0,'Données projet'!$E$9+1,1))</f>
        <v>255.5374979188561</v>
      </c>
      <c r="T71" s="59">
        <f t="shared" si="88"/>
        <v>343.10418468620901</v>
      </c>
      <c r="U71" s="15">
        <f>IF(ISNA(VLOOKUP(A71,'Données projet'!$A$35:$I$55,3,0)),0,VLOOKUP(A71,'Données projet'!$A$35:$I$55,3,0))</f>
        <v>0</v>
      </c>
      <c r="V71" s="15">
        <f>IF(ISNA(VLOOKUP(A71,'Données projet'!$A$35:$I$55,4,0)),0,VLOOKUP(A71,'Données projet'!$A$35:$I$55,4,0))</f>
        <v>0</v>
      </c>
      <c r="W71" s="16">
        <f>IF(ISNA(VLOOKUP(A71,'Données projet'!$A$35:$I$55,5,0)),0%,VLOOKUP(A71,'Données projet'!$A$35:$I$55,5,0)*VLOOKUP('Données projet'!$B$9,Paramètres!$A$1:$I$89,7,0))</f>
        <v>0</v>
      </c>
      <c r="X71" s="16">
        <f>IF(ISNA(VLOOKUP(A71,'Données projet'!$A$35:$I$55,6,0)),0%,VLOOKUP(A71,'Données projet'!$A$35:$I$55,6,0)*VLOOKUP('Données projet'!$B$9,Paramètres!$A$1:$I$89,7,0))</f>
        <v>0</v>
      </c>
      <c r="Y71" s="16">
        <f>IF(ISNA(VLOOKUP(A71,'Données projet'!$A$35:$I$55,7,0)),0%,VLOOKUP(A71,'Données projet'!$A$35:$I$55,7,0))</f>
        <v>0</v>
      </c>
      <c r="Z71" s="21">
        <f>EXP(-LN(2)/35)*Z70+(1-EXP(-LN(2)/35))/(LN(2)/35)*V71*W71*VLOOKUP('Données projet'!$B$9,Paramètres!$A$1:$I$89,3,0)*0.475*44/12</f>
        <v>1.455900360536613</v>
      </c>
      <c r="AA71" s="21">
        <f>EXP(-LN(2)/25)*AA70+(1-EXP(-LN(2)/25))/(LN(2)/25)*Calculateur!V71*Calculateur!X71*VLOOKUP('Données projet'!$B$9,Paramètres!$A$1:$I$89,3,0)*0.475*44/12</f>
        <v>5.5651175838131364</v>
      </c>
      <c r="AB71" s="21">
        <f>EXP(-LN(2)/2)*AB70+(1-EXP(-LN(2)/2))/(LN(2)/2)*V71*Y71*VLOOKUP('Données projet'!$B$9,Paramètres!$A$1:$I$89,3,0)*0.475*44/12</f>
        <v>3.228477629573948E-6</v>
      </c>
      <c r="AC71" s="22">
        <f t="shared" si="57"/>
        <v>7.0210211728273784</v>
      </c>
      <c r="AD71" s="13">
        <f>('Scénario référence'!$F$8+'Scénario référence'!$F$9+'Scénario référence'!$B$17+'Scénario référence'!$B$9+'Scénario référence'!$B$10)*70+IF((45+25*(1-EXP(-0.0175*A71)))&lt;70,'Scénario référence'!$B$16*(45+25*(1-EXP(-0.0175*A71))),70*'Scénario référence'!$B$16)+IF((32+38*(1-EXP(-0.0175*A71)))&lt;70,'Scénario référence'!$B$18*(32+38*(1-EXP(-0.0175*A71))),70*'Scénario référence'!$B$18)</f>
        <v>70</v>
      </c>
      <c r="AE71" s="13">
        <f>IF(A71&gt;30,10,('Scénario référence'!$B$16+'Scénario référence'!$B$17+'Scénario référence'!$B$18+'Scénario référence'!$B$9+'Scénario référence'!$B$10)*A71*10/30+('Scénario référence'!$F$8+'Scénario référence'!$F$9)*10)</f>
        <v>10</v>
      </c>
      <c r="AF71" s="12" t="e">
        <f>VLOOKUP(A71,'Données projet'!$A$61:$I$81,2,0)</f>
        <v>#N/A</v>
      </c>
      <c r="AG71" s="12" t="e">
        <f>VLOOKUP(A71,'Données projet'!$A$61:$I$81,9,0)</f>
        <v>#N/A</v>
      </c>
      <c r="AH71" s="12">
        <f t="array" ref="AH71">INDEX(AG:AG,MIN(IF(ISNUMBER(AG71:AG267),ROW(AG71:AG267),"")))</f>
        <v>7.8</v>
      </c>
      <c r="AI71" s="13">
        <f>IF('Données projet'!$A$62&gt;35,AI70+AH71-AQ70,IF(A71&lt;'Données projet'!$A$62,$AF$205^A71,IF(A71='Données projet'!$A$62,'Données projet'!$B$62,AI70+AH71-AQ70)))</f>
        <v>411.4</v>
      </c>
      <c r="AJ71" s="13">
        <f>AI71*VLOOKUP('Données projet'!$B$10,Paramètres!$A$1:$I$89,3,0)*VLOOKUP('Données projet'!$B$10,Paramètres!$A$1:$I$89,5,0)</f>
        <v>256.71359999999999</v>
      </c>
      <c r="AK71" s="13">
        <f t="shared" si="89"/>
        <v>62.021332500424947</v>
      </c>
      <c r="AL71" s="20">
        <f t="shared" si="58"/>
        <v>555.13000743824</v>
      </c>
      <c r="AM71" s="59">
        <f t="shared" si="59"/>
        <v>848.46334077157326</v>
      </c>
      <c r="AN71" s="59">
        <f ca="1">AVERAGE(OFFSET($AM$3,0,0,'Données projet'!$E$10+1,1))-AVERAGE(OFFSET($H$3,0,0,'Données projet'!$E$10+1,1))</f>
        <v>261.78489480911571</v>
      </c>
      <c r="AO71" s="59">
        <f t="shared" si="90"/>
        <v>297.50513563712764</v>
      </c>
      <c r="AP71" s="15">
        <f>IF(ISNA(VLOOKUP(A71,'Données projet'!$A$61:$I$81,3,0)),0,VLOOKUP(A71,'Données projet'!$A$61:$I$81,3,0))</f>
        <v>0</v>
      </c>
      <c r="AQ71" s="15">
        <f>IF(ISNA(VLOOKUP(A71,'Données projet'!$A$61:$I$81,4,0)),0,VLOOKUP(A71,'Données projet'!$A$61:$I$81,4,0))</f>
        <v>0</v>
      </c>
      <c r="AR71" s="16">
        <f>IF(ISNA(VLOOKUP(A71,'Données projet'!$A$61:$I$81,5,0)),0%,VLOOKUP(A71,'Données projet'!$A$61:$I$81,5,0)*VLOOKUP('Données projet'!$B$10,Paramètres!$A$1:$I$89,7,0))</f>
        <v>0</v>
      </c>
      <c r="AS71" s="16">
        <f>IF(ISNA(VLOOKUP(A71,'Données projet'!$A$61:$I$81,6,0)),0%,VLOOKUP(A71,'Données projet'!$A$61:$I$81,6,0)*VLOOKUP('Données projet'!$B$10,Paramètres!$A$1:$I$89,7,0))</f>
        <v>0</v>
      </c>
      <c r="AT71" s="16">
        <f>IF(ISNA(VLOOKUP(A71,'Données projet'!$A$61:$I$81,7,0)),0%,VLOOKUP(A71,'Données projet'!$A$61:$I$81,7,0))</f>
        <v>0</v>
      </c>
      <c r="AU71" s="21">
        <f>EXP(-LN(2)/35)*AU70+(1-EXP(-LN(2)/35))/(LN(2)/35)*AQ71*AR71*VLOOKUP('Données projet'!$B$10,Paramètres!$A$1:$I$89,3,0)*0.475*44/12</f>
        <v>3.9313427728906873</v>
      </c>
      <c r="AV71" s="21">
        <f>EXP(-LN(2)/25)*AV70+(1-EXP(-LN(2)/25))/(LN(2)/25)*Calculateur!AQ71*Calculateur!AS71*VLOOKUP('Données projet'!$B$10,Paramètres!$A$1:$I$89,3,0)*0.475*44/12</f>
        <v>9.7178303675875242</v>
      </c>
      <c r="AW71" s="21">
        <f>EXP(-LN(2)/2)*AW70+(1-EXP(-LN(2)/2))/(LN(2)/2)*AQ71*AT71*VLOOKUP('Données projet'!$B$10,Paramètres!$A$1:$I$89,3,0)*0.475*44/12</f>
        <v>4.6541578553985367E-5</v>
      </c>
      <c r="AX71" s="21">
        <f t="shared" si="60"/>
        <v>13.649219682056765</v>
      </c>
      <c r="AY71" s="74">
        <f>('Scénario référence'!$F$8+'Scénario référence'!$F$9+'Scénario référence'!$B$17+'Scénario référence'!$B$9+'Scénario référence'!$B$10)*70+IF((45+25*(1-EXP(-0.0175*A71)))&lt;70,'Scénario référence'!$B$16*(45+25*(1-EXP(-0.0175*A71))),70*'Scénario référence'!$B$16)+IF((32+38*(1-EXP(-0.0175*A71)))&lt;70,'Scénario référence'!$B$18*(32+38*(1-EXP(-0.0175*A71))),70*'Scénario référence'!$B$18)</f>
        <v>70</v>
      </c>
      <c r="AZ71" s="12">
        <f>IF(A71&gt;30,10,('Scénario référence'!$B$16+'Scénario référence'!$B$17+'Scénario référence'!$B$18+'Scénario référence'!$B$9+'Scénario référence'!$B$10)*A71*10/30+('Scénario référence'!$F$8+'Scénario référence'!$F$9)*10)</f>
        <v>10</v>
      </c>
      <c r="BA71" s="12" t="e">
        <f>VLOOKUP(A71,'Données projet'!$A$87:$I$107,2,0)</f>
        <v>#N/A</v>
      </c>
      <c r="BB71" s="12" t="e">
        <f>VLOOKUP(A71,'Données projet'!$A$87:$I$107,9,0)</f>
        <v>#N/A</v>
      </c>
      <c r="BC71" s="12">
        <f t="array" ref="BC71">INDEX(BB:BB,MIN(IF(ISNUMBER(BB71:BB267),ROW(BB71:BB267),"")))</f>
        <v>16.399999999999999</v>
      </c>
      <c r="BD71" s="12">
        <f>IF('Données projet'!$A$88&gt;35,BD70+BC71-BL70,IF(A71&lt;'Données projet'!$A$88,$BA$205^A71,IF(A71='Données projet'!$A$88,'Données projet'!$B$88,BD70+BC71-BL70)))</f>
        <v>531.19999999999959</v>
      </c>
      <c r="BE71" s="13">
        <f>BD71*VLOOKUP('Données projet'!$B$11,Paramètres!$A$1:$I$89,3,0)*VLOOKUP('Données projet'!$B$11,Paramètres!$A$1:$I$89,5,0)</f>
        <v>317.65759999999977</v>
      </c>
      <c r="BF71" s="13">
        <f t="shared" si="91"/>
        <v>74.865763584117744</v>
      </c>
      <c r="BG71" s="20">
        <f t="shared" si="61"/>
        <v>683.64485824233805</v>
      </c>
      <c r="BH71" s="59">
        <f t="shared" si="62"/>
        <v>976.97819157567142</v>
      </c>
      <c r="BI71" s="59">
        <f ca="1">AVERAGE(OFFSET($BH$3,0,0,'Données projet'!$E$11+1,1))-AVERAGE(OFFSET($H$3,0,0,'Données projet'!$E$11+1,1))</f>
        <v>316.58509520829671</v>
      </c>
      <c r="BJ71" s="59">
        <f t="shared" si="92"/>
        <v>240.71332110643596</v>
      </c>
      <c r="BK71" s="15">
        <f>IF(ISNA(VLOOKUP(A71,'Données projet'!$A$87:$I$107,3,0)),0,VLOOKUP(A71,'Données projet'!$A$87:$I$107,3,0))</f>
        <v>0</v>
      </c>
      <c r="BL71" s="15">
        <f>IF(ISNA(VLOOKUP(A71,'Données projet'!$A$87:$I$107,4,0)),0,VLOOKUP(A71,'Données projet'!$A$87:$I$107,4,0))</f>
        <v>0</v>
      </c>
      <c r="BM71" s="16">
        <f>IF(ISNA(VLOOKUP(A71,'Données projet'!$A$87:$I$107,5,0)),0%,VLOOKUP(A71,'Données projet'!$A$87:$I$107,5,0)*VLOOKUP('Données projet'!$B$11,Paramètres!$A$1:$I$89,7,0))</f>
        <v>0</v>
      </c>
      <c r="BN71" s="16">
        <f>IF(ISNA(VLOOKUP(A71,'Données projet'!$A$87:$I$107,6,0)),0%,VLOOKUP(A71,'Données projet'!$A$87:$I$107,6,0)*VLOOKUP('Données projet'!$B$11,Paramètres!$A$1:$I$89,7,0))</f>
        <v>0</v>
      </c>
      <c r="BO71" s="16">
        <f>IF(ISNA(VLOOKUP(A71,'Données projet'!$A$87:$I$107,7,0)),0%,VLOOKUP(A71,'Données projet'!$A$87:$I$107,7,0))</f>
        <v>0</v>
      </c>
      <c r="BP71" s="21">
        <f>EXP(-LN(2)/35)*BP70+(1-EXP(-LN(2)/35))/(LN(2)/35)*BL71*BM71*VLOOKUP('Données projet'!$B$11,Paramètres!$A$1:$I$89,3,0)*0.475*44/12</f>
        <v>1.1941746183278443</v>
      </c>
      <c r="BQ71" s="21">
        <f>EXP(-LN(2)/25)*BQ70+(1-EXP(-LN(2)/25))/(LN(2)/25)*Calculateur!BL71*Calculateur!BN71*VLOOKUP('Données projet'!$B$11,Paramètres!$A$1:$I$89,3,0)*0.475*44/12</f>
        <v>5.3237110229631863</v>
      </c>
      <c r="BR71" s="21">
        <f>EXP(-LN(2)/2)*BR70+(1-EXP(-LN(2)/2))/(LN(2)/2)*BL71*BO71*VLOOKUP('Données projet'!$B$11,Paramètres!$A$1:$I$89,3,0)*0.475*44/12</f>
        <v>4.1845976009637547E-5</v>
      </c>
      <c r="BS71" s="22">
        <f t="shared" si="63"/>
        <v>6.5179274872670403</v>
      </c>
      <c r="BT71" s="75">
        <f>('Scénario référence'!$F$8+'Scénario référence'!$F$9+'Scénario référence'!$B$17+'Scénario référence'!$B$9+'Scénario référence'!$B$10)*70+IF((45+25*(1-EXP(-0.0175*A71)))&lt;70,'Scénario référence'!$B$16*(45+25*(1-EXP(-0.0175*A71))),70*'Scénario référence'!$B$16)+IF((32+38*(1-EXP(-0.0175*A71)))&lt;70,'Scénario référence'!$B$18*(32+38*(1-EXP(-0.0175*A71))),70*'Scénario référence'!$B$18)</f>
        <v>70</v>
      </c>
      <c r="BU71" s="12">
        <f>IF(A71&gt;30,10,('Scénario référence'!$B$16+'Scénario référence'!$B$17+'Scénario référence'!$B$18+'Scénario référence'!$B$9+'Scénario référence'!$B$10)*A71*10/30+('Scénario référence'!$F$8+'Scénario référence'!$F$9)*10)</f>
        <v>10</v>
      </c>
      <c r="BV71" s="12" t="e">
        <f>VLOOKUP(A71,'Données projet'!$A$113:$I$133,2,0)</f>
        <v>#N/A</v>
      </c>
      <c r="BW71" s="12" t="e">
        <f>VLOOKUP(A71,'Données projet'!$A$113:$I$133,9,0)</f>
        <v>#N/A</v>
      </c>
      <c r="BX71" s="12">
        <f t="array" ref="BX71">INDEX(BW:BW,MIN(IF(ISNUMBER(BW71:BW267),ROW(BW71:BW267),"")))</f>
        <v>7.3</v>
      </c>
      <c r="BY71" s="12">
        <f>IF('Données projet'!$A$114&gt;35,BY70+BX71-CG70,IF(A71&lt;'Données projet'!$A$114,$BV$205^A71,IF(A71='Données projet'!$A$114,'Données projet'!$B$114,BY70+BX71-CG70)))</f>
        <v>335.39999999999986</v>
      </c>
      <c r="BZ71" s="13">
        <f>BY71*VLOOKUP('Données projet'!$B$12,Paramètres!$A$1:$I$89,3,0)*VLOOKUP('Données projet'!$B$12,Paramètres!$A$1:$I$89,5,0)</f>
        <v>191.84879999999993</v>
      </c>
      <c r="CA71" s="13">
        <f t="shared" si="93"/>
        <v>47.948465637272854</v>
      </c>
      <c r="CB71" s="20">
        <f t="shared" si="64"/>
        <v>417.64690431825005</v>
      </c>
      <c r="CC71" s="59">
        <f t="shared" si="65"/>
        <v>710.98023765158337</v>
      </c>
      <c r="CD71" s="59">
        <f ca="1">AVERAGE(OFFSET($CC$3,0,0,'Données projet'!$E$12+1,1))-AVERAGE(OFFSET($H$3,0,0,'Données projet'!$E$12+1,1))</f>
        <v>188.64374818906128</v>
      </c>
      <c r="CE71" s="59">
        <f t="shared" si="94"/>
        <v>211.95157880548652</v>
      </c>
      <c r="CF71" s="15">
        <f>IF(ISNA(VLOOKUP(A71,'Données projet'!$A$113:$I$133,3,0)),0,VLOOKUP(A71,'Données projet'!$A$113:$I$133,3,0))</f>
        <v>0</v>
      </c>
      <c r="CG71" s="15">
        <f>IF(ISNA(VLOOKUP(A71,'Données projet'!$A$113:$I$133,4,0)),0,VLOOKUP(A71,'Données projet'!$A$113:$I$133,4,0))</f>
        <v>0</v>
      </c>
      <c r="CH71" s="16">
        <f>IF(ISNA(VLOOKUP(A71,'Données projet'!$A$113:$I$133,5,0)),0%,VLOOKUP(A71,'Données projet'!$A$113:$I$133,5,0)*VLOOKUP('Données projet'!$B$12,Paramètres!$A$1:$I$89,7,0))</f>
        <v>0</v>
      </c>
      <c r="CI71" s="16">
        <f>IF(ISNA(VLOOKUP(A71,'Données projet'!$A$113:$I$133,6,0)),0%,VLOOKUP(A71,'Données projet'!$A$113:$I$133,6,0)*VLOOKUP('Données projet'!$B$12,Paramètres!$A$1:$I$89,7,0))</f>
        <v>0</v>
      </c>
      <c r="CJ71" s="16">
        <f>IF(ISNA(VLOOKUP(A71,'Données projet'!$A$113:$I$133,7,0)),0%,VLOOKUP(A71,'Données projet'!$A$113:$I$133,7,0))</f>
        <v>0</v>
      </c>
      <c r="CK71" s="21">
        <f>EXP(-LN(2)/35)*CK70+(1-EXP(-LN(2)/35))/(LN(2)/35)*CG71*CH71*VLOOKUP('Données projet'!$B$12,Paramètres!$A$1:$I$89,3,0)*0.475*44/12</f>
        <v>1.1583420670124345</v>
      </c>
      <c r="CL71" s="21">
        <f>EXP(-LN(2)/25)*CL70+(1-EXP(-LN(2)/25))/(LN(2)/25)*Calculateur!CG71*Calculateur!CI71*VLOOKUP('Données projet'!$B$12,Paramètres!$A$1:$I$89,3,0)*0.475*44/12</f>
        <v>5.01079735301475</v>
      </c>
      <c r="CM71" s="21">
        <f>EXP(-LN(2)/2)*CM70+(1-EXP(-LN(2)/2))/(LN(2)/2)*CG71*CJ71*VLOOKUP('Données projet'!$B$12,Paramètres!$A$1:$I$89,3,0)*0.475*44/12</f>
        <v>4.0524553687546265E-5</v>
      </c>
      <c r="CN71" s="22">
        <f t="shared" si="66"/>
        <v>6.1691799445808719</v>
      </c>
      <c r="CO71" s="75">
        <f>('Scénario référence'!$F$8+'Scénario référence'!$F$9+'Scénario référence'!$B$17+'Scénario référence'!$B$9+'Scénario référence'!$B$10)*70+IF((45+25*(1-EXP(-0.0175*A71)))&lt;70,'Scénario référence'!$B$16*(45+25*(1-EXP(-0.0175*A71))),70*'Scénario référence'!$B$16)+IF((32+38*(1-EXP(-0.0175*A71)))&lt;70,'Scénario référence'!$B$18*(32+38*(1-EXP(-0.0175*A71))),70*'Scénario référence'!$B$18)</f>
        <v>70</v>
      </c>
      <c r="CP71" s="12">
        <f>IF(A71&gt;30,10,('Scénario référence'!$B$16+'Scénario référence'!$B$17+'Scénario référence'!$B$18+'Scénario référence'!$B$9+'Scénario référence'!$B$10)*A71*10/30+('Scénario référence'!$F$8+'Scénario référence'!$F$9)*10)</f>
        <v>10</v>
      </c>
      <c r="CQ71" s="12" t="e">
        <f>VLOOKUP(A71,'Données projet'!$A$139:$I$159,2,0)</f>
        <v>#N/A</v>
      </c>
      <c r="CR71" s="12" t="e">
        <f>VLOOKUP(A71,'Données projet'!$A$139:$I$159,9,0)</f>
        <v>#N/A</v>
      </c>
      <c r="CS71" s="12">
        <f t="array" ref="CS71">INDEX(CR:CR,MIN(IF(ISNUMBER(CR71:CR267),ROW(CR71:CR267),"")))</f>
        <v>0</v>
      </c>
      <c r="CT71" s="12">
        <f>IF('Données projet'!$A$140&gt;35,CT70+CS71-DB70,IF(A71&lt;'Données projet'!$A$140,$CQ$205^A71,IF(A71='Données projet'!$A$140,'Données projet'!$B$140,CT70+CS71-DB70)))</f>
        <v>0</v>
      </c>
      <c r="CU71" s="17" t="e">
        <f>CT71*VLOOKUP('Données projet'!$B$13,Paramètres!$A$1:$I$89,3,0)*VLOOKUP('Données projet'!$B$13,Paramètres!$A$1:$I$89,5,0)</f>
        <v>#N/A</v>
      </c>
      <c r="CV71" s="13" t="e">
        <f t="shared" si="95"/>
        <v>#N/A</v>
      </c>
      <c r="CW71" s="20" t="e">
        <f t="shared" si="67"/>
        <v>#N/A</v>
      </c>
      <c r="CX71" s="59" t="e">
        <f t="shared" si="68"/>
        <v>#N/A</v>
      </c>
      <c r="CY71" s="59" t="e">
        <f ca="1">AVERAGE(OFFSET($CX$3,0,0,'Données projet'!$E$13+1,1))-AVERAGE(OFFSET($H$3,0,0,'Données projet'!$E$13+1,1))</f>
        <v>#N/A</v>
      </c>
      <c r="CZ71" s="59" t="e">
        <f t="shared" si="96"/>
        <v>#N/A</v>
      </c>
      <c r="DA71" s="15">
        <f>IF(ISNA(VLOOKUP(A71,'Données projet'!$A$139:$I$159,3,0)),0,VLOOKUP(A71,'Données projet'!$A$139:$I$159,3,0))</f>
        <v>0</v>
      </c>
      <c r="DB71" s="15">
        <f>IF(ISNA(VLOOKUP(A71,'Données projet'!$A$139:$I$159,4,0)),0,VLOOKUP(A71,'Données projet'!$A$139:$I$159,4,0))</f>
        <v>0</v>
      </c>
      <c r="DC71" s="16">
        <f>IF(ISNA(VLOOKUP(A71,'Données projet'!$A$139:$I$159,5,0)),0%,VLOOKUP(A71,'Données projet'!$A$139:$I$159,5,0)*VLOOKUP('Données projet'!$B$13,Paramètres!$A$1:$I$89,7,0))</f>
        <v>0</v>
      </c>
      <c r="DD71" s="16">
        <f>IF(ISNA(VLOOKUP(A71,'Données projet'!$A$139:$I$159,6,0)),0%,VLOOKUP(A71,'Données projet'!$A$139:$I$159,6,0)*VLOOKUP('Données projet'!$B$13,Paramètres!$A$1:$I$89,7,0))</f>
        <v>0</v>
      </c>
      <c r="DE71" s="16">
        <f>IF(ISNA(VLOOKUP(A71,'Données projet'!$A$139:$I$159,7,0)),0%,VLOOKUP(A71,'Données projet'!$A$139:$I$159,7,0))</f>
        <v>0</v>
      </c>
      <c r="DF71" s="21" t="e">
        <f>EXP(-LN(2)/35)*DF70+(1-EXP(-LN(2)/35))/(LN(2)/35)*DB71*DC71*VLOOKUP('Données projet'!$B$13,Paramètres!$A$1:$I$89,3,0)*0.475*44/12</f>
        <v>#N/A</v>
      </c>
      <c r="DG71" s="21" t="e">
        <f>EXP(-LN(2)/25)*DG70+(1-EXP(-LN(2)/25))/(LN(2)/25)*Calculateur!DB71*Calculateur!DD71*VLOOKUP('Données projet'!$B$13,Paramètres!$A$1:$I$89,3,0)*0.475*44/12</f>
        <v>#N/A</v>
      </c>
      <c r="DH71" s="21" t="e">
        <f>EXP(-LN(2)/2)*DH70+(1-EXP(-LN(2)/2))/(LN(2)/2)*DB71*DE71*VLOOKUP('Données projet'!$B$13,Paramètres!$A$1:$I$89,3,0)*0.475*44/12</f>
        <v>#N/A</v>
      </c>
      <c r="DI71" s="22" t="e">
        <f t="shared" si="69"/>
        <v>#N/A</v>
      </c>
      <c r="DJ71" s="75">
        <f>('Scénario référence'!$F$8+'Scénario référence'!$F$9+'Scénario référence'!$B$17+'Scénario référence'!$B$9+'Scénario référence'!$B$10)*70+IF((45+25*(1-EXP(-0.0175*A71)))&lt;70,'Scénario référence'!$B$16*(45+25*(1-EXP(-0.0175*A71))),70*'Scénario référence'!$B$16)+IF((32+38*(1-EXP(-0.0175*A71)))&lt;70,'Scénario référence'!$B$18*(32+38*(1-EXP(-0.0175*A71))),70*'Scénario référence'!$B$18)</f>
        <v>70</v>
      </c>
      <c r="DK71" s="12">
        <f>IF(A71&gt;30,10,('Scénario référence'!$B$16+'Scénario référence'!$B$17+'Scénario référence'!$B$18+'Scénario référence'!$B$9+'Scénario référence'!$B$10)*A71*10/30+('Scénario référence'!$F$8+'Scénario référence'!$F$9)*10)</f>
        <v>10</v>
      </c>
      <c r="DL71" s="12" t="e">
        <f>VLOOKUP(A71,'Données projet'!$A$165:$I$185,2,0)</f>
        <v>#N/A</v>
      </c>
      <c r="DM71" s="12" t="e">
        <f>VLOOKUP(A71,'Données projet'!$A$165:$I$185,9,0)</f>
        <v>#N/A</v>
      </c>
      <c r="DN71" s="12">
        <f t="array" ref="DN71">INDEX(DM:DM,MIN(IF(ISNUMBER(DM71:DM267),ROW(DM71:DM267),"")))</f>
        <v>5.6</v>
      </c>
      <c r="DO71" s="12">
        <f>IF('Données projet'!$A$166&gt;35,DO70+DN71-DW70,IF(A71&lt;'Données projet'!$A$166,$DL$205^A71,IF(A71='Données projet'!$A$166,'Données projet'!$B$166,DO70+DN71-DW70)))</f>
        <v>280.80000000000024</v>
      </c>
      <c r="DP71" s="17">
        <f>DO71*VLOOKUP('Données projet'!$B$14,Paramètres!$A$1:$I$89,3,0)*VLOOKUP('Données projet'!$B$14,Paramètres!$A$1:$I$89,5,0)</f>
        <v>183.98016000000015</v>
      </c>
      <c r="DQ71" s="13">
        <f t="shared" si="97"/>
        <v>46.206568123393801</v>
      </c>
      <c r="DR71" s="20">
        <f t="shared" si="70"/>
        <v>400.90855148157783</v>
      </c>
      <c r="DS71" s="59">
        <f t="shared" si="71"/>
        <v>694.24188481491115</v>
      </c>
      <c r="DT71" s="59">
        <f ca="1">AVERAGE(OFFSET($DS$3,0,0,'Données projet'!$E$14+1,1))-AVERAGE(OFFSET($H$3,0,0,'Données projet'!$E$14+1,1))</f>
        <v>188.68915783955595</v>
      </c>
      <c r="DU71" s="59">
        <f t="shared" si="98"/>
        <v>240.82467772396944</v>
      </c>
      <c r="DV71" s="15">
        <f>IF(ISNA(VLOOKUP(A71,'Données projet'!$A$165:$I$185,3,0)),0,VLOOKUP(A71,'Données projet'!$A$165:$I$185,3,0))</f>
        <v>0</v>
      </c>
      <c r="DW71" s="15">
        <f>IF(ISNA(VLOOKUP(A71,'Données projet'!$A$165:$I$185,4,0)),0,VLOOKUP(A71,'Données projet'!$A$165:$I$185,4,0))</f>
        <v>0</v>
      </c>
      <c r="DX71" s="16">
        <f>IF(ISNA(VLOOKUP(A71,'Données projet'!$A$165:$I$185,5,0)),0%,VLOOKUP(A71,'Données projet'!$A$165:$I$185,5,0)*VLOOKUP('Données projet'!$B$14,Paramètres!$A$1:$I$89,7,0))</f>
        <v>0</v>
      </c>
      <c r="DY71" s="16">
        <f>IF(ISNA(VLOOKUP(A71,'Données projet'!$A$165:$I$185,6,0)),0%,VLOOKUP(A71,'Données projet'!$A$165:$I$185,6,0)*VLOOKUP('Données projet'!$B$14,Paramètres!$A$1:$I$89,7,0))</f>
        <v>0</v>
      </c>
      <c r="DZ71" s="16">
        <f>IF(ISNA(VLOOKUP(A71,'Données projet'!$A$165:$I$185,7,0)),0%,VLOOKUP(A71,'Données projet'!$A$165:$I$185,7,0))</f>
        <v>0</v>
      </c>
      <c r="EA71" s="21">
        <f>EXP(-LN(2)/35)*EA70+(1-EXP(-LN(2)/35))/(LN(2)/35)*DW71*DX71*VLOOKUP('Données projet'!$B$14,Paramètres!$A$1:$I$89,3,0)*0.475*44/12</f>
        <v>0.73371414598220275</v>
      </c>
      <c r="EB71" s="21">
        <f>EXP(-LN(2)/25)*EB70+(1-EXP(-LN(2)/25))/(LN(2)/25)*Calculateur!DW71*Calculateur!DY71*VLOOKUP('Données projet'!$B$14,Paramètres!$A$1:$I$89,3,0)*0.475*44/12</f>
        <v>2.8027475940681241</v>
      </c>
      <c r="EC71" s="21">
        <f>EXP(-LN(2)/2)*EC70+(1-EXP(-LN(2)/2))/(LN(2)/2)*DW71*DZ71*VLOOKUP('Données projet'!$B$14,Paramètres!$A$1:$I$89,3,0)*0.475*44/12</f>
        <v>2.6696029636778044E-5</v>
      </c>
      <c r="ED71" s="22">
        <f t="shared" si="72"/>
        <v>3.5364884360799635</v>
      </c>
      <c r="EE71" s="75">
        <f>('Scénario référence'!$F$8+'Scénario référence'!$F$9+'Scénario référence'!$B$17+'Scénario référence'!$B$9+'Scénario référence'!$B$10)*70+IF((45+25*(1-EXP(-0.0175*A71)))&lt;70,'Scénario référence'!$B$16*(45+25*(1-EXP(-0.0175*A71))),70*'Scénario référence'!$B$16)+IF((32+38*(1-EXP(-0.0175*A71)))&lt;70,'Scénario référence'!$B$18*(32+38*(1-EXP(-0.0175*A71))),70*'Scénario référence'!$B$18)</f>
        <v>70</v>
      </c>
      <c r="EF71" s="12">
        <f>IF(A71&gt;30,10,('Scénario référence'!$B$16+'Scénario référence'!$B$17+'Scénario référence'!$B$18+'Scénario référence'!$B$9+'Scénario référence'!$B$10)*A71*10/30+('Scénario référence'!$F$8+'Scénario référence'!$F$9)*10)</f>
        <v>10</v>
      </c>
      <c r="EG71" s="12" t="e">
        <f>VLOOKUP(A71,'Données projet'!$A$191:$I$211,2,0)</f>
        <v>#N/A</v>
      </c>
      <c r="EH71" s="12" t="e">
        <f>VLOOKUP(A71,'Données projet'!$A$191:$I$211,9,0)</f>
        <v>#N/A</v>
      </c>
      <c r="EI71" s="12">
        <f t="array" ref="EI71">INDEX(EH:EH,MIN(IF(ISNUMBER(EH71:EH267),ROW(EH71:EH267),"")))</f>
        <v>5.9</v>
      </c>
      <c r="EJ71" s="12">
        <f>IF('Données projet'!$A$192&gt;35,EJ70+EI71-ER70,IF(A71&lt;'Données projet'!$A$192,$EG$205^A71,IF(A71='Données projet'!$A$192,'Données projet'!$B$192,EJ70+EI71-ER70)))</f>
        <v>263.2</v>
      </c>
      <c r="EK71" s="17">
        <f>EJ71*VLOOKUP('Données projet'!$B$15,Paramètres!$A$1:$I$89,3,0)*VLOOKUP('Données projet'!$B$15,Paramètres!$A$1:$I$89,5,0)</f>
        <v>213.50784000000002</v>
      </c>
      <c r="EL71" s="13">
        <f t="shared" si="99"/>
        <v>52.701396365805124</v>
      </c>
      <c r="EM71" s="20">
        <f t="shared" si="73"/>
        <v>463.6477533371106</v>
      </c>
      <c r="EN71" s="59">
        <f t="shared" si="74"/>
        <v>756.98108667044391</v>
      </c>
      <c r="EO71" s="59">
        <f ca="1">AVERAGE(OFFSET($EN$3,0,0,'Données projet'!$E$15+1,1))-AVERAGE(OFFSET($H$3,0,0,'Données projet'!$E$15+1,1))</f>
        <v>205.5272583787887</v>
      </c>
      <c r="EP71" s="59">
        <f t="shared" si="100"/>
        <v>180.54762778843178</v>
      </c>
      <c r="EQ71" s="15">
        <f>IF(ISNA(VLOOKUP(A71,'Données projet'!$A$191:$I$211,3,0)),0,VLOOKUP(A71,'Données projet'!$A$191:$I$211,3,0))</f>
        <v>0</v>
      </c>
      <c r="ER71" s="15">
        <f>IF(ISNA(VLOOKUP(A71,'Données projet'!$A$191:$I$211,4,0)),0,VLOOKUP(A71,'Données projet'!$A$191:$I$211,4,0))</f>
        <v>0</v>
      </c>
      <c r="ES71" s="16">
        <f>IF(ISNA(VLOOKUP(A71,'Données projet'!$A$191:$I$211,5,0)),0%,VLOOKUP(A71,'Données projet'!$A$191:$I$211,5,0)*VLOOKUP('Données projet'!$B$15,Paramètres!$A$1:$I$89,7,0))</f>
        <v>0</v>
      </c>
      <c r="ET71" s="16">
        <f>IF(ISNA(VLOOKUP(A71,'Données projet'!$A$191:$I$211,6,0)),0%,VLOOKUP(A71,'Données projet'!$A$191:$I$211,6,0)*VLOOKUP('Données projet'!$B$15,Paramètres!$A$1:$I$89,7,0))</f>
        <v>0</v>
      </c>
      <c r="EU71" s="16">
        <f>IF(ISNA(VLOOKUP(A71,'Données projet'!$A$191:$I$211,7,0)),0%,VLOOKUP(A71,'Données projet'!$A$191:$I$211,7,0))</f>
        <v>0</v>
      </c>
      <c r="EV71" s="21">
        <f>EXP(-LN(2)/35)*EV70+(1-EXP(-LN(2)/35))/(LN(2)/35)*ER71*ES71*VLOOKUP('Données projet'!$B$15,Paramètres!$A$1:$I$89,3,0)*0.475*44/12</f>
        <v>0.47237215493711321</v>
      </c>
      <c r="EW71" s="21">
        <f>EXP(-LN(2)/25)*EW70+(1-EXP(-LN(2)/25))/(LN(2)/25)*Calculateur!ER71*Calculateur!ET71*VLOOKUP('Données projet'!$B$15,Paramètres!$A$1:$I$89,3,0)*0.475*44/12</f>
        <v>2.0236687869697647</v>
      </c>
      <c r="EX71" s="21">
        <f>EXP(-LN(2)/2)*EX70+(1-EXP(-LN(2)/2))/(LN(2)/2)*ER71*EU71*VLOOKUP('Données projet'!$B$15,Paramètres!$A$1:$I$89,3,0)*0.475*44/12</f>
        <v>1.7285698929557691E-5</v>
      </c>
      <c r="EY71" s="22">
        <f t="shared" si="75"/>
        <v>2.4960582276058076</v>
      </c>
      <c r="EZ71" s="75">
        <f>('Scénario référence'!$F$8+'Scénario référence'!$F$9+'Scénario référence'!$B$17+'Scénario référence'!$B$9+'Scénario référence'!$B$10)*70+IF((45+25*(1-EXP(-0.0175*A71)))&lt;70,'Scénario référence'!$B$16*(45+25*(1-EXP(-0.0175*A71))),70*'Scénario référence'!$B$16)+IF((32+38*(1-EXP(-0.0175*A71)))&lt;70,'Scénario référence'!$B$18*(32+38*(1-EXP(-0.0175*A71))),70*'Scénario référence'!$B$18)</f>
        <v>70</v>
      </c>
      <c r="FA71" s="12">
        <f>IF(A71&gt;30,10,('Scénario référence'!$B$16+'Scénario référence'!$B$17+'Scénario référence'!$B$18+'Scénario référence'!$B$9+'Scénario référence'!$B$10)*A71*10/30+('Scénario référence'!$F$8+'Scénario référence'!$F$9)*10)</f>
        <v>10</v>
      </c>
      <c r="FB71" s="12" t="e">
        <f>VLOOKUP(A71,'Données projet'!$A$217:$I$237,2,0)</f>
        <v>#N/A</v>
      </c>
      <c r="FC71" s="12" t="e">
        <f>VLOOKUP(A71,'Données projet'!$A$217:$I$237,9,0)</f>
        <v>#N/A</v>
      </c>
      <c r="FD71" s="12">
        <f t="array" ref="FD71">INDEX(FC:FC,MIN(IF(ISNUMBER(FC71:FC267),ROW(FC71:FC267),"")))</f>
        <v>13</v>
      </c>
      <c r="FE71" s="12">
        <f>IF('Données projet'!$A$218&gt;35,FE70+FD71-FM70,IF(A71&lt;'Données projet'!$A$218,$FB$205^A71,IF(A71='Données projet'!$A$218,'Données projet'!$B$218,FE70+FD71-FM70)))</f>
        <v>345.99999999999994</v>
      </c>
      <c r="FF71" s="17">
        <f>FE71*VLOOKUP('Données projet'!$B$16,Paramètres!$A$1:$I$89,3,0)*VLOOKUP('Données projet'!$B$16,Paramètres!$A$1:$I$89,5,0)</f>
        <v>296.86799999999999</v>
      </c>
      <c r="FG71" s="13">
        <f t="shared" si="101"/>
        <v>70.519475467863899</v>
      </c>
      <c r="FH71" s="20">
        <f t="shared" si="76"/>
        <v>639.86651977319627</v>
      </c>
      <c r="FI71" s="59">
        <f t="shared" si="77"/>
        <v>933.19985310652964</v>
      </c>
      <c r="FJ71" s="59">
        <f ca="1">AVERAGE(OFFSET($FI$3,0,0,'Données projet'!$E$16+1,1))-AVERAGE(OFFSET($H$3,0,0,'Données projet'!$E$16+1,1))</f>
        <v>383.97627237444709</v>
      </c>
      <c r="FK71" s="59">
        <f t="shared" si="102"/>
        <v>203.35476578922339</v>
      </c>
      <c r="FL71" s="15">
        <f>IF(ISNA(VLOOKUP(A71,'Données projet'!$A$217:$I$237,3,0)),0,VLOOKUP(A71,'Données projet'!$A$217:$I$237,3,0))</f>
        <v>0</v>
      </c>
      <c r="FM71" s="15">
        <f>IF(ISNA(VLOOKUP(A71,'Données projet'!$A$217:$I$237,4,0)),0,VLOOKUP(A71,'Données projet'!$A$217:$I$237,4,0))</f>
        <v>0</v>
      </c>
      <c r="FN71" s="16">
        <f>IF(ISNA(VLOOKUP(A71,'Données projet'!$A$217:$I$237,5,0)),0%,VLOOKUP(A71,'Données projet'!$A$217:$I$237,5,0)*VLOOKUP('Données projet'!$B$16,Paramètres!$A$1:$I$89,7,0))</f>
        <v>0</v>
      </c>
      <c r="FO71" s="16">
        <f>IF(ISNA(VLOOKUP(A71,'Données projet'!$A$217:$I$237,6,0)),0%,VLOOKUP(A71,'Données projet'!$A$217:$I$237,6,0)*VLOOKUP('Données projet'!$B$16,Paramètres!$A$1:$I$89,7,0))</f>
        <v>0</v>
      </c>
      <c r="FP71" s="16">
        <f>IF(ISNA(VLOOKUP(A71,'Données projet'!$A$217:$I$237,7,0)),0%,VLOOKUP(A71,'Données projet'!$A$217:$I$237,7,0))</f>
        <v>0</v>
      </c>
      <c r="FQ71" s="21">
        <f>EXP(-LN(2)/35)*FQ70+(1-EXP(-LN(2)/35))/(LN(2)/35)*FM71*FN71*VLOOKUP('Données projet'!$B$16,Paramètres!$A$1:$I$89,3,0)*0.475*44/12</f>
        <v>2.4277366045698519</v>
      </c>
      <c r="FR71" s="21">
        <f>EXP(-LN(2)/25)*FR70+(1-EXP(-LN(2)/25))/(LN(2)/25)*Calculateur!FM71*Calculateur!FO71*VLOOKUP('Données projet'!$B$16,Paramètres!$A$1:$I$89,3,0)*0.475*44/12</f>
        <v>2.054232984821978</v>
      </c>
      <c r="FS71" s="21">
        <f>EXP(-LN(2)/2)*FS70+(1-EXP(-LN(2)/2))/(LN(2)/2)*FM71*FP71*VLOOKUP('Données projet'!$B$16,Paramètres!$A$1:$I$89,3,0)*0.475*44/12</f>
        <v>3.1750281394557747E-5</v>
      </c>
      <c r="FT71" s="22">
        <f t="shared" si="78"/>
        <v>4.4820013396732241</v>
      </c>
      <c r="FU71" s="75">
        <f>('Scénario référence'!$F$8+'Scénario référence'!$F$9+'Scénario référence'!$B$17+'Scénario référence'!$B$9+'Scénario référence'!$B$10)*70+IF((45+25*(1-EXP(-0.0175*A71)))&lt;70,'Scénario référence'!$B$16*(45+25*(1-EXP(-0.0175*A71))),70*'Scénario référence'!$B$16)+IF((32+38*(1-EXP(-0.0175*A71)))&lt;70,'Scénario référence'!$B$18*(32+38*(1-EXP(-0.0175*A71))),70*'Scénario référence'!$B$18)</f>
        <v>70</v>
      </c>
      <c r="FV71" s="12">
        <f>IF(A71&gt;30,10,('Scénario référence'!$B$16+'Scénario référence'!$B$17+'Scénario référence'!$B$18+'Scénario référence'!$B$9+'Scénario référence'!$B$10)*A71*10/30+('Scénario référence'!$F$8+'Scénario référence'!$F$9)*10)</f>
        <v>10</v>
      </c>
      <c r="FW71" s="12" t="e">
        <f>VLOOKUP(A71,'Données projet'!$A$243:$I$263,2,0)</f>
        <v>#N/A</v>
      </c>
      <c r="FX71" s="12" t="e">
        <f>VLOOKUP(A71,'Données projet'!$A$243:$I$263,9,0)</f>
        <v>#N/A</v>
      </c>
      <c r="FY71" s="12">
        <f t="array" ref="FY71">INDEX(FX:FX,MIN(IF(ISNUMBER(FX71:FX267),ROW(FX71:FX267),"")))</f>
        <v>8.1001602564102555</v>
      </c>
      <c r="FZ71" s="12">
        <f>IF('Données projet'!$A$244&gt;35,FZ70+FY71-GH70,IF(A71&lt;'Données projet'!$A$244,$FW$205^A71,IF(A71='Données projet'!$A$244,'Données projet'!$B$244,FZ70+FY71-GH70)))</f>
        <v>219.06490384615387</v>
      </c>
      <c r="GA71" s="17">
        <f>FZ71*VLOOKUP('Données projet'!$B$17,Paramètres!$A$1:$I$89,3,0)*VLOOKUP('Données projet'!$B$17,Paramètres!$A$1:$I$89,5,0)</f>
        <v>235.80146250000001</v>
      </c>
      <c r="GB71" s="13">
        <f t="shared" si="103"/>
        <v>57.535268915717083</v>
      </c>
      <c r="GC71" s="20">
        <f t="shared" si="79"/>
        <v>510.89480721570732</v>
      </c>
      <c r="GD71" s="59">
        <f t="shared" si="80"/>
        <v>804.22814054904063</v>
      </c>
      <c r="GE71" s="59">
        <f ca="1">AVERAGE(OFFSET($GD$3,0,0,'Données projet'!$E$17+1,1))-AVERAGE(OFFSET($H$3,0,0,'Données projet'!$E$17+1,1))</f>
        <v>286.77702855541287</v>
      </c>
      <c r="GF71" s="59">
        <f t="shared" si="104"/>
        <v>227.12211541860779</v>
      </c>
      <c r="GG71" s="15">
        <f>IF(ISNA(VLOOKUP(A71,'Données projet'!$A$243:$I$263,3,0)),0,VLOOKUP(A71,'Données projet'!$A$243:$I$263,3,0))</f>
        <v>0</v>
      </c>
      <c r="GH71" s="15">
        <f>IF(ISNA(VLOOKUP(A71,'Données projet'!$A$243:$I$263,4,0)),0,VLOOKUP(A71,'Données projet'!$A$243:$I$263,4,0))</f>
        <v>0</v>
      </c>
      <c r="GI71" s="16">
        <f>IF(ISNA(VLOOKUP(A71,'Données projet'!$A$243:$I$263,5,0)),0%,VLOOKUP(A71,'Données projet'!$A$243:$I$263,5,0)*VLOOKUP('Données projet'!$B$17,Paramètres!$A$1:$I$89,7,0))</f>
        <v>0</v>
      </c>
      <c r="GJ71" s="16">
        <f>IF(ISNA(VLOOKUP(A71,'Données projet'!$A$243:$I$263,6,0)),0%,VLOOKUP(A71,'Données projet'!$A$243:$I$263,6,0)*VLOOKUP('Données projet'!$B$17,Paramètres!$A$1:$I$89,7,0))</f>
        <v>0</v>
      </c>
      <c r="GK71" s="16">
        <f>IF(ISNA(VLOOKUP(A71,'Données projet'!$A$243:$I$263,7,0)),0%,VLOOKUP(A71,'Données projet'!$A$243:$I$263,7,0))</f>
        <v>0</v>
      </c>
      <c r="GL71" s="21">
        <f>EXP(-LN(2)/35)*GL70+(1-EXP(-LN(2)/35))/(LN(2)/35)*GH71*GI71*VLOOKUP('Données projet'!$B$17,Paramètres!$A$1:$I$89,3,0)*0.475*44/12</f>
        <v>0</v>
      </c>
      <c r="GM71" s="21">
        <f>EXP(-LN(2)/25)*GM70+(1-EXP(-LN(2)/25))/(LN(2)/25)*Calculateur!GH71*Calculateur!GJ71*VLOOKUP('Données projet'!$B$17,Paramètres!$A$1:$I$89,3,0)*0.475*44/12</f>
        <v>0</v>
      </c>
      <c r="GN71" s="21">
        <f>EXP(-LN(2)/2)*GN70+(1-EXP(-LN(2)/2))/(LN(2)/2)*GH71*GK71*VLOOKUP('Données projet'!$B$17,Paramètres!$A$1:$I$89,3,0)*0.475*44/12</f>
        <v>0</v>
      </c>
      <c r="GO71" s="21">
        <f t="shared" si="81"/>
        <v>0</v>
      </c>
      <c r="GP71" s="75">
        <f>('Scénario référence'!$F$8+'Scénario référence'!$F$9+'Scénario référence'!$B$17+'Scénario référence'!$B$9+'Scénario référence'!$B$10)*70+IF((45+25*(1-EXP(-0.0175*A71)))&lt;70,'Scénario référence'!$B$16*(45+25*(1-EXP(-0.0175*A71))),70*'Scénario référence'!$B$16)+IF((32+38*(1-EXP(-0.0175*A71)))&lt;70,'Scénario référence'!$B$18*(32+38*(1-EXP(-0.0175*A71))),70*'Scénario référence'!$B$18)</f>
        <v>70</v>
      </c>
      <c r="GQ71" s="12">
        <f>IF(A71&gt;30,10,('Scénario référence'!$B$16+'Scénario référence'!$B$17+'Scénario référence'!$B$18+'Scénario référence'!$B$9+'Scénario référence'!$B$10)*A71*10/30+('Scénario référence'!$F$8+'Scénario référence'!$F$9)*10)</f>
        <v>10</v>
      </c>
      <c r="GR71" s="12" t="e">
        <f>VLOOKUP(A71,'Données projet'!$A$269:$I$289,2,0)</f>
        <v>#N/A</v>
      </c>
      <c r="GS71" s="12" t="e">
        <f>VLOOKUP(A71,'Données projet'!$A$269:$I$289,9,0)</f>
        <v>#N/A</v>
      </c>
      <c r="GT71" s="12">
        <f t="array" ref="GT71">INDEX(GS:GS,MIN(IF(ISNUMBER(GS71:GS267),ROW(GS71:GS267),"")))</f>
        <v>8.1001602564102555</v>
      </c>
      <c r="GU71" s="12">
        <f>IF('Données projet'!$A$270&gt;35,GU70+GT71-HC70,IF(A71&lt;'Données projet'!$A$270,$GR$205^A71,IF(A71='Données projet'!$A$270,'Données projet'!$B$270,GU70+GT71-HC70)))</f>
        <v>219.06490384615387</v>
      </c>
      <c r="GV71" s="17">
        <f>GU71*VLOOKUP('Données projet'!$B$18,Paramètres!$A$1:$I$89,3,0)*VLOOKUP('Données projet'!$B$18,Paramètres!$A$1:$I$89,5,0)</f>
        <v>235.80146250000001</v>
      </c>
      <c r="GW71" s="13">
        <f t="shared" si="105"/>
        <v>57.535268915717083</v>
      </c>
      <c r="GX71" s="20">
        <f t="shared" si="82"/>
        <v>510.89480721570732</v>
      </c>
      <c r="GY71" s="59">
        <f t="shared" si="83"/>
        <v>804.22814054904063</v>
      </c>
      <c r="GZ71" s="59">
        <f ca="1">AVERAGE(OFFSET($GY$3,0,0,'Données projet'!$E$18+1,1))-AVERAGE(OFFSET($H$3,0,0,'Données projet'!$E$18+1,1))</f>
        <v>286.77702855541287</v>
      </c>
      <c r="HA71" s="59">
        <f t="shared" si="106"/>
        <v>227.12211541860779</v>
      </c>
      <c r="HB71" s="15">
        <f>IF(ISNA(VLOOKUP(A71,'Données projet'!$A$269:$I$289,3,0)),0,VLOOKUP(A71,'Données projet'!$A$269:$I$289,3,0))</f>
        <v>0</v>
      </c>
      <c r="HC71" s="15">
        <f>IF(ISNA(VLOOKUP(A71,'Données projet'!$A$269:$I$289,4,0)),0,VLOOKUP(A71,'Données projet'!$A$269:$I$289,4,0))</f>
        <v>0</v>
      </c>
      <c r="HD71" s="16">
        <f>IF(ISNA(VLOOKUP(A71,'Données projet'!$A$269:$I$289,5,0)),0%,VLOOKUP(A71,'Données projet'!$A$269:$I$289,5,0)*VLOOKUP('Données projet'!$B$18,Paramètres!$A$1:$I$89,7,0))</f>
        <v>0</v>
      </c>
      <c r="HE71" s="16">
        <f>IF(ISNA(VLOOKUP(A71,'Données projet'!$A$269:$I$289,6,0)),0%,VLOOKUP(A71,'Données projet'!$A$269:$I$289,6,0)*VLOOKUP('Données projet'!$B$18,Paramètres!$A$1:$I$89,7,0))</f>
        <v>0</v>
      </c>
      <c r="HF71" s="16">
        <f>IF(ISNA(VLOOKUP(A71,'Données projet'!$A$269:$I$289,7,0)),0%,VLOOKUP(A71,'Données projet'!$A$269:$I$289,7,0))</f>
        <v>0</v>
      </c>
      <c r="HG71" s="21">
        <f>EXP(-LN(2)/35)*HG70+(1-EXP(-LN(2)/35))/(LN(2)/35)*HC71*HD71*VLOOKUP('Données projet'!$B$18,Paramètres!$A$1:$I$89,3,0)*0.475*44/12</f>
        <v>0</v>
      </c>
      <c r="HH71" s="21">
        <f>EXP(-LN(2)/25)*HH70+(1-EXP(-LN(2)/25))/(LN(2)/25)*Calculateur!HC71*Calculateur!HE71*VLOOKUP('Données projet'!$B$18,Paramètres!$A$1:$I$89,3,0)*0.475*44/12</f>
        <v>0</v>
      </c>
      <c r="HI71" s="21">
        <f>EXP(-LN(2)/2)*HI70+(1-EXP(-LN(2)/2))/(LN(2)/2)*HC71*HF71*VLOOKUP('Données projet'!$B$18,Paramètres!$A$1:$I$89,3,0)*0.475*44/12</f>
        <v>0</v>
      </c>
      <c r="HJ71" s="22">
        <f t="shared" si="84"/>
        <v>0</v>
      </c>
    </row>
    <row r="72" spans="1:218" x14ac:dyDescent="0.25">
      <c r="A72" s="10">
        <f t="shared" si="85"/>
        <v>69</v>
      </c>
      <c r="B72" s="73">
        <f>'Scénario référence'!$B$16*5+'Scénario référence'!$B$17*0+'Scénario référence'!$B$18*5</f>
        <v>0</v>
      </c>
      <c r="C72" s="19">
        <f>Calculateur!C71+'Scénario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61.354800000000068</v>
      </c>
      <c r="D72" s="11">
        <f t="shared" si="86"/>
        <v>17.510358551572637</v>
      </c>
      <c r="E7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72" s="11">
        <f>IF(OR('Scénario référence'!$F$8&gt;0,'Scénario référence'!$F$9&gt;0),('Scénario référence'!$F$8+'Scénario référence'!$F$9)*10,0)</f>
        <v>10</v>
      </c>
      <c r="G72" s="11">
        <f>'Scénario référence'!$B$8*B72*44/12+'Scénario référence'!$B$9*(C72+D72)/0.475*44/12+'Scénario référence'!$B$10*(C72+D72)/0.475*44/12+'Scénario référence'!$F$8*(C72+D72)/0.475*44/12+'Scénario référence'!$F$9*(C72+D72)/0.475*44/12</f>
        <v>608.7836800472279</v>
      </c>
      <c r="H72" s="67">
        <f t="shared" si="56"/>
        <v>430.69015114398906</v>
      </c>
      <c r="I72" s="70">
        <f>('Scénario référence'!$F$8+'Scénario référence'!$F$9+'Scénario référence'!$B$17+'Scénario référence'!$B$9+'Scénario référence'!$B$10)*70+IF((45+25*(1-EXP(-0.0175*A72)))&lt;70,'Scénario référence'!$B$16*(45+25*(1-EXP(-0.0175*A72))),70*'Scénario référence'!$B$16)+IF((32+38*(1-EXP(-0.0175*A72)))&lt;70,'Scénario référence'!$B$18*(32+38*(1-EXP(-0.0175*A72))),70*'Scénario référence'!$B$18)</f>
        <v>70</v>
      </c>
      <c r="J72" s="13">
        <f>IF(A72&gt;30,10,('Scénario référence'!$B$16+'Scénario référence'!$B$17+'Scénario référence'!$B$18+'Scénario référence'!$B$9+'Scénario référence'!$B$10)*A72*10/30+('Scénario référence'!$F$8+'Scénario référence'!$F$9)*10)</f>
        <v>10</v>
      </c>
      <c r="K72" s="12" t="e">
        <f>VLOOKUP(A72,'Données projet'!$A$35:$I$55,2,0)</f>
        <v>#N/A</v>
      </c>
      <c r="L72" s="12" t="e">
        <f>VLOOKUP(A72,'Données projet'!$A$35:$I$55,9,0)</f>
        <v>#N/A</v>
      </c>
      <c r="M72" s="12">
        <f t="array" ref="M72">INDEX(L:L,MIN(IF(ISNUMBER(L72:L268),ROW(L72:L268),"")))</f>
        <v>0</v>
      </c>
      <c r="N72" s="13">
        <f>IF('Données projet'!$A$36&gt;35,N71+M72-V71,IF(A72&lt;'Données projet'!$A$36,$K$205^A72,IF(A72='Données projet'!$A$36,'Données projet'!$B$36,N71+M72-V71)))</f>
        <v>-2.2737367544323206E-13</v>
      </c>
      <c r="O72" s="13">
        <f>N72*VLOOKUP('Données projet'!$B$9,Paramètres!$A$1:$I$89,3,0)*VLOOKUP('Données projet'!$B$9,Paramètres!$A$1:$I$89,5,0)</f>
        <v>-1.2710188457276673E-13</v>
      </c>
      <c r="P72" s="13" t="e">
        <f t="shared" si="87"/>
        <v>#NUM!</v>
      </c>
      <c r="Q72" s="20" t="e">
        <f t="shared" si="54"/>
        <v>#NUM!</v>
      </c>
      <c r="R72" s="59" t="e">
        <f t="shared" si="55"/>
        <v>#NUM!</v>
      </c>
      <c r="S72" s="59">
        <f ca="1">AVERAGE(OFFSET($R$3,0,0,'Données projet'!$E$9+1,1))-AVERAGE(OFFSET($H$3,0,0,'Données projet'!$E$9+1,1))</f>
        <v>255.5374979188561</v>
      </c>
      <c r="T72" s="59">
        <f t="shared" si="88"/>
        <v>343.10418468620901</v>
      </c>
      <c r="U72" s="15">
        <f>IF(ISNA(VLOOKUP(A72,'Données projet'!$A$35:$I$55,3,0)),0,VLOOKUP(A72,'Données projet'!$A$35:$I$55,3,0))</f>
        <v>0</v>
      </c>
      <c r="V72" s="15">
        <f>IF(ISNA(VLOOKUP(A72,'Données projet'!$A$35:$I$55,4,0)),0,VLOOKUP(A72,'Données projet'!$A$35:$I$55,4,0))</f>
        <v>0</v>
      </c>
      <c r="W72" s="16">
        <f>IF(ISNA(VLOOKUP(A72,'Données projet'!$A$35:$I$55,5,0)),0%,VLOOKUP(A72,'Données projet'!$A$35:$I$55,5,0)*VLOOKUP('Données projet'!$B$9,Paramètres!$A$1:$I$89,7,0))</f>
        <v>0</v>
      </c>
      <c r="X72" s="16">
        <f>IF(ISNA(VLOOKUP(A72,'Données projet'!$A$35:$I$55,6,0)),0%,VLOOKUP(A72,'Données projet'!$A$35:$I$55,6,0)*VLOOKUP('Données projet'!$B$9,Paramètres!$A$1:$I$89,7,0))</f>
        <v>0</v>
      </c>
      <c r="Y72" s="16">
        <f>IF(ISNA(VLOOKUP(A72,'Données projet'!$A$35:$I$55,7,0)),0%,VLOOKUP(A72,'Données projet'!$A$35:$I$55,7,0))</f>
        <v>0</v>
      </c>
      <c r="Z72" s="21">
        <f>EXP(-LN(2)/35)*Z71+(1-EXP(-LN(2)/35))/(LN(2)/35)*V72*W72*VLOOKUP('Données projet'!$B$9,Paramètres!$A$1:$I$89,3,0)*0.475*44/12</f>
        <v>1.427351042478026</v>
      </c>
      <c r="AA72" s="21">
        <f>EXP(-LN(2)/25)*AA71+(1-EXP(-LN(2)/25))/(LN(2)/25)*Calculateur!V72*Calculateur!X72*VLOOKUP('Données projet'!$B$9,Paramètres!$A$1:$I$89,3,0)*0.475*44/12</f>
        <v>5.4129391508269515</v>
      </c>
      <c r="AB72" s="21">
        <f>EXP(-LN(2)/2)*AB71+(1-EXP(-LN(2)/2))/(LN(2)/2)*V72*Y72*VLOOKUP('Données projet'!$B$9,Paramètres!$A$1:$I$89,3,0)*0.475*44/12</f>
        <v>2.2828784247808092E-6</v>
      </c>
      <c r="AC72" s="22">
        <f t="shared" si="57"/>
        <v>6.8402924761834027</v>
      </c>
      <c r="AD72" s="13">
        <f>('Scénario référence'!$F$8+'Scénario référence'!$F$9+'Scénario référence'!$B$17+'Scénario référence'!$B$9+'Scénario référence'!$B$10)*70+IF((45+25*(1-EXP(-0.0175*A72)))&lt;70,'Scénario référence'!$B$16*(45+25*(1-EXP(-0.0175*A72))),70*'Scénario référence'!$B$16)+IF((32+38*(1-EXP(-0.0175*A72)))&lt;70,'Scénario référence'!$B$18*(32+38*(1-EXP(-0.0175*A72))),70*'Scénario référence'!$B$18)</f>
        <v>70</v>
      </c>
      <c r="AE72" s="13">
        <f>IF(A72&gt;30,10,('Scénario référence'!$B$16+'Scénario référence'!$B$17+'Scénario référence'!$B$18+'Scénario référence'!$B$9+'Scénario référence'!$B$10)*A72*10/30+('Scénario référence'!$F$8+'Scénario référence'!$F$9)*10)</f>
        <v>10</v>
      </c>
      <c r="AF72" s="12" t="e">
        <f>VLOOKUP(A72,'Données projet'!$A$61:$I$81,2,0)</f>
        <v>#N/A</v>
      </c>
      <c r="AG72" s="12" t="e">
        <f>VLOOKUP(A72,'Données projet'!$A$61:$I$81,9,0)</f>
        <v>#N/A</v>
      </c>
      <c r="AH72" s="12">
        <f t="array" ref="AH72">INDEX(AG:AG,MIN(IF(ISNUMBER(AG72:AG268),ROW(AG72:AG268),"")))</f>
        <v>7.8</v>
      </c>
      <c r="AI72" s="13">
        <f>IF('Données projet'!$A$62&gt;35,AI71+AH72-AQ71,IF(A72&lt;'Données projet'!$A$62,$AF$205^A72,IF(A72='Données projet'!$A$62,'Données projet'!$B$62,AI71+AH72-AQ71)))</f>
        <v>419.2</v>
      </c>
      <c r="AJ72" s="13">
        <f>AI72*VLOOKUP('Données projet'!$B$10,Paramètres!$A$1:$I$89,3,0)*VLOOKUP('Données projet'!$B$10,Paramètres!$A$1:$I$89,5,0)</f>
        <v>261.58080000000001</v>
      </c>
      <c r="AK72" s="13">
        <f t="shared" si="89"/>
        <v>63.05922166723839</v>
      </c>
      <c r="AL72" s="20">
        <f t="shared" si="58"/>
        <v>565.4147044037735</v>
      </c>
      <c r="AM72" s="59">
        <f t="shared" si="59"/>
        <v>858.74803773710687</v>
      </c>
      <c r="AN72" s="59">
        <f ca="1">AVERAGE(OFFSET($AM$3,0,0,'Données projet'!$E$10+1,1))-AVERAGE(OFFSET($H$3,0,0,'Données projet'!$E$10+1,1))</f>
        <v>261.78489480911571</v>
      </c>
      <c r="AO72" s="59">
        <f t="shared" si="90"/>
        <v>297.50513563712764</v>
      </c>
      <c r="AP72" s="15">
        <f>IF(ISNA(VLOOKUP(A72,'Données projet'!$A$61:$I$81,3,0)),0,VLOOKUP(A72,'Données projet'!$A$61:$I$81,3,0))</f>
        <v>0</v>
      </c>
      <c r="AQ72" s="15">
        <f>IF(ISNA(VLOOKUP(A72,'Données projet'!$A$61:$I$81,4,0)),0,VLOOKUP(A72,'Données projet'!$A$61:$I$81,4,0))</f>
        <v>0</v>
      </c>
      <c r="AR72" s="16">
        <f>IF(ISNA(VLOOKUP(A72,'Données projet'!$A$61:$I$81,5,0)),0%,VLOOKUP(A72,'Données projet'!$A$61:$I$81,5,0)*VLOOKUP('Données projet'!$B$10,Paramètres!$A$1:$I$89,7,0))</f>
        <v>0</v>
      </c>
      <c r="AS72" s="16">
        <f>IF(ISNA(VLOOKUP(A72,'Données projet'!$A$61:$I$81,6,0)),0%,VLOOKUP(A72,'Données projet'!$A$61:$I$81,6,0)*VLOOKUP('Données projet'!$B$10,Paramètres!$A$1:$I$89,7,0))</f>
        <v>0</v>
      </c>
      <c r="AT72" s="16">
        <f>IF(ISNA(VLOOKUP(A72,'Données projet'!$A$61:$I$81,7,0)),0%,VLOOKUP(A72,'Données projet'!$A$61:$I$81,7,0))</f>
        <v>0</v>
      </c>
      <c r="AU72" s="21">
        <f>EXP(-LN(2)/35)*AU71+(1-EXP(-LN(2)/35))/(LN(2)/35)*AQ72*AR72*VLOOKUP('Données projet'!$B$10,Paramètres!$A$1:$I$89,3,0)*0.475*44/12</f>
        <v>3.8542515389966212</v>
      </c>
      <c r="AV72" s="21">
        <f>EXP(-LN(2)/25)*AV71+(1-EXP(-LN(2)/25))/(LN(2)/25)*Calculateur!AQ72*Calculateur!AS72*VLOOKUP('Données projet'!$B$10,Paramètres!$A$1:$I$89,3,0)*0.475*44/12</f>
        <v>9.452095785147355</v>
      </c>
      <c r="AW72" s="21">
        <f>EXP(-LN(2)/2)*AW71+(1-EXP(-LN(2)/2))/(LN(2)/2)*AQ72*AT72*VLOOKUP('Données projet'!$B$10,Paramètres!$A$1:$I$89,3,0)*0.475*44/12</f>
        <v>3.2909865802649443E-5</v>
      </c>
      <c r="AX72" s="21">
        <f t="shared" si="60"/>
        <v>13.306380234009779</v>
      </c>
      <c r="AY72" s="74">
        <f>('Scénario référence'!$F$8+'Scénario référence'!$F$9+'Scénario référence'!$B$17+'Scénario référence'!$B$9+'Scénario référence'!$B$10)*70+IF((45+25*(1-EXP(-0.0175*A72)))&lt;70,'Scénario référence'!$B$16*(45+25*(1-EXP(-0.0175*A72))),70*'Scénario référence'!$B$16)+IF((32+38*(1-EXP(-0.0175*A72)))&lt;70,'Scénario référence'!$B$18*(32+38*(1-EXP(-0.0175*A72))),70*'Scénario référence'!$B$18)</f>
        <v>70</v>
      </c>
      <c r="AZ72" s="12">
        <f>IF(A72&gt;30,10,('Scénario référence'!$B$16+'Scénario référence'!$B$17+'Scénario référence'!$B$18+'Scénario référence'!$B$9+'Scénario référence'!$B$10)*A72*10/30+('Scénario référence'!$F$8+'Scénario référence'!$F$9)*10)</f>
        <v>10</v>
      </c>
      <c r="BA72" s="12" t="e">
        <f>VLOOKUP(A72,'Données projet'!$A$87:$I$107,2,0)</f>
        <v>#N/A</v>
      </c>
      <c r="BB72" s="12" t="e">
        <f>VLOOKUP(A72,'Données projet'!$A$87:$I$107,9,0)</f>
        <v>#N/A</v>
      </c>
      <c r="BC72" s="12">
        <f t="array" ref="BC72">INDEX(BB:BB,MIN(IF(ISNUMBER(BB72:BB268),ROW(BB72:BB268),"")))</f>
        <v>16.399999999999999</v>
      </c>
      <c r="BD72" s="12">
        <f>IF('Données projet'!$A$88&gt;35,BD71+BC72-BL71,IF(A72&lt;'Données projet'!$A$88,$BA$205^A72,IF(A72='Données projet'!$A$88,'Données projet'!$B$88,BD71+BC72-BL71)))</f>
        <v>547.59999999999957</v>
      </c>
      <c r="BE72" s="13">
        <f>BD72*VLOOKUP('Données projet'!$B$11,Paramètres!$A$1:$I$89,3,0)*VLOOKUP('Données projet'!$B$11,Paramètres!$A$1:$I$89,5,0)</f>
        <v>327.4647999999998</v>
      </c>
      <c r="BF72" s="13">
        <f t="shared" si="91"/>
        <v>76.904459845729477</v>
      </c>
      <c r="BG72" s="20">
        <f t="shared" si="61"/>
        <v>704.27646089797838</v>
      </c>
      <c r="BH72" s="59">
        <f t="shared" si="62"/>
        <v>997.60979423131175</v>
      </c>
      <c r="BI72" s="59">
        <f ca="1">AVERAGE(OFFSET($BH$3,0,0,'Données projet'!$E$11+1,1))-AVERAGE(OFFSET($H$3,0,0,'Données projet'!$E$11+1,1))</f>
        <v>316.58509520829671</v>
      </c>
      <c r="BJ72" s="59">
        <f t="shared" si="92"/>
        <v>240.71332110643596</v>
      </c>
      <c r="BK72" s="15">
        <f>IF(ISNA(VLOOKUP(A72,'Données projet'!$A$87:$I$107,3,0)),0,VLOOKUP(A72,'Données projet'!$A$87:$I$107,3,0))</f>
        <v>0</v>
      </c>
      <c r="BL72" s="15">
        <f>IF(ISNA(VLOOKUP(A72,'Données projet'!$A$87:$I$107,4,0)),0,VLOOKUP(A72,'Données projet'!$A$87:$I$107,4,0))</f>
        <v>0</v>
      </c>
      <c r="BM72" s="16">
        <f>IF(ISNA(VLOOKUP(A72,'Données projet'!$A$87:$I$107,5,0)),0%,VLOOKUP(A72,'Données projet'!$A$87:$I$107,5,0)*VLOOKUP('Données projet'!$B$11,Paramètres!$A$1:$I$89,7,0))</f>
        <v>0</v>
      </c>
      <c r="BN72" s="16">
        <f>IF(ISNA(VLOOKUP(A72,'Données projet'!$A$87:$I$107,6,0)),0%,VLOOKUP(A72,'Données projet'!$A$87:$I$107,6,0)*VLOOKUP('Données projet'!$B$11,Paramètres!$A$1:$I$89,7,0))</f>
        <v>0</v>
      </c>
      <c r="BO72" s="16">
        <f>IF(ISNA(VLOOKUP(A72,'Données projet'!$A$87:$I$107,7,0)),0%,VLOOKUP(A72,'Données projet'!$A$87:$I$107,7,0))</f>
        <v>0</v>
      </c>
      <c r="BP72" s="21">
        <f>EXP(-LN(2)/35)*BP71+(1-EXP(-LN(2)/35))/(LN(2)/35)*BL72*BM72*VLOOKUP('Données projet'!$B$11,Paramètres!$A$1:$I$89,3,0)*0.475*44/12</f>
        <v>1.1707575824370315</v>
      </c>
      <c r="BQ72" s="21">
        <f>EXP(-LN(2)/25)*BQ71+(1-EXP(-LN(2)/25))/(LN(2)/25)*Calculateur!BL72*Calculateur!BN72*VLOOKUP('Données projet'!$B$11,Paramètres!$A$1:$I$89,3,0)*0.475*44/12</f>
        <v>5.178133865078463</v>
      </c>
      <c r="BR72" s="21">
        <f>EXP(-LN(2)/2)*BR71+(1-EXP(-LN(2)/2))/(LN(2)/2)*BL72*BO72*VLOOKUP('Données projet'!$B$11,Paramètres!$A$1:$I$89,3,0)*0.475*44/12</f>
        <v>2.9589573401784297E-5</v>
      </c>
      <c r="BS72" s="22">
        <f t="shared" si="63"/>
        <v>6.3489210370888971</v>
      </c>
      <c r="BT72" s="75">
        <f>('Scénario référence'!$F$8+'Scénario référence'!$F$9+'Scénario référence'!$B$17+'Scénario référence'!$B$9+'Scénario référence'!$B$10)*70+IF((45+25*(1-EXP(-0.0175*A72)))&lt;70,'Scénario référence'!$B$16*(45+25*(1-EXP(-0.0175*A72))),70*'Scénario référence'!$B$16)+IF((32+38*(1-EXP(-0.0175*A72)))&lt;70,'Scénario référence'!$B$18*(32+38*(1-EXP(-0.0175*A72))),70*'Scénario référence'!$B$18)</f>
        <v>70</v>
      </c>
      <c r="BU72" s="12">
        <f>IF(A72&gt;30,10,('Scénario référence'!$B$16+'Scénario référence'!$B$17+'Scénario référence'!$B$18+'Scénario référence'!$B$9+'Scénario référence'!$B$10)*A72*10/30+('Scénario référence'!$F$8+'Scénario référence'!$F$9)*10)</f>
        <v>10</v>
      </c>
      <c r="BV72" s="12" t="e">
        <f>VLOOKUP(A72,'Données projet'!$A$113:$I$133,2,0)</f>
        <v>#N/A</v>
      </c>
      <c r="BW72" s="12" t="e">
        <f>VLOOKUP(A72,'Données projet'!$A$113:$I$133,9,0)</f>
        <v>#N/A</v>
      </c>
      <c r="BX72" s="12">
        <f t="array" ref="BX72">INDEX(BW:BW,MIN(IF(ISNUMBER(BW72:BW268),ROW(BW72:BW268),"")))</f>
        <v>7.3</v>
      </c>
      <c r="BY72" s="12">
        <f>IF('Données projet'!$A$114&gt;35,BY71+BX72-CG71,IF(A72&lt;'Données projet'!$A$114,$BV$205^A72,IF(A72='Données projet'!$A$114,'Données projet'!$B$114,BY71+BX72-CG71)))</f>
        <v>342.69999999999987</v>
      </c>
      <c r="BZ72" s="13">
        <f>BY72*VLOOKUP('Données projet'!$B$12,Paramètres!$A$1:$I$89,3,0)*VLOOKUP('Données projet'!$B$12,Paramètres!$A$1:$I$89,5,0)</f>
        <v>196.02439999999996</v>
      </c>
      <c r="CA72" s="13">
        <f t="shared" si="93"/>
        <v>48.869432815695113</v>
      </c>
      <c r="CB72" s="20">
        <f t="shared" si="64"/>
        <v>426.52342548733554</v>
      </c>
      <c r="CC72" s="59">
        <f t="shared" si="65"/>
        <v>719.8567588206688</v>
      </c>
      <c r="CD72" s="59">
        <f ca="1">AVERAGE(OFFSET($CC$3,0,0,'Données projet'!$E$12+1,1))-AVERAGE(OFFSET($H$3,0,0,'Données projet'!$E$12+1,1))</f>
        <v>188.64374818906128</v>
      </c>
      <c r="CE72" s="59">
        <f t="shared" si="94"/>
        <v>211.95157880548652</v>
      </c>
      <c r="CF72" s="15">
        <f>IF(ISNA(VLOOKUP(A72,'Données projet'!$A$113:$I$133,3,0)),0,VLOOKUP(A72,'Données projet'!$A$113:$I$133,3,0))</f>
        <v>0</v>
      </c>
      <c r="CG72" s="15">
        <f>IF(ISNA(VLOOKUP(A72,'Données projet'!$A$113:$I$133,4,0)),0,VLOOKUP(A72,'Données projet'!$A$113:$I$133,4,0))</f>
        <v>0</v>
      </c>
      <c r="CH72" s="16">
        <f>IF(ISNA(VLOOKUP(A72,'Données projet'!$A$113:$I$133,5,0)),0%,VLOOKUP(A72,'Données projet'!$A$113:$I$133,5,0)*VLOOKUP('Données projet'!$B$12,Paramètres!$A$1:$I$89,7,0))</f>
        <v>0</v>
      </c>
      <c r="CI72" s="16">
        <f>IF(ISNA(VLOOKUP(A72,'Données projet'!$A$113:$I$133,6,0)),0%,VLOOKUP(A72,'Données projet'!$A$113:$I$133,6,0)*VLOOKUP('Données projet'!$B$12,Paramètres!$A$1:$I$89,7,0))</f>
        <v>0</v>
      </c>
      <c r="CJ72" s="16">
        <f>IF(ISNA(VLOOKUP(A72,'Données projet'!$A$113:$I$133,7,0)),0%,VLOOKUP(A72,'Données projet'!$A$113:$I$133,7,0))</f>
        <v>0</v>
      </c>
      <c r="CK72" s="21">
        <f>EXP(-LN(2)/35)*CK71+(1-EXP(-LN(2)/35))/(LN(2)/35)*CG72*CH72*VLOOKUP('Données projet'!$B$12,Paramètres!$A$1:$I$89,3,0)*0.475*44/12</f>
        <v>1.1356276855972185</v>
      </c>
      <c r="CL72" s="21">
        <f>EXP(-LN(2)/25)*CL71+(1-EXP(-LN(2)/25))/(LN(2)/25)*Calculateur!CG72*Calculateur!CI72*VLOOKUP('Données projet'!$B$12,Paramètres!$A$1:$I$89,3,0)*0.475*44/12</f>
        <v>4.8737768358901814</v>
      </c>
      <c r="CM72" s="21">
        <f>EXP(-LN(2)/2)*CM71+(1-EXP(-LN(2)/2))/(LN(2)/2)*CG72*CJ72*VLOOKUP('Données projet'!$B$12,Paramètres!$A$1:$I$89,3,0)*0.475*44/12</f>
        <v>2.8655186717022275E-5</v>
      </c>
      <c r="CN72" s="22">
        <f t="shared" si="66"/>
        <v>6.0094331766741167</v>
      </c>
      <c r="CO72" s="75">
        <f>('Scénario référence'!$F$8+'Scénario référence'!$F$9+'Scénario référence'!$B$17+'Scénario référence'!$B$9+'Scénario référence'!$B$10)*70+IF((45+25*(1-EXP(-0.0175*A72)))&lt;70,'Scénario référence'!$B$16*(45+25*(1-EXP(-0.0175*A72))),70*'Scénario référence'!$B$16)+IF((32+38*(1-EXP(-0.0175*A72)))&lt;70,'Scénario référence'!$B$18*(32+38*(1-EXP(-0.0175*A72))),70*'Scénario référence'!$B$18)</f>
        <v>70</v>
      </c>
      <c r="CP72" s="12">
        <f>IF(A72&gt;30,10,('Scénario référence'!$B$16+'Scénario référence'!$B$17+'Scénario référence'!$B$18+'Scénario référence'!$B$9+'Scénario référence'!$B$10)*A72*10/30+('Scénario référence'!$F$8+'Scénario référence'!$F$9)*10)</f>
        <v>10</v>
      </c>
      <c r="CQ72" s="12" t="e">
        <f>VLOOKUP(A72,'Données projet'!$A$139:$I$159,2,0)</f>
        <v>#N/A</v>
      </c>
      <c r="CR72" s="12" t="e">
        <f>VLOOKUP(A72,'Données projet'!$A$139:$I$159,9,0)</f>
        <v>#N/A</v>
      </c>
      <c r="CS72" s="12">
        <f t="array" ref="CS72">INDEX(CR:CR,MIN(IF(ISNUMBER(CR72:CR268),ROW(CR72:CR268),"")))</f>
        <v>0</v>
      </c>
      <c r="CT72" s="12">
        <f>IF('Données projet'!$A$140&gt;35,CT71+CS72-DB71,IF(A72&lt;'Données projet'!$A$140,$CQ$205^A72,IF(A72='Données projet'!$A$140,'Données projet'!$B$140,CT71+CS72-DB71)))</f>
        <v>0</v>
      </c>
      <c r="CU72" s="17" t="e">
        <f>CT72*VLOOKUP('Données projet'!$B$13,Paramètres!$A$1:$I$89,3,0)*VLOOKUP('Données projet'!$B$13,Paramètres!$A$1:$I$89,5,0)</f>
        <v>#N/A</v>
      </c>
      <c r="CV72" s="13" t="e">
        <f t="shared" si="95"/>
        <v>#N/A</v>
      </c>
      <c r="CW72" s="20" t="e">
        <f t="shared" si="67"/>
        <v>#N/A</v>
      </c>
      <c r="CX72" s="59" t="e">
        <f t="shared" si="68"/>
        <v>#N/A</v>
      </c>
      <c r="CY72" s="59" t="e">
        <f ca="1">AVERAGE(OFFSET($CX$3,0,0,'Données projet'!$E$13+1,1))-AVERAGE(OFFSET($H$3,0,0,'Données projet'!$E$13+1,1))</f>
        <v>#N/A</v>
      </c>
      <c r="CZ72" s="59" t="e">
        <f t="shared" si="96"/>
        <v>#N/A</v>
      </c>
      <c r="DA72" s="15">
        <f>IF(ISNA(VLOOKUP(A72,'Données projet'!$A$139:$I$159,3,0)),0,VLOOKUP(A72,'Données projet'!$A$139:$I$159,3,0))</f>
        <v>0</v>
      </c>
      <c r="DB72" s="15">
        <f>IF(ISNA(VLOOKUP(A72,'Données projet'!$A$139:$I$159,4,0)),0,VLOOKUP(A72,'Données projet'!$A$139:$I$159,4,0))</f>
        <v>0</v>
      </c>
      <c r="DC72" s="16">
        <f>IF(ISNA(VLOOKUP(A72,'Données projet'!$A$139:$I$159,5,0)),0%,VLOOKUP(A72,'Données projet'!$A$139:$I$159,5,0)*VLOOKUP('Données projet'!$B$13,Paramètres!$A$1:$I$89,7,0))</f>
        <v>0</v>
      </c>
      <c r="DD72" s="16">
        <f>IF(ISNA(VLOOKUP(A72,'Données projet'!$A$139:$I$159,6,0)),0%,VLOOKUP(A72,'Données projet'!$A$139:$I$159,6,0)*VLOOKUP('Données projet'!$B$13,Paramètres!$A$1:$I$89,7,0))</f>
        <v>0</v>
      </c>
      <c r="DE72" s="16">
        <f>IF(ISNA(VLOOKUP(A72,'Données projet'!$A$139:$I$159,7,0)),0%,VLOOKUP(A72,'Données projet'!$A$139:$I$159,7,0))</f>
        <v>0</v>
      </c>
      <c r="DF72" s="21" t="e">
        <f>EXP(-LN(2)/35)*DF71+(1-EXP(-LN(2)/35))/(LN(2)/35)*DB72*DC72*VLOOKUP('Données projet'!$B$13,Paramètres!$A$1:$I$89,3,0)*0.475*44/12</f>
        <v>#N/A</v>
      </c>
      <c r="DG72" s="21" t="e">
        <f>EXP(-LN(2)/25)*DG71+(1-EXP(-LN(2)/25))/(LN(2)/25)*Calculateur!DB72*Calculateur!DD72*VLOOKUP('Données projet'!$B$13,Paramètres!$A$1:$I$89,3,0)*0.475*44/12</f>
        <v>#N/A</v>
      </c>
      <c r="DH72" s="21" t="e">
        <f>EXP(-LN(2)/2)*DH71+(1-EXP(-LN(2)/2))/(LN(2)/2)*DB72*DE72*VLOOKUP('Données projet'!$B$13,Paramètres!$A$1:$I$89,3,0)*0.475*44/12</f>
        <v>#N/A</v>
      </c>
      <c r="DI72" s="22" t="e">
        <f t="shared" si="69"/>
        <v>#N/A</v>
      </c>
      <c r="DJ72" s="75">
        <f>('Scénario référence'!$F$8+'Scénario référence'!$F$9+'Scénario référence'!$B$17+'Scénario référence'!$B$9+'Scénario référence'!$B$10)*70+IF((45+25*(1-EXP(-0.0175*A72)))&lt;70,'Scénario référence'!$B$16*(45+25*(1-EXP(-0.0175*A72))),70*'Scénario référence'!$B$16)+IF((32+38*(1-EXP(-0.0175*A72)))&lt;70,'Scénario référence'!$B$18*(32+38*(1-EXP(-0.0175*A72))),70*'Scénario référence'!$B$18)</f>
        <v>70</v>
      </c>
      <c r="DK72" s="12">
        <f>IF(A72&gt;30,10,('Scénario référence'!$B$16+'Scénario référence'!$B$17+'Scénario référence'!$B$18+'Scénario référence'!$B$9+'Scénario référence'!$B$10)*A72*10/30+('Scénario référence'!$F$8+'Scénario référence'!$F$9)*10)</f>
        <v>10</v>
      </c>
      <c r="DL72" s="12" t="e">
        <f>VLOOKUP(A72,'Données projet'!$A$165:$I$185,2,0)</f>
        <v>#N/A</v>
      </c>
      <c r="DM72" s="12" t="e">
        <f>VLOOKUP(A72,'Données projet'!$A$165:$I$185,9,0)</f>
        <v>#N/A</v>
      </c>
      <c r="DN72" s="12">
        <f t="array" ref="DN72">INDEX(DM:DM,MIN(IF(ISNUMBER(DM72:DM268),ROW(DM72:DM268),"")))</f>
        <v>5.6</v>
      </c>
      <c r="DO72" s="12">
        <f>IF('Données projet'!$A$166&gt;35,DO71+DN72-DW71,IF(A72&lt;'Données projet'!$A$166,$DL$205^A72,IF(A72='Données projet'!$A$166,'Données projet'!$B$166,DO71+DN72-DW71)))</f>
        <v>286.40000000000026</v>
      </c>
      <c r="DP72" s="17">
        <f>DO72*VLOOKUP('Données projet'!$B$14,Paramètres!$A$1:$I$89,3,0)*VLOOKUP('Données projet'!$B$14,Paramètres!$A$1:$I$89,5,0)</f>
        <v>187.64928000000018</v>
      </c>
      <c r="DQ72" s="13">
        <f t="shared" si="97"/>
        <v>47.019866076567546</v>
      </c>
      <c r="DR72" s="20">
        <f t="shared" si="70"/>
        <v>408.71542941668878</v>
      </c>
      <c r="DS72" s="59">
        <f t="shared" si="71"/>
        <v>702.04876275002209</v>
      </c>
      <c r="DT72" s="59">
        <f ca="1">AVERAGE(OFFSET($DS$3,0,0,'Données projet'!$E$14+1,1))-AVERAGE(OFFSET($H$3,0,0,'Données projet'!$E$14+1,1))</f>
        <v>188.68915783955595</v>
      </c>
      <c r="DU72" s="59">
        <f t="shared" si="98"/>
        <v>240.82467772396944</v>
      </c>
      <c r="DV72" s="15">
        <f>IF(ISNA(VLOOKUP(A72,'Données projet'!$A$165:$I$185,3,0)),0,VLOOKUP(A72,'Données projet'!$A$165:$I$185,3,0))</f>
        <v>0</v>
      </c>
      <c r="DW72" s="15">
        <f>IF(ISNA(VLOOKUP(A72,'Données projet'!$A$165:$I$185,4,0)),0,VLOOKUP(A72,'Données projet'!$A$165:$I$185,4,0))</f>
        <v>0</v>
      </c>
      <c r="DX72" s="16">
        <f>IF(ISNA(VLOOKUP(A72,'Données projet'!$A$165:$I$185,5,0)),0%,VLOOKUP(A72,'Données projet'!$A$165:$I$185,5,0)*VLOOKUP('Données projet'!$B$14,Paramètres!$A$1:$I$89,7,0))</f>
        <v>0</v>
      </c>
      <c r="DY72" s="16">
        <f>IF(ISNA(VLOOKUP(A72,'Données projet'!$A$165:$I$185,6,0)),0%,VLOOKUP(A72,'Données projet'!$A$165:$I$185,6,0)*VLOOKUP('Données projet'!$B$14,Paramètres!$A$1:$I$89,7,0))</f>
        <v>0</v>
      </c>
      <c r="DZ72" s="16">
        <f>IF(ISNA(VLOOKUP(A72,'Données projet'!$A$165:$I$185,7,0)),0%,VLOOKUP(A72,'Données projet'!$A$165:$I$185,7,0))</f>
        <v>0</v>
      </c>
      <c r="EA72" s="21">
        <f>EXP(-LN(2)/35)*EA71+(1-EXP(-LN(2)/35))/(LN(2)/35)*DW72*DX72*VLOOKUP('Données projet'!$B$14,Paramètres!$A$1:$I$89,3,0)*0.475*44/12</f>
        <v>0.71932645910093174</v>
      </c>
      <c r="EB72" s="21">
        <f>EXP(-LN(2)/25)*EB71+(1-EXP(-LN(2)/25))/(LN(2)/25)*Calculateur!DW72*Calculateur!DY72*VLOOKUP('Données projet'!$B$14,Paramètres!$A$1:$I$89,3,0)*0.475*44/12</f>
        <v>2.7261063137182409</v>
      </c>
      <c r="EC72" s="21">
        <f>EXP(-LN(2)/2)*EC71+(1-EXP(-LN(2)/2))/(LN(2)/2)*DW72*DZ72*VLOOKUP('Données projet'!$B$14,Paramètres!$A$1:$I$89,3,0)*0.475*44/12</f>
        <v>1.88769435869228E-5</v>
      </c>
      <c r="ED72" s="22">
        <f t="shared" si="72"/>
        <v>3.4454516497627594</v>
      </c>
      <c r="EE72" s="75">
        <f>('Scénario référence'!$F$8+'Scénario référence'!$F$9+'Scénario référence'!$B$17+'Scénario référence'!$B$9+'Scénario référence'!$B$10)*70+IF((45+25*(1-EXP(-0.0175*A72)))&lt;70,'Scénario référence'!$B$16*(45+25*(1-EXP(-0.0175*A72))),70*'Scénario référence'!$B$16)+IF((32+38*(1-EXP(-0.0175*A72)))&lt;70,'Scénario référence'!$B$18*(32+38*(1-EXP(-0.0175*A72))),70*'Scénario référence'!$B$18)</f>
        <v>70</v>
      </c>
      <c r="EF72" s="12">
        <f>IF(A72&gt;30,10,('Scénario référence'!$B$16+'Scénario référence'!$B$17+'Scénario référence'!$B$18+'Scénario référence'!$B$9+'Scénario référence'!$B$10)*A72*10/30+('Scénario référence'!$F$8+'Scénario référence'!$F$9)*10)</f>
        <v>10</v>
      </c>
      <c r="EG72" s="12" t="e">
        <f>VLOOKUP(A72,'Données projet'!$A$191:$I$211,2,0)</f>
        <v>#N/A</v>
      </c>
      <c r="EH72" s="12" t="e">
        <f>VLOOKUP(A72,'Données projet'!$A$191:$I$211,9,0)</f>
        <v>#N/A</v>
      </c>
      <c r="EI72" s="12">
        <f t="array" ref="EI72">INDEX(EH:EH,MIN(IF(ISNUMBER(EH72:EH268),ROW(EH72:EH268),"")))</f>
        <v>5.9</v>
      </c>
      <c r="EJ72" s="12">
        <f>IF('Données projet'!$A$192&gt;35,EJ71+EI72-ER71,IF(A72&lt;'Données projet'!$A$192,$EG$205^A72,IF(A72='Données projet'!$A$192,'Données projet'!$B$192,EJ71+EI72-ER71)))</f>
        <v>269.09999999999997</v>
      </c>
      <c r="EK72" s="17">
        <f>EJ72*VLOOKUP('Données projet'!$B$15,Paramètres!$A$1:$I$89,3,0)*VLOOKUP('Données projet'!$B$15,Paramètres!$A$1:$I$89,5,0)</f>
        <v>218.29391999999999</v>
      </c>
      <c r="EL72" s="13">
        <f t="shared" si="99"/>
        <v>53.743909818122162</v>
      </c>
      <c r="EM72" s="20">
        <f t="shared" si="73"/>
        <v>473.79922026656277</v>
      </c>
      <c r="EN72" s="59">
        <f t="shared" si="74"/>
        <v>767.13255359989603</v>
      </c>
      <c r="EO72" s="59">
        <f ca="1">AVERAGE(OFFSET($EN$3,0,0,'Données projet'!$E$15+1,1))-AVERAGE(OFFSET($H$3,0,0,'Données projet'!$E$15+1,1))</f>
        <v>205.5272583787887</v>
      </c>
      <c r="EP72" s="59">
        <f t="shared" si="100"/>
        <v>180.54762778843178</v>
      </c>
      <c r="EQ72" s="15">
        <f>IF(ISNA(VLOOKUP(A72,'Données projet'!$A$191:$I$211,3,0)),0,VLOOKUP(A72,'Données projet'!$A$191:$I$211,3,0))</f>
        <v>0</v>
      </c>
      <c r="ER72" s="15">
        <f>IF(ISNA(VLOOKUP(A72,'Données projet'!$A$191:$I$211,4,0)),0,VLOOKUP(A72,'Données projet'!$A$191:$I$211,4,0))</f>
        <v>0</v>
      </c>
      <c r="ES72" s="16">
        <f>IF(ISNA(VLOOKUP(A72,'Données projet'!$A$191:$I$211,5,0)),0%,VLOOKUP(A72,'Données projet'!$A$191:$I$211,5,0)*VLOOKUP('Données projet'!$B$15,Paramètres!$A$1:$I$89,7,0))</f>
        <v>0</v>
      </c>
      <c r="ET72" s="16">
        <f>IF(ISNA(VLOOKUP(A72,'Données projet'!$A$191:$I$211,6,0)),0%,VLOOKUP(A72,'Données projet'!$A$191:$I$211,6,0)*VLOOKUP('Données projet'!$B$15,Paramètres!$A$1:$I$89,7,0))</f>
        <v>0</v>
      </c>
      <c r="EU72" s="16">
        <f>IF(ISNA(VLOOKUP(A72,'Données projet'!$A$191:$I$211,7,0)),0%,VLOOKUP(A72,'Données projet'!$A$191:$I$211,7,0))</f>
        <v>0</v>
      </c>
      <c r="EV72" s="21">
        <f>EXP(-LN(2)/35)*EV71+(1-EXP(-LN(2)/35))/(LN(2)/35)*ER72*ES72*VLOOKUP('Données projet'!$B$15,Paramètres!$A$1:$I$89,3,0)*0.475*44/12</f>
        <v>0.46310922509736158</v>
      </c>
      <c r="EW72" s="21">
        <f>EXP(-LN(2)/25)*EW71+(1-EXP(-LN(2)/25))/(LN(2)/25)*Calculateur!ER72*Calculateur!ET72*VLOOKUP('Données projet'!$B$15,Paramètres!$A$1:$I$89,3,0)*0.475*44/12</f>
        <v>1.9683314575699602</v>
      </c>
      <c r="EX72" s="21">
        <f>EXP(-LN(2)/2)*EX71+(1-EXP(-LN(2)/2))/(LN(2)/2)*ER72*EU72*VLOOKUP('Données projet'!$B$15,Paramètres!$A$1:$I$89,3,0)*0.475*44/12</f>
        <v>1.2222834930639289E-5</v>
      </c>
      <c r="EY72" s="22">
        <f t="shared" si="75"/>
        <v>2.4314529055022525</v>
      </c>
      <c r="EZ72" s="75">
        <f>('Scénario référence'!$F$8+'Scénario référence'!$F$9+'Scénario référence'!$B$17+'Scénario référence'!$B$9+'Scénario référence'!$B$10)*70+IF((45+25*(1-EXP(-0.0175*A72)))&lt;70,'Scénario référence'!$B$16*(45+25*(1-EXP(-0.0175*A72))),70*'Scénario référence'!$B$16)+IF((32+38*(1-EXP(-0.0175*A72)))&lt;70,'Scénario référence'!$B$18*(32+38*(1-EXP(-0.0175*A72))),70*'Scénario référence'!$B$18)</f>
        <v>70</v>
      </c>
      <c r="FA72" s="12">
        <f>IF(A72&gt;30,10,('Scénario référence'!$B$16+'Scénario référence'!$B$17+'Scénario référence'!$B$18+'Scénario référence'!$B$9+'Scénario référence'!$B$10)*A72*10/30+('Scénario référence'!$F$8+'Scénario référence'!$F$9)*10)</f>
        <v>10</v>
      </c>
      <c r="FB72" s="12" t="e">
        <f>VLOOKUP(A72,'Données projet'!$A$217:$I$237,2,0)</f>
        <v>#N/A</v>
      </c>
      <c r="FC72" s="12" t="e">
        <f>VLOOKUP(A72,'Données projet'!$A$217:$I$237,9,0)</f>
        <v>#N/A</v>
      </c>
      <c r="FD72" s="12">
        <f t="array" ref="FD72">INDEX(FC:FC,MIN(IF(ISNUMBER(FC72:FC268),ROW(FC72:FC268),"")))</f>
        <v>13</v>
      </c>
      <c r="FE72" s="12">
        <f>IF('Données projet'!$A$218&gt;35,FE71+FD72-FM71,IF(A72&lt;'Données projet'!$A$218,$FB$205^A72,IF(A72='Données projet'!$A$218,'Données projet'!$B$218,FE71+FD72-FM71)))</f>
        <v>358.99999999999994</v>
      </c>
      <c r="FF72" s="17">
        <f>FE72*VLOOKUP('Données projet'!$B$16,Paramètres!$A$1:$I$89,3,0)*VLOOKUP('Données projet'!$B$16,Paramètres!$A$1:$I$89,5,0)</f>
        <v>308.02199999999999</v>
      </c>
      <c r="FG72" s="13">
        <f t="shared" si="101"/>
        <v>72.855591279108353</v>
      </c>
      <c r="FH72" s="20">
        <f t="shared" si="76"/>
        <v>663.36180481111364</v>
      </c>
      <c r="FI72" s="59">
        <f t="shared" si="77"/>
        <v>956.6951381444469</v>
      </c>
      <c r="FJ72" s="59">
        <f ca="1">AVERAGE(OFFSET($FI$3,0,0,'Données projet'!$E$16+1,1))-AVERAGE(OFFSET($H$3,0,0,'Données projet'!$E$16+1,1))</f>
        <v>383.97627237444709</v>
      </c>
      <c r="FK72" s="59">
        <f t="shared" si="102"/>
        <v>203.35476578922339</v>
      </c>
      <c r="FL72" s="15">
        <f>IF(ISNA(VLOOKUP(A72,'Données projet'!$A$217:$I$237,3,0)),0,VLOOKUP(A72,'Données projet'!$A$217:$I$237,3,0))</f>
        <v>0</v>
      </c>
      <c r="FM72" s="15">
        <f>IF(ISNA(VLOOKUP(A72,'Données projet'!$A$217:$I$237,4,0)),0,VLOOKUP(A72,'Données projet'!$A$217:$I$237,4,0))</f>
        <v>0</v>
      </c>
      <c r="FN72" s="16">
        <f>IF(ISNA(VLOOKUP(A72,'Données projet'!$A$217:$I$237,5,0)),0%,VLOOKUP(A72,'Données projet'!$A$217:$I$237,5,0)*VLOOKUP('Données projet'!$B$16,Paramètres!$A$1:$I$89,7,0))</f>
        <v>0</v>
      </c>
      <c r="FO72" s="16">
        <f>IF(ISNA(VLOOKUP(A72,'Données projet'!$A$217:$I$237,6,0)),0%,VLOOKUP(A72,'Données projet'!$A$217:$I$237,6,0)*VLOOKUP('Données projet'!$B$16,Paramètres!$A$1:$I$89,7,0))</f>
        <v>0</v>
      </c>
      <c r="FP72" s="16">
        <f>IF(ISNA(VLOOKUP(A72,'Données projet'!$A$217:$I$237,7,0)),0%,VLOOKUP(A72,'Données projet'!$A$217:$I$237,7,0))</f>
        <v>0</v>
      </c>
      <c r="FQ72" s="21">
        <f>EXP(-LN(2)/35)*FQ71+(1-EXP(-LN(2)/35))/(LN(2)/35)*FM72*FN72*VLOOKUP('Données projet'!$B$16,Paramètres!$A$1:$I$89,3,0)*0.475*44/12</f>
        <v>2.3801301705273517</v>
      </c>
      <c r="FR72" s="21">
        <f>EXP(-LN(2)/25)*FR71+(1-EXP(-LN(2)/25))/(LN(2)/25)*Calculateur!FM72*Calculateur!FO72*VLOOKUP('Données projet'!$B$16,Paramètres!$A$1:$I$89,3,0)*0.475*44/12</f>
        <v>1.9980598758246033</v>
      </c>
      <c r="FS72" s="21">
        <f>EXP(-LN(2)/2)*FS71+(1-EXP(-LN(2)/2))/(LN(2)/2)*FM72*FP72*VLOOKUP('Données projet'!$B$16,Paramètres!$A$1:$I$89,3,0)*0.475*44/12</f>
        <v>2.2450839278672856E-5</v>
      </c>
      <c r="FT72" s="22">
        <f t="shared" si="78"/>
        <v>4.3782124971912335</v>
      </c>
      <c r="FU72" s="75">
        <f>('Scénario référence'!$F$8+'Scénario référence'!$F$9+'Scénario référence'!$B$17+'Scénario référence'!$B$9+'Scénario référence'!$B$10)*70+IF((45+25*(1-EXP(-0.0175*A72)))&lt;70,'Scénario référence'!$B$16*(45+25*(1-EXP(-0.0175*A72))),70*'Scénario référence'!$B$16)+IF((32+38*(1-EXP(-0.0175*A72)))&lt;70,'Scénario référence'!$B$18*(32+38*(1-EXP(-0.0175*A72))),70*'Scénario référence'!$B$18)</f>
        <v>70</v>
      </c>
      <c r="FV72" s="12">
        <f>IF(A72&gt;30,10,('Scénario référence'!$B$16+'Scénario référence'!$B$17+'Scénario référence'!$B$18+'Scénario référence'!$B$9+'Scénario référence'!$B$10)*A72*10/30+('Scénario référence'!$F$8+'Scénario référence'!$F$9)*10)</f>
        <v>10</v>
      </c>
      <c r="FW72" s="12" t="e">
        <f>VLOOKUP(A72,'Données projet'!$A$243:$I$263,2,0)</f>
        <v>#N/A</v>
      </c>
      <c r="FX72" s="12" t="e">
        <f>VLOOKUP(A72,'Données projet'!$A$243:$I$263,9,0)</f>
        <v>#N/A</v>
      </c>
      <c r="FY72" s="12">
        <f t="array" ref="FY72">INDEX(FX:FX,MIN(IF(ISNUMBER(FX72:FX268),ROW(FX72:FX268),"")))</f>
        <v>8.1001602564102555</v>
      </c>
      <c r="FZ72" s="12">
        <f>IF('Données projet'!$A$244&gt;35,FZ71+FY72-GH71,IF(A72&lt;'Données projet'!$A$244,$FW$205^A72,IF(A72='Données projet'!$A$244,'Données projet'!$B$244,FZ71+FY72-GH71)))</f>
        <v>227.16506410256412</v>
      </c>
      <c r="GA72" s="17">
        <f>FZ72*VLOOKUP('Données projet'!$B$17,Paramètres!$A$1:$I$89,3,0)*VLOOKUP('Données projet'!$B$17,Paramètres!$A$1:$I$89,5,0)</f>
        <v>244.520475</v>
      </c>
      <c r="GB72" s="13">
        <f t="shared" si="103"/>
        <v>59.41107391766505</v>
      </c>
      <c r="GC72" s="20">
        <f t="shared" si="79"/>
        <v>529.34744769826659</v>
      </c>
      <c r="GD72" s="59">
        <f t="shared" si="80"/>
        <v>822.68078103159996</v>
      </c>
      <c r="GE72" s="59">
        <f ca="1">AVERAGE(OFFSET($GD$3,0,0,'Données projet'!$E$17+1,1))-AVERAGE(OFFSET($H$3,0,0,'Données projet'!$E$17+1,1))</f>
        <v>286.77702855541287</v>
      </c>
      <c r="GF72" s="59">
        <f t="shared" si="104"/>
        <v>227.12211541860779</v>
      </c>
      <c r="GG72" s="15">
        <f>IF(ISNA(VLOOKUP(A72,'Données projet'!$A$243:$I$263,3,0)),0,VLOOKUP(A72,'Données projet'!$A$243:$I$263,3,0))</f>
        <v>0</v>
      </c>
      <c r="GH72" s="15">
        <f>IF(ISNA(VLOOKUP(A72,'Données projet'!$A$243:$I$263,4,0)),0,VLOOKUP(A72,'Données projet'!$A$243:$I$263,4,0))</f>
        <v>0</v>
      </c>
      <c r="GI72" s="16">
        <f>IF(ISNA(VLOOKUP(A72,'Données projet'!$A$243:$I$263,5,0)),0%,VLOOKUP(A72,'Données projet'!$A$243:$I$263,5,0)*VLOOKUP('Données projet'!$B$17,Paramètres!$A$1:$I$89,7,0))</f>
        <v>0</v>
      </c>
      <c r="GJ72" s="16">
        <f>IF(ISNA(VLOOKUP(A72,'Données projet'!$A$243:$I$263,6,0)),0%,VLOOKUP(A72,'Données projet'!$A$243:$I$263,6,0)*VLOOKUP('Données projet'!$B$17,Paramètres!$A$1:$I$89,7,0))</f>
        <v>0</v>
      </c>
      <c r="GK72" s="16">
        <f>IF(ISNA(VLOOKUP(A72,'Données projet'!$A$243:$I$263,7,0)),0%,VLOOKUP(A72,'Données projet'!$A$243:$I$263,7,0))</f>
        <v>0</v>
      </c>
      <c r="GL72" s="21">
        <f>EXP(-LN(2)/35)*GL71+(1-EXP(-LN(2)/35))/(LN(2)/35)*GH72*GI72*VLOOKUP('Données projet'!$B$17,Paramètres!$A$1:$I$89,3,0)*0.475*44/12</f>
        <v>0</v>
      </c>
      <c r="GM72" s="21">
        <f>EXP(-LN(2)/25)*GM71+(1-EXP(-LN(2)/25))/(LN(2)/25)*Calculateur!GH72*Calculateur!GJ72*VLOOKUP('Données projet'!$B$17,Paramètres!$A$1:$I$89,3,0)*0.475*44/12</f>
        <v>0</v>
      </c>
      <c r="GN72" s="21">
        <f>EXP(-LN(2)/2)*GN71+(1-EXP(-LN(2)/2))/(LN(2)/2)*GH72*GK72*VLOOKUP('Données projet'!$B$17,Paramètres!$A$1:$I$89,3,0)*0.475*44/12</f>
        <v>0</v>
      </c>
      <c r="GO72" s="21">
        <f t="shared" si="81"/>
        <v>0</v>
      </c>
      <c r="GP72" s="75">
        <f>('Scénario référence'!$F$8+'Scénario référence'!$F$9+'Scénario référence'!$B$17+'Scénario référence'!$B$9+'Scénario référence'!$B$10)*70+IF((45+25*(1-EXP(-0.0175*A72)))&lt;70,'Scénario référence'!$B$16*(45+25*(1-EXP(-0.0175*A72))),70*'Scénario référence'!$B$16)+IF((32+38*(1-EXP(-0.0175*A72)))&lt;70,'Scénario référence'!$B$18*(32+38*(1-EXP(-0.0175*A72))),70*'Scénario référence'!$B$18)</f>
        <v>70</v>
      </c>
      <c r="GQ72" s="12">
        <f>IF(A72&gt;30,10,('Scénario référence'!$B$16+'Scénario référence'!$B$17+'Scénario référence'!$B$18+'Scénario référence'!$B$9+'Scénario référence'!$B$10)*A72*10/30+('Scénario référence'!$F$8+'Scénario référence'!$F$9)*10)</f>
        <v>10</v>
      </c>
      <c r="GR72" s="12" t="e">
        <f>VLOOKUP(A72,'Données projet'!$A$269:$I$289,2,0)</f>
        <v>#N/A</v>
      </c>
      <c r="GS72" s="12" t="e">
        <f>VLOOKUP(A72,'Données projet'!$A$269:$I$289,9,0)</f>
        <v>#N/A</v>
      </c>
      <c r="GT72" s="12">
        <f t="array" ref="GT72">INDEX(GS:GS,MIN(IF(ISNUMBER(GS72:GS268),ROW(GS72:GS268),"")))</f>
        <v>8.1001602564102555</v>
      </c>
      <c r="GU72" s="12">
        <f>IF('Données projet'!$A$270&gt;35,GU71+GT72-HC71,IF(A72&lt;'Données projet'!$A$270,$GR$205^A72,IF(A72='Données projet'!$A$270,'Données projet'!$B$270,GU71+GT72-HC71)))</f>
        <v>227.16506410256412</v>
      </c>
      <c r="GV72" s="17">
        <f>GU72*VLOOKUP('Données projet'!$B$18,Paramètres!$A$1:$I$89,3,0)*VLOOKUP('Données projet'!$B$18,Paramètres!$A$1:$I$89,5,0)</f>
        <v>244.520475</v>
      </c>
      <c r="GW72" s="13">
        <f t="shared" si="105"/>
        <v>59.41107391766505</v>
      </c>
      <c r="GX72" s="20">
        <f t="shared" si="82"/>
        <v>529.34744769826659</v>
      </c>
      <c r="GY72" s="59">
        <f t="shared" si="83"/>
        <v>822.68078103159996</v>
      </c>
      <c r="GZ72" s="59">
        <f ca="1">AVERAGE(OFFSET($GY$3,0,0,'Données projet'!$E$18+1,1))-AVERAGE(OFFSET($H$3,0,0,'Données projet'!$E$18+1,1))</f>
        <v>286.77702855541287</v>
      </c>
      <c r="HA72" s="59">
        <f t="shared" si="106"/>
        <v>227.12211541860779</v>
      </c>
      <c r="HB72" s="15">
        <f>IF(ISNA(VLOOKUP(A72,'Données projet'!$A$269:$I$289,3,0)),0,VLOOKUP(A72,'Données projet'!$A$269:$I$289,3,0))</f>
        <v>0</v>
      </c>
      <c r="HC72" s="15">
        <f>IF(ISNA(VLOOKUP(A72,'Données projet'!$A$269:$I$289,4,0)),0,VLOOKUP(A72,'Données projet'!$A$269:$I$289,4,0))</f>
        <v>0</v>
      </c>
      <c r="HD72" s="16">
        <f>IF(ISNA(VLOOKUP(A72,'Données projet'!$A$269:$I$289,5,0)),0%,VLOOKUP(A72,'Données projet'!$A$269:$I$289,5,0)*VLOOKUP('Données projet'!$B$18,Paramètres!$A$1:$I$89,7,0))</f>
        <v>0</v>
      </c>
      <c r="HE72" s="16">
        <f>IF(ISNA(VLOOKUP(A72,'Données projet'!$A$269:$I$289,6,0)),0%,VLOOKUP(A72,'Données projet'!$A$269:$I$289,6,0)*VLOOKUP('Données projet'!$B$18,Paramètres!$A$1:$I$89,7,0))</f>
        <v>0</v>
      </c>
      <c r="HF72" s="16">
        <f>IF(ISNA(VLOOKUP(A72,'Données projet'!$A$269:$I$289,7,0)),0%,VLOOKUP(A72,'Données projet'!$A$269:$I$289,7,0))</f>
        <v>0</v>
      </c>
      <c r="HG72" s="21">
        <f>EXP(-LN(2)/35)*HG71+(1-EXP(-LN(2)/35))/(LN(2)/35)*HC72*HD72*VLOOKUP('Données projet'!$B$18,Paramètres!$A$1:$I$89,3,0)*0.475*44/12</f>
        <v>0</v>
      </c>
      <c r="HH72" s="21">
        <f>EXP(-LN(2)/25)*HH71+(1-EXP(-LN(2)/25))/(LN(2)/25)*Calculateur!HC72*Calculateur!HE72*VLOOKUP('Données projet'!$B$18,Paramètres!$A$1:$I$89,3,0)*0.475*44/12</f>
        <v>0</v>
      </c>
      <c r="HI72" s="21">
        <f>EXP(-LN(2)/2)*HI71+(1-EXP(-LN(2)/2))/(LN(2)/2)*HC72*HF72*VLOOKUP('Données projet'!$B$18,Paramètres!$A$1:$I$89,3,0)*0.475*44/12</f>
        <v>0</v>
      </c>
      <c r="HJ72" s="22">
        <f t="shared" si="84"/>
        <v>0</v>
      </c>
    </row>
    <row r="73" spans="1:218" x14ac:dyDescent="0.25">
      <c r="A73" s="10">
        <f t="shared" si="85"/>
        <v>70</v>
      </c>
      <c r="B73" s="73">
        <f>'Scénario référence'!$B$16*5+'Scénario référence'!$B$17*0+'Scénario référence'!$B$18*5</f>
        <v>0</v>
      </c>
      <c r="C73" s="19">
        <f>Calculateur!C72+'Scénario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62.244000000000071</v>
      </c>
      <c r="D73" s="11">
        <f t="shared" si="86"/>
        <v>17.734404526076464</v>
      </c>
      <c r="E7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73" s="11">
        <f>IF(OR('Scénario référence'!$F$8&gt;0,'Scénario référence'!$F$9&gt;0),('Scénario référence'!$F$8+'Scénario référence'!$F$9)*10,0)</f>
        <v>10</v>
      </c>
      <c r="G73" s="11">
        <f>'Scénario référence'!$B$8*B73*44/12+'Scénario référence'!$B$9*(C73+D73)/0.475*44/12+'Scénario référence'!$B$10*(C73+D73)/0.475*44/12+'Scénario référence'!$F$8*(C73+D73)/0.475*44/12+'Scénario référence'!$F$9*(C73+D73)/0.475*44/12</f>
        <v>617.3771577451522</v>
      </c>
      <c r="H73" s="67">
        <f t="shared" si="56"/>
        <v>432.62905454958332</v>
      </c>
      <c r="I73" s="70">
        <f>('Scénario référence'!$F$8+'Scénario référence'!$F$9+'Scénario référence'!$B$17+'Scénario référence'!$B$9+'Scénario référence'!$B$10)*70+IF((45+25*(1-EXP(-0.0175*A73)))&lt;70,'Scénario référence'!$B$16*(45+25*(1-EXP(-0.0175*A73))),70*'Scénario référence'!$B$16)+IF((32+38*(1-EXP(-0.0175*A73)))&lt;70,'Scénario référence'!$B$18*(32+38*(1-EXP(-0.0175*A73))),70*'Scénario référence'!$B$18)</f>
        <v>70</v>
      </c>
      <c r="J73" s="13">
        <f>IF(A73&gt;30,10,('Scénario référence'!$B$16+'Scénario référence'!$B$17+'Scénario référence'!$B$18+'Scénario référence'!$B$9+'Scénario référence'!$B$10)*A73*10/30+('Scénario référence'!$F$8+'Scénario référence'!$F$9)*10)</f>
        <v>10</v>
      </c>
      <c r="K73" s="12" t="e">
        <f>VLOOKUP(A73,'Données projet'!$A$35:$I$55,2,0)</f>
        <v>#N/A</v>
      </c>
      <c r="L73" s="12" t="e">
        <f>VLOOKUP(A73,'Données projet'!$A$35:$I$55,9,0)</f>
        <v>#N/A</v>
      </c>
      <c r="M73" s="12">
        <f t="array" ref="M73">INDEX(L:L,MIN(IF(ISNUMBER(L73:L269),ROW(L73:L269),"")))</f>
        <v>0</v>
      </c>
      <c r="N73" s="13">
        <f>IF('Données projet'!$A$36&gt;35,N72+M73-V72,IF(A73&lt;'Données projet'!$A$36,$K$205^A73,IF(A73='Données projet'!$A$36,'Données projet'!$B$36,N72+M73-V72)))</f>
        <v>-2.2737367544323206E-13</v>
      </c>
      <c r="O73" s="13">
        <f>N73*VLOOKUP('Données projet'!$B$9,Paramètres!$A$1:$I$89,3,0)*VLOOKUP('Données projet'!$B$9,Paramètres!$A$1:$I$89,5,0)</f>
        <v>-1.2710188457276673E-13</v>
      </c>
      <c r="P73" s="13" t="e">
        <f t="shared" si="87"/>
        <v>#NUM!</v>
      </c>
      <c r="Q73" s="20" t="e">
        <f t="shared" si="54"/>
        <v>#NUM!</v>
      </c>
      <c r="R73" s="59" t="e">
        <f t="shared" si="55"/>
        <v>#NUM!</v>
      </c>
      <c r="S73" s="59">
        <f ca="1">AVERAGE(OFFSET($R$3,0,0,'Données projet'!$E$9+1,1))-AVERAGE(OFFSET($H$3,0,0,'Données projet'!$E$9+1,1))</f>
        <v>255.5374979188561</v>
      </c>
      <c r="T73" s="59">
        <f t="shared" si="88"/>
        <v>343.10418468620901</v>
      </c>
      <c r="U73" s="15">
        <f>IF(ISNA(VLOOKUP(A73,'Données projet'!$A$35:$I$55,3,0)),0,VLOOKUP(A73,'Données projet'!$A$35:$I$55,3,0))</f>
        <v>0</v>
      </c>
      <c r="V73" s="15">
        <f>IF(ISNA(VLOOKUP(A73,'Données projet'!$A$35:$I$55,4,0)),0,VLOOKUP(A73,'Données projet'!$A$35:$I$55,4,0))</f>
        <v>0</v>
      </c>
      <c r="W73" s="16">
        <f>IF(ISNA(VLOOKUP(A73,'Données projet'!$A$35:$I$55,5,0)),0%,VLOOKUP(A73,'Données projet'!$A$35:$I$55,5,0)*VLOOKUP('Données projet'!$B$9,Paramètres!$A$1:$I$89,7,0))</f>
        <v>0</v>
      </c>
      <c r="X73" s="16">
        <f>IF(ISNA(VLOOKUP(A73,'Données projet'!$A$35:$I$55,6,0)),0%,VLOOKUP(A73,'Données projet'!$A$35:$I$55,6,0)*VLOOKUP('Données projet'!$B$9,Paramètres!$A$1:$I$89,7,0))</f>
        <v>0</v>
      </c>
      <c r="Y73" s="16">
        <f>IF(ISNA(VLOOKUP(A73,'Données projet'!$A$35:$I$55,7,0)),0%,VLOOKUP(A73,'Données projet'!$A$35:$I$55,7,0))</f>
        <v>0</v>
      </c>
      <c r="Z73" s="21">
        <f>EXP(-LN(2)/35)*Z72+(1-EXP(-LN(2)/35))/(LN(2)/35)*V73*W73*VLOOKUP('Données projet'!$B$9,Paramètres!$A$1:$I$89,3,0)*0.475*44/12</f>
        <v>1.3993615591332034</v>
      </c>
      <c r="AA73" s="21">
        <f>EXP(-LN(2)/25)*AA72+(1-EXP(-LN(2)/25))/(LN(2)/25)*Calculateur!V73*Calculateur!X73*VLOOKUP('Données projet'!$B$9,Paramètres!$A$1:$I$89,3,0)*0.475*44/12</f>
        <v>5.2649220450934902</v>
      </c>
      <c r="AB73" s="21">
        <f>EXP(-LN(2)/2)*AB72+(1-EXP(-LN(2)/2))/(LN(2)/2)*V73*Y73*VLOOKUP('Données projet'!$B$9,Paramètres!$A$1:$I$89,3,0)*0.475*44/12</f>
        <v>1.614238814786974E-6</v>
      </c>
      <c r="AC73" s="22">
        <f t="shared" si="57"/>
        <v>6.6642852184655084</v>
      </c>
      <c r="AD73" s="13">
        <f>('Scénario référence'!$F$8+'Scénario référence'!$F$9+'Scénario référence'!$B$17+'Scénario référence'!$B$9+'Scénario référence'!$B$10)*70+IF((45+25*(1-EXP(-0.0175*A73)))&lt;70,'Scénario référence'!$B$16*(45+25*(1-EXP(-0.0175*A73))),70*'Scénario référence'!$B$16)+IF((32+38*(1-EXP(-0.0175*A73)))&lt;70,'Scénario référence'!$B$18*(32+38*(1-EXP(-0.0175*A73))),70*'Scénario référence'!$B$18)</f>
        <v>70</v>
      </c>
      <c r="AE73" s="13">
        <f>IF(A73&gt;30,10,('Scénario référence'!$B$16+'Scénario référence'!$B$17+'Scénario référence'!$B$18+'Scénario référence'!$B$9+'Scénario référence'!$B$10)*A73*10/30+('Scénario référence'!$F$8+'Scénario référence'!$F$9)*10)</f>
        <v>10</v>
      </c>
      <c r="AF73" s="12">
        <f>VLOOKUP(A73,'Données projet'!$A$61:$I$81,2,0)</f>
        <v>427</v>
      </c>
      <c r="AG73" s="12">
        <f>VLOOKUP(A73,'Données projet'!$A$61:$I$81,9,0)</f>
        <v>7.8</v>
      </c>
      <c r="AH73" s="12">
        <f t="array" ref="AH73">INDEX(AG:AG,MIN(IF(ISNUMBER(AG73:AG269),ROW(AG73:AG269),"")))</f>
        <v>7.8</v>
      </c>
      <c r="AI73" s="13">
        <f>IF('Données projet'!$A$62&gt;35,AI72+AH73-AQ72,IF(A73&lt;'Données projet'!$A$62,$AF$205^A73,IF(A73='Données projet'!$A$62,'Données projet'!$B$62,AI72+AH73-AQ72)))</f>
        <v>427</v>
      </c>
      <c r="AJ73" s="13">
        <f>AI73*VLOOKUP('Données projet'!$B$10,Paramètres!$A$1:$I$89,3,0)*VLOOKUP('Données projet'!$B$10,Paramètres!$A$1:$I$89,5,0)</f>
        <v>266.44799999999998</v>
      </c>
      <c r="AK73" s="13">
        <f t="shared" si="89"/>
        <v>64.094865228054687</v>
      </c>
      <c r="AL73" s="20">
        <f t="shared" si="58"/>
        <v>575.69549027219523</v>
      </c>
      <c r="AM73" s="59">
        <f t="shared" si="59"/>
        <v>869.02882360552849</v>
      </c>
      <c r="AN73" s="59">
        <f ca="1">AVERAGE(OFFSET($AM$3,0,0,'Données projet'!$E$10+1,1))-AVERAGE(OFFSET($H$3,0,0,'Données projet'!$E$10+1,1))</f>
        <v>261.78489480911571</v>
      </c>
      <c r="AO73" s="59">
        <f t="shared" si="90"/>
        <v>297.50513563712764</v>
      </c>
      <c r="AP73" s="15">
        <f>IF(ISNA(VLOOKUP(A73,'Données projet'!$A$61:$I$81,3,0)),0,VLOOKUP(A73,'Données projet'!$A$61:$I$81,3,0))</f>
        <v>6</v>
      </c>
      <c r="AQ73" s="15">
        <f>IF(ISNA(VLOOKUP(A73,'Données projet'!$A$61:$I$81,4,0)),0,VLOOKUP(A73,'Données projet'!$A$61:$I$81,4,0))</f>
        <v>45</v>
      </c>
      <c r="AR73" s="16">
        <f>IF(ISNA(VLOOKUP(A73,'Données projet'!$A$61:$I$81,5,0)),0%,VLOOKUP(A73,'Données projet'!$A$61:$I$81,5,0)*VLOOKUP('Données projet'!$B$10,Paramètres!$A$1:$I$89,7,0))</f>
        <v>0</v>
      </c>
      <c r="AS73" s="16">
        <f>IF(ISNA(VLOOKUP(A73,'Données projet'!$A$61:$I$81,6,0)),0%,VLOOKUP(A73,'Données projet'!$A$61:$I$81,6,0)*VLOOKUP('Données projet'!$B$10,Paramètres!$A$1:$I$89,7,0))</f>
        <v>0</v>
      </c>
      <c r="AT73" s="16">
        <f>IF(ISNA(VLOOKUP(A73,'Données projet'!$A$61:$I$81,7,0)),0%,VLOOKUP(A73,'Données projet'!$A$61:$I$81,7,0))</f>
        <v>0</v>
      </c>
      <c r="AU73" s="21">
        <f>EXP(-LN(2)/35)*AU72+(1-EXP(-LN(2)/35))/(LN(2)/35)*AQ73*AR73*VLOOKUP('Données projet'!$B$10,Paramètres!$A$1:$I$89,3,0)*0.475*44/12</f>
        <v>3.778672017178208</v>
      </c>
      <c r="AV73" s="21">
        <f>EXP(-LN(2)/25)*AV72+(1-EXP(-LN(2)/25))/(LN(2)/25)*Calculateur!AQ73*Calculateur!AS73*VLOOKUP('Données projet'!$B$10,Paramètres!$A$1:$I$89,3,0)*0.475*44/12</f>
        <v>9.1936277288383863</v>
      </c>
      <c r="AW73" s="21">
        <f>EXP(-LN(2)/2)*AW72+(1-EXP(-LN(2)/2))/(LN(2)/2)*AQ73*AT73*VLOOKUP('Données projet'!$B$10,Paramètres!$A$1:$I$89,3,0)*0.475*44/12</f>
        <v>2.3270789276992683E-5</v>
      </c>
      <c r="AX73" s="21">
        <f t="shared" si="60"/>
        <v>12.972323016805872</v>
      </c>
      <c r="AY73" s="74">
        <f>('Scénario référence'!$F$8+'Scénario référence'!$F$9+'Scénario référence'!$B$17+'Scénario référence'!$B$9+'Scénario référence'!$B$10)*70+IF((45+25*(1-EXP(-0.0175*A73)))&lt;70,'Scénario référence'!$B$16*(45+25*(1-EXP(-0.0175*A73))),70*'Scénario référence'!$B$16)+IF((32+38*(1-EXP(-0.0175*A73)))&lt;70,'Scénario référence'!$B$18*(32+38*(1-EXP(-0.0175*A73))),70*'Scénario référence'!$B$18)</f>
        <v>70</v>
      </c>
      <c r="AZ73" s="12">
        <f>IF(A73&gt;30,10,('Scénario référence'!$B$16+'Scénario référence'!$B$17+'Scénario référence'!$B$18+'Scénario référence'!$B$9+'Scénario référence'!$B$10)*A73*10/30+('Scénario référence'!$F$8+'Scénario référence'!$F$9)*10)</f>
        <v>10</v>
      </c>
      <c r="BA73" s="12">
        <f>VLOOKUP(A73,'Données projet'!$A$87:$I$107,2,0)</f>
        <v>564</v>
      </c>
      <c r="BB73" s="12">
        <f>VLOOKUP(A73,'Données projet'!$A$87:$I$107,9,0)</f>
        <v>16.399999999999999</v>
      </c>
      <c r="BC73" s="12">
        <f t="array" ref="BC73">INDEX(BB:BB,MIN(IF(ISNUMBER(BB73:BB269),ROW(BB73:BB269),"")))</f>
        <v>16.399999999999999</v>
      </c>
      <c r="BD73" s="12">
        <f>IF('Données projet'!$A$88&gt;35,BD72+BC73-BL72,IF(A73&lt;'Données projet'!$A$88,$BA$205^A73,IF(A73='Données projet'!$A$88,'Données projet'!$B$88,BD72+BC73-BL72)))</f>
        <v>563.99999999999955</v>
      </c>
      <c r="BE73" s="13">
        <f>BD73*VLOOKUP('Données projet'!$B$11,Paramètres!$A$1:$I$89,3,0)*VLOOKUP('Données projet'!$B$11,Paramètres!$A$1:$I$89,5,0)</f>
        <v>337.27199999999976</v>
      </c>
      <c r="BF73" s="13">
        <f t="shared" si="91"/>
        <v>78.936060366406466</v>
      </c>
      <c r="BG73" s="20">
        <f t="shared" si="61"/>
        <v>724.8957051381575</v>
      </c>
      <c r="BH73" s="59">
        <f t="shared" si="62"/>
        <v>1018.2290384714909</v>
      </c>
      <c r="BI73" s="59">
        <f ca="1">AVERAGE(OFFSET($BH$3,0,0,'Données projet'!$E$11+1,1))-AVERAGE(OFFSET($H$3,0,0,'Données projet'!$E$11+1,1))</f>
        <v>316.58509520829671</v>
      </c>
      <c r="BJ73" s="59">
        <f t="shared" si="92"/>
        <v>240.71332110643596</v>
      </c>
      <c r="BK73" s="15">
        <f>IF(ISNA(VLOOKUP(A73,'Données projet'!$A$87:$I$107,3,0)),0,VLOOKUP(A73,'Données projet'!$A$87:$I$107,3,0))</f>
        <v>6</v>
      </c>
      <c r="BL73" s="15">
        <f>IF(ISNA(VLOOKUP(A73,'Données projet'!$A$87:$I$107,4,0)),0,VLOOKUP(A73,'Données projet'!$A$87:$I$107,4,0))</f>
        <v>103</v>
      </c>
      <c r="BM73" s="16">
        <f>IF(ISNA(VLOOKUP(A73,'Données projet'!$A$87:$I$107,5,0)),0%,VLOOKUP(A73,'Données projet'!$A$87:$I$107,5,0)*VLOOKUP('Données projet'!$B$11,Paramètres!$A$1:$I$89,7,0))</f>
        <v>0</v>
      </c>
      <c r="BN73" s="16">
        <f>IF(ISNA(VLOOKUP(A73,'Données projet'!$A$87:$I$107,6,0)),0%,VLOOKUP(A73,'Données projet'!$A$87:$I$107,6,0)*VLOOKUP('Données projet'!$B$11,Paramètres!$A$1:$I$89,7,0))</f>
        <v>0</v>
      </c>
      <c r="BO73" s="16">
        <f>IF(ISNA(VLOOKUP(A73,'Données projet'!$A$87:$I$107,7,0)),0%,VLOOKUP(A73,'Données projet'!$A$87:$I$107,7,0))</f>
        <v>0</v>
      </c>
      <c r="BP73" s="21">
        <f>EXP(-LN(2)/35)*BP72+(1-EXP(-LN(2)/35))/(LN(2)/35)*BL73*BM73*VLOOKUP('Données projet'!$B$11,Paramètres!$A$1:$I$89,3,0)*0.475*44/12</f>
        <v>1.1477997403370559</v>
      </c>
      <c r="BQ73" s="21">
        <f>EXP(-LN(2)/25)*BQ72+(1-EXP(-LN(2)/25))/(LN(2)/25)*Calculateur!BL73*Calculateur!BN73*VLOOKUP('Données projet'!$B$11,Paramètres!$A$1:$I$89,3,0)*0.475*44/12</f>
        <v>5.0365375222316668</v>
      </c>
      <c r="BR73" s="21">
        <f>EXP(-LN(2)/2)*BR72+(1-EXP(-LN(2)/2))/(LN(2)/2)*BL73*BO73*VLOOKUP('Données projet'!$B$11,Paramètres!$A$1:$I$89,3,0)*0.475*44/12</f>
        <v>2.0922988004818777E-5</v>
      </c>
      <c r="BS73" s="22">
        <f t="shared" si="63"/>
        <v>6.1843581855567269</v>
      </c>
      <c r="BT73" s="75">
        <f>('Scénario référence'!$F$8+'Scénario référence'!$F$9+'Scénario référence'!$B$17+'Scénario référence'!$B$9+'Scénario référence'!$B$10)*70+IF((45+25*(1-EXP(-0.0175*A73)))&lt;70,'Scénario référence'!$B$16*(45+25*(1-EXP(-0.0175*A73))),70*'Scénario référence'!$B$16)+IF((32+38*(1-EXP(-0.0175*A73)))&lt;70,'Scénario référence'!$B$18*(32+38*(1-EXP(-0.0175*A73))),70*'Scénario référence'!$B$18)</f>
        <v>70</v>
      </c>
      <c r="BU73" s="12">
        <f>IF(A73&gt;30,10,('Scénario référence'!$B$16+'Scénario référence'!$B$17+'Scénario référence'!$B$18+'Scénario référence'!$B$9+'Scénario référence'!$B$10)*A73*10/30+('Scénario référence'!$F$8+'Scénario référence'!$F$9)*10)</f>
        <v>10</v>
      </c>
      <c r="BV73" s="12">
        <f>VLOOKUP(A73,'Données projet'!$A$113:$I$133,2,0)</f>
        <v>350</v>
      </c>
      <c r="BW73" s="12">
        <f>VLOOKUP(A73,'Données projet'!$A$113:$I$133,9,0)</f>
        <v>7.3</v>
      </c>
      <c r="BX73" s="12">
        <f t="array" ref="BX73">INDEX(BW:BW,MIN(IF(ISNUMBER(BW73:BW269),ROW(BW73:BW269),"")))</f>
        <v>7.3</v>
      </c>
      <c r="BY73" s="12">
        <f>IF('Données projet'!$A$114&gt;35,BY72+BX73-CG72,IF(A73&lt;'Données projet'!$A$114,$BV$205^A73,IF(A73='Données projet'!$A$114,'Données projet'!$B$114,BY72+BX73-CG72)))</f>
        <v>349.99999999999989</v>
      </c>
      <c r="BZ73" s="13">
        <f>BY73*VLOOKUP('Données projet'!$B$12,Paramètres!$A$1:$I$89,3,0)*VLOOKUP('Données projet'!$B$12,Paramètres!$A$1:$I$89,5,0)</f>
        <v>200.19999999999993</v>
      </c>
      <c r="CA73" s="13">
        <f t="shared" si="93"/>
        <v>49.788119114817079</v>
      </c>
      <c r="CB73" s="20">
        <f t="shared" si="64"/>
        <v>435.39597412497295</v>
      </c>
      <c r="CC73" s="59">
        <f t="shared" si="65"/>
        <v>728.72930745830627</v>
      </c>
      <c r="CD73" s="59">
        <f ca="1">AVERAGE(OFFSET($CC$3,0,0,'Données projet'!$E$12+1,1))-AVERAGE(OFFSET($H$3,0,0,'Données projet'!$E$12+1,1))</f>
        <v>188.64374818906128</v>
      </c>
      <c r="CE73" s="59">
        <f t="shared" si="94"/>
        <v>211.95157880548652</v>
      </c>
      <c r="CF73" s="15">
        <f>IF(ISNA(VLOOKUP(A73,'Données projet'!$A$113:$I$133,3,0)),0,VLOOKUP(A73,'Données projet'!$A$113:$I$133,3,0))</f>
        <v>6</v>
      </c>
      <c r="CG73" s="15">
        <f>IF(ISNA(VLOOKUP(A73,'Données projet'!$A$113:$I$133,4,0)),0,VLOOKUP(A73,'Données projet'!$A$113:$I$133,4,0))</f>
        <v>50</v>
      </c>
      <c r="CH73" s="16">
        <f>IF(ISNA(VLOOKUP(A73,'Données projet'!$A$113:$I$133,5,0)),0%,VLOOKUP(A73,'Données projet'!$A$113:$I$133,5,0)*VLOOKUP('Données projet'!$B$12,Paramètres!$A$1:$I$89,7,0))</f>
        <v>0</v>
      </c>
      <c r="CI73" s="16">
        <f>IF(ISNA(VLOOKUP(A73,'Données projet'!$A$113:$I$133,6,0)),0%,VLOOKUP(A73,'Données projet'!$A$113:$I$133,6,0)*VLOOKUP('Données projet'!$B$12,Paramètres!$A$1:$I$89,7,0))</f>
        <v>0</v>
      </c>
      <c r="CJ73" s="16">
        <f>IF(ISNA(VLOOKUP(A73,'Données projet'!$A$113:$I$133,7,0)),0%,VLOOKUP(A73,'Données projet'!$A$113:$I$133,7,0))</f>
        <v>0</v>
      </c>
      <c r="CK73" s="21">
        <f>EXP(-LN(2)/35)*CK72+(1-EXP(-LN(2)/35))/(LN(2)/35)*CG73*CH73*VLOOKUP('Données projet'!$B$12,Paramètres!$A$1:$I$89,3,0)*0.475*44/12</f>
        <v>1.1133587193471504</v>
      </c>
      <c r="CL73" s="21">
        <f>EXP(-LN(2)/25)*CL72+(1-EXP(-LN(2)/25))/(LN(2)/25)*Calculateur!CG73*Calculateur!CI73*VLOOKUP('Données projet'!$B$12,Paramètres!$A$1:$I$89,3,0)*0.475*44/12</f>
        <v>4.7405031520119794</v>
      </c>
      <c r="CM73" s="21">
        <f>EXP(-LN(2)/2)*CM72+(1-EXP(-LN(2)/2))/(LN(2)/2)*CG73*CJ73*VLOOKUP('Données projet'!$B$12,Paramètres!$A$1:$I$89,3,0)*0.475*44/12</f>
        <v>2.0262276843773133E-5</v>
      </c>
      <c r="CN73" s="22">
        <f t="shared" si="66"/>
        <v>5.8538821336359739</v>
      </c>
      <c r="CO73" s="75">
        <f>('Scénario référence'!$F$8+'Scénario référence'!$F$9+'Scénario référence'!$B$17+'Scénario référence'!$B$9+'Scénario référence'!$B$10)*70+IF((45+25*(1-EXP(-0.0175*A73)))&lt;70,'Scénario référence'!$B$16*(45+25*(1-EXP(-0.0175*A73))),70*'Scénario référence'!$B$16)+IF((32+38*(1-EXP(-0.0175*A73)))&lt;70,'Scénario référence'!$B$18*(32+38*(1-EXP(-0.0175*A73))),70*'Scénario référence'!$B$18)</f>
        <v>70</v>
      </c>
      <c r="CP73" s="12">
        <f>IF(A73&gt;30,10,('Scénario référence'!$B$16+'Scénario référence'!$B$17+'Scénario référence'!$B$18+'Scénario référence'!$B$9+'Scénario référence'!$B$10)*A73*10/30+('Scénario référence'!$F$8+'Scénario référence'!$F$9)*10)</f>
        <v>10</v>
      </c>
      <c r="CQ73" s="12" t="e">
        <f>VLOOKUP(A73,'Données projet'!$A$139:$I$159,2,0)</f>
        <v>#N/A</v>
      </c>
      <c r="CR73" s="12" t="e">
        <f>VLOOKUP(A73,'Données projet'!$A$139:$I$159,9,0)</f>
        <v>#N/A</v>
      </c>
      <c r="CS73" s="12">
        <f t="array" ref="CS73">INDEX(CR:CR,MIN(IF(ISNUMBER(CR73:CR269),ROW(CR73:CR269),"")))</f>
        <v>0</v>
      </c>
      <c r="CT73" s="12">
        <f>IF('Données projet'!$A$140&gt;35,CT72+CS73-DB72,IF(A73&lt;'Données projet'!$A$140,$CQ$205^A73,IF(A73='Données projet'!$A$140,'Données projet'!$B$140,CT72+CS73-DB72)))</f>
        <v>0</v>
      </c>
      <c r="CU73" s="17" t="e">
        <f>CT73*VLOOKUP('Données projet'!$B$13,Paramètres!$A$1:$I$89,3,0)*VLOOKUP('Données projet'!$B$13,Paramètres!$A$1:$I$89,5,0)</f>
        <v>#N/A</v>
      </c>
      <c r="CV73" s="13" t="e">
        <f t="shared" si="95"/>
        <v>#N/A</v>
      </c>
      <c r="CW73" s="20" t="e">
        <f t="shared" si="67"/>
        <v>#N/A</v>
      </c>
      <c r="CX73" s="59" t="e">
        <f t="shared" si="68"/>
        <v>#N/A</v>
      </c>
      <c r="CY73" s="59" t="e">
        <f ca="1">AVERAGE(OFFSET($CX$3,0,0,'Données projet'!$E$13+1,1))-AVERAGE(OFFSET($H$3,0,0,'Données projet'!$E$13+1,1))</f>
        <v>#N/A</v>
      </c>
      <c r="CZ73" s="59" t="e">
        <f t="shared" si="96"/>
        <v>#N/A</v>
      </c>
      <c r="DA73" s="15">
        <f>IF(ISNA(VLOOKUP(A73,'Données projet'!$A$139:$I$159,3,0)),0,VLOOKUP(A73,'Données projet'!$A$139:$I$159,3,0))</f>
        <v>0</v>
      </c>
      <c r="DB73" s="15">
        <f>IF(ISNA(VLOOKUP(A73,'Données projet'!$A$139:$I$159,4,0)),0,VLOOKUP(A73,'Données projet'!$A$139:$I$159,4,0))</f>
        <v>0</v>
      </c>
      <c r="DC73" s="16">
        <f>IF(ISNA(VLOOKUP(A73,'Données projet'!$A$139:$I$159,5,0)),0%,VLOOKUP(A73,'Données projet'!$A$139:$I$159,5,0)*VLOOKUP('Données projet'!$B$13,Paramètres!$A$1:$I$89,7,0))</f>
        <v>0</v>
      </c>
      <c r="DD73" s="16">
        <f>IF(ISNA(VLOOKUP(A73,'Données projet'!$A$139:$I$159,6,0)),0%,VLOOKUP(A73,'Données projet'!$A$139:$I$159,6,0)*VLOOKUP('Données projet'!$B$13,Paramètres!$A$1:$I$89,7,0))</f>
        <v>0</v>
      </c>
      <c r="DE73" s="16">
        <f>IF(ISNA(VLOOKUP(A73,'Données projet'!$A$139:$I$159,7,0)),0%,VLOOKUP(A73,'Données projet'!$A$139:$I$159,7,0))</f>
        <v>0</v>
      </c>
      <c r="DF73" s="21" t="e">
        <f>EXP(-LN(2)/35)*DF72+(1-EXP(-LN(2)/35))/(LN(2)/35)*DB73*DC73*VLOOKUP('Données projet'!$B$13,Paramètres!$A$1:$I$89,3,0)*0.475*44/12</f>
        <v>#N/A</v>
      </c>
      <c r="DG73" s="21" t="e">
        <f>EXP(-LN(2)/25)*DG72+(1-EXP(-LN(2)/25))/(LN(2)/25)*Calculateur!DB73*Calculateur!DD73*VLOOKUP('Données projet'!$B$13,Paramètres!$A$1:$I$89,3,0)*0.475*44/12</f>
        <v>#N/A</v>
      </c>
      <c r="DH73" s="21" t="e">
        <f>EXP(-LN(2)/2)*DH72+(1-EXP(-LN(2)/2))/(LN(2)/2)*DB73*DE73*VLOOKUP('Données projet'!$B$13,Paramètres!$A$1:$I$89,3,0)*0.475*44/12</f>
        <v>#N/A</v>
      </c>
      <c r="DI73" s="22" t="e">
        <f t="shared" si="69"/>
        <v>#N/A</v>
      </c>
      <c r="DJ73" s="75">
        <f>('Scénario référence'!$F$8+'Scénario référence'!$F$9+'Scénario référence'!$B$17+'Scénario référence'!$B$9+'Scénario référence'!$B$10)*70+IF((45+25*(1-EXP(-0.0175*A73)))&lt;70,'Scénario référence'!$B$16*(45+25*(1-EXP(-0.0175*A73))),70*'Scénario référence'!$B$16)+IF((32+38*(1-EXP(-0.0175*A73)))&lt;70,'Scénario référence'!$B$18*(32+38*(1-EXP(-0.0175*A73))),70*'Scénario référence'!$B$18)</f>
        <v>70</v>
      </c>
      <c r="DK73" s="12">
        <f>IF(A73&gt;30,10,('Scénario référence'!$B$16+'Scénario référence'!$B$17+'Scénario référence'!$B$18+'Scénario référence'!$B$9+'Scénario référence'!$B$10)*A73*10/30+('Scénario référence'!$F$8+'Scénario référence'!$F$9)*10)</f>
        <v>10</v>
      </c>
      <c r="DL73" s="12">
        <f>VLOOKUP(A73,'Données projet'!$A$165:$I$185,2,0)</f>
        <v>292</v>
      </c>
      <c r="DM73" s="12">
        <f>VLOOKUP(A73,'Données projet'!$A$165:$I$185,9,0)</f>
        <v>5.6</v>
      </c>
      <c r="DN73" s="12">
        <f t="array" ref="DN73">INDEX(DM:DM,MIN(IF(ISNUMBER(DM73:DM269),ROW(DM73:DM269),"")))</f>
        <v>5.6</v>
      </c>
      <c r="DO73" s="12">
        <f>IF('Données projet'!$A$166&gt;35,DO72+DN73-DW72,IF(A73&lt;'Données projet'!$A$166,$DL$205^A73,IF(A73='Données projet'!$A$166,'Données projet'!$B$166,DO72+DN73-DW72)))</f>
        <v>292.00000000000028</v>
      </c>
      <c r="DP73" s="17">
        <f>DO73*VLOOKUP('Données projet'!$B$14,Paramètres!$A$1:$I$89,3,0)*VLOOKUP('Données projet'!$B$14,Paramètres!$A$1:$I$89,5,0)</f>
        <v>191.3184000000002</v>
      </c>
      <c r="DQ73" s="13">
        <f t="shared" si="97"/>
        <v>47.831314962098396</v>
      </c>
      <c r="DR73" s="20">
        <f t="shared" si="70"/>
        <v>416.5190868923217</v>
      </c>
      <c r="DS73" s="59">
        <f t="shared" si="71"/>
        <v>709.85242022565501</v>
      </c>
      <c r="DT73" s="59">
        <f ca="1">AVERAGE(OFFSET($DS$3,0,0,'Données projet'!$E$14+1,1))-AVERAGE(OFFSET($H$3,0,0,'Données projet'!$E$14+1,1))</f>
        <v>188.68915783955595</v>
      </c>
      <c r="DU73" s="59">
        <f t="shared" si="98"/>
        <v>240.82467772396944</v>
      </c>
      <c r="DV73" s="15">
        <f>IF(ISNA(VLOOKUP(A73,'Données projet'!$A$165:$I$185,3,0)),0,VLOOKUP(A73,'Données projet'!$A$165:$I$185,3,0))</f>
        <v>6</v>
      </c>
      <c r="DW73" s="15">
        <f>IF(ISNA(VLOOKUP(A73,'Données projet'!$A$165:$I$185,4,0)),0,VLOOKUP(A73,'Données projet'!$A$165:$I$185,4,0))</f>
        <v>43</v>
      </c>
      <c r="DX73" s="16">
        <f>IF(ISNA(VLOOKUP(A73,'Données projet'!$A$165:$I$185,5,0)),0%,VLOOKUP(A73,'Données projet'!$A$165:$I$185,5,0)*VLOOKUP('Données projet'!$B$14,Paramètres!$A$1:$I$89,7,0))</f>
        <v>0</v>
      </c>
      <c r="DY73" s="16">
        <f>IF(ISNA(VLOOKUP(A73,'Données projet'!$A$165:$I$185,6,0)),0%,VLOOKUP(A73,'Données projet'!$A$165:$I$185,6,0)*VLOOKUP('Données projet'!$B$14,Paramètres!$A$1:$I$89,7,0))</f>
        <v>0</v>
      </c>
      <c r="DZ73" s="16">
        <f>IF(ISNA(VLOOKUP(A73,'Données projet'!$A$165:$I$185,7,0)),0%,VLOOKUP(A73,'Données projet'!$A$165:$I$185,7,0))</f>
        <v>0</v>
      </c>
      <c r="EA73" s="21">
        <f>EXP(-LN(2)/35)*EA72+(1-EXP(-LN(2)/35))/(LN(2)/35)*DW73*DX73*VLOOKUP('Données projet'!$B$14,Paramètres!$A$1:$I$89,3,0)*0.475*44/12</f>
        <v>0.70522090598377996</v>
      </c>
      <c r="EB73" s="21">
        <f>EXP(-LN(2)/25)*EB72+(1-EXP(-LN(2)/25))/(LN(2)/25)*Calculateur!DW73*Calculateur!DY73*VLOOKUP('Données projet'!$B$14,Paramètres!$A$1:$I$89,3,0)*0.475*44/12</f>
        <v>2.651560793209915</v>
      </c>
      <c r="EC73" s="21">
        <f>EXP(-LN(2)/2)*EC72+(1-EXP(-LN(2)/2))/(LN(2)/2)*DW73*DZ73*VLOOKUP('Données projet'!$B$14,Paramètres!$A$1:$I$89,3,0)*0.475*44/12</f>
        <v>1.3348014818389022E-5</v>
      </c>
      <c r="ED73" s="22">
        <f t="shared" si="72"/>
        <v>3.3567950472085131</v>
      </c>
      <c r="EE73" s="75">
        <f>('Scénario référence'!$F$8+'Scénario référence'!$F$9+'Scénario référence'!$B$17+'Scénario référence'!$B$9+'Scénario référence'!$B$10)*70+IF((45+25*(1-EXP(-0.0175*A73)))&lt;70,'Scénario référence'!$B$16*(45+25*(1-EXP(-0.0175*A73))),70*'Scénario référence'!$B$16)+IF((32+38*(1-EXP(-0.0175*A73)))&lt;70,'Scénario référence'!$B$18*(32+38*(1-EXP(-0.0175*A73))),70*'Scénario référence'!$B$18)</f>
        <v>70</v>
      </c>
      <c r="EF73" s="12">
        <f>IF(A73&gt;30,10,('Scénario référence'!$B$16+'Scénario référence'!$B$17+'Scénario référence'!$B$18+'Scénario référence'!$B$9+'Scénario référence'!$B$10)*A73*10/30+('Scénario référence'!$F$8+'Scénario référence'!$F$9)*10)</f>
        <v>10</v>
      </c>
      <c r="EG73" s="12">
        <f>VLOOKUP(A73,'Données projet'!$A$191:$I$211,2,0)</f>
        <v>275</v>
      </c>
      <c r="EH73" s="12">
        <f>VLOOKUP(A73,'Données projet'!$A$191:$I$211,9,0)</f>
        <v>5.9</v>
      </c>
      <c r="EI73" s="12">
        <f t="array" ref="EI73">INDEX(EH:EH,MIN(IF(ISNUMBER(EH73:EH269),ROW(EH73:EH269),"")))</f>
        <v>5.9</v>
      </c>
      <c r="EJ73" s="12">
        <f>IF('Données projet'!$A$192&gt;35,EJ72+EI73-ER72,IF(A73&lt;'Données projet'!$A$192,$EG$205^A73,IF(A73='Données projet'!$A$192,'Données projet'!$B$192,EJ72+EI73-ER72)))</f>
        <v>274.99999999999994</v>
      </c>
      <c r="EK73" s="17">
        <f>EJ73*VLOOKUP('Données projet'!$B$15,Paramètres!$A$1:$I$89,3,0)*VLOOKUP('Données projet'!$B$15,Paramètres!$A$1:$I$89,5,0)</f>
        <v>223.07999999999996</v>
      </c>
      <c r="EL73" s="13">
        <f t="shared" si="99"/>
        <v>54.783765878062667</v>
      </c>
      <c r="EM73" s="20">
        <f t="shared" si="73"/>
        <v>483.94605890429233</v>
      </c>
      <c r="EN73" s="59">
        <f t="shared" si="74"/>
        <v>777.27939223762564</v>
      </c>
      <c r="EO73" s="59">
        <f ca="1">AVERAGE(OFFSET($EN$3,0,0,'Données projet'!$E$15+1,1))-AVERAGE(OFFSET($H$3,0,0,'Données projet'!$E$15+1,1))</f>
        <v>205.5272583787887</v>
      </c>
      <c r="EP73" s="59">
        <f t="shared" si="100"/>
        <v>180.54762778843178</v>
      </c>
      <c r="EQ73" s="15">
        <f>IF(ISNA(VLOOKUP(A73,'Données projet'!$A$191:$I$211,3,0)),0,VLOOKUP(A73,'Données projet'!$A$191:$I$211,3,0))</f>
        <v>6</v>
      </c>
      <c r="ER73" s="15">
        <f>IF(ISNA(VLOOKUP(A73,'Données projet'!$A$191:$I$211,4,0)),0,VLOOKUP(A73,'Données projet'!$A$191:$I$211,4,0))</f>
        <v>34</v>
      </c>
      <c r="ES73" s="16">
        <f>IF(ISNA(VLOOKUP(A73,'Données projet'!$A$191:$I$211,5,0)),0%,VLOOKUP(A73,'Données projet'!$A$191:$I$211,5,0)*VLOOKUP('Données projet'!$B$15,Paramètres!$A$1:$I$89,7,0))</f>
        <v>0</v>
      </c>
      <c r="ET73" s="16">
        <f>IF(ISNA(VLOOKUP(A73,'Données projet'!$A$191:$I$211,6,0)),0%,VLOOKUP(A73,'Données projet'!$A$191:$I$211,6,0)*VLOOKUP('Données projet'!$B$15,Paramètres!$A$1:$I$89,7,0))</f>
        <v>0</v>
      </c>
      <c r="EU73" s="16">
        <f>IF(ISNA(VLOOKUP(A73,'Données projet'!$A$191:$I$211,7,0)),0%,VLOOKUP(A73,'Données projet'!$A$191:$I$211,7,0))</f>
        <v>0</v>
      </c>
      <c r="EV73" s="21">
        <f>EXP(-LN(2)/35)*EV72+(1-EXP(-LN(2)/35))/(LN(2)/35)*ER73*ES73*VLOOKUP('Données projet'!$B$15,Paramètres!$A$1:$I$89,3,0)*0.475*44/12</f>
        <v>0.45402793566193816</v>
      </c>
      <c r="EW73" s="21">
        <f>EXP(-LN(2)/25)*EW72+(1-EXP(-LN(2)/25))/(LN(2)/25)*Calculateur!ER73*Calculateur!ET73*VLOOKUP('Données projet'!$B$15,Paramètres!$A$1:$I$89,3,0)*0.475*44/12</f>
        <v>1.914507330352657</v>
      </c>
      <c r="EX73" s="21">
        <f>EXP(-LN(2)/2)*EX72+(1-EXP(-LN(2)/2))/(LN(2)/2)*ER73*EU73*VLOOKUP('Données projet'!$B$15,Paramètres!$A$1:$I$89,3,0)*0.475*44/12</f>
        <v>8.6428494647788455E-6</v>
      </c>
      <c r="EY73" s="22">
        <f t="shared" si="75"/>
        <v>2.3685439088640599</v>
      </c>
      <c r="EZ73" s="75">
        <f>('Scénario référence'!$F$8+'Scénario référence'!$F$9+'Scénario référence'!$B$17+'Scénario référence'!$B$9+'Scénario référence'!$B$10)*70+IF((45+25*(1-EXP(-0.0175*A73)))&lt;70,'Scénario référence'!$B$16*(45+25*(1-EXP(-0.0175*A73))),70*'Scénario référence'!$B$16)+IF((32+38*(1-EXP(-0.0175*A73)))&lt;70,'Scénario référence'!$B$18*(32+38*(1-EXP(-0.0175*A73))),70*'Scénario référence'!$B$18)</f>
        <v>70</v>
      </c>
      <c r="FA73" s="12">
        <f>IF(A73&gt;30,10,('Scénario référence'!$B$16+'Scénario référence'!$B$17+'Scénario référence'!$B$18+'Scénario référence'!$B$9+'Scénario référence'!$B$10)*A73*10/30+('Scénario référence'!$F$8+'Scénario référence'!$F$9)*10)</f>
        <v>10</v>
      </c>
      <c r="FB73" s="12">
        <f>VLOOKUP(A73,'Données projet'!$A$217:$I$237,2,0)</f>
        <v>372</v>
      </c>
      <c r="FC73" s="12">
        <f>VLOOKUP(A73,'Données projet'!$A$217:$I$237,9,0)</f>
        <v>13</v>
      </c>
      <c r="FD73" s="12">
        <f t="array" ref="FD73">INDEX(FC:FC,MIN(IF(ISNUMBER(FC73:FC269),ROW(FC73:FC269),"")))</f>
        <v>13</v>
      </c>
      <c r="FE73" s="12">
        <f>IF('Données projet'!$A$218&gt;35,FE72+FD73-FM72,IF(A73&lt;'Données projet'!$A$218,$FB$205^A73,IF(A73='Données projet'!$A$218,'Données projet'!$B$218,FE72+FD73-FM72)))</f>
        <v>371.99999999999994</v>
      </c>
      <c r="FF73" s="17">
        <f>FE73*VLOOKUP('Données projet'!$B$16,Paramètres!$A$1:$I$89,3,0)*VLOOKUP('Données projet'!$B$16,Paramètres!$A$1:$I$89,5,0)</f>
        <v>319.17599999999999</v>
      </c>
      <c r="FG73" s="13">
        <f t="shared" si="101"/>
        <v>75.181878718947672</v>
      </c>
      <c r="FH73" s="20">
        <f t="shared" si="76"/>
        <v>686.83997210216705</v>
      </c>
      <c r="FI73" s="59">
        <f t="shared" si="77"/>
        <v>980.17330543550042</v>
      </c>
      <c r="FJ73" s="59">
        <f ca="1">AVERAGE(OFFSET($FI$3,0,0,'Données projet'!$E$16+1,1))-AVERAGE(OFFSET($H$3,0,0,'Données projet'!$E$16+1,1))</f>
        <v>383.97627237444709</v>
      </c>
      <c r="FK73" s="59">
        <f t="shared" si="102"/>
        <v>203.35476578922339</v>
      </c>
      <c r="FL73" s="15">
        <f>IF(ISNA(VLOOKUP(A73,'Données projet'!$A$217:$I$237,3,0)),0,VLOOKUP(A73,'Données projet'!$A$217:$I$237,3,0))</f>
        <v>6</v>
      </c>
      <c r="FM73" s="15">
        <f>IF(ISNA(VLOOKUP(A73,'Données projet'!$A$217:$I$237,4,0)),0,VLOOKUP(A73,'Données projet'!$A$217:$I$237,4,0))</f>
        <v>92</v>
      </c>
      <c r="FN73" s="16">
        <f>IF(ISNA(VLOOKUP(A73,'Données projet'!$A$217:$I$237,5,0)),0%,VLOOKUP(A73,'Données projet'!$A$217:$I$237,5,0)*VLOOKUP('Données projet'!$B$16,Paramètres!$A$1:$I$89,7,0))</f>
        <v>0</v>
      </c>
      <c r="FO73" s="16">
        <f>IF(ISNA(VLOOKUP(A73,'Données projet'!$A$217:$I$237,6,0)),0%,VLOOKUP(A73,'Données projet'!$A$217:$I$237,6,0)*VLOOKUP('Données projet'!$B$16,Paramètres!$A$1:$I$89,7,0))</f>
        <v>0</v>
      </c>
      <c r="FP73" s="16">
        <f>IF(ISNA(VLOOKUP(A73,'Données projet'!$A$217:$I$237,7,0)),0%,VLOOKUP(A73,'Données projet'!$A$217:$I$237,7,0))</f>
        <v>0</v>
      </c>
      <c r="FQ73" s="21">
        <f>EXP(-LN(2)/35)*FQ72+(1-EXP(-LN(2)/35))/(LN(2)/35)*FM73*FN73*VLOOKUP('Données projet'!$B$16,Paramètres!$A$1:$I$89,3,0)*0.475*44/12</f>
        <v>2.3334572696193674</v>
      </c>
      <c r="FR73" s="21">
        <f>EXP(-LN(2)/25)*FR72+(1-EXP(-LN(2)/25))/(LN(2)/25)*Calculateur!FM73*Calculateur!FO73*VLOOKUP('Données projet'!$B$16,Paramètres!$A$1:$I$89,3,0)*0.475*44/12</f>
        <v>1.9434228234467772</v>
      </c>
      <c r="FS73" s="21">
        <f>EXP(-LN(2)/2)*FS72+(1-EXP(-LN(2)/2))/(LN(2)/2)*FM73*FP73*VLOOKUP('Données projet'!$B$16,Paramètres!$A$1:$I$89,3,0)*0.475*44/12</f>
        <v>1.5875140697278873E-5</v>
      </c>
      <c r="FT73" s="22">
        <f t="shared" si="78"/>
        <v>4.2768959682068415</v>
      </c>
      <c r="FU73" s="75">
        <f>('Scénario référence'!$F$8+'Scénario référence'!$F$9+'Scénario référence'!$B$17+'Scénario référence'!$B$9+'Scénario référence'!$B$10)*70+IF((45+25*(1-EXP(-0.0175*A73)))&lt;70,'Scénario référence'!$B$16*(45+25*(1-EXP(-0.0175*A73))),70*'Scénario référence'!$B$16)+IF((32+38*(1-EXP(-0.0175*A73)))&lt;70,'Scénario référence'!$B$18*(32+38*(1-EXP(-0.0175*A73))),70*'Scénario référence'!$B$18)</f>
        <v>70</v>
      </c>
      <c r="FV73" s="12">
        <f>IF(A73&gt;30,10,('Scénario référence'!$B$16+'Scénario référence'!$B$17+'Scénario référence'!$B$18+'Scénario référence'!$B$9+'Scénario référence'!$B$10)*A73*10/30+('Scénario référence'!$F$8+'Scénario référence'!$F$9)*10)</f>
        <v>10</v>
      </c>
      <c r="FW73" s="12" t="e">
        <f>VLOOKUP(A73,'Données projet'!$A$243:$I$263,2,0)</f>
        <v>#N/A</v>
      </c>
      <c r="FX73" s="12" t="e">
        <f>VLOOKUP(A73,'Données projet'!$A$243:$I$263,9,0)</f>
        <v>#N/A</v>
      </c>
      <c r="FY73" s="12">
        <f t="array" ref="FY73">INDEX(FX:FX,MIN(IF(ISNUMBER(FX73:FX269),ROW(FX73:FX269),"")))</f>
        <v>8.1001602564102555</v>
      </c>
      <c r="FZ73" s="12">
        <f>IF('Données projet'!$A$244&gt;35,FZ72+FY73-GH72,IF(A73&lt;'Données projet'!$A$244,$FW$205^A73,IF(A73='Données projet'!$A$244,'Données projet'!$B$244,FZ72+FY73-GH72)))</f>
        <v>235.26522435897436</v>
      </c>
      <c r="GA73" s="17">
        <f>FZ73*VLOOKUP('Données projet'!$B$17,Paramètres!$A$1:$I$89,3,0)*VLOOKUP('Données projet'!$B$17,Paramètres!$A$1:$I$89,5,0)</f>
        <v>253.2394875</v>
      </c>
      <c r="GB73" s="13">
        <f t="shared" si="103"/>
        <v>61.279107703283465</v>
      </c>
      <c r="GC73" s="20">
        <f t="shared" si="79"/>
        <v>547.78655331238531</v>
      </c>
      <c r="GD73" s="59">
        <f t="shared" si="80"/>
        <v>841.11988664571868</v>
      </c>
      <c r="GE73" s="59">
        <f ca="1">AVERAGE(OFFSET($GD$3,0,0,'Données projet'!$E$17+1,1))-AVERAGE(OFFSET($H$3,0,0,'Données projet'!$E$17+1,1))</f>
        <v>286.77702855541287</v>
      </c>
      <c r="GF73" s="59">
        <f t="shared" si="104"/>
        <v>227.12211541860779</v>
      </c>
      <c r="GG73" s="15">
        <f>IF(ISNA(VLOOKUP(A73,'Données projet'!$A$243:$I$263,3,0)),0,VLOOKUP(A73,'Données projet'!$A$243:$I$263,3,0))</f>
        <v>0</v>
      </c>
      <c r="GH73" s="15">
        <f>IF(ISNA(VLOOKUP(A73,'Données projet'!$A$243:$I$263,4,0)),0,VLOOKUP(A73,'Données projet'!$A$243:$I$263,4,0))</f>
        <v>0</v>
      </c>
      <c r="GI73" s="16">
        <f>IF(ISNA(VLOOKUP(A73,'Données projet'!$A$243:$I$263,5,0)),0%,VLOOKUP(A73,'Données projet'!$A$243:$I$263,5,0)*VLOOKUP('Données projet'!$B$17,Paramètres!$A$1:$I$89,7,0))</f>
        <v>0</v>
      </c>
      <c r="GJ73" s="16">
        <f>IF(ISNA(VLOOKUP(A73,'Données projet'!$A$243:$I$263,6,0)),0%,VLOOKUP(A73,'Données projet'!$A$243:$I$263,6,0)*VLOOKUP('Données projet'!$B$17,Paramètres!$A$1:$I$89,7,0))</f>
        <v>0</v>
      </c>
      <c r="GK73" s="16">
        <f>IF(ISNA(VLOOKUP(A73,'Données projet'!$A$243:$I$263,7,0)),0%,VLOOKUP(A73,'Données projet'!$A$243:$I$263,7,0))</f>
        <v>0</v>
      </c>
      <c r="GL73" s="21">
        <f>EXP(-LN(2)/35)*GL72+(1-EXP(-LN(2)/35))/(LN(2)/35)*GH73*GI73*VLOOKUP('Données projet'!$B$17,Paramètres!$A$1:$I$89,3,0)*0.475*44/12</f>
        <v>0</v>
      </c>
      <c r="GM73" s="21">
        <f>EXP(-LN(2)/25)*GM72+(1-EXP(-LN(2)/25))/(LN(2)/25)*Calculateur!GH73*Calculateur!GJ73*VLOOKUP('Données projet'!$B$17,Paramètres!$A$1:$I$89,3,0)*0.475*44/12</f>
        <v>0</v>
      </c>
      <c r="GN73" s="21">
        <f>EXP(-LN(2)/2)*GN72+(1-EXP(-LN(2)/2))/(LN(2)/2)*GH73*GK73*VLOOKUP('Données projet'!$B$17,Paramètres!$A$1:$I$89,3,0)*0.475*44/12</f>
        <v>0</v>
      </c>
      <c r="GO73" s="21">
        <f t="shared" si="81"/>
        <v>0</v>
      </c>
      <c r="GP73" s="75">
        <f>('Scénario référence'!$F$8+'Scénario référence'!$F$9+'Scénario référence'!$B$17+'Scénario référence'!$B$9+'Scénario référence'!$B$10)*70+IF((45+25*(1-EXP(-0.0175*A73)))&lt;70,'Scénario référence'!$B$16*(45+25*(1-EXP(-0.0175*A73))),70*'Scénario référence'!$B$16)+IF((32+38*(1-EXP(-0.0175*A73)))&lt;70,'Scénario référence'!$B$18*(32+38*(1-EXP(-0.0175*A73))),70*'Scénario référence'!$B$18)</f>
        <v>70</v>
      </c>
      <c r="GQ73" s="12">
        <f>IF(A73&gt;30,10,('Scénario référence'!$B$16+'Scénario référence'!$B$17+'Scénario référence'!$B$18+'Scénario référence'!$B$9+'Scénario référence'!$B$10)*A73*10/30+('Scénario référence'!$F$8+'Scénario référence'!$F$9)*10)</f>
        <v>10</v>
      </c>
      <c r="GR73" s="12" t="e">
        <f>VLOOKUP(A73,'Données projet'!$A$269:$I$289,2,0)</f>
        <v>#N/A</v>
      </c>
      <c r="GS73" s="12" t="e">
        <f>VLOOKUP(A73,'Données projet'!$A$269:$I$289,9,0)</f>
        <v>#N/A</v>
      </c>
      <c r="GT73" s="12">
        <f t="array" ref="GT73">INDEX(GS:GS,MIN(IF(ISNUMBER(GS73:GS269),ROW(GS73:GS269),"")))</f>
        <v>8.1001602564102555</v>
      </c>
      <c r="GU73" s="12">
        <f>IF('Données projet'!$A$270&gt;35,GU72+GT73-HC72,IF(A73&lt;'Données projet'!$A$270,$GR$205^A73,IF(A73='Données projet'!$A$270,'Données projet'!$B$270,GU72+GT73-HC72)))</f>
        <v>235.26522435897436</v>
      </c>
      <c r="GV73" s="17">
        <f>GU73*VLOOKUP('Données projet'!$B$18,Paramètres!$A$1:$I$89,3,0)*VLOOKUP('Données projet'!$B$18,Paramètres!$A$1:$I$89,5,0)</f>
        <v>253.2394875</v>
      </c>
      <c r="GW73" s="13">
        <f t="shared" si="105"/>
        <v>61.279107703283465</v>
      </c>
      <c r="GX73" s="20">
        <f t="shared" si="82"/>
        <v>547.78655331238531</v>
      </c>
      <c r="GY73" s="59">
        <f t="shared" si="83"/>
        <v>841.11988664571868</v>
      </c>
      <c r="GZ73" s="59">
        <f ca="1">AVERAGE(OFFSET($GY$3,0,0,'Données projet'!$E$18+1,1))-AVERAGE(OFFSET($H$3,0,0,'Données projet'!$E$18+1,1))</f>
        <v>286.77702855541287</v>
      </c>
      <c r="HA73" s="59">
        <f t="shared" si="106"/>
        <v>227.12211541860779</v>
      </c>
      <c r="HB73" s="15">
        <f>IF(ISNA(VLOOKUP(A73,'Données projet'!$A$269:$I$289,3,0)),0,VLOOKUP(A73,'Données projet'!$A$269:$I$289,3,0))</f>
        <v>0</v>
      </c>
      <c r="HC73" s="15">
        <f>IF(ISNA(VLOOKUP(A73,'Données projet'!$A$269:$I$289,4,0)),0,VLOOKUP(A73,'Données projet'!$A$269:$I$289,4,0))</f>
        <v>0</v>
      </c>
      <c r="HD73" s="16">
        <f>IF(ISNA(VLOOKUP(A73,'Données projet'!$A$269:$I$289,5,0)),0%,VLOOKUP(A73,'Données projet'!$A$269:$I$289,5,0)*VLOOKUP('Données projet'!$B$18,Paramètres!$A$1:$I$89,7,0))</f>
        <v>0</v>
      </c>
      <c r="HE73" s="16">
        <f>IF(ISNA(VLOOKUP(A73,'Données projet'!$A$269:$I$289,6,0)),0%,VLOOKUP(A73,'Données projet'!$A$269:$I$289,6,0)*VLOOKUP('Données projet'!$B$18,Paramètres!$A$1:$I$89,7,0))</f>
        <v>0</v>
      </c>
      <c r="HF73" s="16">
        <f>IF(ISNA(VLOOKUP(A73,'Données projet'!$A$269:$I$289,7,0)),0%,VLOOKUP(A73,'Données projet'!$A$269:$I$289,7,0))</f>
        <v>0</v>
      </c>
      <c r="HG73" s="21">
        <f>EXP(-LN(2)/35)*HG72+(1-EXP(-LN(2)/35))/(LN(2)/35)*HC73*HD73*VLOOKUP('Données projet'!$B$18,Paramètres!$A$1:$I$89,3,0)*0.475*44/12</f>
        <v>0</v>
      </c>
      <c r="HH73" s="21">
        <f>EXP(-LN(2)/25)*HH72+(1-EXP(-LN(2)/25))/(LN(2)/25)*Calculateur!HC73*Calculateur!HE73*VLOOKUP('Données projet'!$B$18,Paramètres!$A$1:$I$89,3,0)*0.475*44/12</f>
        <v>0</v>
      </c>
      <c r="HI73" s="21">
        <f>EXP(-LN(2)/2)*HI72+(1-EXP(-LN(2)/2))/(LN(2)/2)*HC73*HF73*VLOOKUP('Données projet'!$B$18,Paramètres!$A$1:$I$89,3,0)*0.475*44/12</f>
        <v>0</v>
      </c>
      <c r="HJ73" s="22">
        <f t="shared" si="84"/>
        <v>0</v>
      </c>
    </row>
    <row r="74" spans="1:218" x14ac:dyDescent="0.25">
      <c r="A74" s="10">
        <f t="shared" si="85"/>
        <v>71</v>
      </c>
      <c r="B74" s="73">
        <f>'Scénario référence'!$B$16*5+'Scénario référence'!$B$17*0+'Scénario référence'!$B$18*5</f>
        <v>0</v>
      </c>
      <c r="C74" s="19">
        <f>Calculateur!C73+'Scénario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63.133200000000073</v>
      </c>
      <c r="D74" s="11">
        <f t="shared" si="86"/>
        <v>17.958078240325332</v>
      </c>
      <c r="E7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74" s="11">
        <f>IF(OR('Scénario référence'!$F$8&gt;0,'Scénario référence'!$F$9&gt;0),('Scénario référence'!$F$8+'Scénario référence'!$F$9)*10,0)</f>
        <v>10</v>
      </c>
      <c r="G74" s="11">
        <f>'Scénario référence'!$B$8*B74*44/12+'Scénario référence'!$B$9*(C74+D74)/0.475*44/12+'Scénario référence'!$B$10*(C74+D74)/0.475*44/12+'Scénario référence'!$F$8*(C74+D74)/0.475*44/12+'Scénario référence'!$F$9*(C74+D74)/0.475*44/12</f>
        <v>625.96776185514352</v>
      </c>
      <c r="H74" s="67">
        <f t="shared" si="56"/>
        <v>434.56730960190009</v>
      </c>
      <c r="I74" s="70">
        <f>('Scénario référence'!$F$8+'Scénario référence'!$F$9+'Scénario référence'!$B$17+'Scénario référence'!$B$9+'Scénario référence'!$B$10)*70+IF((45+25*(1-EXP(-0.0175*A74)))&lt;70,'Scénario référence'!$B$16*(45+25*(1-EXP(-0.0175*A74))),70*'Scénario référence'!$B$16)+IF((32+38*(1-EXP(-0.0175*A74)))&lt;70,'Scénario référence'!$B$18*(32+38*(1-EXP(-0.0175*A74))),70*'Scénario référence'!$B$18)</f>
        <v>70</v>
      </c>
      <c r="J74" s="13">
        <f>IF(A74&gt;30,10,('Scénario référence'!$B$16+'Scénario référence'!$B$17+'Scénario référence'!$B$18+'Scénario référence'!$B$9+'Scénario référence'!$B$10)*A74*10/30+('Scénario référence'!$F$8+'Scénario référence'!$F$9)*10)</f>
        <v>10</v>
      </c>
      <c r="K74" s="12" t="e">
        <f>VLOOKUP(A74,'Données projet'!$A$35:$I$55,2,0)</f>
        <v>#N/A</v>
      </c>
      <c r="L74" s="12" t="e">
        <f>VLOOKUP(A74,'Données projet'!$A$35:$I$55,9,0)</f>
        <v>#N/A</v>
      </c>
      <c r="M74" s="12">
        <f t="array" ref="M74">INDEX(L:L,MIN(IF(ISNUMBER(L74:L270),ROW(L74:L270),"")))</f>
        <v>0</v>
      </c>
      <c r="N74" s="13">
        <f>IF('Données projet'!$A$36&gt;35,N73+M74-V73,IF(A74&lt;'Données projet'!$A$36,$K$205^A74,IF(A74='Données projet'!$A$36,'Données projet'!$B$36,N73+M74-V73)))</f>
        <v>-2.2737367544323206E-13</v>
      </c>
      <c r="O74" s="13">
        <f>N74*VLOOKUP('Données projet'!$B$9,Paramètres!$A$1:$I$89,3,0)*VLOOKUP('Données projet'!$B$9,Paramètres!$A$1:$I$89,5,0)</f>
        <v>-1.2710188457276673E-13</v>
      </c>
      <c r="P74" s="13" t="e">
        <f t="shared" si="87"/>
        <v>#NUM!</v>
      </c>
      <c r="Q74" s="20" t="e">
        <f t="shared" si="54"/>
        <v>#NUM!</v>
      </c>
      <c r="R74" s="59" t="e">
        <f t="shared" si="55"/>
        <v>#NUM!</v>
      </c>
      <c r="S74" s="59">
        <f ca="1">AVERAGE(OFFSET($R$3,0,0,'Données projet'!$E$9+1,1))-AVERAGE(OFFSET($H$3,0,0,'Données projet'!$E$9+1,1))</f>
        <v>255.5374979188561</v>
      </c>
      <c r="T74" s="59">
        <f t="shared" si="88"/>
        <v>343.10418468620901</v>
      </c>
      <c r="U74" s="15">
        <f>IF(ISNA(VLOOKUP(A74,'Données projet'!$A$35:$I$55,3,0)),0,VLOOKUP(A74,'Données projet'!$A$35:$I$55,3,0))</f>
        <v>0</v>
      </c>
      <c r="V74" s="15">
        <f>IF(ISNA(VLOOKUP(A74,'Données projet'!$A$35:$I$55,4,0)),0,VLOOKUP(A74,'Données projet'!$A$35:$I$55,4,0))</f>
        <v>0</v>
      </c>
      <c r="W74" s="16">
        <f>IF(ISNA(VLOOKUP(A74,'Données projet'!$A$35:$I$55,5,0)),0%,VLOOKUP(A74,'Données projet'!$A$35:$I$55,5,0)*VLOOKUP('Données projet'!$B$9,Paramètres!$A$1:$I$89,7,0))</f>
        <v>0</v>
      </c>
      <c r="X74" s="16">
        <f>IF(ISNA(VLOOKUP(A74,'Données projet'!$A$35:$I$55,6,0)),0%,VLOOKUP(A74,'Données projet'!$A$35:$I$55,6,0)*VLOOKUP('Données projet'!$B$9,Paramètres!$A$1:$I$89,7,0))</f>
        <v>0</v>
      </c>
      <c r="Y74" s="16">
        <f>IF(ISNA(VLOOKUP(A74,'Données projet'!$A$35:$I$55,7,0)),0%,VLOOKUP(A74,'Données projet'!$A$35:$I$55,7,0))</f>
        <v>0</v>
      </c>
      <c r="Z74" s="21">
        <f>EXP(-LN(2)/35)*Z73+(1-EXP(-LN(2)/35))/(LN(2)/35)*V74*W74*VLOOKUP('Données projet'!$B$9,Paramètres!$A$1:$I$89,3,0)*0.475*44/12</f>
        <v>1.3719209324848736</v>
      </c>
      <c r="AA74" s="21">
        <f>EXP(-LN(2)/25)*AA73+(1-EXP(-LN(2)/25))/(LN(2)/25)*Calculateur!V74*Calculateur!X74*VLOOKUP('Données projet'!$B$9,Paramètres!$A$1:$I$89,3,0)*0.475*44/12</f>
        <v>5.1209524749001911</v>
      </c>
      <c r="AB74" s="21">
        <f>EXP(-LN(2)/2)*AB73+(1-EXP(-LN(2)/2))/(LN(2)/2)*V74*Y74*VLOOKUP('Données projet'!$B$9,Paramètres!$A$1:$I$89,3,0)*0.475*44/12</f>
        <v>1.1414392123904046E-6</v>
      </c>
      <c r="AC74" s="22">
        <f t="shared" si="57"/>
        <v>6.4928745488242772</v>
      </c>
      <c r="AD74" s="13">
        <f>('Scénario référence'!$F$8+'Scénario référence'!$F$9+'Scénario référence'!$B$17+'Scénario référence'!$B$9+'Scénario référence'!$B$10)*70+IF((45+25*(1-EXP(-0.0175*A74)))&lt;70,'Scénario référence'!$B$16*(45+25*(1-EXP(-0.0175*A74))),70*'Scénario référence'!$B$16)+IF((32+38*(1-EXP(-0.0175*A74)))&lt;70,'Scénario référence'!$B$18*(32+38*(1-EXP(-0.0175*A74))),70*'Scénario référence'!$B$18)</f>
        <v>70</v>
      </c>
      <c r="AE74" s="13">
        <f>IF(A74&gt;30,10,('Scénario référence'!$B$16+'Scénario référence'!$B$17+'Scénario référence'!$B$18+'Scénario référence'!$B$9+'Scénario référence'!$B$10)*A74*10/30+('Scénario référence'!$F$8+'Scénario référence'!$F$9)*10)</f>
        <v>10</v>
      </c>
      <c r="AF74" s="12" t="e">
        <f>VLOOKUP(A74,'Données projet'!$A$61:$I$81,2,0)</f>
        <v>#N/A</v>
      </c>
      <c r="AG74" s="12" t="e">
        <f>VLOOKUP(A74,'Données projet'!$A$61:$I$81,9,0)</f>
        <v>#N/A</v>
      </c>
      <c r="AH74" s="12">
        <f t="array" ref="AH74">INDEX(AG:AG,MIN(IF(ISNUMBER(AG74:AG270),ROW(AG74:AG270),"")))</f>
        <v>6</v>
      </c>
      <c r="AI74" s="13">
        <f>IF('Données projet'!$A$62&gt;35,AI73+AH74-AQ73,IF(A74&lt;'Données projet'!$A$62,$AF$205^A74,IF(A74='Données projet'!$A$62,'Données projet'!$B$62,AI73+AH74-AQ73)))</f>
        <v>388</v>
      </c>
      <c r="AJ74" s="13">
        <f>AI74*VLOOKUP('Données projet'!$B$10,Paramètres!$A$1:$I$89,3,0)*VLOOKUP('Données projet'!$B$10,Paramètres!$A$1:$I$89,5,0)</f>
        <v>242.11199999999999</v>
      </c>
      <c r="AK74" s="13">
        <f t="shared" si="89"/>
        <v>58.893705600066006</v>
      </c>
      <c r="AL74" s="20">
        <f t="shared" si="58"/>
        <v>524.25160392011492</v>
      </c>
      <c r="AM74" s="59">
        <f t="shared" si="59"/>
        <v>817.58493725344829</v>
      </c>
      <c r="AN74" s="59">
        <f ca="1">AVERAGE(OFFSET($AM$3,0,0,'Données projet'!$E$10+1,1))-AVERAGE(OFFSET($H$3,0,0,'Données projet'!$E$10+1,1))</f>
        <v>261.78489480911571</v>
      </c>
      <c r="AO74" s="59">
        <f t="shared" si="90"/>
        <v>297.50513563712764</v>
      </c>
      <c r="AP74" s="15">
        <f>IF(ISNA(VLOOKUP(A74,'Données projet'!$A$61:$I$81,3,0)),0,VLOOKUP(A74,'Données projet'!$A$61:$I$81,3,0))</f>
        <v>0</v>
      </c>
      <c r="AQ74" s="15">
        <f>IF(ISNA(VLOOKUP(A74,'Données projet'!$A$61:$I$81,4,0)),0,VLOOKUP(A74,'Données projet'!$A$61:$I$81,4,0))</f>
        <v>0</v>
      </c>
      <c r="AR74" s="16">
        <f>IF(ISNA(VLOOKUP(A74,'Données projet'!$A$61:$I$81,5,0)),0%,VLOOKUP(A74,'Données projet'!$A$61:$I$81,5,0)*VLOOKUP('Données projet'!$B$10,Paramètres!$A$1:$I$89,7,0))</f>
        <v>0</v>
      </c>
      <c r="AS74" s="16">
        <f>IF(ISNA(VLOOKUP(A74,'Données projet'!$A$61:$I$81,6,0)),0%,VLOOKUP(A74,'Données projet'!$A$61:$I$81,6,0)*VLOOKUP('Données projet'!$B$10,Paramètres!$A$1:$I$89,7,0))</f>
        <v>0</v>
      </c>
      <c r="AT74" s="16">
        <f>IF(ISNA(VLOOKUP(A74,'Données projet'!$A$61:$I$81,7,0)),0%,VLOOKUP(A74,'Données projet'!$A$61:$I$81,7,0))</f>
        <v>0</v>
      </c>
      <c r="AU74" s="21">
        <f>EXP(-LN(2)/35)*AU73+(1-EXP(-LN(2)/35))/(LN(2)/35)*AQ74*AR74*VLOOKUP('Données projet'!$B$10,Paramètres!$A$1:$I$89,3,0)*0.475*44/12</f>
        <v>3.7045745636836975</v>
      </c>
      <c r="AV74" s="21">
        <f>EXP(-LN(2)/25)*AV73+(1-EXP(-LN(2)/25))/(LN(2)/25)*Calculateur!AQ74*Calculateur!AS74*VLOOKUP('Données projet'!$B$10,Paramètres!$A$1:$I$89,3,0)*0.475*44/12</f>
        <v>8.9422274951214309</v>
      </c>
      <c r="AW74" s="21">
        <f>EXP(-LN(2)/2)*AW73+(1-EXP(-LN(2)/2))/(LN(2)/2)*AQ74*AT74*VLOOKUP('Données projet'!$B$10,Paramètres!$A$1:$I$89,3,0)*0.475*44/12</f>
        <v>1.6454932901324722E-5</v>
      </c>
      <c r="AX74" s="21">
        <f t="shared" si="60"/>
        <v>12.64681851373803</v>
      </c>
      <c r="AY74" s="74">
        <f>('Scénario référence'!$F$8+'Scénario référence'!$F$9+'Scénario référence'!$B$17+'Scénario référence'!$B$9+'Scénario référence'!$B$10)*70+IF((45+25*(1-EXP(-0.0175*A74)))&lt;70,'Scénario référence'!$B$16*(45+25*(1-EXP(-0.0175*A74))),70*'Scénario référence'!$B$16)+IF((32+38*(1-EXP(-0.0175*A74)))&lt;70,'Scénario référence'!$B$18*(32+38*(1-EXP(-0.0175*A74))),70*'Scénario référence'!$B$18)</f>
        <v>70</v>
      </c>
      <c r="AZ74" s="12">
        <f>IF(A74&gt;30,10,('Scénario référence'!$B$16+'Scénario référence'!$B$17+'Scénario référence'!$B$18+'Scénario référence'!$B$9+'Scénario référence'!$B$10)*A74*10/30+('Scénario référence'!$F$8+'Scénario référence'!$F$9)*10)</f>
        <v>10</v>
      </c>
      <c r="BA74" s="12" t="e">
        <f>VLOOKUP(A74,'Données projet'!$A$87:$I$107,2,0)</f>
        <v>#N/A</v>
      </c>
      <c r="BB74" s="12" t="e">
        <f>VLOOKUP(A74,'Données projet'!$A$87:$I$107,9,0)</f>
        <v>#N/A</v>
      </c>
      <c r="BC74" s="12">
        <f t="array" ref="BC74">INDEX(BB:BB,MIN(IF(ISNUMBER(BB74:BB270),ROW(BB74:BB270),"")))</f>
        <v>14.5</v>
      </c>
      <c r="BD74" s="12">
        <f>IF('Données projet'!$A$88&gt;35,BD73+BC74-BL73,IF(A74&lt;'Données projet'!$A$88,$BA$205^A74,IF(A74='Données projet'!$A$88,'Données projet'!$B$88,BD73+BC74-BL73)))</f>
        <v>475.49999999999955</v>
      </c>
      <c r="BE74" s="13">
        <f>BD74*VLOOKUP('Données projet'!$B$11,Paramètres!$A$1:$I$89,3,0)*VLOOKUP('Données projet'!$B$11,Paramètres!$A$1:$I$89,5,0)</f>
        <v>284.34899999999976</v>
      </c>
      <c r="BF74" s="13">
        <f t="shared" si="91"/>
        <v>67.88525155188097</v>
      </c>
      <c r="BG74" s="20">
        <f t="shared" si="61"/>
        <v>613.47465478619222</v>
      </c>
      <c r="BH74" s="59">
        <f t="shared" si="62"/>
        <v>906.80798811952559</v>
      </c>
      <c r="BI74" s="59">
        <f ca="1">AVERAGE(OFFSET($BH$3,0,0,'Données projet'!$E$11+1,1))-AVERAGE(OFFSET($H$3,0,0,'Données projet'!$E$11+1,1))</f>
        <v>316.58509520829671</v>
      </c>
      <c r="BJ74" s="59">
        <f t="shared" si="92"/>
        <v>240.71332110643596</v>
      </c>
      <c r="BK74" s="15">
        <f>IF(ISNA(VLOOKUP(A74,'Données projet'!$A$87:$I$107,3,0)),0,VLOOKUP(A74,'Données projet'!$A$87:$I$107,3,0))</f>
        <v>0</v>
      </c>
      <c r="BL74" s="15">
        <f>IF(ISNA(VLOOKUP(A74,'Données projet'!$A$87:$I$107,4,0)),0,VLOOKUP(A74,'Données projet'!$A$87:$I$107,4,0))</f>
        <v>0</v>
      </c>
      <c r="BM74" s="16">
        <f>IF(ISNA(VLOOKUP(A74,'Données projet'!$A$87:$I$107,5,0)),0%,VLOOKUP(A74,'Données projet'!$A$87:$I$107,5,0)*VLOOKUP('Données projet'!$B$11,Paramètres!$A$1:$I$89,7,0))</f>
        <v>0</v>
      </c>
      <c r="BN74" s="16">
        <f>IF(ISNA(VLOOKUP(A74,'Données projet'!$A$87:$I$107,6,0)),0%,VLOOKUP(A74,'Données projet'!$A$87:$I$107,6,0)*VLOOKUP('Données projet'!$B$11,Paramètres!$A$1:$I$89,7,0))</f>
        <v>0</v>
      </c>
      <c r="BO74" s="16">
        <f>IF(ISNA(VLOOKUP(A74,'Données projet'!$A$87:$I$107,7,0)),0%,VLOOKUP(A74,'Données projet'!$A$87:$I$107,7,0))</f>
        <v>0</v>
      </c>
      <c r="BP74" s="21">
        <f>EXP(-LN(2)/35)*BP73+(1-EXP(-LN(2)/35))/(LN(2)/35)*BL74*BM74*VLOOKUP('Données projet'!$B$11,Paramètres!$A$1:$I$89,3,0)*0.475*44/12</f>
        <v>1.1252920875177599</v>
      </c>
      <c r="BQ74" s="21">
        <f>EXP(-LN(2)/25)*BQ73+(1-EXP(-LN(2)/25))/(LN(2)/25)*Calculateur!BL74*Calculateur!BN74*VLOOKUP('Données projet'!$B$11,Paramètres!$A$1:$I$89,3,0)*0.475*44/12</f>
        <v>4.8988131388262444</v>
      </c>
      <c r="BR74" s="21">
        <f>EXP(-LN(2)/2)*BR73+(1-EXP(-LN(2)/2))/(LN(2)/2)*BL74*BO74*VLOOKUP('Données projet'!$B$11,Paramètres!$A$1:$I$89,3,0)*0.475*44/12</f>
        <v>1.479478670089215E-5</v>
      </c>
      <c r="BS74" s="22">
        <f t="shared" si="63"/>
        <v>6.0241200211307051</v>
      </c>
      <c r="BT74" s="75">
        <f>('Scénario référence'!$F$8+'Scénario référence'!$F$9+'Scénario référence'!$B$17+'Scénario référence'!$B$9+'Scénario référence'!$B$10)*70+IF((45+25*(1-EXP(-0.0175*A74)))&lt;70,'Scénario référence'!$B$16*(45+25*(1-EXP(-0.0175*A74))),70*'Scénario référence'!$B$16)+IF((32+38*(1-EXP(-0.0175*A74)))&lt;70,'Scénario référence'!$B$18*(32+38*(1-EXP(-0.0175*A74))),70*'Scénario référence'!$B$18)</f>
        <v>70</v>
      </c>
      <c r="BU74" s="12">
        <f>IF(A74&gt;30,10,('Scénario référence'!$B$16+'Scénario référence'!$B$17+'Scénario référence'!$B$18+'Scénario référence'!$B$9+'Scénario référence'!$B$10)*A74*10/30+('Scénario référence'!$F$8+'Scénario référence'!$F$9)*10)</f>
        <v>10</v>
      </c>
      <c r="BV74" s="12" t="e">
        <f>VLOOKUP(A74,'Données projet'!$A$113:$I$133,2,0)</f>
        <v>#N/A</v>
      </c>
      <c r="BW74" s="12" t="e">
        <f>VLOOKUP(A74,'Données projet'!$A$113:$I$133,9,0)</f>
        <v>#N/A</v>
      </c>
      <c r="BX74" s="12">
        <f t="array" ref="BX74">INDEX(BW:BW,MIN(IF(ISNUMBER(BW74:BW270),ROW(BW74:BW270),"")))</f>
        <v>5.4</v>
      </c>
      <c r="BY74" s="12">
        <f>IF('Données projet'!$A$114&gt;35,BY73+BX74-CG73,IF(A74&lt;'Données projet'!$A$114,$BV$205^A74,IF(A74='Données projet'!$A$114,'Données projet'!$B$114,BY73+BX74-CG73)))</f>
        <v>305.39999999999986</v>
      </c>
      <c r="BZ74" s="13">
        <f>BY74*VLOOKUP('Données projet'!$B$12,Paramètres!$A$1:$I$89,3,0)*VLOOKUP('Données projet'!$B$12,Paramètres!$A$1:$I$89,5,0)</f>
        <v>174.68879999999993</v>
      </c>
      <c r="CA74" s="13">
        <f t="shared" si="93"/>
        <v>44.138490160200021</v>
      </c>
      <c r="CB74" s="20">
        <f t="shared" si="64"/>
        <v>381.12419702901485</v>
      </c>
      <c r="CC74" s="59">
        <f t="shared" si="65"/>
        <v>674.45753036234817</v>
      </c>
      <c r="CD74" s="59">
        <f ca="1">AVERAGE(OFFSET($CC$3,0,0,'Données projet'!$E$12+1,1))-AVERAGE(OFFSET($H$3,0,0,'Données projet'!$E$12+1,1))</f>
        <v>188.64374818906128</v>
      </c>
      <c r="CE74" s="59">
        <f t="shared" si="94"/>
        <v>211.95157880548652</v>
      </c>
      <c r="CF74" s="15">
        <f>IF(ISNA(VLOOKUP(A74,'Données projet'!$A$113:$I$133,3,0)),0,VLOOKUP(A74,'Données projet'!$A$113:$I$133,3,0))</f>
        <v>0</v>
      </c>
      <c r="CG74" s="15">
        <f>IF(ISNA(VLOOKUP(A74,'Données projet'!$A$113:$I$133,4,0)),0,VLOOKUP(A74,'Données projet'!$A$113:$I$133,4,0))</f>
        <v>0</v>
      </c>
      <c r="CH74" s="16">
        <f>IF(ISNA(VLOOKUP(A74,'Données projet'!$A$113:$I$133,5,0)),0%,VLOOKUP(A74,'Données projet'!$A$113:$I$133,5,0)*VLOOKUP('Données projet'!$B$12,Paramètres!$A$1:$I$89,7,0))</f>
        <v>0</v>
      </c>
      <c r="CI74" s="16">
        <f>IF(ISNA(VLOOKUP(A74,'Données projet'!$A$113:$I$133,6,0)),0%,VLOOKUP(A74,'Données projet'!$A$113:$I$133,6,0)*VLOOKUP('Données projet'!$B$12,Paramètres!$A$1:$I$89,7,0))</f>
        <v>0</v>
      </c>
      <c r="CJ74" s="16">
        <f>IF(ISNA(VLOOKUP(A74,'Données projet'!$A$113:$I$133,7,0)),0%,VLOOKUP(A74,'Données projet'!$A$113:$I$133,7,0))</f>
        <v>0</v>
      </c>
      <c r="CK74" s="21">
        <f>EXP(-LN(2)/35)*CK73+(1-EXP(-LN(2)/35))/(LN(2)/35)*CG74*CH74*VLOOKUP('Données projet'!$B$12,Paramètres!$A$1:$I$89,3,0)*0.475*44/12</f>
        <v>1.0915264339425177</v>
      </c>
      <c r="CL74" s="21">
        <f>EXP(-LN(2)/25)*CL73+(1-EXP(-LN(2)/25))/(LN(2)/25)*Calculateur!CG74*Calculateur!CI74*VLOOKUP('Données projet'!$B$12,Paramètres!$A$1:$I$89,3,0)*0.475*44/12</f>
        <v>4.6108738440279859</v>
      </c>
      <c r="CM74" s="21">
        <f>EXP(-LN(2)/2)*CM73+(1-EXP(-LN(2)/2))/(LN(2)/2)*CG74*CJ74*VLOOKUP('Données projet'!$B$12,Paramètres!$A$1:$I$89,3,0)*0.475*44/12</f>
        <v>1.4327593358511137E-5</v>
      </c>
      <c r="CN74" s="22">
        <f t="shared" si="66"/>
        <v>5.7024146055638623</v>
      </c>
      <c r="CO74" s="75">
        <f>('Scénario référence'!$F$8+'Scénario référence'!$F$9+'Scénario référence'!$B$17+'Scénario référence'!$B$9+'Scénario référence'!$B$10)*70+IF((45+25*(1-EXP(-0.0175*A74)))&lt;70,'Scénario référence'!$B$16*(45+25*(1-EXP(-0.0175*A74))),70*'Scénario référence'!$B$16)+IF((32+38*(1-EXP(-0.0175*A74)))&lt;70,'Scénario référence'!$B$18*(32+38*(1-EXP(-0.0175*A74))),70*'Scénario référence'!$B$18)</f>
        <v>70</v>
      </c>
      <c r="CP74" s="12">
        <f>IF(A74&gt;30,10,('Scénario référence'!$B$16+'Scénario référence'!$B$17+'Scénario référence'!$B$18+'Scénario référence'!$B$9+'Scénario référence'!$B$10)*A74*10/30+('Scénario référence'!$F$8+'Scénario référence'!$F$9)*10)</f>
        <v>10</v>
      </c>
      <c r="CQ74" s="12" t="e">
        <f>VLOOKUP(A74,'Données projet'!$A$139:$I$159,2,0)</f>
        <v>#N/A</v>
      </c>
      <c r="CR74" s="12" t="e">
        <f>VLOOKUP(A74,'Données projet'!$A$139:$I$159,9,0)</f>
        <v>#N/A</v>
      </c>
      <c r="CS74" s="12">
        <f t="array" ref="CS74">INDEX(CR:CR,MIN(IF(ISNUMBER(CR74:CR270),ROW(CR74:CR270),"")))</f>
        <v>0</v>
      </c>
      <c r="CT74" s="12">
        <f>IF('Données projet'!$A$140&gt;35,CT73+CS74-DB73,IF(A74&lt;'Données projet'!$A$140,$CQ$205^A74,IF(A74='Données projet'!$A$140,'Données projet'!$B$140,CT73+CS74-DB73)))</f>
        <v>0</v>
      </c>
      <c r="CU74" s="17" t="e">
        <f>CT74*VLOOKUP('Données projet'!$B$13,Paramètres!$A$1:$I$89,3,0)*VLOOKUP('Données projet'!$B$13,Paramètres!$A$1:$I$89,5,0)</f>
        <v>#N/A</v>
      </c>
      <c r="CV74" s="13" t="e">
        <f t="shared" si="95"/>
        <v>#N/A</v>
      </c>
      <c r="CW74" s="20" t="e">
        <f t="shared" si="67"/>
        <v>#N/A</v>
      </c>
      <c r="CX74" s="59" t="e">
        <f t="shared" si="68"/>
        <v>#N/A</v>
      </c>
      <c r="CY74" s="59" t="e">
        <f ca="1">AVERAGE(OFFSET($CX$3,0,0,'Données projet'!$E$13+1,1))-AVERAGE(OFFSET($H$3,0,0,'Données projet'!$E$13+1,1))</f>
        <v>#N/A</v>
      </c>
      <c r="CZ74" s="59" t="e">
        <f t="shared" si="96"/>
        <v>#N/A</v>
      </c>
      <c r="DA74" s="15">
        <f>IF(ISNA(VLOOKUP(A74,'Données projet'!$A$139:$I$159,3,0)),0,VLOOKUP(A74,'Données projet'!$A$139:$I$159,3,0))</f>
        <v>0</v>
      </c>
      <c r="DB74" s="15">
        <f>IF(ISNA(VLOOKUP(A74,'Données projet'!$A$139:$I$159,4,0)),0,VLOOKUP(A74,'Données projet'!$A$139:$I$159,4,0))</f>
        <v>0</v>
      </c>
      <c r="DC74" s="16">
        <f>IF(ISNA(VLOOKUP(A74,'Données projet'!$A$139:$I$159,5,0)),0%,VLOOKUP(A74,'Données projet'!$A$139:$I$159,5,0)*VLOOKUP('Données projet'!$B$13,Paramètres!$A$1:$I$89,7,0))</f>
        <v>0</v>
      </c>
      <c r="DD74" s="16">
        <f>IF(ISNA(VLOOKUP(A74,'Données projet'!$A$139:$I$159,6,0)),0%,VLOOKUP(A74,'Données projet'!$A$139:$I$159,6,0)*VLOOKUP('Données projet'!$B$13,Paramètres!$A$1:$I$89,7,0))</f>
        <v>0</v>
      </c>
      <c r="DE74" s="16">
        <f>IF(ISNA(VLOOKUP(A74,'Données projet'!$A$139:$I$159,7,0)),0%,VLOOKUP(A74,'Données projet'!$A$139:$I$159,7,0))</f>
        <v>0</v>
      </c>
      <c r="DF74" s="21" t="e">
        <f>EXP(-LN(2)/35)*DF73+(1-EXP(-LN(2)/35))/(LN(2)/35)*DB74*DC74*VLOOKUP('Données projet'!$B$13,Paramètres!$A$1:$I$89,3,0)*0.475*44/12</f>
        <v>#N/A</v>
      </c>
      <c r="DG74" s="21" t="e">
        <f>EXP(-LN(2)/25)*DG73+(1-EXP(-LN(2)/25))/(LN(2)/25)*Calculateur!DB74*Calculateur!DD74*VLOOKUP('Données projet'!$B$13,Paramètres!$A$1:$I$89,3,0)*0.475*44/12</f>
        <v>#N/A</v>
      </c>
      <c r="DH74" s="21" t="e">
        <f>EXP(-LN(2)/2)*DH73+(1-EXP(-LN(2)/2))/(LN(2)/2)*DB74*DE74*VLOOKUP('Données projet'!$B$13,Paramètres!$A$1:$I$89,3,0)*0.475*44/12</f>
        <v>#N/A</v>
      </c>
      <c r="DI74" s="22" t="e">
        <f t="shared" si="69"/>
        <v>#N/A</v>
      </c>
      <c r="DJ74" s="75">
        <f>('Scénario référence'!$F$8+'Scénario référence'!$F$9+'Scénario référence'!$B$17+'Scénario référence'!$B$9+'Scénario référence'!$B$10)*70+IF((45+25*(1-EXP(-0.0175*A74)))&lt;70,'Scénario référence'!$B$16*(45+25*(1-EXP(-0.0175*A74))),70*'Scénario référence'!$B$16)+IF((32+38*(1-EXP(-0.0175*A74)))&lt;70,'Scénario référence'!$B$18*(32+38*(1-EXP(-0.0175*A74))),70*'Scénario référence'!$B$18)</f>
        <v>70</v>
      </c>
      <c r="DK74" s="12">
        <f>IF(A74&gt;30,10,('Scénario référence'!$B$16+'Scénario référence'!$B$17+'Scénario référence'!$B$18+'Scénario référence'!$B$9+'Scénario référence'!$B$10)*A74*10/30+('Scénario référence'!$F$8+'Scénario référence'!$F$9)*10)</f>
        <v>10</v>
      </c>
      <c r="DL74" s="12" t="e">
        <f>VLOOKUP(A74,'Données projet'!$A$165:$I$185,2,0)</f>
        <v>#N/A</v>
      </c>
      <c r="DM74" s="12" t="e">
        <f>VLOOKUP(A74,'Données projet'!$A$165:$I$185,9,0)</f>
        <v>#N/A</v>
      </c>
      <c r="DN74" s="12">
        <f t="array" ref="DN74">INDEX(DM:DM,MIN(IF(ISNUMBER(DM74:DM270),ROW(DM74:DM270),"")))</f>
        <v>4.7</v>
      </c>
      <c r="DO74" s="12">
        <f>IF('Données projet'!$A$166&gt;35,DO73+DN74-DW73,IF(A74&lt;'Données projet'!$A$166,$DL$205^A74,IF(A74='Données projet'!$A$166,'Données projet'!$B$166,DO73+DN74-DW73)))</f>
        <v>253.70000000000027</v>
      </c>
      <c r="DP74" s="17">
        <f>DO74*VLOOKUP('Données projet'!$B$14,Paramètres!$A$1:$I$89,3,0)*VLOOKUP('Données projet'!$B$14,Paramètres!$A$1:$I$89,5,0)</f>
        <v>166.22424000000018</v>
      </c>
      <c r="DQ74" s="13">
        <f t="shared" si="97"/>
        <v>42.243276689676172</v>
      </c>
      <c r="DR74" s="20">
        <f t="shared" si="70"/>
        <v>363.08092490118628</v>
      </c>
      <c r="DS74" s="59">
        <f t="shared" si="71"/>
        <v>656.41425823451959</v>
      </c>
      <c r="DT74" s="59">
        <f ca="1">AVERAGE(OFFSET($DS$3,0,0,'Données projet'!$E$14+1,1))-AVERAGE(OFFSET($H$3,0,0,'Données projet'!$E$14+1,1))</f>
        <v>188.68915783955595</v>
      </c>
      <c r="DU74" s="59">
        <f t="shared" si="98"/>
        <v>240.82467772396944</v>
      </c>
      <c r="DV74" s="15">
        <f>IF(ISNA(VLOOKUP(A74,'Données projet'!$A$165:$I$185,3,0)),0,VLOOKUP(A74,'Données projet'!$A$165:$I$185,3,0))</f>
        <v>0</v>
      </c>
      <c r="DW74" s="15">
        <f>IF(ISNA(VLOOKUP(A74,'Données projet'!$A$165:$I$185,4,0)),0,VLOOKUP(A74,'Données projet'!$A$165:$I$185,4,0))</f>
        <v>0</v>
      </c>
      <c r="DX74" s="16">
        <f>IF(ISNA(VLOOKUP(A74,'Données projet'!$A$165:$I$185,5,0)),0%,VLOOKUP(A74,'Données projet'!$A$165:$I$185,5,0)*VLOOKUP('Données projet'!$B$14,Paramètres!$A$1:$I$89,7,0))</f>
        <v>0</v>
      </c>
      <c r="DY74" s="16">
        <f>IF(ISNA(VLOOKUP(A74,'Données projet'!$A$165:$I$185,6,0)),0%,VLOOKUP(A74,'Données projet'!$A$165:$I$185,6,0)*VLOOKUP('Données projet'!$B$14,Paramètres!$A$1:$I$89,7,0))</f>
        <v>0</v>
      </c>
      <c r="DZ74" s="16">
        <f>IF(ISNA(VLOOKUP(A74,'Données projet'!$A$165:$I$185,7,0)),0%,VLOOKUP(A74,'Données projet'!$A$165:$I$185,7,0))</f>
        <v>0</v>
      </c>
      <c r="EA74" s="21">
        <f>EXP(-LN(2)/35)*EA73+(1-EXP(-LN(2)/35))/(LN(2)/35)*DW74*DX74*VLOOKUP('Données projet'!$B$14,Paramètres!$A$1:$I$89,3,0)*0.475*44/12</f>
        <v>0.69139195415971766</v>
      </c>
      <c r="EB74" s="21">
        <f>EXP(-LN(2)/25)*EB73+(1-EXP(-LN(2)/25))/(LN(2)/25)*Calculateur!DW74*Calculateur!DY74*VLOOKUP('Données projet'!$B$14,Paramètres!$A$1:$I$89,3,0)*0.475*44/12</f>
        <v>2.5790537238800679</v>
      </c>
      <c r="EC74" s="21">
        <f>EXP(-LN(2)/2)*EC73+(1-EXP(-LN(2)/2))/(LN(2)/2)*DW74*DZ74*VLOOKUP('Données projet'!$B$14,Paramètres!$A$1:$I$89,3,0)*0.475*44/12</f>
        <v>9.4384717934614E-6</v>
      </c>
      <c r="ED74" s="22">
        <f t="shared" si="72"/>
        <v>3.2704551165115792</v>
      </c>
      <c r="EE74" s="75">
        <f>('Scénario référence'!$F$8+'Scénario référence'!$F$9+'Scénario référence'!$B$17+'Scénario référence'!$B$9+'Scénario référence'!$B$10)*70+IF((45+25*(1-EXP(-0.0175*A74)))&lt;70,'Scénario référence'!$B$16*(45+25*(1-EXP(-0.0175*A74))),70*'Scénario référence'!$B$16)+IF((32+38*(1-EXP(-0.0175*A74)))&lt;70,'Scénario référence'!$B$18*(32+38*(1-EXP(-0.0175*A74))),70*'Scénario référence'!$B$18)</f>
        <v>70</v>
      </c>
      <c r="EF74" s="12">
        <f>IF(A74&gt;30,10,('Scénario référence'!$B$16+'Scénario référence'!$B$17+'Scénario référence'!$B$18+'Scénario référence'!$B$9+'Scénario référence'!$B$10)*A74*10/30+('Scénario référence'!$F$8+'Scénario référence'!$F$9)*10)</f>
        <v>10</v>
      </c>
      <c r="EG74" s="12" t="e">
        <f>VLOOKUP(A74,'Données projet'!$A$191:$I$211,2,0)</f>
        <v>#N/A</v>
      </c>
      <c r="EH74" s="12" t="e">
        <f>VLOOKUP(A74,'Données projet'!$A$191:$I$211,9,0)</f>
        <v>#N/A</v>
      </c>
      <c r="EI74" s="12">
        <f t="array" ref="EI74">INDEX(EH:EH,MIN(IF(ISNUMBER(EH74:EH270),ROW(EH74:EH270),"")))</f>
        <v>5.2</v>
      </c>
      <c r="EJ74" s="12">
        <f>IF('Données projet'!$A$192&gt;35,EJ73+EI74-ER73,IF(A74&lt;'Données projet'!$A$192,$EG$205^A74,IF(A74='Données projet'!$A$192,'Données projet'!$B$192,EJ73+EI74-ER73)))</f>
        <v>246.19999999999993</v>
      </c>
      <c r="EK74" s="17">
        <f>EJ74*VLOOKUP('Données projet'!$B$15,Paramètres!$A$1:$I$89,3,0)*VLOOKUP('Données projet'!$B$15,Paramètres!$A$1:$I$89,5,0)</f>
        <v>199.71743999999995</v>
      </c>
      <c r="EL74" s="13">
        <f t="shared" si="99"/>
        <v>49.682064480920445</v>
      </c>
      <c r="EM74" s="20">
        <f t="shared" si="73"/>
        <v>434.37080363760305</v>
      </c>
      <c r="EN74" s="59">
        <f t="shared" si="74"/>
        <v>727.70413697093636</v>
      </c>
      <c r="EO74" s="59">
        <f ca="1">AVERAGE(OFFSET($EN$3,0,0,'Données projet'!$E$15+1,1))-AVERAGE(OFFSET($H$3,0,0,'Données projet'!$E$15+1,1))</f>
        <v>205.5272583787887</v>
      </c>
      <c r="EP74" s="59">
        <f t="shared" si="100"/>
        <v>180.54762778843178</v>
      </c>
      <c r="EQ74" s="15">
        <f>IF(ISNA(VLOOKUP(A74,'Données projet'!$A$191:$I$211,3,0)),0,VLOOKUP(A74,'Données projet'!$A$191:$I$211,3,0))</f>
        <v>0</v>
      </c>
      <c r="ER74" s="15">
        <f>IF(ISNA(VLOOKUP(A74,'Données projet'!$A$191:$I$211,4,0)),0,VLOOKUP(A74,'Données projet'!$A$191:$I$211,4,0))</f>
        <v>0</v>
      </c>
      <c r="ES74" s="16">
        <f>IF(ISNA(VLOOKUP(A74,'Données projet'!$A$191:$I$211,5,0)),0%,VLOOKUP(A74,'Données projet'!$A$191:$I$211,5,0)*VLOOKUP('Données projet'!$B$15,Paramètres!$A$1:$I$89,7,0))</f>
        <v>0</v>
      </c>
      <c r="ET74" s="16">
        <f>IF(ISNA(VLOOKUP(A74,'Données projet'!$A$191:$I$211,6,0)),0%,VLOOKUP(A74,'Données projet'!$A$191:$I$211,6,0)*VLOOKUP('Données projet'!$B$15,Paramètres!$A$1:$I$89,7,0))</f>
        <v>0</v>
      </c>
      <c r="EU74" s="16">
        <f>IF(ISNA(VLOOKUP(A74,'Données projet'!$A$191:$I$211,7,0)),0%,VLOOKUP(A74,'Données projet'!$A$191:$I$211,7,0))</f>
        <v>0</v>
      </c>
      <c r="EV74" s="21">
        <f>EXP(-LN(2)/35)*EV73+(1-EXP(-LN(2)/35))/(LN(2)/35)*ER74*ES74*VLOOKUP('Données projet'!$B$15,Paramètres!$A$1:$I$89,3,0)*0.475*44/12</f>
        <v>0.44512472477330378</v>
      </c>
      <c r="EW74" s="21">
        <f>EXP(-LN(2)/25)*EW73+(1-EXP(-LN(2)/25))/(LN(2)/25)*Calculateur!ER74*Calculateur!ET74*VLOOKUP('Données projet'!$B$15,Paramètres!$A$1:$I$89,3,0)*0.475*44/12</f>
        <v>1.8621550267245988</v>
      </c>
      <c r="EX74" s="21">
        <f>EXP(-LN(2)/2)*EX73+(1-EXP(-LN(2)/2))/(LN(2)/2)*ER74*EU74*VLOOKUP('Données projet'!$B$15,Paramètres!$A$1:$I$89,3,0)*0.475*44/12</f>
        <v>6.1114174653196446E-6</v>
      </c>
      <c r="EY74" s="22">
        <f t="shared" si="75"/>
        <v>2.3072858629153679</v>
      </c>
      <c r="EZ74" s="75">
        <f>('Scénario référence'!$F$8+'Scénario référence'!$F$9+'Scénario référence'!$B$17+'Scénario référence'!$B$9+'Scénario référence'!$B$10)*70+IF((45+25*(1-EXP(-0.0175*A74)))&lt;70,'Scénario référence'!$B$16*(45+25*(1-EXP(-0.0175*A74))),70*'Scénario référence'!$B$16)+IF((32+38*(1-EXP(-0.0175*A74)))&lt;70,'Scénario référence'!$B$18*(32+38*(1-EXP(-0.0175*A74))),70*'Scénario référence'!$B$18)</f>
        <v>70</v>
      </c>
      <c r="FA74" s="12">
        <f>IF(A74&gt;30,10,('Scénario référence'!$B$16+'Scénario référence'!$B$17+'Scénario référence'!$B$18+'Scénario référence'!$B$9+'Scénario référence'!$B$10)*A74*10/30+('Scénario référence'!$F$8+'Scénario référence'!$F$9)*10)</f>
        <v>10</v>
      </c>
      <c r="FB74" s="12" t="e">
        <f>VLOOKUP(A74,'Données projet'!$A$217:$I$237,2,0)</f>
        <v>#N/A</v>
      </c>
      <c r="FC74" s="12" t="e">
        <f>VLOOKUP(A74,'Données projet'!$A$217:$I$237,9,0)</f>
        <v>#N/A</v>
      </c>
      <c r="FD74" s="12">
        <f t="array" ref="FD74">INDEX(FC:FC,MIN(IF(ISNUMBER(FC74:FC270),ROW(FC74:FC270),"")))</f>
        <v>12.1</v>
      </c>
      <c r="FE74" s="12">
        <f>IF('Données projet'!$A$218&gt;35,FE73+FD74-FM73,IF(A74&lt;'Données projet'!$A$218,$FB$205^A74,IF(A74='Données projet'!$A$218,'Données projet'!$B$218,FE73+FD74-FM73)))</f>
        <v>292.09999999999997</v>
      </c>
      <c r="FF74" s="17">
        <f>FE74*VLOOKUP('Données projet'!$B$16,Paramètres!$A$1:$I$89,3,0)*VLOOKUP('Données projet'!$B$16,Paramètres!$A$1:$I$89,5,0)</f>
        <v>250.62180000000001</v>
      </c>
      <c r="FG74" s="13">
        <f t="shared" si="101"/>
        <v>60.719070707660698</v>
      </c>
      <c r="FH74" s="20">
        <f t="shared" si="76"/>
        <v>542.25201648250902</v>
      </c>
      <c r="FI74" s="59">
        <f t="shared" si="77"/>
        <v>835.58534981584239</v>
      </c>
      <c r="FJ74" s="59">
        <f ca="1">AVERAGE(OFFSET($FI$3,0,0,'Données projet'!$E$16+1,1))-AVERAGE(OFFSET($H$3,0,0,'Données projet'!$E$16+1,1))</f>
        <v>383.97627237444709</v>
      </c>
      <c r="FK74" s="59">
        <f t="shared" si="102"/>
        <v>203.35476578922339</v>
      </c>
      <c r="FL74" s="15">
        <f>IF(ISNA(VLOOKUP(A74,'Données projet'!$A$217:$I$237,3,0)),0,VLOOKUP(A74,'Données projet'!$A$217:$I$237,3,0))</f>
        <v>0</v>
      </c>
      <c r="FM74" s="15">
        <f>IF(ISNA(VLOOKUP(A74,'Données projet'!$A$217:$I$237,4,0)),0,VLOOKUP(A74,'Données projet'!$A$217:$I$237,4,0))</f>
        <v>0</v>
      </c>
      <c r="FN74" s="16">
        <f>IF(ISNA(VLOOKUP(A74,'Données projet'!$A$217:$I$237,5,0)),0%,VLOOKUP(A74,'Données projet'!$A$217:$I$237,5,0)*VLOOKUP('Données projet'!$B$16,Paramètres!$A$1:$I$89,7,0))</f>
        <v>0</v>
      </c>
      <c r="FO74" s="16">
        <f>IF(ISNA(VLOOKUP(A74,'Données projet'!$A$217:$I$237,6,0)),0%,VLOOKUP(A74,'Données projet'!$A$217:$I$237,6,0)*VLOOKUP('Données projet'!$B$16,Paramètres!$A$1:$I$89,7,0))</f>
        <v>0</v>
      </c>
      <c r="FP74" s="16">
        <f>IF(ISNA(VLOOKUP(A74,'Données projet'!$A$217:$I$237,7,0)),0%,VLOOKUP(A74,'Données projet'!$A$217:$I$237,7,0))</f>
        <v>0</v>
      </c>
      <c r="FQ74" s="21">
        <f>EXP(-LN(2)/35)*FQ73+(1-EXP(-LN(2)/35))/(LN(2)/35)*FM74*FN74*VLOOKUP('Données projet'!$B$16,Paramètres!$A$1:$I$89,3,0)*0.475*44/12</f>
        <v>2.2876995958305302</v>
      </c>
      <c r="FR74" s="21">
        <f>EXP(-LN(2)/25)*FR73+(1-EXP(-LN(2)/25))/(LN(2)/25)*Calculateur!FM74*Calculateur!FO74*VLOOKUP('Données projet'!$B$16,Paramètres!$A$1:$I$89,3,0)*0.475*44/12</f>
        <v>1.8902798241394605</v>
      </c>
      <c r="FS74" s="21">
        <f>EXP(-LN(2)/2)*FS73+(1-EXP(-LN(2)/2))/(LN(2)/2)*FM74*FP74*VLOOKUP('Données projet'!$B$16,Paramètres!$A$1:$I$89,3,0)*0.475*44/12</f>
        <v>1.1225419639336428E-5</v>
      </c>
      <c r="FT74" s="22">
        <f t="shared" si="78"/>
        <v>4.1779906453896301</v>
      </c>
      <c r="FU74" s="75">
        <f>('Scénario référence'!$F$8+'Scénario référence'!$F$9+'Scénario référence'!$B$17+'Scénario référence'!$B$9+'Scénario référence'!$B$10)*70+IF((45+25*(1-EXP(-0.0175*A74)))&lt;70,'Scénario référence'!$B$16*(45+25*(1-EXP(-0.0175*A74))),70*'Scénario référence'!$B$16)+IF((32+38*(1-EXP(-0.0175*A74)))&lt;70,'Scénario référence'!$B$18*(32+38*(1-EXP(-0.0175*A74))),70*'Scénario référence'!$B$18)</f>
        <v>70</v>
      </c>
      <c r="FV74" s="12">
        <f>IF(A74&gt;30,10,('Scénario référence'!$B$16+'Scénario référence'!$B$17+'Scénario référence'!$B$18+'Scénario référence'!$B$9+'Scénario référence'!$B$10)*A74*10/30+('Scénario référence'!$F$8+'Scénario référence'!$F$9)*10)</f>
        <v>10</v>
      </c>
      <c r="FW74" s="12">
        <f>VLOOKUP(A74,'Données projet'!$A$243:$I$263,2,0)</f>
        <v>243.36538461538458</v>
      </c>
      <c r="FX74" s="12">
        <f>VLOOKUP(A74,'Données projet'!$A$243:$I$263,9,0)</f>
        <v>8.1001602564102555</v>
      </c>
      <c r="FY74" s="12">
        <f t="array" ref="FY74">INDEX(FX:FX,MIN(IF(ISNUMBER(FX74:FX270),ROW(FX74:FX270),"")))</f>
        <v>8.1001602564102555</v>
      </c>
      <c r="FZ74" s="12">
        <f>IF('Données projet'!$A$244&gt;35,FZ73+FY74-GH73,IF(A74&lt;'Données projet'!$A$244,$FW$205^A74,IF(A74='Données projet'!$A$244,'Données projet'!$B$244,FZ73+FY74-GH73)))</f>
        <v>243.36538461538461</v>
      </c>
      <c r="GA74" s="17">
        <f>FZ74*VLOOKUP('Données projet'!$B$17,Paramètres!$A$1:$I$89,3,0)*VLOOKUP('Données projet'!$B$17,Paramètres!$A$1:$I$89,5,0)</f>
        <v>261.95850000000002</v>
      </c>
      <c r="GB74" s="13">
        <f t="shared" si="103"/>
        <v>63.139668501077942</v>
      </c>
      <c r="GC74" s="20">
        <f t="shared" si="79"/>
        <v>566.21264347271074</v>
      </c>
      <c r="GD74" s="59">
        <f t="shared" si="80"/>
        <v>859.54597680604411</v>
      </c>
      <c r="GE74" s="59">
        <f ca="1">AVERAGE(OFFSET($GD$3,0,0,'Données projet'!$E$17+1,1))-AVERAGE(OFFSET($H$3,0,0,'Données projet'!$E$17+1,1))</f>
        <v>286.77702855541287</v>
      </c>
      <c r="GF74" s="59">
        <f t="shared" si="104"/>
        <v>227.12211541860779</v>
      </c>
      <c r="GG74" s="15">
        <f>IF(ISNA(VLOOKUP(A74,'Données projet'!$A$243:$I$263,3,0)),0,VLOOKUP(A74,'Données projet'!$A$243:$I$263,3,0))</f>
        <v>6</v>
      </c>
      <c r="GH74" s="15">
        <f>IF(ISNA(VLOOKUP(A74,'Données projet'!$A$243:$I$263,4,0)),0,VLOOKUP(A74,'Données projet'!$A$243:$I$263,4,0))</f>
        <v>39.935897435897431</v>
      </c>
      <c r="GI74" s="16">
        <f>IF(ISNA(VLOOKUP(A74,'Données projet'!$A$243:$I$263,5,0)),0%,VLOOKUP(A74,'Données projet'!$A$243:$I$263,5,0)*VLOOKUP('Données projet'!$B$17,Paramètres!$A$1:$I$89,7,0))</f>
        <v>0</v>
      </c>
      <c r="GJ74" s="16">
        <f>IF(ISNA(VLOOKUP(A74,'Données projet'!$A$243:$I$263,6,0)),0%,VLOOKUP(A74,'Données projet'!$A$243:$I$263,6,0)*VLOOKUP('Données projet'!$B$17,Paramètres!$A$1:$I$89,7,0))</f>
        <v>0</v>
      </c>
      <c r="GK74" s="16">
        <f>IF(ISNA(VLOOKUP(A74,'Données projet'!$A$243:$I$263,7,0)),0%,VLOOKUP(A74,'Données projet'!$A$243:$I$263,7,0))</f>
        <v>0</v>
      </c>
      <c r="GL74" s="21">
        <f>EXP(-LN(2)/35)*GL73+(1-EXP(-LN(2)/35))/(LN(2)/35)*GH74*GI74*VLOOKUP('Données projet'!$B$17,Paramètres!$A$1:$I$89,3,0)*0.475*44/12</f>
        <v>0</v>
      </c>
      <c r="GM74" s="21">
        <f>EXP(-LN(2)/25)*GM73+(1-EXP(-LN(2)/25))/(LN(2)/25)*Calculateur!GH74*Calculateur!GJ74*VLOOKUP('Données projet'!$B$17,Paramètres!$A$1:$I$89,3,0)*0.475*44/12</f>
        <v>0</v>
      </c>
      <c r="GN74" s="21">
        <f>EXP(-LN(2)/2)*GN73+(1-EXP(-LN(2)/2))/(LN(2)/2)*GH74*GK74*VLOOKUP('Données projet'!$B$17,Paramètres!$A$1:$I$89,3,0)*0.475*44/12</f>
        <v>0</v>
      </c>
      <c r="GO74" s="21">
        <f t="shared" si="81"/>
        <v>0</v>
      </c>
      <c r="GP74" s="75">
        <f>('Scénario référence'!$F$8+'Scénario référence'!$F$9+'Scénario référence'!$B$17+'Scénario référence'!$B$9+'Scénario référence'!$B$10)*70+IF((45+25*(1-EXP(-0.0175*A74)))&lt;70,'Scénario référence'!$B$16*(45+25*(1-EXP(-0.0175*A74))),70*'Scénario référence'!$B$16)+IF((32+38*(1-EXP(-0.0175*A74)))&lt;70,'Scénario référence'!$B$18*(32+38*(1-EXP(-0.0175*A74))),70*'Scénario référence'!$B$18)</f>
        <v>70</v>
      </c>
      <c r="GQ74" s="12">
        <f>IF(A74&gt;30,10,('Scénario référence'!$B$16+'Scénario référence'!$B$17+'Scénario référence'!$B$18+'Scénario référence'!$B$9+'Scénario référence'!$B$10)*A74*10/30+('Scénario référence'!$F$8+'Scénario référence'!$F$9)*10)</f>
        <v>10</v>
      </c>
      <c r="GR74" s="12">
        <f>VLOOKUP(A74,'Données projet'!$A$269:$I$289,2,0)</f>
        <v>243.36538461538458</v>
      </c>
      <c r="GS74" s="12">
        <f>VLOOKUP(A74,'Données projet'!$A$269:$I$289,9,0)</f>
        <v>8.1001602564102555</v>
      </c>
      <c r="GT74" s="12">
        <f t="array" ref="GT74">INDEX(GS:GS,MIN(IF(ISNUMBER(GS74:GS270),ROW(GS74:GS270),"")))</f>
        <v>8.1001602564102555</v>
      </c>
      <c r="GU74" s="12">
        <f>IF('Données projet'!$A$270&gt;35,GU73+GT74-HC73,IF(A74&lt;'Données projet'!$A$270,$GR$205^A74,IF(A74='Données projet'!$A$270,'Données projet'!$B$270,GU73+GT74-HC73)))</f>
        <v>243.36538461538461</v>
      </c>
      <c r="GV74" s="17">
        <f>GU74*VLOOKUP('Données projet'!$B$18,Paramètres!$A$1:$I$89,3,0)*VLOOKUP('Données projet'!$B$18,Paramètres!$A$1:$I$89,5,0)</f>
        <v>261.95850000000002</v>
      </c>
      <c r="GW74" s="13">
        <f t="shared" si="105"/>
        <v>63.139668501077942</v>
      </c>
      <c r="GX74" s="20">
        <f t="shared" si="82"/>
        <v>566.21264347271074</v>
      </c>
      <c r="GY74" s="59">
        <f t="shared" si="83"/>
        <v>859.54597680604411</v>
      </c>
      <c r="GZ74" s="59">
        <f ca="1">AVERAGE(OFFSET($GY$3,0,0,'Données projet'!$E$18+1,1))-AVERAGE(OFFSET($H$3,0,0,'Données projet'!$E$18+1,1))</f>
        <v>286.77702855541287</v>
      </c>
      <c r="HA74" s="59">
        <f t="shared" si="106"/>
        <v>227.12211541860779</v>
      </c>
      <c r="HB74" s="15">
        <f>IF(ISNA(VLOOKUP(A74,'Données projet'!$A$269:$I$289,3,0)),0,VLOOKUP(A74,'Données projet'!$A$269:$I$289,3,0))</f>
        <v>6</v>
      </c>
      <c r="HC74" s="15">
        <f>IF(ISNA(VLOOKUP(A74,'Données projet'!$A$269:$I$289,4,0)),0,VLOOKUP(A74,'Données projet'!$A$269:$I$289,4,0))</f>
        <v>39.935897435897431</v>
      </c>
      <c r="HD74" s="16">
        <f>IF(ISNA(VLOOKUP(A74,'Données projet'!$A$269:$I$289,5,0)),0%,VLOOKUP(A74,'Données projet'!$A$269:$I$289,5,0)*VLOOKUP('Données projet'!$B$18,Paramètres!$A$1:$I$89,7,0))</f>
        <v>0</v>
      </c>
      <c r="HE74" s="16">
        <f>IF(ISNA(VLOOKUP(A74,'Données projet'!$A$269:$I$289,6,0)),0%,VLOOKUP(A74,'Données projet'!$A$269:$I$289,6,0)*VLOOKUP('Données projet'!$B$18,Paramètres!$A$1:$I$89,7,0))</f>
        <v>0</v>
      </c>
      <c r="HF74" s="16">
        <f>IF(ISNA(VLOOKUP(A74,'Données projet'!$A$269:$I$289,7,0)),0%,VLOOKUP(A74,'Données projet'!$A$269:$I$289,7,0))</f>
        <v>0</v>
      </c>
      <c r="HG74" s="21">
        <f>EXP(-LN(2)/35)*HG73+(1-EXP(-LN(2)/35))/(LN(2)/35)*HC74*HD74*VLOOKUP('Données projet'!$B$18,Paramètres!$A$1:$I$89,3,0)*0.475*44/12</f>
        <v>0</v>
      </c>
      <c r="HH74" s="21">
        <f>EXP(-LN(2)/25)*HH73+(1-EXP(-LN(2)/25))/(LN(2)/25)*Calculateur!HC74*Calculateur!HE74*VLOOKUP('Données projet'!$B$18,Paramètres!$A$1:$I$89,3,0)*0.475*44/12</f>
        <v>0</v>
      </c>
      <c r="HI74" s="21">
        <f>EXP(-LN(2)/2)*HI73+(1-EXP(-LN(2)/2))/(LN(2)/2)*HC74*HF74*VLOOKUP('Données projet'!$B$18,Paramètres!$A$1:$I$89,3,0)*0.475*44/12</f>
        <v>0</v>
      </c>
      <c r="HJ74" s="22">
        <f t="shared" si="84"/>
        <v>0</v>
      </c>
    </row>
    <row r="75" spans="1:218" x14ac:dyDescent="0.25">
      <c r="A75" s="10">
        <f t="shared" si="85"/>
        <v>72</v>
      </c>
      <c r="B75" s="73">
        <f>'Scénario référence'!$B$16*5+'Scénario référence'!$B$17*0+'Scénario référence'!$B$18*5</f>
        <v>0</v>
      </c>
      <c r="C75" s="19">
        <f>Calculateur!C74+'Scénario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64.022400000000076</v>
      </c>
      <c r="D75" s="11">
        <f t="shared" si="86"/>
        <v>18.181385543312256</v>
      </c>
      <c r="E7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75" s="11">
        <f>IF(OR('Scénario référence'!$F$8&gt;0,'Scénario référence'!$F$9&gt;0),('Scénario référence'!$F$8+'Scénario référence'!$F$9)*10,0)</f>
        <v>10</v>
      </c>
      <c r="G75" s="11">
        <f>'Scénario référence'!$B$8*B75*44/12+'Scénario référence'!$B$9*(C75+D75)/0.475*44/12+'Scénario référence'!$B$10*(C75+D75)/0.475*44/12+'Scénario référence'!$F$8*(C75+D75)/0.475*44/12+'Scénario référence'!$F$9*(C75+D75)/0.475*44/12</f>
        <v>634.55553752732339</v>
      </c>
      <c r="H75" s="67">
        <f t="shared" si="56"/>
        <v>436.50492648793568</v>
      </c>
      <c r="I75" s="70">
        <f>('Scénario référence'!$F$8+'Scénario référence'!$F$9+'Scénario référence'!$B$17+'Scénario référence'!$B$9+'Scénario référence'!$B$10)*70+IF((45+25*(1-EXP(-0.0175*A75)))&lt;70,'Scénario référence'!$B$16*(45+25*(1-EXP(-0.0175*A75))),70*'Scénario référence'!$B$16)+IF((32+38*(1-EXP(-0.0175*A75)))&lt;70,'Scénario référence'!$B$18*(32+38*(1-EXP(-0.0175*A75))),70*'Scénario référence'!$B$18)</f>
        <v>70</v>
      </c>
      <c r="J75" s="13">
        <f>IF(A75&gt;30,10,('Scénario référence'!$B$16+'Scénario référence'!$B$17+'Scénario référence'!$B$18+'Scénario référence'!$B$9+'Scénario référence'!$B$10)*A75*10/30+('Scénario référence'!$F$8+'Scénario référence'!$F$9)*10)</f>
        <v>10</v>
      </c>
      <c r="K75" s="12" t="e">
        <f>VLOOKUP(A75,'Données projet'!$A$35:$I$55,2,0)</f>
        <v>#N/A</v>
      </c>
      <c r="L75" s="12" t="e">
        <f>VLOOKUP(A75,'Données projet'!$A$35:$I$55,9,0)</f>
        <v>#N/A</v>
      </c>
      <c r="M75" s="12">
        <f t="array" ref="M75">INDEX(L:L,MIN(IF(ISNUMBER(L75:L271),ROW(L75:L271),"")))</f>
        <v>0</v>
      </c>
      <c r="N75" s="13">
        <f>IF('Données projet'!$A$36&gt;35,N74+M75-V74,IF(A75&lt;'Données projet'!$A$36,$K$205^A75,IF(A75='Données projet'!$A$36,'Données projet'!$B$36,N74+M75-V74)))</f>
        <v>-2.2737367544323206E-13</v>
      </c>
      <c r="O75" s="13">
        <f>N75*VLOOKUP('Données projet'!$B$9,Paramètres!$A$1:$I$89,3,0)*VLOOKUP('Données projet'!$B$9,Paramètres!$A$1:$I$89,5,0)</f>
        <v>-1.2710188457276673E-13</v>
      </c>
      <c r="P75" s="13" t="e">
        <f t="shared" si="87"/>
        <v>#NUM!</v>
      </c>
      <c r="Q75" s="20" t="e">
        <f t="shared" si="54"/>
        <v>#NUM!</v>
      </c>
      <c r="R75" s="59" t="e">
        <f t="shared" si="55"/>
        <v>#NUM!</v>
      </c>
      <c r="S75" s="59">
        <f ca="1">AVERAGE(OFFSET($R$3,0,0,'Données projet'!$E$9+1,1))-AVERAGE(OFFSET($H$3,0,0,'Données projet'!$E$9+1,1))</f>
        <v>255.5374979188561</v>
      </c>
      <c r="T75" s="59">
        <f t="shared" si="88"/>
        <v>343.10418468620901</v>
      </c>
      <c r="U75" s="15">
        <f>IF(ISNA(VLOOKUP(A75,'Données projet'!$A$35:$I$55,3,0)),0,VLOOKUP(A75,'Données projet'!$A$35:$I$55,3,0))</f>
        <v>0</v>
      </c>
      <c r="V75" s="15">
        <f>IF(ISNA(VLOOKUP(A75,'Données projet'!$A$35:$I$55,4,0)),0,VLOOKUP(A75,'Données projet'!$A$35:$I$55,4,0))</f>
        <v>0</v>
      </c>
      <c r="W75" s="16">
        <f>IF(ISNA(VLOOKUP(A75,'Données projet'!$A$35:$I$55,5,0)),0%,VLOOKUP(A75,'Données projet'!$A$35:$I$55,5,0)*VLOOKUP('Données projet'!$B$9,Paramètres!$A$1:$I$89,7,0))</f>
        <v>0</v>
      </c>
      <c r="X75" s="16">
        <f>IF(ISNA(VLOOKUP(A75,'Données projet'!$A$35:$I$55,6,0)),0%,VLOOKUP(A75,'Données projet'!$A$35:$I$55,6,0)*VLOOKUP('Données projet'!$B$9,Paramètres!$A$1:$I$89,7,0))</f>
        <v>0</v>
      </c>
      <c r="Y75" s="16">
        <f>IF(ISNA(VLOOKUP(A75,'Données projet'!$A$35:$I$55,7,0)),0%,VLOOKUP(A75,'Données projet'!$A$35:$I$55,7,0))</f>
        <v>0</v>
      </c>
      <c r="Z75" s="21">
        <f>EXP(-LN(2)/35)*Z74+(1-EXP(-LN(2)/35))/(LN(2)/35)*V75*W75*VLOOKUP('Données projet'!$B$9,Paramètres!$A$1:$I$89,3,0)*0.475*44/12</f>
        <v>1.3450183997879879</v>
      </c>
      <c r="AA75" s="21">
        <f>EXP(-LN(2)/25)*AA74+(1-EXP(-LN(2)/25))/(LN(2)/25)*Calculateur!V75*Calculateur!X75*VLOOKUP('Données projet'!$B$9,Paramètres!$A$1:$I$89,3,0)*0.475*44/12</f>
        <v>4.9809197601748592</v>
      </c>
      <c r="AB75" s="21">
        <f>EXP(-LN(2)/2)*AB74+(1-EXP(-LN(2)/2))/(LN(2)/2)*V75*Y75*VLOOKUP('Données projet'!$B$9,Paramètres!$A$1:$I$89,3,0)*0.475*44/12</f>
        <v>8.07119407393487E-7</v>
      </c>
      <c r="AC75" s="22">
        <f t="shared" si="57"/>
        <v>6.325938967082255</v>
      </c>
      <c r="AD75" s="13">
        <f>('Scénario référence'!$F$8+'Scénario référence'!$F$9+'Scénario référence'!$B$17+'Scénario référence'!$B$9+'Scénario référence'!$B$10)*70+IF((45+25*(1-EXP(-0.0175*A75)))&lt;70,'Scénario référence'!$B$16*(45+25*(1-EXP(-0.0175*A75))),70*'Scénario référence'!$B$16)+IF((32+38*(1-EXP(-0.0175*A75)))&lt;70,'Scénario référence'!$B$18*(32+38*(1-EXP(-0.0175*A75))),70*'Scénario référence'!$B$18)</f>
        <v>70</v>
      </c>
      <c r="AE75" s="13">
        <f>IF(A75&gt;30,10,('Scénario référence'!$B$16+'Scénario référence'!$B$17+'Scénario référence'!$B$18+'Scénario référence'!$B$9+'Scénario référence'!$B$10)*A75*10/30+('Scénario référence'!$F$8+'Scénario référence'!$F$9)*10)</f>
        <v>10</v>
      </c>
      <c r="AF75" s="12" t="e">
        <f>VLOOKUP(A75,'Données projet'!$A$61:$I$81,2,0)</f>
        <v>#N/A</v>
      </c>
      <c r="AG75" s="12" t="e">
        <f>VLOOKUP(A75,'Données projet'!$A$61:$I$81,9,0)</f>
        <v>#N/A</v>
      </c>
      <c r="AH75" s="12">
        <f t="array" ref="AH75">INDEX(AG:AG,MIN(IF(ISNUMBER(AG75:AG271),ROW(AG75:AG271),"")))</f>
        <v>6</v>
      </c>
      <c r="AI75" s="13">
        <f>IF('Données projet'!$A$62&gt;35,AI74+AH75-AQ74,IF(A75&lt;'Données projet'!$A$62,$AF$205^A75,IF(A75='Données projet'!$A$62,'Données projet'!$B$62,AI74+AH75-AQ74)))</f>
        <v>394</v>
      </c>
      <c r="AJ75" s="13">
        <f>AI75*VLOOKUP('Données projet'!$B$10,Paramètres!$A$1:$I$89,3,0)*VLOOKUP('Données projet'!$B$10,Paramètres!$A$1:$I$89,5,0)</f>
        <v>245.85600000000002</v>
      </c>
      <c r="AK75" s="13">
        <f t="shared" si="89"/>
        <v>59.697704223314012</v>
      </c>
      <c r="AL75" s="20">
        <f t="shared" si="58"/>
        <v>532.17270152227195</v>
      </c>
      <c r="AM75" s="59">
        <f t="shared" si="59"/>
        <v>825.50603485560532</v>
      </c>
      <c r="AN75" s="59">
        <f ca="1">AVERAGE(OFFSET($AM$3,0,0,'Données projet'!$E$10+1,1))-AVERAGE(OFFSET($H$3,0,0,'Données projet'!$E$10+1,1))</f>
        <v>261.78489480911571</v>
      </c>
      <c r="AO75" s="59">
        <f t="shared" si="90"/>
        <v>297.50513563712764</v>
      </c>
      <c r="AP75" s="15">
        <f>IF(ISNA(VLOOKUP(A75,'Données projet'!$A$61:$I$81,3,0)),0,VLOOKUP(A75,'Données projet'!$A$61:$I$81,3,0))</f>
        <v>0</v>
      </c>
      <c r="AQ75" s="15">
        <f>IF(ISNA(VLOOKUP(A75,'Données projet'!$A$61:$I$81,4,0)),0,VLOOKUP(A75,'Données projet'!$A$61:$I$81,4,0))</f>
        <v>0</v>
      </c>
      <c r="AR75" s="16">
        <f>IF(ISNA(VLOOKUP(A75,'Données projet'!$A$61:$I$81,5,0)),0%,VLOOKUP(A75,'Données projet'!$A$61:$I$81,5,0)*VLOOKUP('Données projet'!$B$10,Paramètres!$A$1:$I$89,7,0))</f>
        <v>0</v>
      </c>
      <c r="AS75" s="16">
        <f>IF(ISNA(VLOOKUP(A75,'Données projet'!$A$61:$I$81,6,0)),0%,VLOOKUP(A75,'Données projet'!$A$61:$I$81,6,0)*VLOOKUP('Données projet'!$B$10,Paramètres!$A$1:$I$89,7,0))</f>
        <v>0</v>
      </c>
      <c r="AT75" s="16">
        <f>IF(ISNA(VLOOKUP(A75,'Données projet'!$A$61:$I$81,7,0)),0%,VLOOKUP(A75,'Données projet'!$A$61:$I$81,7,0))</f>
        <v>0</v>
      </c>
      <c r="AU75" s="21">
        <f>EXP(-LN(2)/35)*AU74+(1-EXP(-LN(2)/35))/(LN(2)/35)*AQ75*AR75*VLOOKUP('Données projet'!$B$10,Paramètres!$A$1:$I$89,3,0)*0.475*44/12</f>
        <v>3.6319301160572302</v>
      </c>
      <c r="AV75" s="21">
        <f>EXP(-LN(2)/25)*AV74+(1-EXP(-LN(2)/25))/(LN(2)/25)*Calculateur!AQ75*Calculateur!AS75*VLOOKUP('Données projet'!$B$10,Paramètres!$A$1:$I$89,3,0)*0.475*44/12</f>
        <v>8.6977018140160283</v>
      </c>
      <c r="AW75" s="21">
        <f>EXP(-LN(2)/2)*AW74+(1-EXP(-LN(2)/2))/(LN(2)/2)*AQ75*AT75*VLOOKUP('Données projet'!$B$10,Paramètres!$A$1:$I$89,3,0)*0.475*44/12</f>
        <v>1.1635394638496342E-5</v>
      </c>
      <c r="AX75" s="21">
        <f t="shared" si="60"/>
        <v>12.329643565467897</v>
      </c>
      <c r="AY75" s="74">
        <f>('Scénario référence'!$F$8+'Scénario référence'!$F$9+'Scénario référence'!$B$17+'Scénario référence'!$B$9+'Scénario référence'!$B$10)*70+IF((45+25*(1-EXP(-0.0175*A75)))&lt;70,'Scénario référence'!$B$16*(45+25*(1-EXP(-0.0175*A75))),70*'Scénario référence'!$B$16)+IF((32+38*(1-EXP(-0.0175*A75)))&lt;70,'Scénario référence'!$B$18*(32+38*(1-EXP(-0.0175*A75))),70*'Scénario référence'!$B$18)</f>
        <v>70</v>
      </c>
      <c r="AZ75" s="12">
        <f>IF(A75&gt;30,10,('Scénario référence'!$B$16+'Scénario référence'!$B$17+'Scénario référence'!$B$18+'Scénario référence'!$B$9+'Scénario référence'!$B$10)*A75*10/30+('Scénario référence'!$F$8+'Scénario référence'!$F$9)*10)</f>
        <v>10</v>
      </c>
      <c r="BA75" s="12" t="e">
        <f>VLOOKUP(A75,'Données projet'!$A$87:$I$107,2,0)</f>
        <v>#N/A</v>
      </c>
      <c r="BB75" s="12" t="e">
        <f>VLOOKUP(A75,'Données projet'!$A$87:$I$107,9,0)</f>
        <v>#N/A</v>
      </c>
      <c r="BC75" s="12">
        <f t="array" ref="BC75">INDEX(BB:BB,MIN(IF(ISNUMBER(BB75:BB271),ROW(BB75:BB271),"")))</f>
        <v>14.5</v>
      </c>
      <c r="BD75" s="12">
        <f>IF('Données projet'!$A$88&gt;35,BD74+BC75-BL74,IF(A75&lt;'Données projet'!$A$88,$BA$205^A75,IF(A75='Données projet'!$A$88,'Données projet'!$B$88,BD74+BC75-BL74)))</f>
        <v>489.99999999999955</v>
      </c>
      <c r="BE75" s="13">
        <f>BD75*VLOOKUP('Données projet'!$B$11,Paramètres!$A$1:$I$89,3,0)*VLOOKUP('Données projet'!$B$11,Paramètres!$A$1:$I$89,5,0)</f>
        <v>293.01999999999975</v>
      </c>
      <c r="BF75" s="13">
        <f t="shared" si="91"/>
        <v>69.711188549176683</v>
      </c>
      <c r="BG75" s="20">
        <f t="shared" si="61"/>
        <v>631.75682005648218</v>
      </c>
      <c r="BH75" s="59">
        <f t="shared" si="62"/>
        <v>925.09015338981544</v>
      </c>
      <c r="BI75" s="59">
        <f ca="1">AVERAGE(OFFSET($BH$3,0,0,'Données projet'!$E$11+1,1))-AVERAGE(OFFSET($H$3,0,0,'Données projet'!$E$11+1,1))</f>
        <v>316.58509520829671</v>
      </c>
      <c r="BJ75" s="59">
        <f t="shared" si="92"/>
        <v>240.71332110643596</v>
      </c>
      <c r="BK75" s="15">
        <f>IF(ISNA(VLOOKUP(A75,'Données projet'!$A$87:$I$107,3,0)),0,VLOOKUP(A75,'Données projet'!$A$87:$I$107,3,0))</f>
        <v>0</v>
      </c>
      <c r="BL75" s="15">
        <f>IF(ISNA(VLOOKUP(A75,'Données projet'!$A$87:$I$107,4,0)),0,VLOOKUP(A75,'Données projet'!$A$87:$I$107,4,0))</f>
        <v>0</v>
      </c>
      <c r="BM75" s="16">
        <f>IF(ISNA(VLOOKUP(A75,'Données projet'!$A$87:$I$107,5,0)),0%,VLOOKUP(A75,'Données projet'!$A$87:$I$107,5,0)*VLOOKUP('Données projet'!$B$11,Paramètres!$A$1:$I$89,7,0))</f>
        <v>0</v>
      </c>
      <c r="BN75" s="16">
        <f>IF(ISNA(VLOOKUP(A75,'Données projet'!$A$87:$I$107,6,0)),0%,VLOOKUP(A75,'Données projet'!$A$87:$I$107,6,0)*VLOOKUP('Données projet'!$B$11,Paramètres!$A$1:$I$89,7,0))</f>
        <v>0</v>
      </c>
      <c r="BO75" s="16">
        <f>IF(ISNA(VLOOKUP(A75,'Données projet'!$A$87:$I$107,7,0)),0%,VLOOKUP(A75,'Données projet'!$A$87:$I$107,7,0))</f>
        <v>0</v>
      </c>
      <c r="BP75" s="21">
        <f>EXP(-LN(2)/35)*BP74+(1-EXP(-LN(2)/35))/(LN(2)/35)*BL75*BM75*VLOOKUP('Données projet'!$B$11,Paramètres!$A$1:$I$89,3,0)*0.475*44/12</f>
        <v>1.1032257960419376</v>
      </c>
      <c r="BQ75" s="21">
        <f>EXP(-LN(2)/25)*BQ74+(1-EXP(-LN(2)/25))/(LN(2)/25)*Calculateur!BL75*Calculateur!BN75*VLOOKUP('Données projet'!$B$11,Paramètres!$A$1:$I$89,3,0)*0.475*44/12</f>
        <v>4.7648548359276539</v>
      </c>
      <c r="BR75" s="21">
        <f>EXP(-LN(2)/2)*BR74+(1-EXP(-LN(2)/2))/(LN(2)/2)*BL75*BO75*VLOOKUP('Données projet'!$B$11,Paramètres!$A$1:$I$89,3,0)*0.475*44/12</f>
        <v>1.046149400240939E-5</v>
      </c>
      <c r="BS75" s="22">
        <f t="shared" si="63"/>
        <v>5.8680910934635939</v>
      </c>
      <c r="BT75" s="75">
        <f>('Scénario référence'!$F$8+'Scénario référence'!$F$9+'Scénario référence'!$B$17+'Scénario référence'!$B$9+'Scénario référence'!$B$10)*70+IF((45+25*(1-EXP(-0.0175*A75)))&lt;70,'Scénario référence'!$B$16*(45+25*(1-EXP(-0.0175*A75))),70*'Scénario référence'!$B$16)+IF((32+38*(1-EXP(-0.0175*A75)))&lt;70,'Scénario référence'!$B$18*(32+38*(1-EXP(-0.0175*A75))),70*'Scénario référence'!$B$18)</f>
        <v>70</v>
      </c>
      <c r="BU75" s="12">
        <f>IF(A75&gt;30,10,('Scénario référence'!$B$16+'Scénario référence'!$B$17+'Scénario référence'!$B$18+'Scénario référence'!$B$9+'Scénario référence'!$B$10)*A75*10/30+('Scénario référence'!$F$8+'Scénario référence'!$F$9)*10)</f>
        <v>10</v>
      </c>
      <c r="BV75" s="12" t="e">
        <f>VLOOKUP(A75,'Données projet'!$A$113:$I$133,2,0)</f>
        <v>#N/A</v>
      </c>
      <c r="BW75" s="12" t="e">
        <f>VLOOKUP(A75,'Données projet'!$A$113:$I$133,9,0)</f>
        <v>#N/A</v>
      </c>
      <c r="BX75" s="12">
        <f t="array" ref="BX75">INDEX(BW:BW,MIN(IF(ISNUMBER(BW75:BW271),ROW(BW75:BW271),"")))</f>
        <v>5.4</v>
      </c>
      <c r="BY75" s="12">
        <f>IF('Données projet'!$A$114&gt;35,BY74+BX75-CG74,IF(A75&lt;'Données projet'!$A$114,$BV$205^A75,IF(A75='Données projet'!$A$114,'Données projet'!$B$114,BY74+BX75-CG74)))</f>
        <v>310.79999999999984</v>
      </c>
      <c r="BZ75" s="13">
        <f>BY75*VLOOKUP('Données projet'!$B$12,Paramètres!$A$1:$I$89,3,0)*VLOOKUP('Données projet'!$B$12,Paramètres!$A$1:$I$89,5,0)</f>
        <v>177.77759999999992</v>
      </c>
      <c r="CA75" s="13">
        <f t="shared" si="93"/>
        <v>44.827386173754917</v>
      </c>
      <c r="CB75" s="20">
        <f t="shared" si="64"/>
        <v>387.70368425262296</v>
      </c>
      <c r="CC75" s="59">
        <f t="shared" si="65"/>
        <v>681.03701758595628</v>
      </c>
      <c r="CD75" s="59">
        <f ca="1">AVERAGE(OFFSET($CC$3,0,0,'Données projet'!$E$12+1,1))-AVERAGE(OFFSET($H$3,0,0,'Données projet'!$E$12+1,1))</f>
        <v>188.64374818906128</v>
      </c>
      <c r="CE75" s="59">
        <f t="shared" si="94"/>
        <v>211.95157880548652</v>
      </c>
      <c r="CF75" s="15">
        <f>IF(ISNA(VLOOKUP(A75,'Données projet'!$A$113:$I$133,3,0)),0,VLOOKUP(A75,'Données projet'!$A$113:$I$133,3,0))</f>
        <v>0</v>
      </c>
      <c r="CG75" s="15">
        <f>IF(ISNA(VLOOKUP(A75,'Données projet'!$A$113:$I$133,4,0)),0,VLOOKUP(A75,'Données projet'!$A$113:$I$133,4,0))</f>
        <v>0</v>
      </c>
      <c r="CH75" s="16">
        <f>IF(ISNA(VLOOKUP(A75,'Données projet'!$A$113:$I$133,5,0)),0%,VLOOKUP(A75,'Données projet'!$A$113:$I$133,5,0)*VLOOKUP('Données projet'!$B$12,Paramètres!$A$1:$I$89,7,0))</f>
        <v>0</v>
      </c>
      <c r="CI75" s="16">
        <f>IF(ISNA(VLOOKUP(A75,'Données projet'!$A$113:$I$133,6,0)),0%,VLOOKUP(A75,'Données projet'!$A$113:$I$133,6,0)*VLOOKUP('Données projet'!$B$12,Paramètres!$A$1:$I$89,7,0))</f>
        <v>0</v>
      </c>
      <c r="CJ75" s="16">
        <f>IF(ISNA(VLOOKUP(A75,'Données projet'!$A$113:$I$133,7,0)),0%,VLOOKUP(A75,'Données projet'!$A$113:$I$133,7,0))</f>
        <v>0</v>
      </c>
      <c r="CK75" s="21">
        <f>EXP(-LN(2)/35)*CK74+(1-EXP(-LN(2)/35))/(LN(2)/35)*CG75*CH75*VLOOKUP('Données projet'!$B$12,Paramètres!$A$1:$I$89,3,0)*0.475*44/12</f>
        <v>1.0701222663382908</v>
      </c>
      <c r="CL75" s="21">
        <f>EXP(-LN(2)/25)*CL74+(1-EXP(-LN(2)/25))/(LN(2)/25)*Calculateur!CG75*Calculateur!CI75*VLOOKUP('Données projet'!$B$12,Paramètres!$A$1:$I$89,3,0)*0.475*44/12</f>
        <v>4.4847892562877236</v>
      </c>
      <c r="CM75" s="21">
        <f>EXP(-LN(2)/2)*CM74+(1-EXP(-LN(2)/2))/(LN(2)/2)*CG75*CJ75*VLOOKUP('Données projet'!$B$12,Paramètres!$A$1:$I$89,3,0)*0.475*44/12</f>
        <v>1.0131138421886566E-5</v>
      </c>
      <c r="CN75" s="22">
        <f t="shared" si="66"/>
        <v>5.5549216537644357</v>
      </c>
      <c r="CO75" s="75">
        <f>('Scénario référence'!$F$8+'Scénario référence'!$F$9+'Scénario référence'!$B$17+'Scénario référence'!$B$9+'Scénario référence'!$B$10)*70+IF((45+25*(1-EXP(-0.0175*A75)))&lt;70,'Scénario référence'!$B$16*(45+25*(1-EXP(-0.0175*A75))),70*'Scénario référence'!$B$16)+IF((32+38*(1-EXP(-0.0175*A75)))&lt;70,'Scénario référence'!$B$18*(32+38*(1-EXP(-0.0175*A75))),70*'Scénario référence'!$B$18)</f>
        <v>70</v>
      </c>
      <c r="CP75" s="12">
        <f>IF(A75&gt;30,10,('Scénario référence'!$B$16+'Scénario référence'!$B$17+'Scénario référence'!$B$18+'Scénario référence'!$B$9+'Scénario référence'!$B$10)*A75*10/30+('Scénario référence'!$F$8+'Scénario référence'!$F$9)*10)</f>
        <v>10</v>
      </c>
      <c r="CQ75" s="12" t="e">
        <f>VLOOKUP(A75,'Données projet'!$A$139:$I$159,2,0)</f>
        <v>#N/A</v>
      </c>
      <c r="CR75" s="12" t="e">
        <f>VLOOKUP(A75,'Données projet'!$A$139:$I$159,9,0)</f>
        <v>#N/A</v>
      </c>
      <c r="CS75" s="12">
        <f t="array" ref="CS75">INDEX(CR:CR,MIN(IF(ISNUMBER(CR75:CR271),ROW(CR75:CR271),"")))</f>
        <v>0</v>
      </c>
      <c r="CT75" s="12">
        <f>IF('Données projet'!$A$140&gt;35,CT74+CS75-DB74,IF(A75&lt;'Données projet'!$A$140,$CQ$205^A75,IF(A75='Données projet'!$A$140,'Données projet'!$B$140,CT74+CS75-DB74)))</f>
        <v>0</v>
      </c>
      <c r="CU75" s="17" t="e">
        <f>CT75*VLOOKUP('Données projet'!$B$13,Paramètres!$A$1:$I$89,3,0)*VLOOKUP('Données projet'!$B$13,Paramètres!$A$1:$I$89,5,0)</f>
        <v>#N/A</v>
      </c>
      <c r="CV75" s="13" t="e">
        <f t="shared" si="95"/>
        <v>#N/A</v>
      </c>
      <c r="CW75" s="20" t="e">
        <f t="shared" si="67"/>
        <v>#N/A</v>
      </c>
      <c r="CX75" s="59" t="e">
        <f t="shared" si="68"/>
        <v>#N/A</v>
      </c>
      <c r="CY75" s="59" t="e">
        <f ca="1">AVERAGE(OFFSET($CX$3,0,0,'Données projet'!$E$13+1,1))-AVERAGE(OFFSET($H$3,0,0,'Données projet'!$E$13+1,1))</f>
        <v>#N/A</v>
      </c>
      <c r="CZ75" s="59" t="e">
        <f t="shared" si="96"/>
        <v>#N/A</v>
      </c>
      <c r="DA75" s="15">
        <f>IF(ISNA(VLOOKUP(A75,'Données projet'!$A$139:$I$159,3,0)),0,VLOOKUP(A75,'Données projet'!$A$139:$I$159,3,0))</f>
        <v>0</v>
      </c>
      <c r="DB75" s="15">
        <f>IF(ISNA(VLOOKUP(A75,'Données projet'!$A$139:$I$159,4,0)),0,VLOOKUP(A75,'Données projet'!$A$139:$I$159,4,0))</f>
        <v>0</v>
      </c>
      <c r="DC75" s="16">
        <f>IF(ISNA(VLOOKUP(A75,'Données projet'!$A$139:$I$159,5,0)),0%,VLOOKUP(A75,'Données projet'!$A$139:$I$159,5,0)*VLOOKUP('Données projet'!$B$13,Paramètres!$A$1:$I$89,7,0))</f>
        <v>0</v>
      </c>
      <c r="DD75" s="16">
        <f>IF(ISNA(VLOOKUP(A75,'Données projet'!$A$139:$I$159,6,0)),0%,VLOOKUP(A75,'Données projet'!$A$139:$I$159,6,0)*VLOOKUP('Données projet'!$B$13,Paramètres!$A$1:$I$89,7,0))</f>
        <v>0</v>
      </c>
      <c r="DE75" s="16">
        <f>IF(ISNA(VLOOKUP(A75,'Données projet'!$A$139:$I$159,7,0)),0%,VLOOKUP(A75,'Données projet'!$A$139:$I$159,7,0))</f>
        <v>0</v>
      </c>
      <c r="DF75" s="21" t="e">
        <f>EXP(-LN(2)/35)*DF74+(1-EXP(-LN(2)/35))/(LN(2)/35)*DB75*DC75*VLOOKUP('Données projet'!$B$13,Paramètres!$A$1:$I$89,3,0)*0.475*44/12</f>
        <v>#N/A</v>
      </c>
      <c r="DG75" s="21" t="e">
        <f>EXP(-LN(2)/25)*DG74+(1-EXP(-LN(2)/25))/(LN(2)/25)*Calculateur!DB75*Calculateur!DD75*VLOOKUP('Données projet'!$B$13,Paramètres!$A$1:$I$89,3,0)*0.475*44/12</f>
        <v>#N/A</v>
      </c>
      <c r="DH75" s="21" t="e">
        <f>EXP(-LN(2)/2)*DH74+(1-EXP(-LN(2)/2))/(LN(2)/2)*DB75*DE75*VLOOKUP('Données projet'!$B$13,Paramètres!$A$1:$I$89,3,0)*0.475*44/12</f>
        <v>#N/A</v>
      </c>
      <c r="DI75" s="22" t="e">
        <f t="shared" si="69"/>
        <v>#N/A</v>
      </c>
      <c r="DJ75" s="75">
        <f>('Scénario référence'!$F$8+'Scénario référence'!$F$9+'Scénario référence'!$B$17+'Scénario référence'!$B$9+'Scénario référence'!$B$10)*70+IF((45+25*(1-EXP(-0.0175*A75)))&lt;70,'Scénario référence'!$B$16*(45+25*(1-EXP(-0.0175*A75))),70*'Scénario référence'!$B$16)+IF((32+38*(1-EXP(-0.0175*A75)))&lt;70,'Scénario référence'!$B$18*(32+38*(1-EXP(-0.0175*A75))),70*'Scénario référence'!$B$18)</f>
        <v>70</v>
      </c>
      <c r="DK75" s="12">
        <f>IF(A75&gt;30,10,('Scénario référence'!$B$16+'Scénario référence'!$B$17+'Scénario référence'!$B$18+'Scénario référence'!$B$9+'Scénario référence'!$B$10)*A75*10/30+('Scénario référence'!$F$8+'Scénario référence'!$F$9)*10)</f>
        <v>10</v>
      </c>
      <c r="DL75" s="12" t="e">
        <f>VLOOKUP(A75,'Données projet'!$A$165:$I$185,2,0)</f>
        <v>#N/A</v>
      </c>
      <c r="DM75" s="12" t="e">
        <f>VLOOKUP(A75,'Données projet'!$A$165:$I$185,9,0)</f>
        <v>#N/A</v>
      </c>
      <c r="DN75" s="12">
        <f t="array" ref="DN75">INDEX(DM:DM,MIN(IF(ISNUMBER(DM75:DM271),ROW(DM75:DM271),"")))</f>
        <v>4.7</v>
      </c>
      <c r="DO75" s="12">
        <f>IF('Données projet'!$A$166&gt;35,DO74+DN75-DW74,IF(A75&lt;'Données projet'!$A$166,$DL$205^A75,IF(A75='Données projet'!$A$166,'Données projet'!$B$166,DO74+DN75-DW74)))</f>
        <v>258.40000000000026</v>
      </c>
      <c r="DP75" s="17">
        <f>DO75*VLOOKUP('Données projet'!$B$14,Paramètres!$A$1:$I$89,3,0)*VLOOKUP('Données projet'!$B$14,Paramètres!$A$1:$I$89,5,0)</f>
        <v>169.30368000000016</v>
      </c>
      <c r="DQ75" s="13">
        <f t="shared" si="97"/>
        <v>42.934033834973256</v>
      </c>
      <c r="DR75" s="20">
        <f t="shared" si="70"/>
        <v>369.64735159591197</v>
      </c>
      <c r="DS75" s="59">
        <f t="shared" si="71"/>
        <v>662.98068492924529</v>
      </c>
      <c r="DT75" s="59">
        <f ca="1">AVERAGE(OFFSET($DS$3,0,0,'Données projet'!$E$14+1,1))-AVERAGE(OFFSET($H$3,0,0,'Données projet'!$E$14+1,1))</f>
        <v>188.68915783955595</v>
      </c>
      <c r="DU75" s="59">
        <f t="shared" si="98"/>
        <v>240.82467772396944</v>
      </c>
      <c r="DV75" s="15">
        <f>IF(ISNA(VLOOKUP(A75,'Données projet'!$A$165:$I$185,3,0)),0,VLOOKUP(A75,'Données projet'!$A$165:$I$185,3,0))</f>
        <v>0</v>
      </c>
      <c r="DW75" s="15">
        <f>IF(ISNA(VLOOKUP(A75,'Données projet'!$A$165:$I$185,4,0)),0,VLOOKUP(A75,'Données projet'!$A$165:$I$185,4,0))</f>
        <v>0</v>
      </c>
      <c r="DX75" s="16">
        <f>IF(ISNA(VLOOKUP(A75,'Données projet'!$A$165:$I$185,5,0)),0%,VLOOKUP(A75,'Données projet'!$A$165:$I$185,5,0)*VLOOKUP('Données projet'!$B$14,Paramètres!$A$1:$I$89,7,0))</f>
        <v>0</v>
      </c>
      <c r="DY75" s="16">
        <f>IF(ISNA(VLOOKUP(A75,'Données projet'!$A$165:$I$185,6,0)),0%,VLOOKUP(A75,'Données projet'!$A$165:$I$185,6,0)*VLOOKUP('Données projet'!$B$14,Paramètres!$A$1:$I$89,7,0))</f>
        <v>0</v>
      </c>
      <c r="DZ75" s="16">
        <f>IF(ISNA(VLOOKUP(A75,'Données projet'!$A$165:$I$185,7,0)),0%,VLOOKUP(A75,'Données projet'!$A$165:$I$185,7,0))</f>
        <v>0</v>
      </c>
      <c r="EA75" s="21">
        <f>EXP(-LN(2)/35)*EA74+(1-EXP(-LN(2)/35))/(LN(2)/35)*DW75*DX75*VLOOKUP('Données projet'!$B$14,Paramètres!$A$1:$I$89,3,0)*0.475*44/12</f>
        <v>0.67783417964609749</v>
      </c>
      <c r="EB75" s="21">
        <f>EXP(-LN(2)/25)*EB74+(1-EXP(-LN(2)/25))/(LN(2)/25)*Calculateur!DW75*Calculateur!DY75*VLOOKUP('Données projet'!$B$14,Paramètres!$A$1:$I$89,3,0)*0.475*44/12</f>
        <v>2.5085293641740267</v>
      </c>
      <c r="EC75" s="21">
        <f>EXP(-LN(2)/2)*EC74+(1-EXP(-LN(2)/2))/(LN(2)/2)*DW75*DZ75*VLOOKUP('Données projet'!$B$14,Paramètres!$A$1:$I$89,3,0)*0.475*44/12</f>
        <v>6.674007409194511E-6</v>
      </c>
      <c r="ED75" s="22">
        <f t="shared" si="72"/>
        <v>3.1863702178275335</v>
      </c>
      <c r="EE75" s="75">
        <f>('Scénario référence'!$F$8+'Scénario référence'!$F$9+'Scénario référence'!$B$17+'Scénario référence'!$B$9+'Scénario référence'!$B$10)*70+IF((45+25*(1-EXP(-0.0175*A75)))&lt;70,'Scénario référence'!$B$16*(45+25*(1-EXP(-0.0175*A75))),70*'Scénario référence'!$B$16)+IF((32+38*(1-EXP(-0.0175*A75)))&lt;70,'Scénario référence'!$B$18*(32+38*(1-EXP(-0.0175*A75))),70*'Scénario référence'!$B$18)</f>
        <v>70</v>
      </c>
      <c r="EF75" s="12">
        <f>IF(A75&gt;30,10,('Scénario référence'!$B$16+'Scénario référence'!$B$17+'Scénario référence'!$B$18+'Scénario référence'!$B$9+'Scénario référence'!$B$10)*A75*10/30+('Scénario référence'!$F$8+'Scénario référence'!$F$9)*10)</f>
        <v>10</v>
      </c>
      <c r="EG75" s="12" t="e">
        <f>VLOOKUP(A75,'Données projet'!$A$191:$I$211,2,0)</f>
        <v>#N/A</v>
      </c>
      <c r="EH75" s="12" t="e">
        <f>VLOOKUP(A75,'Données projet'!$A$191:$I$211,9,0)</f>
        <v>#N/A</v>
      </c>
      <c r="EI75" s="12">
        <f t="array" ref="EI75">INDEX(EH:EH,MIN(IF(ISNUMBER(EH75:EH271),ROW(EH75:EH271),"")))</f>
        <v>5.2</v>
      </c>
      <c r="EJ75" s="12">
        <f>IF('Données projet'!$A$192&gt;35,EJ74+EI75-ER74,IF(A75&lt;'Données projet'!$A$192,$EG$205^A75,IF(A75='Données projet'!$A$192,'Données projet'!$B$192,EJ74+EI75-ER74)))</f>
        <v>251.39999999999992</v>
      </c>
      <c r="EK75" s="17">
        <f>EJ75*VLOOKUP('Données projet'!$B$15,Paramètres!$A$1:$I$89,3,0)*VLOOKUP('Données projet'!$B$15,Paramètres!$A$1:$I$89,5,0)</f>
        <v>203.93567999999993</v>
      </c>
      <c r="EL75" s="13">
        <f t="shared" si="99"/>
        <v>50.608127642968469</v>
      </c>
      <c r="EM75" s="20">
        <f t="shared" si="73"/>
        <v>443.33046497816991</v>
      </c>
      <c r="EN75" s="59">
        <f t="shared" si="74"/>
        <v>736.66379831150323</v>
      </c>
      <c r="EO75" s="59">
        <f ca="1">AVERAGE(OFFSET($EN$3,0,0,'Données projet'!$E$15+1,1))-AVERAGE(OFFSET($H$3,0,0,'Données projet'!$E$15+1,1))</f>
        <v>205.5272583787887</v>
      </c>
      <c r="EP75" s="59">
        <f t="shared" si="100"/>
        <v>180.54762778843178</v>
      </c>
      <c r="EQ75" s="15">
        <f>IF(ISNA(VLOOKUP(A75,'Données projet'!$A$191:$I$211,3,0)),0,VLOOKUP(A75,'Données projet'!$A$191:$I$211,3,0))</f>
        <v>0</v>
      </c>
      <c r="ER75" s="15">
        <f>IF(ISNA(VLOOKUP(A75,'Données projet'!$A$191:$I$211,4,0)),0,VLOOKUP(A75,'Données projet'!$A$191:$I$211,4,0))</f>
        <v>0</v>
      </c>
      <c r="ES75" s="16">
        <f>IF(ISNA(VLOOKUP(A75,'Données projet'!$A$191:$I$211,5,0)),0%,VLOOKUP(A75,'Données projet'!$A$191:$I$211,5,0)*VLOOKUP('Données projet'!$B$15,Paramètres!$A$1:$I$89,7,0))</f>
        <v>0</v>
      </c>
      <c r="ET75" s="16">
        <f>IF(ISNA(VLOOKUP(A75,'Données projet'!$A$191:$I$211,6,0)),0%,VLOOKUP(A75,'Données projet'!$A$191:$I$211,6,0)*VLOOKUP('Données projet'!$B$15,Paramètres!$A$1:$I$89,7,0))</f>
        <v>0</v>
      </c>
      <c r="EU75" s="16">
        <f>IF(ISNA(VLOOKUP(A75,'Données projet'!$A$191:$I$211,7,0)),0%,VLOOKUP(A75,'Données projet'!$A$191:$I$211,7,0))</f>
        <v>0</v>
      </c>
      <c r="EV75" s="21">
        <f>EXP(-LN(2)/35)*EV74+(1-EXP(-LN(2)/35))/(LN(2)/35)*ER75*ES75*VLOOKUP('Données projet'!$B$15,Paramètres!$A$1:$I$89,3,0)*0.475*44/12</f>
        <v>0.43639610041977306</v>
      </c>
      <c r="EW75" s="21">
        <f>EXP(-LN(2)/25)*EW74+(1-EXP(-LN(2)/25))/(LN(2)/25)*Calculateur!ER75*Calculateur!ET75*VLOOKUP('Données projet'!$B$15,Paramètres!$A$1:$I$89,3,0)*0.475*44/12</f>
        <v>1.8112342995923378</v>
      </c>
      <c r="EX75" s="21">
        <f>EXP(-LN(2)/2)*EX74+(1-EXP(-LN(2)/2))/(LN(2)/2)*ER75*EU75*VLOOKUP('Données projet'!$B$15,Paramètres!$A$1:$I$89,3,0)*0.475*44/12</f>
        <v>4.3214247323894227E-6</v>
      </c>
      <c r="EY75" s="22">
        <f t="shared" si="75"/>
        <v>2.2476347214368433</v>
      </c>
      <c r="EZ75" s="75">
        <f>('Scénario référence'!$F$8+'Scénario référence'!$F$9+'Scénario référence'!$B$17+'Scénario référence'!$B$9+'Scénario référence'!$B$10)*70+IF((45+25*(1-EXP(-0.0175*A75)))&lt;70,'Scénario référence'!$B$16*(45+25*(1-EXP(-0.0175*A75))),70*'Scénario référence'!$B$16)+IF((32+38*(1-EXP(-0.0175*A75)))&lt;70,'Scénario référence'!$B$18*(32+38*(1-EXP(-0.0175*A75))),70*'Scénario référence'!$B$18)</f>
        <v>70</v>
      </c>
      <c r="FA75" s="12">
        <f>IF(A75&gt;30,10,('Scénario référence'!$B$16+'Scénario référence'!$B$17+'Scénario référence'!$B$18+'Scénario référence'!$B$9+'Scénario référence'!$B$10)*A75*10/30+('Scénario référence'!$F$8+'Scénario référence'!$F$9)*10)</f>
        <v>10</v>
      </c>
      <c r="FB75" s="12" t="e">
        <f>VLOOKUP(A75,'Données projet'!$A$217:$I$237,2,0)</f>
        <v>#N/A</v>
      </c>
      <c r="FC75" s="12" t="e">
        <f>VLOOKUP(A75,'Données projet'!$A$217:$I$237,9,0)</f>
        <v>#N/A</v>
      </c>
      <c r="FD75" s="12">
        <f t="array" ref="FD75">INDEX(FC:FC,MIN(IF(ISNUMBER(FC75:FC271),ROW(FC75:FC271),"")))</f>
        <v>12.1</v>
      </c>
      <c r="FE75" s="12">
        <f>IF('Données projet'!$A$218&gt;35,FE74+FD75-FM74,IF(A75&lt;'Données projet'!$A$218,$FB$205^A75,IF(A75='Données projet'!$A$218,'Données projet'!$B$218,FE74+FD75-FM74)))</f>
        <v>304.2</v>
      </c>
      <c r="FF75" s="17">
        <f>FE75*VLOOKUP('Données projet'!$B$16,Paramètres!$A$1:$I$89,3,0)*VLOOKUP('Données projet'!$B$16,Paramètres!$A$1:$I$89,5,0)</f>
        <v>261.00360000000001</v>
      </c>
      <c r="FG75" s="13">
        <f t="shared" si="101"/>
        <v>62.936256929541173</v>
      </c>
      <c r="FH75" s="20">
        <f t="shared" si="76"/>
        <v>564.19525081895085</v>
      </c>
      <c r="FI75" s="59">
        <f t="shared" si="77"/>
        <v>857.52858415228411</v>
      </c>
      <c r="FJ75" s="59">
        <f ca="1">AVERAGE(OFFSET($FI$3,0,0,'Données projet'!$E$16+1,1))-AVERAGE(OFFSET($H$3,0,0,'Données projet'!$E$16+1,1))</f>
        <v>383.97627237444709</v>
      </c>
      <c r="FK75" s="59">
        <f t="shared" si="102"/>
        <v>203.35476578922339</v>
      </c>
      <c r="FL75" s="15">
        <f>IF(ISNA(VLOOKUP(A75,'Données projet'!$A$217:$I$237,3,0)),0,VLOOKUP(A75,'Données projet'!$A$217:$I$237,3,0))</f>
        <v>0</v>
      </c>
      <c r="FM75" s="15">
        <f>IF(ISNA(VLOOKUP(A75,'Données projet'!$A$217:$I$237,4,0)),0,VLOOKUP(A75,'Données projet'!$A$217:$I$237,4,0))</f>
        <v>0</v>
      </c>
      <c r="FN75" s="16">
        <f>IF(ISNA(VLOOKUP(A75,'Données projet'!$A$217:$I$237,5,0)),0%,VLOOKUP(A75,'Données projet'!$A$217:$I$237,5,0)*VLOOKUP('Données projet'!$B$16,Paramètres!$A$1:$I$89,7,0))</f>
        <v>0</v>
      </c>
      <c r="FO75" s="16">
        <f>IF(ISNA(VLOOKUP(A75,'Données projet'!$A$217:$I$237,6,0)),0%,VLOOKUP(A75,'Données projet'!$A$217:$I$237,6,0)*VLOOKUP('Données projet'!$B$16,Paramètres!$A$1:$I$89,7,0))</f>
        <v>0</v>
      </c>
      <c r="FP75" s="16">
        <f>IF(ISNA(VLOOKUP(A75,'Données projet'!$A$217:$I$237,7,0)),0%,VLOOKUP(A75,'Données projet'!$A$217:$I$237,7,0))</f>
        <v>0</v>
      </c>
      <c r="FQ75" s="21">
        <f>EXP(-LN(2)/35)*FQ74+(1-EXP(-LN(2)/35))/(LN(2)/35)*FM75*FN75*VLOOKUP('Données projet'!$B$16,Paramètres!$A$1:$I$89,3,0)*0.475*44/12</f>
        <v>2.2428392021152668</v>
      </c>
      <c r="FR75" s="21">
        <f>EXP(-LN(2)/25)*FR74+(1-EXP(-LN(2)/25))/(LN(2)/25)*Calculateur!FM75*Calculateur!FO75*VLOOKUP('Données projet'!$B$16,Paramètres!$A$1:$I$89,3,0)*0.475*44/12</f>
        <v>1.8385900229428713</v>
      </c>
      <c r="FS75" s="21">
        <f>EXP(-LN(2)/2)*FS74+(1-EXP(-LN(2)/2))/(LN(2)/2)*FM75*FP75*VLOOKUP('Données projet'!$B$16,Paramètres!$A$1:$I$89,3,0)*0.475*44/12</f>
        <v>7.9375703486394366E-6</v>
      </c>
      <c r="FT75" s="22">
        <f t="shared" si="78"/>
        <v>4.0814371626284869</v>
      </c>
      <c r="FU75" s="75">
        <f>('Scénario référence'!$F$8+'Scénario référence'!$F$9+'Scénario référence'!$B$17+'Scénario référence'!$B$9+'Scénario référence'!$B$10)*70+IF((45+25*(1-EXP(-0.0175*A75)))&lt;70,'Scénario référence'!$B$16*(45+25*(1-EXP(-0.0175*A75))),70*'Scénario référence'!$B$16)+IF((32+38*(1-EXP(-0.0175*A75)))&lt;70,'Scénario référence'!$B$18*(32+38*(1-EXP(-0.0175*A75))),70*'Scénario référence'!$B$18)</f>
        <v>70</v>
      </c>
      <c r="FV75" s="12">
        <f>IF(A75&gt;30,10,('Scénario référence'!$B$16+'Scénario référence'!$B$17+'Scénario référence'!$B$18+'Scénario référence'!$B$9+'Scénario référence'!$B$10)*A75*10/30+('Scénario référence'!$F$8+'Scénario référence'!$F$9)*10)</f>
        <v>10</v>
      </c>
      <c r="FW75" s="12" t="e">
        <f>VLOOKUP(A75,'Données projet'!$A$243:$I$263,2,0)</f>
        <v>#N/A</v>
      </c>
      <c r="FX75" s="12" t="e">
        <f>VLOOKUP(A75,'Données projet'!$A$243:$I$263,9,0)</f>
        <v>#N/A</v>
      </c>
      <c r="FY75" s="12">
        <f t="array" ref="FY75">INDEX(FX:FX,MIN(IF(ISNUMBER(FX75:FX271),ROW(FX75:FX271),"")))</f>
        <v>7.8425925925925934</v>
      </c>
      <c r="FZ75" s="12">
        <f>IF('Données projet'!$A$244&gt;35,FZ74+FY75-GH74,IF(A75&lt;'Données projet'!$A$244,$FW$205^A75,IF(A75='Données projet'!$A$244,'Données projet'!$B$244,FZ74+FY75-GH74)))</f>
        <v>211.27207977207976</v>
      </c>
      <c r="GA75" s="17">
        <f>FZ75*VLOOKUP('Données projet'!$B$17,Paramètres!$A$1:$I$89,3,0)*VLOOKUP('Données projet'!$B$17,Paramètres!$A$1:$I$89,5,0)</f>
        <v>227.41326666666666</v>
      </c>
      <c r="GB75" s="13">
        <f t="shared" si="103"/>
        <v>55.723001664055722</v>
      </c>
      <c r="GC75" s="20">
        <f t="shared" si="79"/>
        <v>493.12900067600816</v>
      </c>
      <c r="GD75" s="59">
        <f t="shared" si="80"/>
        <v>786.46233400934148</v>
      </c>
      <c r="GE75" s="59">
        <f ca="1">AVERAGE(OFFSET($GD$3,0,0,'Données projet'!$E$17+1,1))-AVERAGE(OFFSET($H$3,0,0,'Données projet'!$E$17+1,1))</f>
        <v>286.77702855541287</v>
      </c>
      <c r="GF75" s="59">
        <f t="shared" si="104"/>
        <v>227.12211541860779</v>
      </c>
      <c r="GG75" s="15">
        <f>IF(ISNA(VLOOKUP(A75,'Données projet'!$A$243:$I$263,3,0)),0,VLOOKUP(A75,'Données projet'!$A$243:$I$263,3,0))</f>
        <v>0</v>
      </c>
      <c r="GH75" s="15">
        <f>IF(ISNA(VLOOKUP(A75,'Données projet'!$A$243:$I$263,4,0)),0,VLOOKUP(A75,'Données projet'!$A$243:$I$263,4,0))</f>
        <v>0</v>
      </c>
      <c r="GI75" s="16">
        <f>IF(ISNA(VLOOKUP(A75,'Données projet'!$A$243:$I$263,5,0)),0%,VLOOKUP(A75,'Données projet'!$A$243:$I$263,5,0)*VLOOKUP('Données projet'!$B$17,Paramètres!$A$1:$I$89,7,0))</f>
        <v>0</v>
      </c>
      <c r="GJ75" s="16">
        <f>IF(ISNA(VLOOKUP(A75,'Données projet'!$A$243:$I$263,6,0)),0%,VLOOKUP(A75,'Données projet'!$A$243:$I$263,6,0)*VLOOKUP('Données projet'!$B$17,Paramètres!$A$1:$I$89,7,0))</f>
        <v>0</v>
      </c>
      <c r="GK75" s="16">
        <f>IF(ISNA(VLOOKUP(A75,'Données projet'!$A$243:$I$263,7,0)),0%,VLOOKUP(A75,'Données projet'!$A$243:$I$263,7,0))</f>
        <v>0</v>
      </c>
      <c r="GL75" s="21">
        <f>EXP(-LN(2)/35)*GL74+(1-EXP(-LN(2)/35))/(LN(2)/35)*GH75*GI75*VLOOKUP('Données projet'!$B$17,Paramètres!$A$1:$I$89,3,0)*0.475*44/12</f>
        <v>0</v>
      </c>
      <c r="GM75" s="21">
        <f>EXP(-LN(2)/25)*GM74+(1-EXP(-LN(2)/25))/(LN(2)/25)*Calculateur!GH75*Calculateur!GJ75*VLOOKUP('Données projet'!$B$17,Paramètres!$A$1:$I$89,3,0)*0.475*44/12</f>
        <v>0</v>
      </c>
      <c r="GN75" s="21">
        <f>EXP(-LN(2)/2)*GN74+(1-EXP(-LN(2)/2))/(LN(2)/2)*GH75*GK75*VLOOKUP('Données projet'!$B$17,Paramètres!$A$1:$I$89,3,0)*0.475*44/12</f>
        <v>0</v>
      </c>
      <c r="GO75" s="21">
        <f t="shared" si="81"/>
        <v>0</v>
      </c>
      <c r="GP75" s="75">
        <f>('Scénario référence'!$F$8+'Scénario référence'!$F$9+'Scénario référence'!$B$17+'Scénario référence'!$B$9+'Scénario référence'!$B$10)*70+IF((45+25*(1-EXP(-0.0175*A75)))&lt;70,'Scénario référence'!$B$16*(45+25*(1-EXP(-0.0175*A75))),70*'Scénario référence'!$B$16)+IF((32+38*(1-EXP(-0.0175*A75)))&lt;70,'Scénario référence'!$B$18*(32+38*(1-EXP(-0.0175*A75))),70*'Scénario référence'!$B$18)</f>
        <v>70</v>
      </c>
      <c r="GQ75" s="12">
        <f>IF(A75&gt;30,10,('Scénario référence'!$B$16+'Scénario référence'!$B$17+'Scénario référence'!$B$18+'Scénario référence'!$B$9+'Scénario référence'!$B$10)*A75*10/30+('Scénario référence'!$F$8+'Scénario référence'!$F$9)*10)</f>
        <v>10</v>
      </c>
      <c r="GR75" s="12" t="e">
        <f>VLOOKUP(A75,'Données projet'!$A$269:$I$289,2,0)</f>
        <v>#N/A</v>
      </c>
      <c r="GS75" s="12" t="e">
        <f>VLOOKUP(A75,'Données projet'!$A$269:$I$289,9,0)</f>
        <v>#N/A</v>
      </c>
      <c r="GT75" s="12">
        <f t="array" ref="GT75">INDEX(GS:GS,MIN(IF(ISNUMBER(GS75:GS271),ROW(GS75:GS271),"")))</f>
        <v>7.8425925925925934</v>
      </c>
      <c r="GU75" s="12">
        <f>IF('Données projet'!$A$270&gt;35,GU74+GT75-HC74,IF(A75&lt;'Données projet'!$A$270,$GR$205^A75,IF(A75='Données projet'!$A$270,'Données projet'!$B$270,GU74+GT75-HC74)))</f>
        <v>211.27207977207976</v>
      </c>
      <c r="GV75" s="17">
        <f>GU75*VLOOKUP('Données projet'!$B$18,Paramètres!$A$1:$I$89,3,0)*VLOOKUP('Données projet'!$B$18,Paramètres!$A$1:$I$89,5,0)</f>
        <v>227.41326666666666</v>
      </c>
      <c r="GW75" s="13">
        <f t="shared" si="105"/>
        <v>55.723001664055722</v>
      </c>
      <c r="GX75" s="20">
        <f t="shared" si="82"/>
        <v>493.12900067600816</v>
      </c>
      <c r="GY75" s="59">
        <f t="shared" si="83"/>
        <v>786.46233400934148</v>
      </c>
      <c r="GZ75" s="59">
        <f ca="1">AVERAGE(OFFSET($GY$3,0,0,'Données projet'!$E$18+1,1))-AVERAGE(OFFSET($H$3,0,0,'Données projet'!$E$18+1,1))</f>
        <v>286.77702855541287</v>
      </c>
      <c r="HA75" s="59">
        <f t="shared" si="106"/>
        <v>227.12211541860779</v>
      </c>
      <c r="HB75" s="15">
        <f>IF(ISNA(VLOOKUP(A75,'Données projet'!$A$269:$I$289,3,0)),0,VLOOKUP(A75,'Données projet'!$A$269:$I$289,3,0))</f>
        <v>0</v>
      </c>
      <c r="HC75" s="15">
        <f>IF(ISNA(VLOOKUP(A75,'Données projet'!$A$269:$I$289,4,0)),0,VLOOKUP(A75,'Données projet'!$A$269:$I$289,4,0))</f>
        <v>0</v>
      </c>
      <c r="HD75" s="16">
        <f>IF(ISNA(VLOOKUP(A75,'Données projet'!$A$269:$I$289,5,0)),0%,VLOOKUP(A75,'Données projet'!$A$269:$I$289,5,0)*VLOOKUP('Données projet'!$B$18,Paramètres!$A$1:$I$89,7,0))</f>
        <v>0</v>
      </c>
      <c r="HE75" s="16">
        <f>IF(ISNA(VLOOKUP(A75,'Données projet'!$A$269:$I$289,6,0)),0%,VLOOKUP(A75,'Données projet'!$A$269:$I$289,6,0)*VLOOKUP('Données projet'!$B$18,Paramètres!$A$1:$I$89,7,0))</f>
        <v>0</v>
      </c>
      <c r="HF75" s="16">
        <f>IF(ISNA(VLOOKUP(A75,'Données projet'!$A$269:$I$289,7,0)),0%,VLOOKUP(A75,'Données projet'!$A$269:$I$289,7,0))</f>
        <v>0</v>
      </c>
      <c r="HG75" s="21">
        <f>EXP(-LN(2)/35)*HG74+(1-EXP(-LN(2)/35))/(LN(2)/35)*HC75*HD75*VLOOKUP('Données projet'!$B$18,Paramètres!$A$1:$I$89,3,0)*0.475*44/12</f>
        <v>0</v>
      </c>
      <c r="HH75" s="21">
        <f>EXP(-LN(2)/25)*HH74+(1-EXP(-LN(2)/25))/(LN(2)/25)*Calculateur!HC75*Calculateur!HE75*VLOOKUP('Données projet'!$B$18,Paramètres!$A$1:$I$89,3,0)*0.475*44/12</f>
        <v>0</v>
      </c>
      <c r="HI75" s="21">
        <f>EXP(-LN(2)/2)*HI74+(1-EXP(-LN(2)/2))/(LN(2)/2)*HC75*HF75*VLOOKUP('Données projet'!$B$18,Paramètres!$A$1:$I$89,3,0)*0.475*44/12</f>
        <v>0</v>
      </c>
      <c r="HJ75" s="22">
        <f t="shared" si="84"/>
        <v>0</v>
      </c>
    </row>
    <row r="76" spans="1:218" x14ac:dyDescent="0.25">
      <c r="A76" s="10">
        <f t="shared" si="85"/>
        <v>73</v>
      </c>
      <c r="B76" s="73">
        <f>'Scénario référence'!$B$16*5+'Scénario référence'!$B$17*0+'Scénario référence'!$B$18*5</f>
        <v>0</v>
      </c>
      <c r="C76" s="19">
        <f>Calculateur!C75+'Scénario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64.911600000000078</v>
      </c>
      <c r="D76" s="11">
        <f t="shared" si="86"/>
        <v>18.404332112224722</v>
      </c>
      <c r="E7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76" s="11">
        <f>IF(OR('Scénario référence'!$F$8&gt;0,'Scénario référence'!$F$9&gt;0),('Scénario référence'!$F$8+'Scénario référence'!$F$9)*10,0)</f>
        <v>10</v>
      </c>
      <c r="G76" s="11">
        <f>'Scénario référence'!$B$8*B76*44/12+'Scénario référence'!$B$9*(C76+D76)/0.475*44/12+'Scénario référence'!$B$10*(C76+D76)/0.475*44/12+'Scénario référence'!$F$8*(C76+D76)/0.475*44/12+'Scénario référence'!$F$9*(C76+D76)/0.475*44/12</f>
        <v>643.14052858559501</v>
      </c>
      <c r="H76" s="67">
        <f t="shared" si="56"/>
        <v>438.44191509545817</v>
      </c>
      <c r="I76" s="70">
        <f>('Scénario référence'!$F$8+'Scénario référence'!$F$9+'Scénario référence'!$B$17+'Scénario référence'!$B$9+'Scénario référence'!$B$10)*70+IF((45+25*(1-EXP(-0.0175*A76)))&lt;70,'Scénario référence'!$B$16*(45+25*(1-EXP(-0.0175*A76))),70*'Scénario référence'!$B$16)+IF((32+38*(1-EXP(-0.0175*A76)))&lt;70,'Scénario référence'!$B$18*(32+38*(1-EXP(-0.0175*A76))),70*'Scénario référence'!$B$18)</f>
        <v>70</v>
      </c>
      <c r="J76" s="13">
        <f>IF(A76&gt;30,10,('Scénario référence'!$B$16+'Scénario référence'!$B$17+'Scénario référence'!$B$18+'Scénario référence'!$B$9+'Scénario référence'!$B$10)*A76*10/30+('Scénario référence'!$F$8+'Scénario référence'!$F$9)*10)</f>
        <v>10</v>
      </c>
      <c r="K76" s="12" t="e">
        <f>VLOOKUP(A76,'Données projet'!$A$35:$I$55,2,0)</f>
        <v>#N/A</v>
      </c>
      <c r="L76" s="12" t="e">
        <f>VLOOKUP(A76,'Données projet'!$A$35:$I$55,9,0)</f>
        <v>#N/A</v>
      </c>
      <c r="M76" s="12">
        <f t="array" ref="M76">INDEX(L:L,MIN(IF(ISNUMBER(L76:L272),ROW(L76:L272),"")))</f>
        <v>0</v>
      </c>
      <c r="N76" s="13">
        <f>IF('Données projet'!$A$36&gt;35,N75+M76-V75,IF(A76&lt;'Données projet'!$A$36,$K$205^A76,IF(A76='Données projet'!$A$36,'Données projet'!$B$36,N75+M76-V75)))</f>
        <v>-2.2737367544323206E-13</v>
      </c>
      <c r="O76" s="13">
        <f>N76*VLOOKUP('Données projet'!$B$9,Paramètres!$A$1:$I$89,3,0)*VLOOKUP('Données projet'!$B$9,Paramètres!$A$1:$I$89,5,0)</f>
        <v>-1.2710188457276673E-13</v>
      </c>
      <c r="P76" s="13" t="e">
        <f t="shared" si="87"/>
        <v>#NUM!</v>
      </c>
      <c r="Q76" s="20" t="e">
        <f t="shared" si="54"/>
        <v>#NUM!</v>
      </c>
      <c r="R76" s="59" t="e">
        <f t="shared" si="55"/>
        <v>#NUM!</v>
      </c>
      <c r="S76" s="59">
        <f ca="1">AVERAGE(OFFSET($R$3,0,0,'Données projet'!$E$9+1,1))-AVERAGE(OFFSET($H$3,0,0,'Données projet'!$E$9+1,1))</f>
        <v>255.5374979188561</v>
      </c>
      <c r="T76" s="59">
        <f t="shared" si="88"/>
        <v>343.10418468620901</v>
      </c>
      <c r="U76" s="15">
        <f>IF(ISNA(VLOOKUP(A76,'Données projet'!$A$35:$I$55,3,0)),0,VLOOKUP(A76,'Données projet'!$A$35:$I$55,3,0))</f>
        <v>0</v>
      </c>
      <c r="V76" s="15">
        <f>IF(ISNA(VLOOKUP(A76,'Données projet'!$A$35:$I$55,4,0)),0,VLOOKUP(A76,'Données projet'!$A$35:$I$55,4,0))</f>
        <v>0</v>
      </c>
      <c r="W76" s="16">
        <f>IF(ISNA(VLOOKUP(A76,'Données projet'!$A$35:$I$55,5,0)),0%,VLOOKUP(A76,'Données projet'!$A$35:$I$55,5,0)*VLOOKUP('Données projet'!$B$9,Paramètres!$A$1:$I$89,7,0))</f>
        <v>0</v>
      </c>
      <c r="X76" s="16">
        <f>IF(ISNA(VLOOKUP(A76,'Données projet'!$A$35:$I$55,6,0)),0%,VLOOKUP(A76,'Données projet'!$A$35:$I$55,6,0)*VLOOKUP('Données projet'!$B$9,Paramètres!$A$1:$I$89,7,0))</f>
        <v>0</v>
      </c>
      <c r="Y76" s="16">
        <f>IF(ISNA(VLOOKUP(A76,'Données projet'!$A$35:$I$55,7,0)),0%,VLOOKUP(A76,'Données projet'!$A$35:$I$55,7,0))</f>
        <v>0</v>
      </c>
      <c r="Z76" s="21">
        <f>EXP(-LN(2)/35)*Z75+(1-EXP(-LN(2)/35))/(LN(2)/35)*V76*W76*VLOOKUP('Données projet'!$B$9,Paramètres!$A$1:$I$89,3,0)*0.475*44/12</f>
        <v>1.3186434093483634</v>
      </c>
      <c r="AA76" s="21">
        <f>EXP(-LN(2)/25)*AA75+(1-EXP(-LN(2)/25))/(LN(2)/25)*Calculateur!V76*Calculateur!X76*VLOOKUP('Données projet'!$B$9,Paramètres!$A$1:$I$89,3,0)*0.475*44/12</f>
        <v>4.8447162473976917</v>
      </c>
      <c r="AB76" s="21">
        <f>EXP(-LN(2)/2)*AB75+(1-EXP(-LN(2)/2))/(LN(2)/2)*V76*Y76*VLOOKUP('Données projet'!$B$9,Paramètres!$A$1:$I$89,3,0)*0.475*44/12</f>
        <v>5.7071960619520231E-7</v>
      </c>
      <c r="AC76" s="22">
        <f t="shared" si="57"/>
        <v>6.1633602274656605</v>
      </c>
      <c r="AD76" s="13">
        <f>('Scénario référence'!$F$8+'Scénario référence'!$F$9+'Scénario référence'!$B$17+'Scénario référence'!$B$9+'Scénario référence'!$B$10)*70+IF((45+25*(1-EXP(-0.0175*A76)))&lt;70,'Scénario référence'!$B$16*(45+25*(1-EXP(-0.0175*A76))),70*'Scénario référence'!$B$16)+IF((32+38*(1-EXP(-0.0175*A76)))&lt;70,'Scénario référence'!$B$18*(32+38*(1-EXP(-0.0175*A76))),70*'Scénario référence'!$B$18)</f>
        <v>70</v>
      </c>
      <c r="AE76" s="13">
        <f>IF(A76&gt;30,10,('Scénario référence'!$B$16+'Scénario référence'!$B$17+'Scénario référence'!$B$18+'Scénario référence'!$B$9+'Scénario référence'!$B$10)*A76*10/30+('Scénario référence'!$F$8+'Scénario référence'!$F$9)*10)</f>
        <v>10</v>
      </c>
      <c r="AF76" s="12" t="e">
        <f>VLOOKUP(A76,'Données projet'!$A$61:$I$81,2,0)</f>
        <v>#N/A</v>
      </c>
      <c r="AG76" s="12" t="e">
        <f>VLOOKUP(A76,'Données projet'!$A$61:$I$81,9,0)</f>
        <v>#N/A</v>
      </c>
      <c r="AH76" s="12">
        <f t="array" ref="AH76">INDEX(AG:AG,MIN(IF(ISNUMBER(AG76:AG272),ROW(AG76:AG272),"")))</f>
        <v>6</v>
      </c>
      <c r="AI76" s="13">
        <f>IF('Données projet'!$A$62&gt;35,AI75+AH76-AQ75,IF(A76&lt;'Données projet'!$A$62,$AF$205^A76,IF(A76='Données projet'!$A$62,'Données projet'!$B$62,AI75+AH76-AQ75)))</f>
        <v>400</v>
      </c>
      <c r="AJ76" s="13">
        <f>AI76*VLOOKUP('Données projet'!$B$10,Paramètres!$A$1:$I$89,3,0)*VLOOKUP('Données projet'!$B$10,Paramètres!$A$1:$I$89,5,0)</f>
        <v>249.60000000000002</v>
      </c>
      <c r="AK76" s="13">
        <f t="shared" si="89"/>
        <v>60.500278891753695</v>
      </c>
      <c r="AL76" s="20">
        <f t="shared" si="58"/>
        <v>540.0913190698044</v>
      </c>
      <c r="AM76" s="59">
        <f t="shared" si="59"/>
        <v>833.42465240313777</v>
      </c>
      <c r="AN76" s="59">
        <f ca="1">AVERAGE(OFFSET($AM$3,0,0,'Données projet'!$E$10+1,1))-AVERAGE(OFFSET($H$3,0,0,'Données projet'!$E$10+1,1))</f>
        <v>261.78489480911571</v>
      </c>
      <c r="AO76" s="59">
        <f t="shared" si="90"/>
        <v>297.50513563712764</v>
      </c>
      <c r="AP76" s="15">
        <f>IF(ISNA(VLOOKUP(A76,'Données projet'!$A$61:$I$81,3,0)),0,VLOOKUP(A76,'Données projet'!$A$61:$I$81,3,0))</f>
        <v>0</v>
      </c>
      <c r="AQ76" s="15">
        <f>IF(ISNA(VLOOKUP(A76,'Données projet'!$A$61:$I$81,4,0)),0,VLOOKUP(A76,'Données projet'!$A$61:$I$81,4,0))</f>
        <v>0</v>
      </c>
      <c r="AR76" s="16">
        <f>IF(ISNA(VLOOKUP(A76,'Données projet'!$A$61:$I$81,5,0)),0%,VLOOKUP(A76,'Données projet'!$A$61:$I$81,5,0)*VLOOKUP('Données projet'!$B$10,Paramètres!$A$1:$I$89,7,0))</f>
        <v>0</v>
      </c>
      <c r="AS76" s="16">
        <f>IF(ISNA(VLOOKUP(A76,'Données projet'!$A$61:$I$81,6,0)),0%,VLOOKUP(A76,'Données projet'!$A$61:$I$81,6,0)*VLOOKUP('Données projet'!$B$10,Paramètres!$A$1:$I$89,7,0))</f>
        <v>0</v>
      </c>
      <c r="AT76" s="16">
        <f>IF(ISNA(VLOOKUP(A76,'Données projet'!$A$61:$I$81,7,0)),0%,VLOOKUP(A76,'Données projet'!$A$61:$I$81,7,0))</f>
        <v>0</v>
      </c>
      <c r="AU76" s="21">
        <f>EXP(-LN(2)/35)*AU75+(1-EXP(-LN(2)/35))/(LN(2)/35)*AQ76*AR76*VLOOKUP('Données projet'!$B$10,Paramètres!$A$1:$I$89,3,0)*0.475*44/12</f>
        <v>3.5607101817399802</v>
      </c>
      <c r="AV76" s="21">
        <f>EXP(-LN(2)/25)*AV75+(1-EXP(-LN(2)/25))/(LN(2)/25)*Calculateur!AQ76*Calculateur!AS76*VLOOKUP('Données projet'!$B$10,Paramètres!$A$1:$I$89,3,0)*0.475*44/12</f>
        <v>8.4598627005195013</v>
      </c>
      <c r="AW76" s="21">
        <f>EXP(-LN(2)/2)*AW75+(1-EXP(-LN(2)/2))/(LN(2)/2)*AQ76*AT76*VLOOKUP('Données projet'!$B$10,Paramètres!$A$1:$I$89,3,0)*0.475*44/12</f>
        <v>8.2274664506623608E-6</v>
      </c>
      <c r="AX76" s="21">
        <f t="shared" si="60"/>
        <v>12.020581109725931</v>
      </c>
      <c r="AY76" s="74">
        <f>('Scénario référence'!$F$8+'Scénario référence'!$F$9+'Scénario référence'!$B$17+'Scénario référence'!$B$9+'Scénario référence'!$B$10)*70+IF((45+25*(1-EXP(-0.0175*A76)))&lt;70,'Scénario référence'!$B$16*(45+25*(1-EXP(-0.0175*A76))),70*'Scénario référence'!$B$16)+IF((32+38*(1-EXP(-0.0175*A76)))&lt;70,'Scénario référence'!$B$18*(32+38*(1-EXP(-0.0175*A76))),70*'Scénario référence'!$B$18)</f>
        <v>70</v>
      </c>
      <c r="AZ76" s="12">
        <f>IF(A76&gt;30,10,('Scénario référence'!$B$16+'Scénario référence'!$B$17+'Scénario référence'!$B$18+'Scénario référence'!$B$9+'Scénario référence'!$B$10)*A76*10/30+('Scénario référence'!$F$8+'Scénario référence'!$F$9)*10)</f>
        <v>10</v>
      </c>
      <c r="BA76" s="12" t="e">
        <f>VLOOKUP(A76,'Données projet'!$A$87:$I$107,2,0)</f>
        <v>#N/A</v>
      </c>
      <c r="BB76" s="12" t="e">
        <f>VLOOKUP(A76,'Données projet'!$A$87:$I$107,9,0)</f>
        <v>#N/A</v>
      </c>
      <c r="BC76" s="12">
        <f t="array" ref="BC76">INDEX(BB:BB,MIN(IF(ISNUMBER(BB76:BB272),ROW(BB76:BB272),"")))</f>
        <v>14.5</v>
      </c>
      <c r="BD76" s="12">
        <f>IF('Données projet'!$A$88&gt;35,BD75+BC76-BL75,IF(A76&lt;'Données projet'!$A$88,$BA$205^A76,IF(A76='Données projet'!$A$88,'Données projet'!$B$88,BD75+BC76-BL75)))</f>
        <v>504.49999999999955</v>
      </c>
      <c r="BE76" s="13">
        <f>BD76*VLOOKUP('Données projet'!$B$11,Paramètres!$A$1:$I$89,3,0)*VLOOKUP('Données projet'!$B$11,Paramètres!$A$1:$I$89,5,0)</f>
        <v>301.69099999999975</v>
      </c>
      <c r="BF76" s="13">
        <f t="shared" si="91"/>
        <v>71.530845976260522</v>
      </c>
      <c r="BG76" s="20">
        <f t="shared" si="61"/>
        <v>650.02804840865338</v>
      </c>
      <c r="BH76" s="59">
        <f t="shared" si="62"/>
        <v>943.36138174198663</v>
      </c>
      <c r="BI76" s="59">
        <f ca="1">AVERAGE(OFFSET($BH$3,0,0,'Données projet'!$E$11+1,1))-AVERAGE(OFFSET($H$3,0,0,'Données projet'!$E$11+1,1))</f>
        <v>316.58509520829671</v>
      </c>
      <c r="BJ76" s="59">
        <f t="shared" si="92"/>
        <v>240.71332110643596</v>
      </c>
      <c r="BK76" s="15">
        <f>IF(ISNA(VLOOKUP(A76,'Données projet'!$A$87:$I$107,3,0)),0,VLOOKUP(A76,'Données projet'!$A$87:$I$107,3,0))</f>
        <v>0</v>
      </c>
      <c r="BL76" s="15">
        <f>IF(ISNA(VLOOKUP(A76,'Données projet'!$A$87:$I$107,4,0)),0,VLOOKUP(A76,'Données projet'!$A$87:$I$107,4,0))</f>
        <v>0</v>
      </c>
      <c r="BM76" s="16">
        <f>IF(ISNA(VLOOKUP(A76,'Données projet'!$A$87:$I$107,5,0)),0%,VLOOKUP(A76,'Données projet'!$A$87:$I$107,5,0)*VLOOKUP('Données projet'!$B$11,Paramètres!$A$1:$I$89,7,0))</f>
        <v>0</v>
      </c>
      <c r="BN76" s="16">
        <f>IF(ISNA(VLOOKUP(A76,'Données projet'!$A$87:$I$107,6,0)),0%,VLOOKUP(A76,'Données projet'!$A$87:$I$107,6,0)*VLOOKUP('Données projet'!$B$11,Paramètres!$A$1:$I$89,7,0))</f>
        <v>0</v>
      </c>
      <c r="BO76" s="16">
        <f>IF(ISNA(VLOOKUP(A76,'Données projet'!$A$87:$I$107,7,0)),0%,VLOOKUP(A76,'Données projet'!$A$87:$I$107,7,0))</f>
        <v>0</v>
      </c>
      <c r="BP76" s="21">
        <f>EXP(-LN(2)/35)*BP75+(1-EXP(-LN(2)/35))/(LN(2)/35)*BL76*BM76*VLOOKUP('Données projet'!$B$11,Paramètres!$A$1:$I$89,3,0)*0.475*44/12</f>
        <v>1.0815922110828473</v>
      </c>
      <c r="BQ76" s="21">
        <f>EXP(-LN(2)/25)*BQ75+(1-EXP(-LN(2)/25))/(LN(2)/25)*Calculateur!BL76*Calculateur!BN76*VLOOKUP('Données projet'!$B$11,Paramètres!$A$1:$I$89,3,0)*0.475*44/12</f>
        <v>4.6345596298663869</v>
      </c>
      <c r="BR76" s="21">
        <f>EXP(-LN(2)/2)*BR75+(1-EXP(-LN(2)/2))/(LN(2)/2)*BL76*BO76*VLOOKUP('Données projet'!$B$11,Paramètres!$A$1:$I$89,3,0)*0.475*44/12</f>
        <v>7.3973933504460767E-6</v>
      </c>
      <c r="BS76" s="22">
        <f t="shared" si="63"/>
        <v>5.7161592383425841</v>
      </c>
      <c r="BT76" s="75">
        <f>('Scénario référence'!$F$8+'Scénario référence'!$F$9+'Scénario référence'!$B$17+'Scénario référence'!$B$9+'Scénario référence'!$B$10)*70+IF((45+25*(1-EXP(-0.0175*A76)))&lt;70,'Scénario référence'!$B$16*(45+25*(1-EXP(-0.0175*A76))),70*'Scénario référence'!$B$16)+IF((32+38*(1-EXP(-0.0175*A76)))&lt;70,'Scénario référence'!$B$18*(32+38*(1-EXP(-0.0175*A76))),70*'Scénario référence'!$B$18)</f>
        <v>70</v>
      </c>
      <c r="BU76" s="12">
        <f>IF(A76&gt;30,10,('Scénario référence'!$B$16+'Scénario référence'!$B$17+'Scénario référence'!$B$18+'Scénario référence'!$B$9+'Scénario référence'!$B$10)*A76*10/30+('Scénario référence'!$F$8+'Scénario référence'!$F$9)*10)</f>
        <v>10</v>
      </c>
      <c r="BV76" s="12" t="e">
        <f>VLOOKUP(A76,'Données projet'!$A$113:$I$133,2,0)</f>
        <v>#N/A</v>
      </c>
      <c r="BW76" s="12" t="e">
        <f>VLOOKUP(A76,'Données projet'!$A$113:$I$133,9,0)</f>
        <v>#N/A</v>
      </c>
      <c r="BX76" s="12">
        <f t="array" ref="BX76">INDEX(BW:BW,MIN(IF(ISNUMBER(BW76:BW272),ROW(BW76:BW272),"")))</f>
        <v>5.4</v>
      </c>
      <c r="BY76" s="12">
        <f>IF('Données projet'!$A$114&gt;35,BY75+BX76-CG75,IF(A76&lt;'Données projet'!$A$114,$BV$205^A76,IF(A76='Données projet'!$A$114,'Données projet'!$B$114,BY75+BX76-CG75)))</f>
        <v>316.19999999999982</v>
      </c>
      <c r="BZ76" s="13">
        <f>BY76*VLOOKUP('Données projet'!$B$12,Paramètres!$A$1:$I$89,3,0)*VLOOKUP('Données projet'!$B$12,Paramètres!$A$1:$I$89,5,0)</f>
        <v>180.86639999999991</v>
      </c>
      <c r="CA76" s="13">
        <f t="shared" si="93"/>
        <v>45.51489030210211</v>
      </c>
      <c r="CB76" s="20">
        <f t="shared" si="64"/>
        <v>394.28074727616104</v>
      </c>
      <c r="CC76" s="59">
        <f t="shared" si="65"/>
        <v>687.61408060949429</v>
      </c>
      <c r="CD76" s="59">
        <f ca="1">AVERAGE(OFFSET($CC$3,0,0,'Données projet'!$E$12+1,1))-AVERAGE(OFFSET($H$3,0,0,'Données projet'!$E$12+1,1))</f>
        <v>188.64374818906128</v>
      </c>
      <c r="CE76" s="59">
        <f t="shared" si="94"/>
        <v>211.95157880548652</v>
      </c>
      <c r="CF76" s="15">
        <f>IF(ISNA(VLOOKUP(A76,'Données projet'!$A$113:$I$133,3,0)),0,VLOOKUP(A76,'Données projet'!$A$113:$I$133,3,0))</f>
        <v>0</v>
      </c>
      <c r="CG76" s="15">
        <f>IF(ISNA(VLOOKUP(A76,'Données projet'!$A$113:$I$133,4,0)),0,VLOOKUP(A76,'Données projet'!$A$113:$I$133,4,0))</f>
        <v>0</v>
      </c>
      <c r="CH76" s="16">
        <f>IF(ISNA(VLOOKUP(A76,'Données projet'!$A$113:$I$133,5,0)),0%,VLOOKUP(A76,'Données projet'!$A$113:$I$133,5,0)*VLOOKUP('Données projet'!$B$12,Paramètres!$A$1:$I$89,7,0))</f>
        <v>0</v>
      </c>
      <c r="CI76" s="16">
        <f>IF(ISNA(VLOOKUP(A76,'Données projet'!$A$113:$I$133,6,0)),0%,VLOOKUP(A76,'Données projet'!$A$113:$I$133,6,0)*VLOOKUP('Données projet'!$B$12,Paramètres!$A$1:$I$89,7,0))</f>
        <v>0</v>
      </c>
      <c r="CJ76" s="16">
        <f>IF(ISNA(VLOOKUP(A76,'Données projet'!$A$113:$I$133,7,0)),0%,VLOOKUP(A76,'Données projet'!$A$113:$I$133,7,0))</f>
        <v>0</v>
      </c>
      <c r="CK76" s="21">
        <f>EXP(-LN(2)/35)*CK75+(1-EXP(-LN(2)/35))/(LN(2)/35)*CG76*CH76*VLOOKUP('Données projet'!$B$12,Paramètres!$A$1:$I$89,3,0)*0.475*44/12</f>
        <v>1.0491378214055296</v>
      </c>
      <c r="CL76" s="21">
        <f>EXP(-LN(2)/25)*CL75+(1-EXP(-LN(2)/25))/(LN(2)/25)*Calculateur!CG76*Calculateur!CI76*VLOOKUP('Données projet'!$B$12,Paramètres!$A$1:$I$89,3,0)*0.475*44/12</f>
        <v>4.3621524582297191</v>
      </c>
      <c r="CM76" s="21">
        <f>EXP(-LN(2)/2)*CM75+(1-EXP(-LN(2)/2))/(LN(2)/2)*CG76*CJ76*VLOOKUP('Données projet'!$B$12,Paramètres!$A$1:$I$89,3,0)*0.475*44/12</f>
        <v>7.1637966792555687E-6</v>
      </c>
      <c r="CN76" s="22">
        <f t="shared" si="66"/>
        <v>5.4112974434319279</v>
      </c>
      <c r="CO76" s="75">
        <f>('Scénario référence'!$F$8+'Scénario référence'!$F$9+'Scénario référence'!$B$17+'Scénario référence'!$B$9+'Scénario référence'!$B$10)*70+IF((45+25*(1-EXP(-0.0175*A76)))&lt;70,'Scénario référence'!$B$16*(45+25*(1-EXP(-0.0175*A76))),70*'Scénario référence'!$B$16)+IF((32+38*(1-EXP(-0.0175*A76)))&lt;70,'Scénario référence'!$B$18*(32+38*(1-EXP(-0.0175*A76))),70*'Scénario référence'!$B$18)</f>
        <v>70</v>
      </c>
      <c r="CP76" s="12">
        <f>IF(A76&gt;30,10,('Scénario référence'!$B$16+'Scénario référence'!$B$17+'Scénario référence'!$B$18+'Scénario référence'!$B$9+'Scénario référence'!$B$10)*A76*10/30+('Scénario référence'!$F$8+'Scénario référence'!$F$9)*10)</f>
        <v>10</v>
      </c>
      <c r="CQ76" s="12" t="e">
        <f>VLOOKUP(A76,'Données projet'!$A$139:$I$159,2,0)</f>
        <v>#N/A</v>
      </c>
      <c r="CR76" s="12" t="e">
        <f>VLOOKUP(A76,'Données projet'!$A$139:$I$159,9,0)</f>
        <v>#N/A</v>
      </c>
      <c r="CS76" s="12">
        <f t="array" ref="CS76">INDEX(CR:CR,MIN(IF(ISNUMBER(CR76:CR272),ROW(CR76:CR272),"")))</f>
        <v>0</v>
      </c>
      <c r="CT76" s="12">
        <f>IF('Données projet'!$A$140&gt;35,CT75+CS76-DB75,IF(A76&lt;'Données projet'!$A$140,$CQ$205^A76,IF(A76='Données projet'!$A$140,'Données projet'!$B$140,CT75+CS76-DB75)))</f>
        <v>0</v>
      </c>
      <c r="CU76" s="17" t="e">
        <f>CT76*VLOOKUP('Données projet'!$B$13,Paramètres!$A$1:$I$89,3,0)*VLOOKUP('Données projet'!$B$13,Paramètres!$A$1:$I$89,5,0)</f>
        <v>#N/A</v>
      </c>
      <c r="CV76" s="13" t="e">
        <f t="shared" si="95"/>
        <v>#N/A</v>
      </c>
      <c r="CW76" s="20" t="e">
        <f t="shared" si="67"/>
        <v>#N/A</v>
      </c>
      <c r="CX76" s="59" t="e">
        <f t="shared" si="68"/>
        <v>#N/A</v>
      </c>
      <c r="CY76" s="59" t="e">
        <f ca="1">AVERAGE(OFFSET($CX$3,0,0,'Données projet'!$E$13+1,1))-AVERAGE(OFFSET($H$3,0,0,'Données projet'!$E$13+1,1))</f>
        <v>#N/A</v>
      </c>
      <c r="CZ76" s="59" t="e">
        <f t="shared" si="96"/>
        <v>#N/A</v>
      </c>
      <c r="DA76" s="15">
        <f>IF(ISNA(VLOOKUP(A76,'Données projet'!$A$139:$I$159,3,0)),0,VLOOKUP(A76,'Données projet'!$A$139:$I$159,3,0))</f>
        <v>0</v>
      </c>
      <c r="DB76" s="15">
        <f>IF(ISNA(VLOOKUP(A76,'Données projet'!$A$139:$I$159,4,0)),0,VLOOKUP(A76,'Données projet'!$A$139:$I$159,4,0))</f>
        <v>0</v>
      </c>
      <c r="DC76" s="16">
        <f>IF(ISNA(VLOOKUP(A76,'Données projet'!$A$139:$I$159,5,0)),0%,VLOOKUP(A76,'Données projet'!$A$139:$I$159,5,0)*VLOOKUP('Données projet'!$B$13,Paramètres!$A$1:$I$89,7,0))</f>
        <v>0</v>
      </c>
      <c r="DD76" s="16">
        <f>IF(ISNA(VLOOKUP(A76,'Données projet'!$A$139:$I$159,6,0)),0%,VLOOKUP(A76,'Données projet'!$A$139:$I$159,6,0)*VLOOKUP('Données projet'!$B$13,Paramètres!$A$1:$I$89,7,0))</f>
        <v>0</v>
      </c>
      <c r="DE76" s="16">
        <f>IF(ISNA(VLOOKUP(A76,'Données projet'!$A$139:$I$159,7,0)),0%,VLOOKUP(A76,'Données projet'!$A$139:$I$159,7,0))</f>
        <v>0</v>
      </c>
      <c r="DF76" s="21" t="e">
        <f>EXP(-LN(2)/35)*DF75+(1-EXP(-LN(2)/35))/(LN(2)/35)*DB76*DC76*VLOOKUP('Données projet'!$B$13,Paramètres!$A$1:$I$89,3,0)*0.475*44/12</f>
        <v>#N/A</v>
      </c>
      <c r="DG76" s="21" t="e">
        <f>EXP(-LN(2)/25)*DG75+(1-EXP(-LN(2)/25))/(LN(2)/25)*Calculateur!DB76*Calculateur!DD76*VLOOKUP('Données projet'!$B$13,Paramètres!$A$1:$I$89,3,0)*0.475*44/12</f>
        <v>#N/A</v>
      </c>
      <c r="DH76" s="21" t="e">
        <f>EXP(-LN(2)/2)*DH75+(1-EXP(-LN(2)/2))/(LN(2)/2)*DB76*DE76*VLOOKUP('Données projet'!$B$13,Paramètres!$A$1:$I$89,3,0)*0.475*44/12</f>
        <v>#N/A</v>
      </c>
      <c r="DI76" s="22" t="e">
        <f t="shared" si="69"/>
        <v>#N/A</v>
      </c>
      <c r="DJ76" s="75">
        <f>('Scénario référence'!$F$8+'Scénario référence'!$F$9+'Scénario référence'!$B$17+'Scénario référence'!$B$9+'Scénario référence'!$B$10)*70+IF((45+25*(1-EXP(-0.0175*A76)))&lt;70,'Scénario référence'!$B$16*(45+25*(1-EXP(-0.0175*A76))),70*'Scénario référence'!$B$16)+IF((32+38*(1-EXP(-0.0175*A76)))&lt;70,'Scénario référence'!$B$18*(32+38*(1-EXP(-0.0175*A76))),70*'Scénario référence'!$B$18)</f>
        <v>70</v>
      </c>
      <c r="DK76" s="12">
        <f>IF(A76&gt;30,10,('Scénario référence'!$B$16+'Scénario référence'!$B$17+'Scénario référence'!$B$18+'Scénario référence'!$B$9+'Scénario référence'!$B$10)*A76*10/30+('Scénario référence'!$F$8+'Scénario référence'!$F$9)*10)</f>
        <v>10</v>
      </c>
      <c r="DL76" s="12" t="e">
        <f>VLOOKUP(A76,'Données projet'!$A$165:$I$185,2,0)</f>
        <v>#N/A</v>
      </c>
      <c r="DM76" s="12" t="e">
        <f>VLOOKUP(A76,'Données projet'!$A$165:$I$185,9,0)</f>
        <v>#N/A</v>
      </c>
      <c r="DN76" s="12">
        <f t="array" ref="DN76">INDEX(DM:DM,MIN(IF(ISNUMBER(DM76:DM272),ROW(DM76:DM272),"")))</f>
        <v>4.7</v>
      </c>
      <c r="DO76" s="12">
        <f>IF('Données projet'!$A$166&gt;35,DO75+DN76-DW75,IF(A76&lt;'Données projet'!$A$166,$DL$205^A76,IF(A76='Données projet'!$A$166,'Données projet'!$B$166,DO75+DN76-DW75)))</f>
        <v>263.10000000000025</v>
      </c>
      <c r="DP76" s="17">
        <f>DO76*VLOOKUP('Données projet'!$B$14,Paramètres!$A$1:$I$89,3,0)*VLOOKUP('Données projet'!$B$14,Paramètres!$A$1:$I$89,5,0)</f>
        <v>172.38312000000016</v>
      </c>
      <c r="DQ76" s="13">
        <f t="shared" si="97"/>
        <v>43.623329983109656</v>
      </c>
      <c r="DR76" s="20">
        <f t="shared" si="70"/>
        <v>376.21123372058287</v>
      </c>
      <c r="DS76" s="59">
        <f t="shared" si="71"/>
        <v>669.54456705391613</v>
      </c>
      <c r="DT76" s="59">
        <f ca="1">AVERAGE(OFFSET($DS$3,0,0,'Données projet'!$E$14+1,1))-AVERAGE(OFFSET($H$3,0,0,'Données projet'!$E$14+1,1))</f>
        <v>188.68915783955595</v>
      </c>
      <c r="DU76" s="59">
        <f t="shared" si="98"/>
        <v>240.82467772396944</v>
      </c>
      <c r="DV76" s="15">
        <f>IF(ISNA(VLOOKUP(A76,'Données projet'!$A$165:$I$185,3,0)),0,VLOOKUP(A76,'Données projet'!$A$165:$I$185,3,0))</f>
        <v>0</v>
      </c>
      <c r="DW76" s="15">
        <f>IF(ISNA(VLOOKUP(A76,'Données projet'!$A$165:$I$185,4,0)),0,VLOOKUP(A76,'Données projet'!$A$165:$I$185,4,0))</f>
        <v>0</v>
      </c>
      <c r="DX76" s="16">
        <f>IF(ISNA(VLOOKUP(A76,'Données projet'!$A$165:$I$185,5,0)),0%,VLOOKUP(A76,'Données projet'!$A$165:$I$185,5,0)*VLOOKUP('Données projet'!$B$14,Paramètres!$A$1:$I$89,7,0))</f>
        <v>0</v>
      </c>
      <c r="DY76" s="16">
        <f>IF(ISNA(VLOOKUP(A76,'Données projet'!$A$165:$I$185,6,0)),0%,VLOOKUP(A76,'Données projet'!$A$165:$I$185,6,0)*VLOOKUP('Données projet'!$B$14,Paramètres!$A$1:$I$89,7,0))</f>
        <v>0</v>
      </c>
      <c r="DZ76" s="16">
        <f>IF(ISNA(VLOOKUP(A76,'Données projet'!$A$165:$I$185,7,0)),0%,VLOOKUP(A76,'Données projet'!$A$165:$I$185,7,0))</f>
        <v>0</v>
      </c>
      <c r="EA76" s="21">
        <f>EXP(-LN(2)/35)*EA75+(1-EXP(-LN(2)/35))/(LN(2)/35)*DW76*DX76*VLOOKUP('Données projet'!$B$14,Paramètres!$A$1:$I$89,3,0)*0.475*44/12</f>
        <v>0.66454226482126344</v>
      </c>
      <c r="EB76" s="21">
        <f>EXP(-LN(2)/25)*EB75+(1-EXP(-LN(2)/25))/(LN(2)/25)*Calculateur!DW76*Calculateur!DY76*VLOOKUP('Données projet'!$B$14,Paramètres!$A$1:$I$89,3,0)*0.475*44/12</f>
        <v>2.4399334967928619</v>
      </c>
      <c r="EC76" s="21">
        <f>EXP(-LN(2)/2)*EC75+(1-EXP(-LN(2)/2))/(LN(2)/2)*DW76*DZ76*VLOOKUP('Données projet'!$B$14,Paramètres!$A$1:$I$89,3,0)*0.475*44/12</f>
        <v>4.7192358967307E-6</v>
      </c>
      <c r="ED76" s="22">
        <f t="shared" si="72"/>
        <v>3.1044804808500222</v>
      </c>
      <c r="EE76" s="75">
        <f>('Scénario référence'!$F$8+'Scénario référence'!$F$9+'Scénario référence'!$B$17+'Scénario référence'!$B$9+'Scénario référence'!$B$10)*70+IF((45+25*(1-EXP(-0.0175*A76)))&lt;70,'Scénario référence'!$B$16*(45+25*(1-EXP(-0.0175*A76))),70*'Scénario référence'!$B$16)+IF((32+38*(1-EXP(-0.0175*A76)))&lt;70,'Scénario référence'!$B$18*(32+38*(1-EXP(-0.0175*A76))),70*'Scénario référence'!$B$18)</f>
        <v>70</v>
      </c>
      <c r="EF76" s="12">
        <f>IF(A76&gt;30,10,('Scénario référence'!$B$16+'Scénario référence'!$B$17+'Scénario référence'!$B$18+'Scénario référence'!$B$9+'Scénario référence'!$B$10)*A76*10/30+('Scénario référence'!$F$8+'Scénario référence'!$F$9)*10)</f>
        <v>10</v>
      </c>
      <c r="EG76" s="12" t="e">
        <f>VLOOKUP(A76,'Données projet'!$A$191:$I$211,2,0)</f>
        <v>#N/A</v>
      </c>
      <c r="EH76" s="12" t="e">
        <f>VLOOKUP(A76,'Données projet'!$A$191:$I$211,9,0)</f>
        <v>#N/A</v>
      </c>
      <c r="EI76" s="12">
        <f t="array" ref="EI76">INDEX(EH:EH,MIN(IF(ISNUMBER(EH76:EH272),ROW(EH76:EH272),"")))</f>
        <v>5.2</v>
      </c>
      <c r="EJ76" s="12">
        <f>IF('Données projet'!$A$192&gt;35,EJ75+EI76-ER75,IF(A76&lt;'Données projet'!$A$192,$EG$205^A76,IF(A76='Données projet'!$A$192,'Données projet'!$B$192,EJ75+EI76-ER75)))</f>
        <v>256.59999999999991</v>
      </c>
      <c r="EK76" s="17">
        <f>EJ76*VLOOKUP('Données projet'!$B$15,Paramètres!$A$1:$I$89,3,0)*VLOOKUP('Données projet'!$B$15,Paramètres!$A$1:$I$89,5,0)</f>
        <v>208.15391999999994</v>
      </c>
      <c r="EL76" s="13">
        <f t="shared" si="99"/>
        <v>51.531963694915518</v>
      </c>
      <c r="EM76" s="20">
        <f t="shared" si="73"/>
        <v>452.28624743531105</v>
      </c>
      <c r="EN76" s="59">
        <f t="shared" si="74"/>
        <v>745.61958076864437</v>
      </c>
      <c r="EO76" s="59">
        <f ca="1">AVERAGE(OFFSET($EN$3,0,0,'Données projet'!$E$15+1,1))-AVERAGE(OFFSET($H$3,0,0,'Données projet'!$E$15+1,1))</f>
        <v>205.5272583787887</v>
      </c>
      <c r="EP76" s="59">
        <f t="shared" si="100"/>
        <v>180.54762778843178</v>
      </c>
      <c r="EQ76" s="15">
        <f>IF(ISNA(VLOOKUP(A76,'Données projet'!$A$191:$I$211,3,0)),0,VLOOKUP(A76,'Données projet'!$A$191:$I$211,3,0))</f>
        <v>0</v>
      </c>
      <c r="ER76" s="15">
        <f>IF(ISNA(VLOOKUP(A76,'Données projet'!$A$191:$I$211,4,0)),0,VLOOKUP(A76,'Données projet'!$A$191:$I$211,4,0))</f>
        <v>0</v>
      </c>
      <c r="ES76" s="16">
        <f>IF(ISNA(VLOOKUP(A76,'Données projet'!$A$191:$I$211,5,0)),0%,VLOOKUP(A76,'Données projet'!$A$191:$I$211,5,0)*VLOOKUP('Données projet'!$B$15,Paramètres!$A$1:$I$89,7,0))</f>
        <v>0</v>
      </c>
      <c r="ET76" s="16">
        <f>IF(ISNA(VLOOKUP(A76,'Données projet'!$A$191:$I$211,6,0)),0%,VLOOKUP(A76,'Données projet'!$A$191:$I$211,6,0)*VLOOKUP('Données projet'!$B$15,Paramètres!$A$1:$I$89,7,0))</f>
        <v>0</v>
      </c>
      <c r="EU76" s="16">
        <f>IF(ISNA(VLOOKUP(A76,'Données projet'!$A$191:$I$211,7,0)),0%,VLOOKUP(A76,'Données projet'!$A$191:$I$211,7,0))</f>
        <v>0</v>
      </c>
      <c r="EV76" s="21">
        <f>EXP(-LN(2)/35)*EV75+(1-EXP(-LN(2)/35))/(LN(2)/35)*ER76*ES76*VLOOKUP('Données projet'!$B$15,Paramètres!$A$1:$I$89,3,0)*0.475*44/12</f>
        <v>0.42783863906587993</v>
      </c>
      <c r="EW76" s="21">
        <f>EXP(-LN(2)/25)*EW75+(1-EXP(-LN(2)/25))/(LN(2)/25)*Calculateur!ER76*Calculateur!ET76*VLOOKUP('Données projet'!$B$15,Paramètres!$A$1:$I$89,3,0)*0.475*44/12</f>
        <v>1.7617060024213131</v>
      </c>
      <c r="EX76" s="21">
        <f>EXP(-LN(2)/2)*EX75+(1-EXP(-LN(2)/2))/(LN(2)/2)*ER76*EU76*VLOOKUP('Données projet'!$B$15,Paramètres!$A$1:$I$89,3,0)*0.475*44/12</f>
        <v>3.0557087326598223E-6</v>
      </c>
      <c r="EY76" s="22">
        <f t="shared" si="75"/>
        <v>2.1895476971959256</v>
      </c>
      <c r="EZ76" s="75">
        <f>('Scénario référence'!$F$8+'Scénario référence'!$F$9+'Scénario référence'!$B$17+'Scénario référence'!$B$9+'Scénario référence'!$B$10)*70+IF((45+25*(1-EXP(-0.0175*A76)))&lt;70,'Scénario référence'!$B$16*(45+25*(1-EXP(-0.0175*A76))),70*'Scénario référence'!$B$16)+IF((32+38*(1-EXP(-0.0175*A76)))&lt;70,'Scénario référence'!$B$18*(32+38*(1-EXP(-0.0175*A76))),70*'Scénario référence'!$B$18)</f>
        <v>70</v>
      </c>
      <c r="FA76" s="12">
        <f>IF(A76&gt;30,10,('Scénario référence'!$B$16+'Scénario référence'!$B$17+'Scénario référence'!$B$18+'Scénario référence'!$B$9+'Scénario référence'!$B$10)*A76*10/30+('Scénario référence'!$F$8+'Scénario référence'!$F$9)*10)</f>
        <v>10</v>
      </c>
      <c r="FB76" s="12" t="e">
        <f>VLOOKUP(A76,'Données projet'!$A$217:$I$237,2,0)</f>
        <v>#N/A</v>
      </c>
      <c r="FC76" s="12" t="e">
        <f>VLOOKUP(A76,'Données projet'!$A$217:$I$237,9,0)</f>
        <v>#N/A</v>
      </c>
      <c r="FD76" s="12">
        <f t="array" ref="FD76">INDEX(FC:FC,MIN(IF(ISNUMBER(FC76:FC272),ROW(FC76:FC272),"")))</f>
        <v>12.1</v>
      </c>
      <c r="FE76" s="12">
        <f>IF('Données projet'!$A$218&gt;35,FE75+FD76-FM75,IF(A76&lt;'Données projet'!$A$218,$FB$205^A76,IF(A76='Données projet'!$A$218,'Données projet'!$B$218,FE75+FD76-FM75)))</f>
        <v>316.3</v>
      </c>
      <c r="FF76" s="17">
        <f>FE76*VLOOKUP('Données projet'!$B$16,Paramètres!$A$1:$I$89,3,0)*VLOOKUP('Données projet'!$B$16,Paramètres!$A$1:$I$89,5,0)</f>
        <v>271.38540000000006</v>
      </c>
      <c r="FG76" s="13">
        <f t="shared" si="101"/>
        <v>65.143198497743313</v>
      </c>
      <c r="FH76" s="20">
        <f t="shared" si="76"/>
        <v>586.1206423835697</v>
      </c>
      <c r="FI76" s="59">
        <f t="shared" si="77"/>
        <v>879.45397571690296</v>
      </c>
      <c r="FJ76" s="59">
        <f ca="1">AVERAGE(OFFSET($FI$3,0,0,'Données projet'!$E$16+1,1))-AVERAGE(OFFSET($H$3,0,0,'Données projet'!$E$16+1,1))</f>
        <v>383.97627237444709</v>
      </c>
      <c r="FK76" s="59">
        <f t="shared" si="102"/>
        <v>203.35476578922339</v>
      </c>
      <c r="FL76" s="15">
        <f>IF(ISNA(VLOOKUP(A76,'Données projet'!$A$217:$I$237,3,0)),0,VLOOKUP(A76,'Données projet'!$A$217:$I$237,3,0))</f>
        <v>0</v>
      </c>
      <c r="FM76" s="15">
        <f>IF(ISNA(VLOOKUP(A76,'Données projet'!$A$217:$I$237,4,0)),0,VLOOKUP(A76,'Données projet'!$A$217:$I$237,4,0))</f>
        <v>0</v>
      </c>
      <c r="FN76" s="16">
        <f>IF(ISNA(VLOOKUP(A76,'Données projet'!$A$217:$I$237,5,0)),0%,VLOOKUP(A76,'Données projet'!$A$217:$I$237,5,0)*VLOOKUP('Données projet'!$B$16,Paramètres!$A$1:$I$89,7,0))</f>
        <v>0</v>
      </c>
      <c r="FO76" s="16">
        <f>IF(ISNA(VLOOKUP(A76,'Données projet'!$A$217:$I$237,6,0)),0%,VLOOKUP(A76,'Données projet'!$A$217:$I$237,6,0)*VLOOKUP('Données projet'!$B$16,Paramètres!$A$1:$I$89,7,0))</f>
        <v>0</v>
      </c>
      <c r="FP76" s="16">
        <f>IF(ISNA(VLOOKUP(A76,'Données projet'!$A$217:$I$237,7,0)),0%,VLOOKUP(A76,'Données projet'!$A$217:$I$237,7,0))</f>
        <v>0</v>
      </c>
      <c r="FQ76" s="21">
        <f>EXP(-LN(2)/35)*FQ75+(1-EXP(-LN(2)/35))/(LN(2)/35)*FM76*FN76*VLOOKUP('Données projet'!$B$16,Paramètres!$A$1:$I$89,3,0)*0.475*44/12</f>
        <v>2.198858493358621</v>
      </c>
      <c r="FR76" s="21">
        <f>EXP(-LN(2)/25)*FR75+(1-EXP(-LN(2)/25))/(LN(2)/25)*Calculateur!FM76*Calculateur!FO76*VLOOKUP('Données projet'!$B$16,Paramètres!$A$1:$I$89,3,0)*0.475*44/12</f>
        <v>1.7883136820782513</v>
      </c>
      <c r="FS76" s="21">
        <f>EXP(-LN(2)/2)*FS75+(1-EXP(-LN(2)/2))/(LN(2)/2)*FM76*FP76*VLOOKUP('Données projet'!$B$16,Paramètres!$A$1:$I$89,3,0)*0.475*44/12</f>
        <v>5.6127098196682139E-6</v>
      </c>
      <c r="FT76" s="22">
        <f t="shared" si="78"/>
        <v>3.9871777881466919</v>
      </c>
      <c r="FU76" s="75">
        <f>('Scénario référence'!$F$8+'Scénario référence'!$F$9+'Scénario référence'!$B$17+'Scénario référence'!$B$9+'Scénario référence'!$B$10)*70+IF((45+25*(1-EXP(-0.0175*A76)))&lt;70,'Scénario référence'!$B$16*(45+25*(1-EXP(-0.0175*A76))),70*'Scénario référence'!$B$16)+IF((32+38*(1-EXP(-0.0175*A76)))&lt;70,'Scénario référence'!$B$18*(32+38*(1-EXP(-0.0175*A76))),70*'Scénario référence'!$B$18)</f>
        <v>70</v>
      </c>
      <c r="FV76" s="12">
        <f>IF(A76&gt;30,10,('Scénario référence'!$B$16+'Scénario référence'!$B$17+'Scénario référence'!$B$18+'Scénario référence'!$B$9+'Scénario référence'!$B$10)*A76*10/30+('Scénario référence'!$F$8+'Scénario référence'!$F$9)*10)</f>
        <v>10</v>
      </c>
      <c r="FW76" s="12" t="e">
        <f>VLOOKUP(A76,'Données projet'!$A$243:$I$263,2,0)</f>
        <v>#N/A</v>
      </c>
      <c r="FX76" s="12" t="e">
        <f>VLOOKUP(A76,'Données projet'!$A$243:$I$263,9,0)</f>
        <v>#N/A</v>
      </c>
      <c r="FY76" s="12">
        <f t="array" ref="FY76">INDEX(FX:FX,MIN(IF(ISNUMBER(FX76:FX272),ROW(FX76:FX272),"")))</f>
        <v>7.8425925925925934</v>
      </c>
      <c r="FZ76" s="12">
        <f>IF('Données projet'!$A$244&gt;35,FZ75+FY76-GH75,IF(A76&lt;'Données projet'!$A$244,$FW$205^A76,IF(A76='Données projet'!$A$244,'Données projet'!$B$244,FZ75+FY76-GH75)))</f>
        <v>219.11467236467234</v>
      </c>
      <c r="GA76" s="17">
        <f>FZ76*VLOOKUP('Données projet'!$B$17,Paramètres!$A$1:$I$89,3,0)*VLOOKUP('Données projet'!$B$17,Paramètres!$A$1:$I$89,5,0)</f>
        <v>235.8550333333333</v>
      </c>
      <c r="GB76" s="13">
        <f t="shared" si="103"/>
        <v>57.546818491169695</v>
      </c>
      <c r="GC76" s="20">
        <f t="shared" si="79"/>
        <v>511.00822526100939</v>
      </c>
      <c r="GD76" s="59">
        <f t="shared" si="80"/>
        <v>804.3415585943427</v>
      </c>
      <c r="GE76" s="59">
        <f ca="1">AVERAGE(OFFSET($GD$3,0,0,'Données projet'!$E$17+1,1))-AVERAGE(OFFSET($H$3,0,0,'Données projet'!$E$17+1,1))</f>
        <v>286.77702855541287</v>
      </c>
      <c r="GF76" s="59">
        <f t="shared" si="104"/>
        <v>227.12211541860779</v>
      </c>
      <c r="GG76" s="15">
        <f>IF(ISNA(VLOOKUP(A76,'Données projet'!$A$243:$I$263,3,0)),0,VLOOKUP(A76,'Données projet'!$A$243:$I$263,3,0))</f>
        <v>0</v>
      </c>
      <c r="GH76" s="15">
        <f>IF(ISNA(VLOOKUP(A76,'Données projet'!$A$243:$I$263,4,0)),0,VLOOKUP(A76,'Données projet'!$A$243:$I$263,4,0))</f>
        <v>0</v>
      </c>
      <c r="GI76" s="16">
        <f>IF(ISNA(VLOOKUP(A76,'Données projet'!$A$243:$I$263,5,0)),0%,VLOOKUP(A76,'Données projet'!$A$243:$I$263,5,0)*VLOOKUP('Données projet'!$B$17,Paramètres!$A$1:$I$89,7,0))</f>
        <v>0</v>
      </c>
      <c r="GJ76" s="16">
        <f>IF(ISNA(VLOOKUP(A76,'Données projet'!$A$243:$I$263,6,0)),0%,VLOOKUP(A76,'Données projet'!$A$243:$I$263,6,0)*VLOOKUP('Données projet'!$B$17,Paramètres!$A$1:$I$89,7,0))</f>
        <v>0</v>
      </c>
      <c r="GK76" s="16">
        <f>IF(ISNA(VLOOKUP(A76,'Données projet'!$A$243:$I$263,7,0)),0%,VLOOKUP(A76,'Données projet'!$A$243:$I$263,7,0))</f>
        <v>0</v>
      </c>
      <c r="GL76" s="21">
        <f>EXP(-LN(2)/35)*GL75+(1-EXP(-LN(2)/35))/(LN(2)/35)*GH76*GI76*VLOOKUP('Données projet'!$B$17,Paramètres!$A$1:$I$89,3,0)*0.475*44/12</f>
        <v>0</v>
      </c>
      <c r="GM76" s="21">
        <f>EXP(-LN(2)/25)*GM75+(1-EXP(-LN(2)/25))/(LN(2)/25)*Calculateur!GH76*Calculateur!GJ76*VLOOKUP('Données projet'!$B$17,Paramètres!$A$1:$I$89,3,0)*0.475*44/12</f>
        <v>0</v>
      </c>
      <c r="GN76" s="21">
        <f>EXP(-LN(2)/2)*GN75+(1-EXP(-LN(2)/2))/(LN(2)/2)*GH76*GK76*VLOOKUP('Données projet'!$B$17,Paramètres!$A$1:$I$89,3,0)*0.475*44/12</f>
        <v>0</v>
      </c>
      <c r="GO76" s="21">
        <f t="shared" si="81"/>
        <v>0</v>
      </c>
      <c r="GP76" s="75">
        <f>('Scénario référence'!$F$8+'Scénario référence'!$F$9+'Scénario référence'!$B$17+'Scénario référence'!$B$9+'Scénario référence'!$B$10)*70+IF((45+25*(1-EXP(-0.0175*A76)))&lt;70,'Scénario référence'!$B$16*(45+25*(1-EXP(-0.0175*A76))),70*'Scénario référence'!$B$16)+IF((32+38*(1-EXP(-0.0175*A76)))&lt;70,'Scénario référence'!$B$18*(32+38*(1-EXP(-0.0175*A76))),70*'Scénario référence'!$B$18)</f>
        <v>70</v>
      </c>
      <c r="GQ76" s="12">
        <f>IF(A76&gt;30,10,('Scénario référence'!$B$16+'Scénario référence'!$B$17+'Scénario référence'!$B$18+'Scénario référence'!$B$9+'Scénario référence'!$B$10)*A76*10/30+('Scénario référence'!$F$8+'Scénario référence'!$F$9)*10)</f>
        <v>10</v>
      </c>
      <c r="GR76" s="12" t="e">
        <f>VLOOKUP(A76,'Données projet'!$A$269:$I$289,2,0)</f>
        <v>#N/A</v>
      </c>
      <c r="GS76" s="12" t="e">
        <f>VLOOKUP(A76,'Données projet'!$A$269:$I$289,9,0)</f>
        <v>#N/A</v>
      </c>
      <c r="GT76" s="12">
        <f t="array" ref="GT76">INDEX(GS:GS,MIN(IF(ISNUMBER(GS76:GS272),ROW(GS76:GS272),"")))</f>
        <v>7.8425925925925934</v>
      </c>
      <c r="GU76" s="12">
        <f>IF('Données projet'!$A$270&gt;35,GU75+GT76-HC75,IF(A76&lt;'Données projet'!$A$270,$GR$205^A76,IF(A76='Données projet'!$A$270,'Données projet'!$B$270,GU75+GT76-HC75)))</f>
        <v>219.11467236467234</v>
      </c>
      <c r="GV76" s="17">
        <f>GU76*VLOOKUP('Données projet'!$B$18,Paramètres!$A$1:$I$89,3,0)*VLOOKUP('Données projet'!$B$18,Paramètres!$A$1:$I$89,5,0)</f>
        <v>235.8550333333333</v>
      </c>
      <c r="GW76" s="13">
        <f t="shared" si="105"/>
        <v>57.546818491169695</v>
      </c>
      <c r="GX76" s="20">
        <f t="shared" si="82"/>
        <v>511.00822526100939</v>
      </c>
      <c r="GY76" s="59">
        <f t="shared" si="83"/>
        <v>804.3415585943427</v>
      </c>
      <c r="GZ76" s="59">
        <f ca="1">AVERAGE(OFFSET($GY$3,0,0,'Données projet'!$E$18+1,1))-AVERAGE(OFFSET($H$3,0,0,'Données projet'!$E$18+1,1))</f>
        <v>286.77702855541287</v>
      </c>
      <c r="HA76" s="59">
        <f t="shared" si="106"/>
        <v>227.12211541860779</v>
      </c>
      <c r="HB76" s="15">
        <f>IF(ISNA(VLOOKUP(A76,'Données projet'!$A$269:$I$289,3,0)),0,VLOOKUP(A76,'Données projet'!$A$269:$I$289,3,0))</f>
        <v>0</v>
      </c>
      <c r="HC76" s="15">
        <f>IF(ISNA(VLOOKUP(A76,'Données projet'!$A$269:$I$289,4,0)),0,VLOOKUP(A76,'Données projet'!$A$269:$I$289,4,0))</f>
        <v>0</v>
      </c>
      <c r="HD76" s="16">
        <f>IF(ISNA(VLOOKUP(A76,'Données projet'!$A$269:$I$289,5,0)),0%,VLOOKUP(A76,'Données projet'!$A$269:$I$289,5,0)*VLOOKUP('Données projet'!$B$18,Paramètres!$A$1:$I$89,7,0))</f>
        <v>0</v>
      </c>
      <c r="HE76" s="16">
        <f>IF(ISNA(VLOOKUP(A76,'Données projet'!$A$269:$I$289,6,0)),0%,VLOOKUP(A76,'Données projet'!$A$269:$I$289,6,0)*VLOOKUP('Données projet'!$B$18,Paramètres!$A$1:$I$89,7,0))</f>
        <v>0</v>
      </c>
      <c r="HF76" s="16">
        <f>IF(ISNA(VLOOKUP(A76,'Données projet'!$A$269:$I$289,7,0)),0%,VLOOKUP(A76,'Données projet'!$A$269:$I$289,7,0))</f>
        <v>0</v>
      </c>
      <c r="HG76" s="21">
        <f>EXP(-LN(2)/35)*HG75+(1-EXP(-LN(2)/35))/(LN(2)/35)*HC76*HD76*VLOOKUP('Données projet'!$B$18,Paramètres!$A$1:$I$89,3,0)*0.475*44/12</f>
        <v>0</v>
      </c>
      <c r="HH76" s="21">
        <f>EXP(-LN(2)/25)*HH75+(1-EXP(-LN(2)/25))/(LN(2)/25)*Calculateur!HC76*Calculateur!HE76*VLOOKUP('Données projet'!$B$18,Paramètres!$A$1:$I$89,3,0)*0.475*44/12</f>
        <v>0</v>
      </c>
      <c r="HI76" s="21">
        <f>EXP(-LN(2)/2)*HI75+(1-EXP(-LN(2)/2))/(LN(2)/2)*HC76*HF76*VLOOKUP('Données projet'!$B$18,Paramètres!$A$1:$I$89,3,0)*0.475*44/12</f>
        <v>0</v>
      </c>
      <c r="HJ76" s="22">
        <f t="shared" si="84"/>
        <v>0</v>
      </c>
    </row>
    <row r="77" spans="1:218" x14ac:dyDescent="0.25">
      <c r="A77" s="10">
        <f t="shared" si="85"/>
        <v>74</v>
      </c>
      <c r="B77" s="73">
        <f>'Scénario référence'!$B$16*5+'Scénario référence'!$B$17*0+'Scénario référence'!$B$18*5</f>
        <v>0</v>
      </c>
      <c r="C77" s="19">
        <f>Calculateur!C76+'Scénario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65.800800000000081</v>
      </c>
      <c r="D77" s="11">
        <f t="shared" si="86"/>
        <v>18.626923459774314</v>
      </c>
      <c r="E7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77" s="11">
        <f>IF(OR('Scénario référence'!$F$8&gt;0,'Scénario référence'!$F$9&gt;0),('Scénario référence'!$F$8+'Scénario référence'!$F$9)*10,0)</f>
        <v>10</v>
      </c>
      <c r="G77" s="11">
        <f>'Scénario référence'!$B$8*B77*44/12+'Scénario référence'!$B$9*(C77+D77)/0.475*44/12+'Scénario référence'!$B$10*(C77+D77)/0.475*44/12+'Scénario référence'!$F$8*(C77+D77)/0.475*44/12+'Scénario référence'!$F$9*(C77+D77)/0.475*44/12</f>
        <v>651.72277758422342</v>
      </c>
      <c r="H77" s="67">
        <f t="shared" si="56"/>
        <v>440.37828502577372</v>
      </c>
      <c r="I77" s="70">
        <f>('Scénario référence'!$F$8+'Scénario référence'!$F$9+'Scénario référence'!$B$17+'Scénario référence'!$B$9+'Scénario référence'!$B$10)*70+IF((45+25*(1-EXP(-0.0175*A77)))&lt;70,'Scénario référence'!$B$16*(45+25*(1-EXP(-0.0175*A77))),70*'Scénario référence'!$B$16)+IF((32+38*(1-EXP(-0.0175*A77)))&lt;70,'Scénario référence'!$B$18*(32+38*(1-EXP(-0.0175*A77))),70*'Scénario référence'!$B$18)</f>
        <v>70</v>
      </c>
      <c r="J77" s="13">
        <f>IF(A77&gt;30,10,('Scénario référence'!$B$16+'Scénario référence'!$B$17+'Scénario référence'!$B$18+'Scénario référence'!$B$9+'Scénario référence'!$B$10)*A77*10/30+('Scénario référence'!$F$8+'Scénario référence'!$F$9)*10)</f>
        <v>10</v>
      </c>
      <c r="K77" s="12" t="e">
        <f>VLOOKUP(A77,'Données projet'!$A$35:$I$55,2,0)</f>
        <v>#N/A</v>
      </c>
      <c r="L77" s="12" t="e">
        <f>VLOOKUP(A77,'Données projet'!$A$35:$I$55,9,0)</f>
        <v>#N/A</v>
      </c>
      <c r="M77" s="12">
        <f t="array" ref="M77">INDEX(L:L,MIN(IF(ISNUMBER(L77:L273),ROW(L77:L273),"")))</f>
        <v>0</v>
      </c>
      <c r="N77" s="13">
        <f>IF('Données projet'!$A$36&gt;35,N76+M77-V76,IF(A77&lt;'Données projet'!$A$36,$K$205^A77,IF(A77='Données projet'!$A$36,'Données projet'!$B$36,N76+M77-V76)))</f>
        <v>-2.2737367544323206E-13</v>
      </c>
      <c r="O77" s="13">
        <f>N77*VLOOKUP('Données projet'!$B$9,Paramètres!$A$1:$I$89,3,0)*VLOOKUP('Données projet'!$B$9,Paramètres!$A$1:$I$89,5,0)</f>
        <v>-1.2710188457276673E-13</v>
      </c>
      <c r="P77" s="13" t="e">
        <f t="shared" si="87"/>
        <v>#NUM!</v>
      </c>
      <c r="Q77" s="20" t="e">
        <f t="shared" si="54"/>
        <v>#NUM!</v>
      </c>
      <c r="R77" s="59" t="e">
        <f t="shared" si="55"/>
        <v>#NUM!</v>
      </c>
      <c r="S77" s="59">
        <f ca="1">AVERAGE(OFFSET($R$3,0,0,'Données projet'!$E$9+1,1))-AVERAGE(OFFSET($H$3,0,0,'Données projet'!$E$9+1,1))</f>
        <v>255.5374979188561</v>
      </c>
      <c r="T77" s="59">
        <f t="shared" si="88"/>
        <v>343.10418468620901</v>
      </c>
      <c r="U77" s="15">
        <f>IF(ISNA(VLOOKUP(A77,'Données projet'!$A$35:$I$55,3,0)),0,VLOOKUP(A77,'Données projet'!$A$35:$I$55,3,0))</f>
        <v>0</v>
      </c>
      <c r="V77" s="15">
        <f>IF(ISNA(VLOOKUP(A77,'Données projet'!$A$35:$I$55,4,0)),0,VLOOKUP(A77,'Données projet'!$A$35:$I$55,4,0))</f>
        <v>0</v>
      </c>
      <c r="W77" s="16">
        <f>IF(ISNA(VLOOKUP(A77,'Données projet'!$A$35:$I$55,5,0)),0%,VLOOKUP(A77,'Données projet'!$A$35:$I$55,5,0)*VLOOKUP('Données projet'!$B$9,Paramètres!$A$1:$I$89,7,0))</f>
        <v>0</v>
      </c>
      <c r="X77" s="16">
        <f>IF(ISNA(VLOOKUP(A77,'Données projet'!$A$35:$I$55,6,0)),0%,VLOOKUP(A77,'Données projet'!$A$35:$I$55,6,0)*VLOOKUP('Données projet'!$B$9,Paramètres!$A$1:$I$89,7,0))</f>
        <v>0</v>
      </c>
      <c r="Y77" s="16">
        <f>IF(ISNA(VLOOKUP(A77,'Données projet'!$A$35:$I$55,7,0)),0%,VLOOKUP(A77,'Données projet'!$A$35:$I$55,7,0))</f>
        <v>0</v>
      </c>
      <c r="Z77" s="21">
        <f>EXP(-LN(2)/35)*Z76+(1-EXP(-LN(2)/35))/(LN(2)/35)*V77*W77*VLOOKUP('Données projet'!$B$9,Paramètres!$A$1:$I$89,3,0)*0.475*44/12</f>
        <v>1.2927856163841045</v>
      </c>
      <c r="AA77" s="21">
        <f>EXP(-LN(2)/25)*AA76+(1-EXP(-LN(2)/25))/(LN(2)/25)*Calculateur!V77*Calculateur!X77*VLOOKUP('Données projet'!$B$9,Paramètres!$A$1:$I$89,3,0)*0.475*44/12</f>
        <v>4.7122372268400472</v>
      </c>
      <c r="AB77" s="21">
        <f>EXP(-LN(2)/2)*AB76+(1-EXP(-LN(2)/2))/(LN(2)/2)*V77*Y77*VLOOKUP('Données projet'!$B$9,Paramètres!$A$1:$I$89,3,0)*0.475*44/12</f>
        <v>4.035597036967435E-7</v>
      </c>
      <c r="AC77" s="22">
        <f t="shared" si="57"/>
        <v>6.005023246783856</v>
      </c>
      <c r="AD77" s="13">
        <f>('Scénario référence'!$F$8+'Scénario référence'!$F$9+'Scénario référence'!$B$17+'Scénario référence'!$B$9+'Scénario référence'!$B$10)*70+IF((45+25*(1-EXP(-0.0175*A77)))&lt;70,'Scénario référence'!$B$16*(45+25*(1-EXP(-0.0175*A77))),70*'Scénario référence'!$B$16)+IF((32+38*(1-EXP(-0.0175*A77)))&lt;70,'Scénario référence'!$B$18*(32+38*(1-EXP(-0.0175*A77))),70*'Scénario référence'!$B$18)</f>
        <v>70</v>
      </c>
      <c r="AE77" s="13">
        <f>IF(A77&gt;30,10,('Scénario référence'!$B$16+'Scénario référence'!$B$17+'Scénario référence'!$B$18+'Scénario référence'!$B$9+'Scénario référence'!$B$10)*A77*10/30+('Scénario référence'!$F$8+'Scénario référence'!$F$9)*10)</f>
        <v>10</v>
      </c>
      <c r="AF77" s="12" t="e">
        <f>VLOOKUP(A77,'Données projet'!$A$61:$I$81,2,0)</f>
        <v>#N/A</v>
      </c>
      <c r="AG77" s="12" t="e">
        <f>VLOOKUP(A77,'Données projet'!$A$61:$I$81,9,0)</f>
        <v>#N/A</v>
      </c>
      <c r="AH77" s="12">
        <f t="array" ref="AH77">INDEX(AG:AG,MIN(IF(ISNUMBER(AG77:AG273),ROW(AG77:AG273),"")))</f>
        <v>6</v>
      </c>
      <c r="AI77" s="13">
        <f>IF('Données projet'!$A$62&gt;35,AI76+AH77-AQ76,IF(A77&lt;'Données projet'!$A$62,$AF$205^A77,IF(A77='Données projet'!$A$62,'Données projet'!$B$62,AI76+AH77-AQ76)))</f>
        <v>406</v>
      </c>
      <c r="AJ77" s="13">
        <f>AI77*VLOOKUP('Données projet'!$B$10,Paramètres!$A$1:$I$89,3,0)*VLOOKUP('Données projet'!$B$10,Paramètres!$A$1:$I$89,5,0)</f>
        <v>253.34399999999999</v>
      </c>
      <c r="AK77" s="13">
        <f t="shared" si="89"/>
        <v>61.301453431926305</v>
      </c>
      <c r="AL77" s="20">
        <f t="shared" si="58"/>
        <v>548.00749806060492</v>
      </c>
      <c r="AM77" s="59">
        <f t="shared" si="59"/>
        <v>841.34083139393829</v>
      </c>
      <c r="AN77" s="59">
        <f ca="1">AVERAGE(OFFSET($AM$3,0,0,'Données projet'!$E$10+1,1))-AVERAGE(OFFSET($H$3,0,0,'Données projet'!$E$10+1,1))</f>
        <v>261.78489480911571</v>
      </c>
      <c r="AO77" s="59">
        <f t="shared" si="90"/>
        <v>297.50513563712764</v>
      </c>
      <c r="AP77" s="15">
        <f>IF(ISNA(VLOOKUP(A77,'Données projet'!$A$61:$I$81,3,0)),0,VLOOKUP(A77,'Données projet'!$A$61:$I$81,3,0))</f>
        <v>0</v>
      </c>
      <c r="AQ77" s="15">
        <f>IF(ISNA(VLOOKUP(A77,'Données projet'!$A$61:$I$81,4,0)),0,VLOOKUP(A77,'Données projet'!$A$61:$I$81,4,0))</f>
        <v>0</v>
      </c>
      <c r="AR77" s="16">
        <f>IF(ISNA(VLOOKUP(A77,'Données projet'!$A$61:$I$81,5,0)),0%,VLOOKUP(A77,'Données projet'!$A$61:$I$81,5,0)*VLOOKUP('Données projet'!$B$10,Paramètres!$A$1:$I$89,7,0))</f>
        <v>0</v>
      </c>
      <c r="AS77" s="16">
        <f>IF(ISNA(VLOOKUP(A77,'Données projet'!$A$61:$I$81,6,0)),0%,VLOOKUP(A77,'Données projet'!$A$61:$I$81,6,0)*VLOOKUP('Données projet'!$B$10,Paramètres!$A$1:$I$89,7,0))</f>
        <v>0</v>
      </c>
      <c r="AT77" s="16">
        <f>IF(ISNA(VLOOKUP(A77,'Données projet'!$A$61:$I$81,7,0)),0%,VLOOKUP(A77,'Données projet'!$A$61:$I$81,7,0))</f>
        <v>0</v>
      </c>
      <c r="AU77" s="21">
        <f>EXP(-LN(2)/35)*AU76+(1-EXP(-LN(2)/35))/(LN(2)/35)*AQ77*AR77*VLOOKUP('Données projet'!$B$10,Paramètres!$A$1:$I$89,3,0)*0.475*44/12</f>
        <v>3.4908868268948208</v>
      </c>
      <c r="AV77" s="21">
        <f>EXP(-LN(2)/25)*AV76+(1-EXP(-LN(2)/25))/(LN(2)/25)*Calculateur!AQ77*Calculateur!AS77*VLOOKUP('Données projet'!$B$10,Paramètres!$A$1:$I$89,3,0)*0.475*44/12</f>
        <v>8.2285273100889516</v>
      </c>
      <c r="AW77" s="21">
        <f>EXP(-LN(2)/2)*AW76+(1-EXP(-LN(2)/2))/(LN(2)/2)*AQ77*AT77*VLOOKUP('Données projet'!$B$10,Paramètres!$A$1:$I$89,3,0)*0.475*44/12</f>
        <v>5.8176973192481708E-6</v>
      </c>
      <c r="AX77" s="21">
        <f t="shared" si="60"/>
        <v>11.719419954681092</v>
      </c>
      <c r="AY77" s="74">
        <f>('Scénario référence'!$F$8+'Scénario référence'!$F$9+'Scénario référence'!$B$17+'Scénario référence'!$B$9+'Scénario référence'!$B$10)*70+IF((45+25*(1-EXP(-0.0175*A77)))&lt;70,'Scénario référence'!$B$16*(45+25*(1-EXP(-0.0175*A77))),70*'Scénario référence'!$B$16)+IF((32+38*(1-EXP(-0.0175*A77)))&lt;70,'Scénario référence'!$B$18*(32+38*(1-EXP(-0.0175*A77))),70*'Scénario référence'!$B$18)</f>
        <v>70</v>
      </c>
      <c r="AZ77" s="12">
        <f>IF(A77&gt;30,10,('Scénario référence'!$B$16+'Scénario référence'!$B$17+'Scénario référence'!$B$18+'Scénario référence'!$B$9+'Scénario référence'!$B$10)*A77*10/30+('Scénario référence'!$F$8+'Scénario référence'!$F$9)*10)</f>
        <v>10</v>
      </c>
      <c r="BA77" s="12" t="e">
        <f>VLOOKUP(A77,'Données projet'!$A$87:$I$107,2,0)</f>
        <v>#N/A</v>
      </c>
      <c r="BB77" s="12" t="e">
        <f>VLOOKUP(A77,'Données projet'!$A$87:$I$107,9,0)</f>
        <v>#N/A</v>
      </c>
      <c r="BC77" s="12">
        <f t="array" ref="BC77">INDEX(BB:BB,MIN(IF(ISNUMBER(BB77:BB273),ROW(BB77:BB273),"")))</f>
        <v>14.5</v>
      </c>
      <c r="BD77" s="12">
        <f>IF('Données projet'!$A$88&gt;35,BD76+BC77-BL76,IF(A77&lt;'Données projet'!$A$88,$BA$205^A77,IF(A77='Données projet'!$A$88,'Données projet'!$B$88,BD76+BC77-BL76)))</f>
        <v>518.99999999999955</v>
      </c>
      <c r="BE77" s="13">
        <f>BD77*VLOOKUP('Données projet'!$B$11,Paramètres!$A$1:$I$89,3,0)*VLOOKUP('Données projet'!$B$11,Paramètres!$A$1:$I$89,5,0)</f>
        <v>310.36199999999974</v>
      </c>
      <c r="BF77" s="13">
        <f t="shared" si="91"/>
        <v>73.34442504403718</v>
      </c>
      <c r="BG77" s="20">
        <f t="shared" si="61"/>
        <v>668.28869028503095</v>
      </c>
      <c r="BH77" s="59">
        <f t="shared" si="62"/>
        <v>961.62202361836421</v>
      </c>
      <c r="BI77" s="59">
        <f ca="1">AVERAGE(OFFSET($BH$3,0,0,'Données projet'!$E$11+1,1))-AVERAGE(OFFSET($H$3,0,0,'Données projet'!$E$11+1,1))</f>
        <v>316.58509520829671</v>
      </c>
      <c r="BJ77" s="59">
        <f t="shared" si="92"/>
        <v>240.71332110643596</v>
      </c>
      <c r="BK77" s="15">
        <f>IF(ISNA(VLOOKUP(A77,'Données projet'!$A$87:$I$107,3,0)),0,VLOOKUP(A77,'Données projet'!$A$87:$I$107,3,0))</f>
        <v>0</v>
      </c>
      <c r="BL77" s="15">
        <f>IF(ISNA(VLOOKUP(A77,'Données projet'!$A$87:$I$107,4,0)),0,VLOOKUP(A77,'Données projet'!$A$87:$I$107,4,0))</f>
        <v>0</v>
      </c>
      <c r="BM77" s="16">
        <f>IF(ISNA(VLOOKUP(A77,'Données projet'!$A$87:$I$107,5,0)),0%,VLOOKUP(A77,'Données projet'!$A$87:$I$107,5,0)*VLOOKUP('Données projet'!$B$11,Paramètres!$A$1:$I$89,7,0))</f>
        <v>0</v>
      </c>
      <c r="BN77" s="16">
        <f>IF(ISNA(VLOOKUP(A77,'Données projet'!$A$87:$I$107,6,0)),0%,VLOOKUP(A77,'Données projet'!$A$87:$I$107,6,0)*VLOOKUP('Données projet'!$B$11,Paramètres!$A$1:$I$89,7,0))</f>
        <v>0</v>
      </c>
      <c r="BO77" s="16">
        <f>IF(ISNA(VLOOKUP(A77,'Données projet'!$A$87:$I$107,7,0)),0%,VLOOKUP(A77,'Données projet'!$A$87:$I$107,7,0))</f>
        <v>0</v>
      </c>
      <c r="BP77" s="21">
        <f>EXP(-LN(2)/35)*BP76+(1-EXP(-LN(2)/35))/(LN(2)/35)*BL77*BM77*VLOOKUP('Données projet'!$B$11,Paramètres!$A$1:$I$89,3,0)*0.475*44/12</f>
        <v>1.0603828475296209</v>
      </c>
      <c r="BQ77" s="21">
        <f>EXP(-LN(2)/25)*BQ76+(1-EXP(-LN(2)/25))/(LN(2)/25)*Calculateur!BL77*Calculateur!BN77*VLOOKUP('Données projet'!$B$11,Paramètres!$A$1:$I$89,3,0)*0.475*44/12</f>
        <v>4.5078273530667925</v>
      </c>
      <c r="BR77" s="21">
        <f>EXP(-LN(2)/2)*BR76+(1-EXP(-LN(2)/2))/(LN(2)/2)*BL77*BO77*VLOOKUP('Données projet'!$B$11,Paramètres!$A$1:$I$89,3,0)*0.475*44/12</f>
        <v>5.230747001204696E-6</v>
      </c>
      <c r="BS77" s="22">
        <f t="shared" si="63"/>
        <v>5.5682154313434138</v>
      </c>
      <c r="BT77" s="75">
        <f>('Scénario référence'!$F$8+'Scénario référence'!$F$9+'Scénario référence'!$B$17+'Scénario référence'!$B$9+'Scénario référence'!$B$10)*70+IF((45+25*(1-EXP(-0.0175*A77)))&lt;70,'Scénario référence'!$B$16*(45+25*(1-EXP(-0.0175*A77))),70*'Scénario référence'!$B$16)+IF((32+38*(1-EXP(-0.0175*A77)))&lt;70,'Scénario référence'!$B$18*(32+38*(1-EXP(-0.0175*A77))),70*'Scénario référence'!$B$18)</f>
        <v>70</v>
      </c>
      <c r="BU77" s="12">
        <f>IF(A77&gt;30,10,('Scénario référence'!$B$16+'Scénario référence'!$B$17+'Scénario référence'!$B$18+'Scénario référence'!$B$9+'Scénario référence'!$B$10)*A77*10/30+('Scénario référence'!$F$8+'Scénario référence'!$F$9)*10)</f>
        <v>10</v>
      </c>
      <c r="BV77" s="12" t="e">
        <f>VLOOKUP(A77,'Données projet'!$A$113:$I$133,2,0)</f>
        <v>#N/A</v>
      </c>
      <c r="BW77" s="12" t="e">
        <f>VLOOKUP(A77,'Données projet'!$A$113:$I$133,9,0)</f>
        <v>#N/A</v>
      </c>
      <c r="BX77" s="12">
        <f t="array" ref="BX77">INDEX(BW:BW,MIN(IF(ISNUMBER(BW77:BW273),ROW(BW77:BW273),"")))</f>
        <v>5.4</v>
      </c>
      <c r="BY77" s="12">
        <f>IF('Données projet'!$A$114&gt;35,BY76+BX77-CG76,IF(A77&lt;'Données projet'!$A$114,$BV$205^A77,IF(A77='Données projet'!$A$114,'Données projet'!$B$114,BY76+BX77-CG76)))</f>
        <v>321.5999999999998</v>
      </c>
      <c r="BZ77" s="13">
        <f>BY77*VLOOKUP('Données projet'!$B$12,Paramètres!$A$1:$I$89,3,0)*VLOOKUP('Données projet'!$B$12,Paramètres!$A$1:$I$89,5,0)</f>
        <v>183.95519999999988</v>
      </c>
      <c r="CA77" s="13">
        <f t="shared" si="93"/>
        <v>46.201029058683226</v>
      </c>
      <c r="CB77" s="20">
        <f t="shared" si="64"/>
        <v>400.85543227720638</v>
      </c>
      <c r="CC77" s="59">
        <f t="shared" si="65"/>
        <v>694.18876561053969</v>
      </c>
      <c r="CD77" s="59">
        <f ca="1">AVERAGE(OFFSET($CC$3,0,0,'Données projet'!$E$12+1,1))-AVERAGE(OFFSET($H$3,0,0,'Données projet'!$E$12+1,1))</f>
        <v>188.64374818906128</v>
      </c>
      <c r="CE77" s="59">
        <f t="shared" si="94"/>
        <v>211.95157880548652</v>
      </c>
      <c r="CF77" s="15">
        <f>IF(ISNA(VLOOKUP(A77,'Données projet'!$A$113:$I$133,3,0)),0,VLOOKUP(A77,'Données projet'!$A$113:$I$133,3,0))</f>
        <v>0</v>
      </c>
      <c r="CG77" s="15">
        <f>IF(ISNA(VLOOKUP(A77,'Données projet'!$A$113:$I$133,4,0)),0,VLOOKUP(A77,'Données projet'!$A$113:$I$133,4,0))</f>
        <v>0</v>
      </c>
      <c r="CH77" s="16">
        <f>IF(ISNA(VLOOKUP(A77,'Données projet'!$A$113:$I$133,5,0)),0%,VLOOKUP(A77,'Données projet'!$A$113:$I$133,5,0)*VLOOKUP('Données projet'!$B$12,Paramètres!$A$1:$I$89,7,0))</f>
        <v>0</v>
      </c>
      <c r="CI77" s="16">
        <f>IF(ISNA(VLOOKUP(A77,'Données projet'!$A$113:$I$133,6,0)),0%,VLOOKUP(A77,'Données projet'!$A$113:$I$133,6,0)*VLOOKUP('Données projet'!$B$12,Paramètres!$A$1:$I$89,7,0))</f>
        <v>0</v>
      </c>
      <c r="CJ77" s="16">
        <f>IF(ISNA(VLOOKUP(A77,'Données projet'!$A$113:$I$133,7,0)),0%,VLOOKUP(A77,'Données projet'!$A$113:$I$133,7,0))</f>
        <v>0</v>
      </c>
      <c r="CK77" s="21">
        <f>EXP(-LN(2)/35)*CK76+(1-EXP(-LN(2)/35))/(LN(2)/35)*CG77*CH77*VLOOKUP('Données projet'!$B$12,Paramètres!$A$1:$I$89,3,0)*0.475*44/12</f>
        <v>1.0285648686386522</v>
      </c>
      <c r="CL77" s="21">
        <f>EXP(-LN(2)/25)*CL76+(1-EXP(-LN(2)/25))/(LN(2)/25)*Calculateur!CG77*Calculateur!CI77*VLOOKUP('Données projet'!$B$12,Paramètres!$A$1:$I$89,3,0)*0.475*44/12</f>
        <v>4.2428691698637993</v>
      </c>
      <c r="CM77" s="21">
        <f>EXP(-LN(2)/2)*CM76+(1-EXP(-LN(2)/2))/(LN(2)/2)*CG77*CJ77*VLOOKUP('Données projet'!$B$12,Paramètres!$A$1:$I$89,3,0)*0.475*44/12</f>
        <v>5.0655692109432832E-6</v>
      </c>
      <c r="CN77" s="22">
        <f t="shared" si="66"/>
        <v>5.2714391040716624</v>
      </c>
      <c r="CO77" s="75">
        <f>('Scénario référence'!$F$8+'Scénario référence'!$F$9+'Scénario référence'!$B$17+'Scénario référence'!$B$9+'Scénario référence'!$B$10)*70+IF((45+25*(1-EXP(-0.0175*A77)))&lt;70,'Scénario référence'!$B$16*(45+25*(1-EXP(-0.0175*A77))),70*'Scénario référence'!$B$16)+IF((32+38*(1-EXP(-0.0175*A77)))&lt;70,'Scénario référence'!$B$18*(32+38*(1-EXP(-0.0175*A77))),70*'Scénario référence'!$B$18)</f>
        <v>70</v>
      </c>
      <c r="CP77" s="12">
        <f>IF(A77&gt;30,10,('Scénario référence'!$B$16+'Scénario référence'!$B$17+'Scénario référence'!$B$18+'Scénario référence'!$B$9+'Scénario référence'!$B$10)*A77*10/30+('Scénario référence'!$F$8+'Scénario référence'!$F$9)*10)</f>
        <v>10</v>
      </c>
      <c r="CQ77" s="12" t="e">
        <f>VLOOKUP(A77,'Données projet'!$A$139:$I$159,2,0)</f>
        <v>#N/A</v>
      </c>
      <c r="CR77" s="12" t="e">
        <f>VLOOKUP(A77,'Données projet'!$A$139:$I$159,9,0)</f>
        <v>#N/A</v>
      </c>
      <c r="CS77" s="12">
        <f t="array" ref="CS77">INDEX(CR:CR,MIN(IF(ISNUMBER(CR77:CR273),ROW(CR77:CR273),"")))</f>
        <v>0</v>
      </c>
      <c r="CT77" s="12">
        <f>IF('Données projet'!$A$140&gt;35,CT76+CS77-DB76,IF(A77&lt;'Données projet'!$A$140,$CQ$205^A77,IF(A77='Données projet'!$A$140,'Données projet'!$B$140,CT76+CS77-DB76)))</f>
        <v>0</v>
      </c>
      <c r="CU77" s="17" t="e">
        <f>CT77*VLOOKUP('Données projet'!$B$13,Paramètres!$A$1:$I$89,3,0)*VLOOKUP('Données projet'!$B$13,Paramètres!$A$1:$I$89,5,0)</f>
        <v>#N/A</v>
      </c>
      <c r="CV77" s="13" t="e">
        <f t="shared" si="95"/>
        <v>#N/A</v>
      </c>
      <c r="CW77" s="20" t="e">
        <f t="shared" si="67"/>
        <v>#N/A</v>
      </c>
      <c r="CX77" s="59" t="e">
        <f t="shared" si="68"/>
        <v>#N/A</v>
      </c>
      <c r="CY77" s="59" t="e">
        <f ca="1">AVERAGE(OFFSET($CX$3,0,0,'Données projet'!$E$13+1,1))-AVERAGE(OFFSET($H$3,0,0,'Données projet'!$E$13+1,1))</f>
        <v>#N/A</v>
      </c>
      <c r="CZ77" s="59" t="e">
        <f t="shared" si="96"/>
        <v>#N/A</v>
      </c>
      <c r="DA77" s="15">
        <f>IF(ISNA(VLOOKUP(A77,'Données projet'!$A$139:$I$159,3,0)),0,VLOOKUP(A77,'Données projet'!$A$139:$I$159,3,0))</f>
        <v>0</v>
      </c>
      <c r="DB77" s="15">
        <f>IF(ISNA(VLOOKUP(A77,'Données projet'!$A$139:$I$159,4,0)),0,VLOOKUP(A77,'Données projet'!$A$139:$I$159,4,0))</f>
        <v>0</v>
      </c>
      <c r="DC77" s="16">
        <f>IF(ISNA(VLOOKUP(A77,'Données projet'!$A$139:$I$159,5,0)),0%,VLOOKUP(A77,'Données projet'!$A$139:$I$159,5,0)*VLOOKUP('Données projet'!$B$13,Paramètres!$A$1:$I$89,7,0))</f>
        <v>0</v>
      </c>
      <c r="DD77" s="16">
        <f>IF(ISNA(VLOOKUP(A77,'Données projet'!$A$139:$I$159,6,0)),0%,VLOOKUP(A77,'Données projet'!$A$139:$I$159,6,0)*VLOOKUP('Données projet'!$B$13,Paramètres!$A$1:$I$89,7,0))</f>
        <v>0</v>
      </c>
      <c r="DE77" s="16">
        <f>IF(ISNA(VLOOKUP(A77,'Données projet'!$A$139:$I$159,7,0)),0%,VLOOKUP(A77,'Données projet'!$A$139:$I$159,7,0))</f>
        <v>0</v>
      </c>
      <c r="DF77" s="21" t="e">
        <f>EXP(-LN(2)/35)*DF76+(1-EXP(-LN(2)/35))/(LN(2)/35)*DB77*DC77*VLOOKUP('Données projet'!$B$13,Paramètres!$A$1:$I$89,3,0)*0.475*44/12</f>
        <v>#N/A</v>
      </c>
      <c r="DG77" s="21" t="e">
        <f>EXP(-LN(2)/25)*DG76+(1-EXP(-LN(2)/25))/(LN(2)/25)*Calculateur!DB77*Calculateur!DD77*VLOOKUP('Données projet'!$B$13,Paramètres!$A$1:$I$89,3,0)*0.475*44/12</f>
        <v>#N/A</v>
      </c>
      <c r="DH77" s="21" t="e">
        <f>EXP(-LN(2)/2)*DH76+(1-EXP(-LN(2)/2))/(LN(2)/2)*DB77*DE77*VLOOKUP('Données projet'!$B$13,Paramètres!$A$1:$I$89,3,0)*0.475*44/12</f>
        <v>#N/A</v>
      </c>
      <c r="DI77" s="22" t="e">
        <f t="shared" si="69"/>
        <v>#N/A</v>
      </c>
      <c r="DJ77" s="75">
        <f>('Scénario référence'!$F$8+'Scénario référence'!$F$9+'Scénario référence'!$B$17+'Scénario référence'!$B$9+'Scénario référence'!$B$10)*70+IF((45+25*(1-EXP(-0.0175*A77)))&lt;70,'Scénario référence'!$B$16*(45+25*(1-EXP(-0.0175*A77))),70*'Scénario référence'!$B$16)+IF((32+38*(1-EXP(-0.0175*A77)))&lt;70,'Scénario référence'!$B$18*(32+38*(1-EXP(-0.0175*A77))),70*'Scénario référence'!$B$18)</f>
        <v>70</v>
      </c>
      <c r="DK77" s="12">
        <f>IF(A77&gt;30,10,('Scénario référence'!$B$16+'Scénario référence'!$B$17+'Scénario référence'!$B$18+'Scénario référence'!$B$9+'Scénario référence'!$B$10)*A77*10/30+('Scénario référence'!$F$8+'Scénario référence'!$F$9)*10)</f>
        <v>10</v>
      </c>
      <c r="DL77" s="12" t="e">
        <f>VLOOKUP(A77,'Données projet'!$A$165:$I$185,2,0)</f>
        <v>#N/A</v>
      </c>
      <c r="DM77" s="12" t="e">
        <f>VLOOKUP(A77,'Données projet'!$A$165:$I$185,9,0)</f>
        <v>#N/A</v>
      </c>
      <c r="DN77" s="12">
        <f t="array" ref="DN77">INDEX(DM:DM,MIN(IF(ISNUMBER(DM77:DM273),ROW(DM77:DM273),"")))</f>
        <v>4.7</v>
      </c>
      <c r="DO77" s="12">
        <f>IF('Données projet'!$A$166&gt;35,DO76+DN77-DW76,IF(A77&lt;'Données projet'!$A$166,$DL$205^A77,IF(A77='Données projet'!$A$166,'Données projet'!$B$166,DO76+DN77-DW76)))</f>
        <v>267.80000000000024</v>
      </c>
      <c r="DP77" s="17">
        <f>DO77*VLOOKUP('Données projet'!$B$14,Paramètres!$A$1:$I$89,3,0)*VLOOKUP('Données projet'!$B$14,Paramètres!$A$1:$I$89,5,0)</f>
        <v>175.46256000000017</v>
      </c>
      <c r="DQ77" s="13">
        <f t="shared" si="97"/>
        <v>44.311194244027092</v>
      </c>
      <c r="DR77" s="20">
        <f t="shared" si="70"/>
        <v>382.77262197501415</v>
      </c>
      <c r="DS77" s="59">
        <f t="shared" si="71"/>
        <v>676.10595530834746</v>
      </c>
      <c r="DT77" s="59">
        <f ca="1">AVERAGE(OFFSET($DS$3,0,0,'Données projet'!$E$14+1,1))-AVERAGE(OFFSET($H$3,0,0,'Données projet'!$E$14+1,1))</f>
        <v>188.68915783955595</v>
      </c>
      <c r="DU77" s="59">
        <f t="shared" si="98"/>
        <v>240.82467772396944</v>
      </c>
      <c r="DV77" s="15">
        <f>IF(ISNA(VLOOKUP(A77,'Données projet'!$A$165:$I$185,3,0)),0,VLOOKUP(A77,'Données projet'!$A$165:$I$185,3,0))</f>
        <v>0</v>
      </c>
      <c r="DW77" s="15">
        <f>IF(ISNA(VLOOKUP(A77,'Données projet'!$A$165:$I$185,4,0)),0,VLOOKUP(A77,'Données projet'!$A$165:$I$185,4,0))</f>
        <v>0</v>
      </c>
      <c r="DX77" s="16">
        <f>IF(ISNA(VLOOKUP(A77,'Données projet'!$A$165:$I$185,5,0)),0%,VLOOKUP(A77,'Données projet'!$A$165:$I$185,5,0)*VLOOKUP('Données projet'!$B$14,Paramètres!$A$1:$I$89,7,0))</f>
        <v>0</v>
      </c>
      <c r="DY77" s="16">
        <f>IF(ISNA(VLOOKUP(A77,'Données projet'!$A$165:$I$185,6,0)),0%,VLOOKUP(A77,'Données projet'!$A$165:$I$185,6,0)*VLOOKUP('Données projet'!$B$14,Paramètres!$A$1:$I$89,7,0))</f>
        <v>0</v>
      </c>
      <c r="DZ77" s="16">
        <f>IF(ISNA(VLOOKUP(A77,'Données projet'!$A$165:$I$185,7,0)),0%,VLOOKUP(A77,'Données projet'!$A$165:$I$185,7,0))</f>
        <v>0</v>
      </c>
      <c r="EA77" s="21">
        <f>EXP(-LN(2)/35)*EA76+(1-EXP(-LN(2)/35))/(LN(2)/35)*DW77*DX77*VLOOKUP('Données projet'!$B$14,Paramètres!$A$1:$I$89,3,0)*0.475*44/12</f>
        <v>0.65151099633887688</v>
      </c>
      <c r="EB77" s="21">
        <f>EXP(-LN(2)/25)*EB76+(1-EXP(-LN(2)/25))/(LN(2)/25)*Calculateur!DW77*Calculateur!DY77*VLOOKUP('Données projet'!$B$14,Paramètres!$A$1:$I$89,3,0)*0.475*44/12</f>
        <v>2.3732133870125351</v>
      </c>
      <c r="EC77" s="21">
        <f>EXP(-LN(2)/2)*EC76+(1-EXP(-LN(2)/2))/(LN(2)/2)*DW77*DZ77*VLOOKUP('Données projet'!$B$14,Paramètres!$A$1:$I$89,3,0)*0.475*44/12</f>
        <v>3.3370037045972555E-6</v>
      </c>
      <c r="ED77" s="22">
        <f t="shared" si="72"/>
        <v>3.0247277203551164</v>
      </c>
      <c r="EE77" s="75">
        <f>('Scénario référence'!$F$8+'Scénario référence'!$F$9+'Scénario référence'!$B$17+'Scénario référence'!$B$9+'Scénario référence'!$B$10)*70+IF((45+25*(1-EXP(-0.0175*A77)))&lt;70,'Scénario référence'!$B$16*(45+25*(1-EXP(-0.0175*A77))),70*'Scénario référence'!$B$16)+IF((32+38*(1-EXP(-0.0175*A77)))&lt;70,'Scénario référence'!$B$18*(32+38*(1-EXP(-0.0175*A77))),70*'Scénario référence'!$B$18)</f>
        <v>70</v>
      </c>
      <c r="EF77" s="12">
        <f>IF(A77&gt;30,10,('Scénario référence'!$B$16+'Scénario référence'!$B$17+'Scénario référence'!$B$18+'Scénario référence'!$B$9+'Scénario référence'!$B$10)*A77*10/30+('Scénario référence'!$F$8+'Scénario référence'!$F$9)*10)</f>
        <v>10</v>
      </c>
      <c r="EG77" s="12" t="e">
        <f>VLOOKUP(A77,'Données projet'!$A$191:$I$211,2,0)</f>
        <v>#N/A</v>
      </c>
      <c r="EH77" s="12" t="e">
        <f>VLOOKUP(A77,'Données projet'!$A$191:$I$211,9,0)</f>
        <v>#N/A</v>
      </c>
      <c r="EI77" s="12">
        <f t="array" ref="EI77">INDEX(EH:EH,MIN(IF(ISNUMBER(EH77:EH273),ROW(EH77:EH273),"")))</f>
        <v>5.2</v>
      </c>
      <c r="EJ77" s="12">
        <f>IF('Données projet'!$A$192&gt;35,EJ76+EI77-ER76,IF(A77&lt;'Données projet'!$A$192,$EG$205^A77,IF(A77='Données projet'!$A$192,'Données projet'!$B$192,EJ76+EI77-ER76)))</f>
        <v>261.7999999999999</v>
      </c>
      <c r="EK77" s="17">
        <f>EJ77*VLOOKUP('Données projet'!$B$15,Paramètres!$A$1:$I$89,3,0)*VLOOKUP('Données projet'!$B$15,Paramètres!$A$1:$I$89,5,0)</f>
        <v>212.37215999999992</v>
      </c>
      <c r="EL77" s="13">
        <f t="shared" si="99"/>
        <v>52.453622970141602</v>
      </c>
      <c r="EM77" s="20">
        <f t="shared" si="73"/>
        <v>461.23823867299643</v>
      </c>
      <c r="EN77" s="59">
        <f t="shared" si="74"/>
        <v>754.57157200632969</v>
      </c>
      <c r="EO77" s="59">
        <f ca="1">AVERAGE(OFFSET($EN$3,0,0,'Données projet'!$E$15+1,1))-AVERAGE(OFFSET($H$3,0,0,'Données projet'!$E$15+1,1))</f>
        <v>205.5272583787887</v>
      </c>
      <c r="EP77" s="59">
        <f t="shared" si="100"/>
        <v>180.54762778843178</v>
      </c>
      <c r="EQ77" s="15">
        <f>IF(ISNA(VLOOKUP(A77,'Données projet'!$A$191:$I$211,3,0)),0,VLOOKUP(A77,'Données projet'!$A$191:$I$211,3,0))</f>
        <v>0</v>
      </c>
      <c r="ER77" s="15">
        <f>IF(ISNA(VLOOKUP(A77,'Données projet'!$A$191:$I$211,4,0)),0,VLOOKUP(A77,'Données projet'!$A$191:$I$211,4,0))</f>
        <v>0</v>
      </c>
      <c r="ES77" s="16">
        <f>IF(ISNA(VLOOKUP(A77,'Données projet'!$A$191:$I$211,5,0)),0%,VLOOKUP(A77,'Données projet'!$A$191:$I$211,5,0)*VLOOKUP('Données projet'!$B$15,Paramètres!$A$1:$I$89,7,0))</f>
        <v>0</v>
      </c>
      <c r="ET77" s="16">
        <f>IF(ISNA(VLOOKUP(A77,'Données projet'!$A$191:$I$211,6,0)),0%,VLOOKUP(A77,'Données projet'!$A$191:$I$211,6,0)*VLOOKUP('Données projet'!$B$15,Paramètres!$A$1:$I$89,7,0))</f>
        <v>0</v>
      </c>
      <c r="EU77" s="16">
        <f>IF(ISNA(VLOOKUP(A77,'Données projet'!$A$191:$I$211,7,0)),0%,VLOOKUP(A77,'Données projet'!$A$191:$I$211,7,0))</f>
        <v>0</v>
      </c>
      <c r="EV77" s="21">
        <f>EXP(-LN(2)/35)*EV76+(1-EXP(-LN(2)/35))/(LN(2)/35)*ER77*ES77*VLOOKUP('Données projet'!$B$15,Paramètres!$A$1:$I$89,3,0)*0.475*44/12</f>
        <v>0.41944898430960059</v>
      </c>
      <c r="EW77" s="21">
        <f>EXP(-LN(2)/25)*EW76+(1-EXP(-LN(2)/25))/(LN(2)/25)*Calculateur!ER77*Calculateur!ET77*VLOOKUP('Données projet'!$B$15,Paramètres!$A$1:$I$89,3,0)*0.475*44/12</f>
        <v>1.7135320591410101</v>
      </c>
      <c r="EX77" s="21">
        <f>EXP(-LN(2)/2)*EX76+(1-EXP(-LN(2)/2))/(LN(2)/2)*ER77*EU77*VLOOKUP('Données projet'!$B$15,Paramètres!$A$1:$I$89,3,0)*0.475*44/12</f>
        <v>2.1607123661947114E-6</v>
      </c>
      <c r="EY77" s="22">
        <f t="shared" si="75"/>
        <v>2.132983204162977</v>
      </c>
      <c r="EZ77" s="75">
        <f>('Scénario référence'!$F$8+'Scénario référence'!$F$9+'Scénario référence'!$B$17+'Scénario référence'!$B$9+'Scénario référence'!$B$10)*70+IF((45+25*(1-EXP(-0.0175*A77)))&lt;70,'Scénario référence'!$B$16*(45+25*(1-EXP(-0.0175*A77))),70*'Scénario référence'!$B$16)+IF((32+38*(1-EXP(-0.0175*A77)))&lt;70,'Scénario référence'!$B$18*(32+38*(1-EXP(-0.0175*A77))),70*'Scénario référence'!$B$18)</f>
        <v>70</v>
      </c>
      <c r="FA77" s="12">
        <f>IF(A77&gt;30,10,('Scénario référence'!$B$16+'Scénario référence'!$B$17+'Scénario référence'!$B$18+'Scénario référence'!$B$9+'Scénario référence'!$B$10)*A77*10/30+('Scénario référence'!$F$8+'Scénario référence'!$F$9)*10)</f>
        <v>10</v>
      </c>
      <c r="FB77" s="12" t="e">
        <f>VLOOKUP(A77,'Données projet'!$A$217:$I$237,2,0)</f>
        <v>#N/A</v>
      </c>
      <c r="FC77" s="12" t="e">
        <f>VLOOKUP(A77,'Données projet'!$A$217:$I$237,9,0)</f>
        <v>#N/A</v>
      </c>
      <c r="FD77" s="12">
        <f t="array" ref="FD77">INDEX(FC:FC,MIN(IF(ISNUMBER(FC77:FC273),ROW(FC77:FC273),"")))</f>
        <v>12.1</v>
      </c>
      <c r="FE77" s="12">
        <f>IF('Données projet'!$A$218&gt;35,FE76+FD77-FM76,IF(A77&lt;'Données projet'!$A$218,$FB$205^A77,IF(A77='Données projet'!$A$218,'Données projet'!$B$218,FE76+FD77-FM76)))</f>
        <v>328.40000000000003</v>
      </c>
      <c r="FF77" s="17">
        <f>FE77*VLOOKUP('Données projet'!$B$16,Paramètres!$A$1:$I$89,3,0)*VLOOKUP('Données projet'!$B$16,Paramètres!$A$1:$I$89,5,0)</f>
        <v>281.76720000000006</v>
      </c>
      <c r="FG77" s="13">
        <f t="shared" si="101"/>
        <v>67.340332181913453</v>
      </c>
      <c r="FH77" s="20">
        <f t="shared" si="76"/>
        <v>608.02895188349919</v>
      </c>
      <c r="FI77" s="59">
        <f t="shared" si="77"/>
        <v>901.36228521683256</v>
      </c>
      <c r="FJ77" s="59">
        <f ca="1">AVERAGE(OFFSET($FI$3,0,0,'Données projet'!$E$16+1,1))-AVERAGE(OFFSET($H$3,0,0,'Données projet'!$E$16+1,1))</f>
        <v>383.97627237444709</v>
      </c>
      <c r="FK77" s="59">
        <f t="shared" si="102"/>
        <v>203.35476578922339</v>
      </c>
      <c r="FL77" s="15">
        <f>IF(ISNA(VLOOKUP(A77,'Données projet'!$A$217:$I$237,3,0)),0,VLOOKUP(A77,'Données projet'!$A$217:$I$237,3,0))</f>
        <v>0</v>
      </c>
      <c r="FM77" s="15">
        <f>IF(ISNA(VLOOKUP(A77,'Données projet'!$A$217:$I$237,4,0)),0,VLOOKUP(A77,'Données projet'!$A$217:$I$237,4,0))</f>
        <v>0</v>
      </c>
      <c r="FN77" s="16">
        <f>IF(ISNA(VLOOKUP(A77,'Données projet'!$A$217:$I$237,5,0)),0%,VLOOKUP(A77,'Données projet'!$A$217:$I$237,5,0)*VLOOKUP('Données projet'!$B$16,Paramètres!$A$1:$I$89,7,0))</f>
        <v>0</v>
      </c>
      <c r="FO77" s="16">
        <f>IF(ISNA(VLOOKUP(A77,'Données projet'!$A$217:$I$237,6,0)),0%,VLOOKUP(A77,'Données projet'!$A$217:$I$237,6,0)*VLOOKUP('Données projet'!$B$16,Paramètres!$A$1:$I$89,7,0))</f>
        <v>0</v>
      </c>
      <c r="FP77" s="16">
        <f>IF(ISNA(VLOOKUP(A77,'Données projet'!$A$217:$I$237,7,0)),0%,VLOOKUP(A77,'Données projet'!$A$217:$I$237,7,0))</f>
        <v>0</v>
      </c>
      <c r="FQ77" s="21">
        <f>EXP(-LN(2)/35)*FQ76+(1-EXP(-LN(2)/35))/(LN(2)/35)*FM77*FN77*VLOOKUP('Données projet'!$B$16,Paramètres!$A$1:$I$89,3,0)*0.475*44/12</f>
        <v>2.1557402194751099</v>
      </c>
      <c r="FR77" s="21">
        <f>EXP(-LN(2)/25)*FR76+(1-EXP(-LN(2)/25))/(LN(2)/25)*Calculateur!FM77*Calculateur!FO77*VLOOKUP('Données projet'!$B$16,Paramètres!$A$1:$I$89,3,0)*0.475*44/12</f>
        <v>1.7394121503984923</v>
      </c>
      <c r="FS77" s="21">
        <f>EXP(-LN(2)/2)*FS76+(1-EXP(-LN(2)/2))/(LN(2)/2)*FM77*FP77*VLOOKUP('Données projet'!$B$16,Paramètres!$A$1:$I$89,3,0)*0.475*44/12</f>
        <v>3.9687851743197183E-6</v>
      </c>
      <c r="FT77" s="22">
        <f t="shared" si="78"/>
        <v>3.8951563386587766</v>
      </c>
      <c r="FU77" s="75">
        <f>('Scénario référence'!$F$8+'Scénario référence'!$F$9+'Scénario référence'!$B$17+'Scénario référence'!$B$9+'Scénario référence'!$B$10)*70+IF((45+25*(1-EXP(-0.0175*A77)))&lt;70,'Scénario référence'!$B$16*(45+25*(1-EXP(-0.0175*A77))),70*'Scénario référence'!$B$16)+IF((32+38*(1-EXP(-0.0175*A77)))&lt;70,'Scénario référence'!$B$18*(32+38*(1-EXP(-0.0175*A77))),70*'Scénario référence'!$B$18)</f>
        <v>70</v>
      </c>
      <c r="FV77" s="12">
        <f>IF(A77&gt;30,10,('Scénario référence'!$B$16+'Scénario référence'!$B$17+'Scénario référence'!$B$18+'Scénario référence'!$B$9+'Scénario référence'!$B$10)*A77*10/30+('Scénario référence'!$F$8+'Scénario référence'!$F$9)*10)</f>
        <v>10</v>
      </c>
      <c r="FW77" s="12" t="e">
        <f>VLOOKUP(A77,'Données projet'!$A$243:$I$263,2,0)</f>
        <v>#N/A</v>
      </c>
      <c r="FX77" s="12" t="e">
        <f>VLOOKUP(A77,'Données projet'!$A$243:$I$263,9,0)</f>
        <v>#N/A</v>
      </c>
      <c r="FY77" s="12">
        <f t="array" ref="FY77">INDEX(FX:FX,MIN(IF(ISNUMBER(FX77:FX273),ROW(FX77:FX273),"")))</f>
        <v>7.8425925925925934</v>
      </c>
      <c r="FZ77" s="12">
        <f>IF('Données projet'!$A$244&gt;35,FZ76+FY77-GH76,IF(A77&lt;'Données projet'!$A$244,$FW$205^A77,IF(A77='Données projet'!$A$244,'Données projet'!$B$244,FZ76+FY77-GH76)))</f>
        <v>226.95726495726493</v>
      </c>
      <c r="GA77" s="17">
        <f>FZ77*VLOOKUP('Données projet'!$B$17,Paramètres!$A$1:$I$89,3,0)*VLOOKUP('Données projet'!$B$17,Paramètres!$A$1:$I$89,5,0)</f>
        <v>244.29679999999996</v>
      </c>
      <c r="GB77" s="13">
        <f t="shared" si="103"/>
        <v>59.363051009813006</v>
      </c>
      <c r="GC77" s="20">
        <f t="shared" si="79"/>
        <v>528.87424050875768</v>
      </c>
      <c r="GD77" s="59">
        <f t="shared" si="80"/>
        <v>822.20757384209105</v>
      </c>
      <c r="GE77" s="59">
        <f ca="1">AVERAGE(OFFSET($GD$3,0,0,'Données projet'!$E$17+1,1))-AVERAGE(OFFSET($H$3,0,0,'Données projet'!$E$17+1,1))</f>
        <v>286.77702855541287</v>
      </c>
      <c r="GF77" s="59">
        <f t="shared" si="104"/>
        <v>227.12211541860779</v>
      </c>
      <c r="GG77" s="15">
        <f>IF(ISNA(VLOOKUP(A77,'Données projet'!$A$243:$I$263,3,0)),0,VLOOKUP(A77,'Données projet'!$A$243:$I$263,3,0))</f>
        <v>0</v>
      </c>
      <c r="GH77" s="15">
        <f>IF(ISNA(VLOOKUP(A77,'Données projet'!$A$243:$I$263,4,0)),0,VLOOKUP(A77,'Données projet'!$A$243:$I$263,4,0))</f>
        <v>0</v>
      </c>
      <c r="GI77" s="16">
        <f>IF(ISNA(VLOOKUP(A77,'Données projet'!$A$243:$I$263,5,0)),0%,VLOOKUP(A77,'Données projet'!$A$243:$I$263,5,0)*VLOOKUP('Données projet'!$B$17,Paramètres!$A$1:$I$89,7,0))</f>
        <v>0</v>
      </c>
      <c r="GJ77" s="16">
        <f>IF(ISNA(VLOOKUP(A77,'Données projet'!$A$243:$I$263,6,0)),0%,VLOOKUP(A77,'Données projet'!$A$243:$I$263,6,0)*VLOOKUP('Données projet'!$B$17,Paramètres!$A$1:$I$89,7,0))</f>
        <v>0</v>
      </c>
      <c r="GK77" s="16">
        <f>IF(ISNA(VLOOKUP(A77,'Données projet'!$A$243:$I$263,7,0)),0%,VLOOKUP(A77,'Données projet'!$A$243:$I$263,7,0))</f>
        <v>0</v>
      </c>
      <c r="GL77" s="21">
        <f>EXP(-LN(2)/35)*GL76+(1-EXP(-LN(2)/35))/(LN(2)/35)*GH77*GI77*VLOOKUP('Données projet'!$B$17,Paramètres!$A$1:$I$89,3,0)*0.475*44/12</f>
        <v>0</v>
      </c>
      <c r="GM77" s="21">
        <f>EXP(-LN(2)/25)*GM76+(1-EXP(-LN(2)/25))/(LN(2)/25)*Calculateur!GH77*Calculateur!GJ77*VLOOKUP('Données projet'!$B$17,Paramètres!$A$1:$I$89,3,0)*0.475*44/12</f>
        <v>0</v>
      </c>
      <c r="GN77" s="21">
        <f>EXP(-LN(2)/2)*GN76+(1-EXP(-LN(2)/2))/(LN(2)/2)*GH77*GK77*VLOOKUP('Données projet'!$B$17,Paramètres!$A$1:$I$89,3,0)*0.475*44/12</f>
        <v>0</v>
      </c>
      <c r="GO77" s="21">
        <f t="shared" si="81"/>
        <v>0</v>
      </c>
      <c r="GP77" s="75">
        <f>('Scénario référence'!$F$8+'Scénario référence'!$F$9+'Scénario référence'!$B$17+'Scénario référence'!$B$9+'Scénario référence'!$B$10)*70+IF((45+25*(1-EXP(-0.0175*A77)))&lt;70,'Scénario référence'!$B$16*(45+25*(1-EXP(-0.0175*A77))),70*'Scénario référence'!$B$16)+IF((32+38*(1-EXP(-0.0175*A77)))&lt;70,'Scénario référence'!$B$18*(32+38*(1-EXP(-0.0175*A77))),70*'Scénario référence'!$B$18)</f>
        <v>70</v>
      </c>
      <c r="GQ77" s="12">
        <f>IF(A77&gt;30,10,('Scénario référence'!$B$16+'Scénario référence'!$B$17+'Scénario référence'!$B$18+'Scénario référence'!$B$9+'Scénario référence'!$B$10)*A77*10/30+('Scénario référence'!$F$8+'Scénario référence'!$F$9)*10)</f>
        <v>10</v>
      </c>
      <c r="GR77" s="12" t="e">
        <f>VLOOKUP(A77,'Données projet'!$A$269:$I$289,2,0)</f>
        <v>#N/A</v>
      </c>
      <c r="GS77" s="12" t="e">
        <f>VLOOKUP(A77,'Données projet'!$A$269:$I$289,9,0)</f>
        <v>#N/A</v>
      </c>
      <c r="GT77" s="12">
        <f t="array" ref="GT77">INDEX(GS:GS,MIN(IF(ISNUMBER(GS77:GS273),ROW(GS77:GS273),"")))</f>
        <v>7.8425925925925934</v>
      </c>
      <c r="GU77" s="12">
        <f>IF('Données projet'!$A$270&gt;35,GU76+GT77-HC76,IF(A77&lt;'Données projet'!$A$270,$GR$205^A77,IF(A77='Données projet'!$A$270,'Données projet'!$B$270,GU76+GT77-HC76)))</f>
        <v>226.95726495726493</v>
      </c>
      <c r="GV77" s="17">
        <f>GU77*VLOOKUP('Données projet'!$B$18,Paramètres!$A$1:$I$89,3,0)*VLOOKUP('Données projet'!$B$18,Paramètres!$A$1:$I$89,5,0)</f>
        <v>244.29679999999996</v>
      </c>
      <c r="GW77" s="13">
        <f t="shared" si="105"/>
        <v>59.363051009813006</v>
      </c>
      <c r="GX77" s="20">
        <f t="shared" si="82"/>
        <v>528.87424050875768</v>
      </c>
      <c r="GY77" s="59">
        <f t="shared" si="83"/>
        <v>822.20757384209105</v>
      </c>
      <c r="GZ77" s="59">
        <f ca="1">AVERAGE(OFFSET($GY$3,0,0,'Données projet'!$E$18+1,1))-AVERAGE(OFFSET($H$3,0,0,'Données projet'!$E$18+1,1))</f>
        <v>286.77702855541287</v>
      </c>
      <c r="HA77" s="59">
        <f t="shared" si="106"/>
        <v>227.12211541860779</v>
      </c>
      <c r="HB77" s="15">
        <f>IF(ISNA(VLOOKUP(A77,'Données projet'!$A$269:$I$289,3,0)),0,VLOOKUP(A77,'Données projet'!$A$269:$I$289,3,0))</f>
        <v>0</v>
      </c>
      <c r="HC77" s="15">
        <f>IF(ISNA(VLOOKUP(A77,'Données projet'!$A$269:$I$289,4,0)),0,VLOOKUP(A77,'Données projet'!$A$269:$I$289,4,0))</f>
        <v>0</v>
      </c>
      <c r="HD77" s="16">
        <f>IF(ISNA(VLOOKUP(A77,'Données projet'!$A$269:$I$289,5,0)),0%,VLOOKUP(A77,'Données projet'!$A$269:$I$289,5,0)*VLOOKUP('Données projet'!$B$18,Paramètres!$A$1:$I$89,7,0))</f>
        <v>0</v>
      </c>
      <c r="HE77" s="16">
        <f>IF(ISNA(VLOOKUP(A77,'Données projet'!$A$269:$I$289,6,0)),0%,VLOOKUP(A77,'Données projet'!$A$269:$I$289,6,0)*VLOOKUP('Données projet'!$B$18,Paramètres!$A$1:$I$89,7,0))</f>
        <v>0</v>
      </c>
      <c r="HF77" s="16">
        <f>IF(ISNA(VLOOKUP(A77,'Données projet'!$A$269:$I$289,7,0)),0%,VLOOKUP(A77,'Données projet'!$A$269:$I$289,7,0))</f>
        <v>0</v>
      </c>
      <c r="HG77" s="21">
        <f>EXP(-LN(2)/35)*HG76+(1-EXP(-LN(2)/35))/(LN(2)/35)*HC77*HD77*VLOOKUP('Données projet'!$B$18,Paramètres!$A$1:$I$89,3,0)*0.475*44/12</f>
        <v>0</v>
      </c>
      <c r="HH77" s="21">
        <f>EXP(-LN(2)/25)*HH76+(1-EXP(-LN(2)/25))/(LN(2)/25)*Calculateur!HC77*Calculateur!HE77*VLOOKUP('Données projet'!$B$18,Paramètres!$A$1:$I$89,3,0)*0.475*44/12</f>
        <v>0</v>
      </c>
      <c r="HI77" s="21">
        <f>EXP(-LN(2)/2)*HI76+(1-EXP(-LN(2)/2))/(LN(2)/2)*HC77*HF77*VLOOKUP('Données projet'!$B$18,Paramètres!$A$1:$I$89,3,0)*0.475*44/12</f>
        <v>0</v>
      </c>
      <c r="HJ77" s="22">
        <f t="shared" si="84"/>
        <v>0</v>
      </c>
    </row>
    <row r="78" spans="1:218" x14ac:dyDescent="0.25">
      <c r="A78" s="10">
        <f t="shared" si="85"/>
        <v>75</v>
      </c>
      <c r="B78" s="73">
        <f>'Scénario référence'!$B$16*5+'Scénario référence'!$B$17*0+'Scénario référence'!$B$18*5</f>
        <v>0</v>
      </c>
      <c r="C78" s="19">
        <f>Calculateur!C77+'Scénario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66.690000000000083</v>
      </c>
      <c r="D78" s="11">
        <f t="shared" si="86"/>
        <v>18.849164941118655</v>
      </c>
      <c r="E7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78" s="11">
        <f>IF(OR('Scénario référence'!$F$8&gt;0,'Scénario référence'!$F$9&gt;0),('Scénario référence'!$F$8+'Scénario référence'!$F$9)*10,0)</f>
        <v>10</v>
      </c>
      <c r="G78" s="11">
        <f>'Scénario référence'!$B$8*B78*44/12+'Scénario référence'!$B$9*(C78+D78)/0.475*44/12+'Scénario référence'!$B$10*(C78+D78)/0.475*44/12+'Scénario référence'!$F$8*(C78+D78)/0.475*44/12+'Scénario référence'!$F$9*(C78+D78)/0.475*44/12</f>
        <v>660.30232586126749</v>
      </c>
      <c r="H78" s="67">
        <f t="shared" si="56"/>
        <v>442.31404560578176</v>
      </c>
      <c r="I78" s="70">
        <f>('Scénario référence'!$F$8+'Scénario référence'!$F$9+'Scénario référence'!$B$17+'Scénario référence'!$B$9+'Scénario référence'!$B$10)*70+IF((45+25*(1-EXP(-0.0175*A78)))&lt;70,'Scénario référence'!$B$16*(45+25*(1-EXP(-0.0175*A78))),70*'Scénario référence'!$B$16)+IF((32+38*(1-EXP(-0.0175*A78)))&lt;70,'Scénario référence'!$B$18*(32+38*(1-EXP(-0.0175*A78))),70*'Scénario référence'!$B$18)</f>
        <v>70</v>
      </c>
      <c r="J78" s="13">
        <f>IF(A78&gt;30,10,('Scénario référence'!$B$16+'Scénario référence'!$B$17+'Scénario référence'!$B$18+'Scénario référence'!$B$9+'Scénario référence'!$B$10)*A78*10/30+('Scénario référence'!$F$8+'Scénario référence'!$F$9)*10)</f>
        <v>10</v>
      </c>
      <c r="K78" s="12" t="e">
        <f>VLOOKUP(A78,'Données projet'!$A$35:$I$55,2,0)</f>
        <v>#N/A</v>
      </c>
      <c r="L78" s="12" t="e">
        <f>VLOOKUP(A78,'Données projet'!$A$35:$I$55,9,0)</f>
        <v>#N/A</v>
      </c>
      <c r="M78" s="12">
        <f t="array" ref="M78">INDEX(L:L,MIN(IF(ISNUMBER(L78:L274),ROW(L78:L274),"")))</f>
        <v>0</v>
      </c>
      <c r="N78" s="13">
        <f>IF('Données projet'!$A$36&gt;35,N77+M78-V77,IF(A78&lt;'Données projet'!$A$36,$K$205^A78,IF(A78='Données projet'!$A$36,'Données projet'!$B$36,N77+M78-V77)))</f>
        <v>-2.2737367544323206E-13</v>
      </c>
      <c r="O78" s="13">
        <f>N78*VLOOKUP('Données projet'!$B$9,Paramètres!$A$1:$I$89,3,0)*VLOOKUP('Données projet'!$B$9,Paramètres!$A$1:$I$89,5,0)</f>
        <v>-1.2710188457276673E-13</v>
      </c>
      <c r="P78" s="13" t="e">
        <f t="shared" si="87"/>
        <v>#NUM!</v>
      </c>
      <c r="Q78" s="20" t="e">
        <f t="shared" si="54"/>
        <v>#NUM!</v>
      </c>
      <c r="R78" s="59" t="e">
        <f t="shared" si="55"/>
        <v>#NUM!</v>
      </c>
      <c r="S78" s="59">
        <f ca="1">AVERAGE(OFFSET($R$3,0,0,'Données projet'!$E$9+1,1))-AVERAGE(OFFSET($H$3,0,0,'Données projet'!$E$9+1,1))</f>
        <v>255.5374979188561</v>
      </c>
      <c r="T78" s="59">
        <f t="shared" si="88"/>
        <v>343.10418468620901</v>
      </c>
      <c r="U78" s="15">
        <f>IF(ISNA(VLOOKUP(A78,'Données projet'!$A$35:$I$55,3,0)),0,VLOOKUP(A78,'Données projet'!$A$35:$I$55,3,0))</f>
        <v>0</v>
      </c>
      <c r="V78" s="15">
        <f>IF(ISNA(VLOOKUP(A78,'Données projet'!$A$35:$I$55,4,0)),0,VLOOKUP(A78,'Données projet'!$A$35:$I$55,4,0))</f>
        <v>0</v>
      </c>
      <c r="W78" s="16">
        <f>IF(ISNA(VLOOKUP(A78,'Données projet'!$A$35:$I$55,5,0)),0%,VLOOKUP(A78,'Données projet'!$A$35:$I$55,5,0)*VLOOKUP('Données projet'!$B$9,Paramètres!$A$1:$I$89,7,0))</f>
        <v>0</v>
      </c>
      <c r="X78" s="16">
        <f>IF(ISNA(VLOOKUP(A78,'Données projet'!$A$35:$I$55,6,0)),0%,VLOOKUP(A78,'Données projet'!$A$35:$I$55,6,0)*VLOOKUP('Données projet'!$B$9,Paramètres!$A$1:$I$89,7,0))</f>
        <v>0</v>
      </c>
      <c r="Y78" s="16">
        <f>IF(ISNA(VLOOKUP(A78,'Données projet'!$A$35:$I$55,7,0)),0%,VLOOKUP(A78,'Données projet'!$A$35:$I$55,7,0))</f>
        <v>0</v>
      </c>
      <c r="Z78" s="21">
        <f>EXP(-LN(2)/35)*Z77+(1-EXP(-LN(2)/35))/(LN(2)/35)*V78*W78*VLOOKUP('Données projet'!$B$9,Paramètres!$A$1:$I$89,3,0)*0.475*44/12</f>
        <v>1.2674348789681782</v>
      </c>
      <c r="AA78" s="21">
        <f>EXP(-LN(2)/25)*AA77+(1-EXP(-LN(2)/25))/(LN(2)/25)*Calculateur!V78*Calculateur!X78*VLOOKUP('Données projet'!$B$9,Paramètres!$A$1:$I$89,3,0)*0.475*44/12</f>
        <v>4.5833808520663206</v>
      </c>
      <c r="AB78" s="21">
        <f>EXP(-LN(2)/2)*AB77+(1-EXP(-LN(2)/2))/(LN(2)/2)*V78*Y78*VLOOKUP('Données projet'!$B$9,Paramètres!$A$1:$I$89,3,0)*0.475*44/12</f>
        <v>2.8535980309760115E-7</v>
      </c>
      <c r="AC78" s="22">
        <f t="shared" si="57"/>
        <v>5.8508160163943019</v>
      </c>
      <c r="AD78" s="13">
        <f>('Scénario référence'!$F$8+'Scénario référence'!$F$9+'Scénario référence'!$B$17+'Scénario référence'!$B$9+'Scénario référence'!$B$10)*70+IF((45+25*(1-EXP(-0.0175*A78)))&lt;70,'Scénario référence'!$B$16*(45+25*(1-EXP(-0.0175*A78))),70*'Scénario référence'!$B$16)+IF((32+38*(1-EXP(-0.0175*A78)))&lt;70,'Scénario référence'!$B$18*(32+38*(1-EXP(-0.0175*A78))),70*'Scénario référence'!$B$18)</f>
        <v>70</v>
      </c>
      <c r="AE78" s="13">
        <f>IF(A78&gt;30,10,('Scénario référence'!$B$16+'Scénario référence'!$B$17+'Scénario référence'!$B$18+'Scénario référence'!$B$9+'Scénario référence'!$B$10)*A78*10/30+('Scénario référence'!$F$8+'Scénario référence'!$F$9)*10)</f>
        <v>10</v>
      </c>
      <c r="AF78" s="12" t="e">
        <f>VLOOKUP(A78,'Données projet'!$A$61:$I$81,2,0)</f>
        <v>#N/A</v>
      </c>
      <c r="AG78" s="12" t="e">
        <f>VLOOKUP(A78,'Données projet'!$A$61:$I$81,9,0)</f>
        <v>#N/A</v>
      </c>
      <c r="AH78" s="12">
        <f t="array" ref="AH78">INDEX(AG:AG,MIN(IF(ISNUMBER(AG78:AG274),ROW(AG78:AG274),"")))</f>
        <v>6</v>
      </c>
      <c r="AI78" s="13">
        <f>IF('Données projet'!$A$62&gt;35,AI77+AH78-AQ77,IF(A78&lt;'Données projet'!$A$62,$AF$205^A78,IF(A78='Données projet'!$A$62,'Données projet'!$B$62,AI77+AH78-AQ77)))</f>
        <v>412</v>
      </c>
      <c r="AJ78" s="13">
        <f>AI78*VLOOKUP('Données projet'!$B$10,Paramètres!$A$1:$I$89,3,0)*VLOOKUP('Données projet'!$B$10,Paramètres!$A$1:$I$89,5,0)</f>
        <v>257.08800000000002</v>
      </c>
      <c r="AK78" s="13">
        <f t="shared" si="89"/>
        <v>62.101250925713771</v>
      </c>
      <c r="AL78" s="20">
        <f t="shared" si="58"/>
        <v>555.92127869561818</v>
      </c>
      <c r="AM78" s="59">
        <f t="shared" si="59"/>
        <v>849.25461202895144</v>
      </c>
      <c r="AN78" s="59">
        <f ca="1">AVERAGE(OFFSET($AM$3,0,0,'Données projet'!$E$10+1,1))-AVERAGE(OFFSET($H$3,0,0,'Données projet'!$E$10+1,1))</f>
        <v>261.78489480911571</v>
      </c>
      <c r="AO78" s="59">
        <f t="shared" si="90"/>
        <v>297.50513563712764</v>
      </c>
      <c r="AP78" s="15">
        <f>IF(ISNA(VLOOKUP(A78,'Données projet'!$A$61:$I$81,3,0)),0,VLOOKUP(A78,'Données projet'!$A$61:$I$81,3,0))</f>
        <v>0</v>
      </c>
      <c r="AQ78" s="15">
        <f>IF(ISNA(VLOOKUP(A78,'Données projet'!$A$61:$I$81,4,0)),0,VLOOKUP(A78,'Données projet'!$A$61:$I$81,4,0))</f>
        <v>0</v>
      </c>
      <c r="AR78" s="16">
        <f>IF(ISNA(VLOOKUP(A78,'Données projet'!$A$61:$I$81,5,0)),0%,VLOOKUP(A78,'Données projet'!$A$61:$I$81,5,0)*VLOOKUP('Données projet'!$B$10,Paramètres!$A$1:$I$89,7,0))</f>
        <v>0</v>
      </c>
      <c r="AS78" s="16">
        <f>IF(ISNA(VLOOKUP(A78,'Données projet'!$A$61:$I$81,6,0)),0%,VLOOKUP(A78,'Données projet'!$A$61:$I$81,6,0)*VLOOKUP('Données projet'!$B$10,Paramètres!$A$1:$I$89,7,0))</f>
        <v>0</v>
      </c>
      <c r="AT78" s="16">
        <f>IF(ISNA(VLOOKUP(A78,'Données projet'!$A$61:$I$81,7,0)),0%,VLOOKUP(A78,'Données projet'!$A$61:$I$81,7,0))</f>
        <v>0</v>
      </c>
      <c r="AU78" s="21">
        <f>EXP(-LN(2)/35)*AU77+(1-EXP(-LN(2)/35))/(LN(2)/35)*AQ78*AR78*VLOOKUP('Données projet'!$B$10,Paramètres!$A$1:$I$89,3,0)*0.475*44/12</f>
        <v>3.4224326654501338</v>
      </c>
      <c r="AV78" s="21">
        <f>EXP(-LN(2)/25)*AV77+(1-EXP(-LN(2)/25))/(LN(2)/25)*Calculateur!AQ78*Calculateur!AS78*VLOOKUP('Données projet'!$B$10,Paramètres!$A$1:$I$89,3,0)*0.475*44/12</f>
        <v>8.0035177980751246</v>
      </c>
      <c r="AW78" s="21">
        <f>EXP(-LN(2)/2)*AW77+(1-EXP(-LN(2)/2))/(LN(2)/2)*AQ78*AT78*VLOOKUP('Données projet'!$B$10,Paramètres!$A$1:$I$89,3,0)*0.475*44/12</f>
        <v>4.1137332253311804E-6</v>
      </c>
      <c r="AX78" s="21">
        <f t="shared" si="60"/>
        <v>11.425954577258484</v>
      </c>
      <c r="AY78" s="74">
        <f>('Scénario référence'!$F$8+'Scénario référence'!$F$9+'Scénario référence'!$B$17+'Scénario référence'!$B$9+'Scénario référence'!$B$10)*70+IF((45+25*(1-EXP(-0.0175*A78)))&lt;70,'Scénario référence'!$B$16*(45+25*(1-EXP(-0.0175*A78))),70*'Scénario référence'!$B$16)+IF((32+38*(1-EXP(-0.0175*A78)))&lt;70,'Scénario référence'!$B$18*(32+38*(1-EXP(-0.0175*A78))),70*'Scénario référence'!$B$18)</f>
        <v>70</v>
      </c>
      <c r="AZ78" s="12">
        <f>IF(A78&gt;30,10,('Scénario référence'!$B$16+'Scénario référence'!$B$17+'Scénario référence'!$B$18+'Scénario référence'!$B$9+'Scénario référence'!$B$10)*A78*10/30+('Scénario référence'!$F$8+'Scénario référence'!$F$9)*10)</f>
        <v>10</v>
      </c>
      <c r="BA78" s="12" t="e">
        <f>VLOOKUP(A78,'Données projet'!$A$87:$I$107,2,0)</f>
        <v>#N/A</v>
      </c>
      <c r="BB78" s="12" t="e">
        <f>VLOOKUP(A78,'Données projet'!$A$87:$I$107,9,0)</f>
        <v>#N/A</v>
      </c>
      <c r="BC78" s="12">
        <f t="array" ref="BC78">INDEX(BB:BB,MIN(IF(ISNUMBER(BB78:BB274),ROW(BB78:BB274),"")))</f>
        <v>14.5</v>
      </c>
      <c r="BD78" s="12">
        <f>IF('Données projet'!$A$88&gt;35,BD77+BC78-BL77,IF(A78&lt;'Données projet'!$A$88,$BA$205^A78,IF(A78='Données projet'!$A$88,'Données projet'!$B$88,BD77+BC78-BL77)))</f>
        <v>533.49999999999955</v>
      </c>
      <c r="BE78" s="13">
        <f>BD78*VLOOKUP('Données projet'!$B$11,Paramètres!$A$1:$I$89,3,0)*VLOOKUP('Données projet'!$B$11,Paramètres!$A$1:$I$89,5,0)</f>
        <v>319.03299999999973</v>
      </c>
      <c r="BF78" s="13">
        <f t="shared" si="91"/>
        <v>75.152115080720222</v>
      </c>
      <c r="BG78" s="20">
        <f t="shared" si="61"/>
        <v>686.53907543225387</v>
      </c>
      <c r="BH78" s="59">
        <f t="shared" si="62"/>
        <v>979.87240876558712</v>
      </c>
      <c r="BI78" s="59">
        <f ca="1">AVERAGE(OFFSET($BH$3,0,0,'Données projet'!$E$11+1,1))-AVERAGE(OFFSET($H$3,0,0,'Données projet'!$E$11+1,1))</f>
        <v>316.58509520829671</v>
      </c>
      <c r="BJ78" s="59">
        <f t="shared" si="92"/>
        <v>240.71332110643596</v>
      </c>
      <c r="BK78" s="15">
        <f>IF(ISNA(VLOOKUP(A78,'Données projet'!$A$87:$I$107,3,0)),0,VLOOKUP(A78,'Données projet'!$A$87:$I$107,3,0))</f>
        <v>0</v>
      </c>
      <c r="BL78" s="15">
        <f>IF(ISNA(VLOOKUP(A78,'Données projet'!$A$87:$I$107,4,0)),0,VLOOKUP(A78,'Données projet'!$A$87:$I$107,4,0))</f>
        <v>0</v>
      </c>
      <c r="BM78" s="16">
        <f>IF(ISNA(VLOOKUP(A78,'Données projet'!$A$87:$I$107,5,0)),0%,VLOOKUP(A78,'Données projet'!$A$87:$I$107,5,0)*VLOOKUP('Données projet'!$B$11,Paramètres!$A$1:$I$89,7,0))</f>
        <v>0</v>
      </c>
      <c r="BN78" s="16">
        <f>IF(ISNA(VLOOKUP(A78,'Données projet'!$A$87:$I$107,6,0)),0%,VLOOKUP(A78,'Données projet'!$A$87:$I$107,6,0)*VLOOKUP('Données projet'!$B$11,Paramètres!$A$1:$I$89,7,0))</f>
        <v>0</v>
      </c>
      <c r="BO78" s="16">
        <f>IF(ISNA(VLOOKUP(A78,'Données projet'!$A$87:$I$107,7,0)),0%,VLOOKUP(A78,'Données projet'!$A$87:$I$107,7,0))</f>
        <v>0</v>
      </c>
      <c r="BP78" s="21">
        <f>EXP(-LN(2)/35)*BP77+(1-EXP(-LN(2)/35))/(LN(2)/35)*BL78*BM78*VLOOKUP('Données projet'!$B$11,Paramètres!$A$1:$I$89,3,0)*0.475*44/12</f>
        <v>1.0395893866592387</v>
      </c>
      <c r="BQ78" s="21">
        <f>EXP(-LN(2)/25)*BQ77+(1-EXP(-LN(2)/25))/(LN(2)/25)*Calculateur!BL78*Calculateur!BN78*VLOOKUP('Données projet'!$B$11,Paramètres!$A$1:$I$89,3,0)*0.475*44/12</f>
        <v>4.3845605770408431</v>
      </c>
      <c r="BR78" s="21">
        <f>EXP(-LN(2)/2)*BR77+(1-EXP(-LN(2)/2))/(LN(2)/2)*BL78*BO78*VLOOKUP('Données projet'!$B$11,Paramètres!$A$1:$I$89,3,0)*0.475*44/12</f>
        <v>3.6986966752230388E-6</v>
      </c>
      <c r="BS78" s="22">
        <f t="shared" si="63"/>
        <v>5.4241536623967566</v>
      </c>
      <c r="BT78" s="75">
        <f>('Scénario référence'!$F$8+'Scénario référence'!$F$9+'Scénario référence'!$B$17+'Scénario référence'!$B$9+'Scénario référence'!$B$10)*70+IF((45+25*(1-EXP(-0.0175*A78)))&lt;70,'Scénario référence'!$B$16*(45+25*(1-EXP(-0.0175*A78))),70*'Scénario référence'!$B$16)+IF((32+38*(1-EXP(-0.0175*A78)))&lt;70,'Scénario référence'!$B$18*(32+38*(1-EXP(-0.0175*A78))),70*'Scénario référence'!$B$18)</f>
        <v>70</v>
      </c>
      <c r="BU78" s="12">
        <f>IF(A78&gt;30,10,('Scénario référence'!$B$16+'Scénario référence'!$B$17+'Scénario référence'!$B$18+'Scénario référence'!$B$9+'Scénario référence'!$B$10)*A78*10/30+('Scénario référence'!$F$8+'Scénario référence'!$F$9)*10)</f>
        <v>10</v>
      </c>
      <c r="BV78" s="12" t="e">
        <f>VLOOKUP(A78,'Données projet'!$A$113:$I$133,2,0)</f>
        <v>#N/A</v>
      </c>
      <c r="BW78" s="12" t="e">
        <f>VLOOKUP(A78,'Données projet'!$A$113:$I$133,9,0)</f>
        <v>#N/A</v>
      </c>
      <c r="BX78" s="12">
        <f t="array" ref="BX78">INDEX(BW:BW,MIN(IF(ISNUMBER(BW78:BW274),ROW(BW78:BW274),"")))</f>
        <v>5.4</v>
      </c>
      <c r="BY78" s="12">
        <f>IF('Données projet'!$A$114&gt;35,BY77+BX78-CG77,IF(A78&lt;'Données projet'!$A$114,$BV$205^A78,IF(A78='Données projet'!$A$114,'Données projet'!$B$114,BY77+BX78-CG77)))</f>
        <v>326.99999999999977</v>
      </c>
      <c r="BZ78" s="13">
        <f>BY78*VLOOKUP('Données projet'!$B$12,Paramètres!$A$1:$I$89,3,0)*VLOOKUP('Données projet'!$B$12,Paramètres!$A$1:$I$89,5,0)</f>
        <v>187.0439999999999</v>
      </c>
      <c r="CA78" s="13">
        <f t="shared" si="93"/>
        <v>46.885828015531096</v>
      </c>
      <c r="CB78" s="20">
        <f t="shared" si="64"/>
        <v>407.42778379371651</v>
      </c>
      <c r="CC78" s="59">
        <f t="shared" si="65"/>
        <v>700.76111712704983</v>
      </c>
      <c r="CD78" s="59">
        <f ca="1">AVERAGE(OFFSET($CC$3,0,0,'Données projet'!$E$12+1,1))-AVERAGE(OFFSET($H$3,0,0,'Données projet'!$E$12+1,1))</f>
        <v>188.64374818906128</v>
      </c>
      <c r="CE78" s="59">
        <f t="shared" si="94"/>
        <v>211.95157880548652</v>
      </c>
      <c r="CF78" s="15">
        <f>IF(ISNA(VLOOKUP(A78,'Données projet'!$A$113:$I$133,3,0)),0,VLOOKUP(A78,'Données projet'!$A$113:$I$133,3,0))</f>
        <v>0</v>
      </c>
      <c r="CG78" s="15">
        <f>IF(ISNA(VLOOKUP(A78,'Données projet'!$A$113:$I$133,4,0)),0,VLOOKUP(A78,'Données projet'!$A$113:$I$133,4,0))</f>
        <v>0</v>
      </c>
      <c r="CH78" s="16">
        <f>IF(ISNA(VLOOKUP(A78,'Données projet'!$A$113:$I$133,5,0)),0%,VLOOKUP(A78,'Données projet'!$A$113:$I$133,5,0)*VLOOKUP('Données projet'!$B$12,Paramètres!$A$1:$I$89,7,0))</f>
        <v>0</v>
      </c>
      <c r="CI78" s="16">
        <f>IF(ISNA(VLOOKUP(A78,'Données projet'!$A$113:$I$133,6,0)),0%,VLOOKUP(A78,'Données projet'!$A$113:$I$133,6,0)*VLOOKUP('Données projet'!$B$12,Paramètres!$A$1:$I$89,7,0))</f>
        <v>0</v>
      </c>
      <c r="CJ78" s="16">
        <f>IF(ISNA(VLOOKUP(A78,'Données projet'!$A$113:$I$133,7,0)),0%,VLOOKUP(A78,'Données projet'!$A$113:$I$133,7,0))</f>
        <v>0</v>
      </c>
      <c r="CK78" s="21">
        <f>EXP(-LN(2)/35)*CK77+(1-EXP(-LN(2)/35))/(LN(2)/35)*CG78*CH78*VLOOKUP('Données projet'!$B$12,Paramètres!$A$1:$I$89,3,0)*0.475*44/12</f>
        <v>1.0083953389272711</v>
      </c>
      <c r="CL78" s="21">
        <f>EXP(-LN(2)/25)*CL77+(1-EXP(-LN(2)/25))/(LN(2)/25)*Calculateur!CG78*Calculateur!CI78*VLOOKUP('Données projet'!$B$12,Paramètres!$A$1:$I$89,3,0)*0.475*44/12</f>
        <v>4.1268476892910808</v>
      </c>
      <c r="CM78" s="21">
        <f>EXP(-LN(2)/2)*CM77+(1-EXP(-LN(2)/2))/(LN(2)/2)*CG78*CJ78*VLOOKUP('Données projet'!$B$12,Paramètres!$A$1:$I$89,3,0)*0.475*44/12</f>
        <v>3.5818983396277844E-6</v>
      </c>
      <c r="CN78" s="22">
        <f t="shared" si="66"/>
        <v>5.1352466101166918</v>
      </c>
      <c r="CO78" s="75">
        <f>('Scénario référence'!$F$8+'Scénario référence'!$F$9+'Scénario référence'!$B$17+'Scénario référence'!$B$9+'Scénario référence'!$B$10)*70+IF((45+25*(1-EXP(-0.0175*A78)))&lt;70,'Scénario référence'!$B$16*(45+25*(1-EXP(-0.0175*A78))),70*'Scénario référence'!$B$16)+IF((32+38*(1-EXP(-0.0175*A78)))&lt;70,'Scénario référence'!$B$18*(32+38*(1-EXP(-0.0175*A78))),70*'Scénario référence'!$B$18)</f>
        <v>70</v>
      </c>
      <c r="CP78" s="12">
        <f>IF(A78&gt;30,10,('Scénario référence'!$B$16+'Scénario référence'!$B$17+'Scénario référence'!$B$18+'Scénario référence'!$B$9+'Scénario référence'!$B$10)*A78*10/30+('Scénario référence'!$F$8+'Scénario référence'!$F$9)*10)</f>
        <v>10</v>
      </c>
      <c r="CQ78" s="12" t="e">
        <f>VLOOKUP(A78,'Données projet'!$A$139:$I$159,2,0)</f>
        <v>#N/A</v>
      </c>
      <c r="CR78" s="12" t="e">
        <f>VLOOKUP(A78,'Données projet'!$A$139:$I$159,9,0)</f>
        <v>#N/A</v>
      </c>
      <c r="CS78" s="12">
        <f t="array" ref="CS78">INDEX(CR:CR,MIN(IF(ISNUMBER(CR78:CR274),ROW(CR78:CR274),"")))</f>
        <v>0</v>
      </c>
      <c r="CT78" s="12">
        <f>IF('Données projet'!$A$140&gt;35,CT77+CS78-DB77,IF(A78&lt;'Données projet'!$A$140,$CQ$205^A78,IF(A78='Données projet'!$A$140,'Données projet'!$B$140,CT77+CS78-DB77)))</f>
        <v>0</v>
      </c>
      <c r="CU78" s="17" t="e">
        <f>CT78*VLOOKUP('Données projet'!$B$13,Paramètres!$A$1:$I$89,3,0)*VLOOKUP('Données projet'!$B$13,Paramètres!$A$1:$I$89,5,0)</f>
        <v>#N/A</v>
      </c>
      <c r="CV78" s="13" t="e">
        <f t="shared" si="95"/>
        <v>#N/A</v>
      </c>
      <c r="CW78" s="20" t="e">
        <f t="shared" si="67"/>
        <v>#N/A</v>
      </c>
      <c r="CX78" s="59" t="e">
        <f t="shared" si="68"/>
        <v>#N/A</v>
      </c>
      <c r="CY78" s="59" t="e">
        <f ca="1">AVERAGE(OFFSET($CX$3,0,0,'Données projet'!$E$13+1,1))-AVERAGE(OFFSET($H$3,0,0,'Données projet'!$E$13+1,1))</f>
        <v>#N/A</v>
      </c>
      <c r="CZ78" s="59" t="e">
        <f t="shared" si="96"/>
        <v>#N/A</v>
      </c>
      <c r="DA78" s="15">
        <f>IF(ISNA(VLOOKUP(A78,'Données projet'!$A$139:$I$159,3,0)),0,VLOOKUP(A78,'Données projet'!$A$139:$I$159,3,0))</f>
        <v>0</v>
      </c>
      <c r="DB78" s="15">
        <f>IF(ISNA(VLOOKUP(A78,'Données projet'!$A$139:$I$159,4,0)),0,VLOOKUP(A78,'Données projet'!$A$139:$I$159,4,0))</f>
        <v>0</v>
      </c>
      <c r="DC78" s="16">
        <f>IF(ISNA(VLOOKUP(A78,'Données projet'!$A$139:$I$159,5,0)),0%,VLOOKUP(A78,'Données projet'!$A$139:$I$159,5,0)*VLOOKUP('Données projet'!$B$13,Paramètres!$A$1:$I$89,7,0))</f>
        <v>0</v>
      </c>
      <c r="DD78" s="16">
        <f>IF(ISNA(VLOOKUP(A78,'Données projet'!$A$139:$I$159,6,0)),0%,VLOOKUP(A78,'Données projet'!$A$139:$I$159,6,0)*VLOOKUP('Données projet'!$B$13,Paramètres!$A$1:$I$89,7,0))</f>
        <v>0</v>
      </c>
      <c r="DE78" s="16">
        <f>IF(ISNA(VLOOKUP(A78,'Données projet'!$A$139:$I$159,7,0)),0%,VLOOKUP(A78,'Données projet'!$A$139:$I$159,7,0))</f>
        <v>0</v>
      </c>
      <c r="DF78" s="21" t="e">
        <f>EXP(-LN(2)/35)*DF77+(1-EXP(-LN(2)/35))/(LN(2)/35)*DB78*DC78*VLOOKUP('Données projet'!$B$13,Paramètres!$A$1:$I$89,3,0)*0.475*44/12</f>
        <v>#N/A</v>
      </c>
      <c r="DG78" s="21" t="e">
        <f>EXP(-LN(2)/25)*DG77+(1-EXP(-LN(2)/25))/(LN(2)/25)*Calculateur!DB78*Calculateur!DD78*VLOOKUP('Données projet'!$B$13,Paramètres!$A$1:$I$89,3,0)*0.475*44/12</f>
        <v>#N/A</v>
      </c>
      <c r="DH78" s="21" t="e">
        <f>EXP(-LN(2)/2)*DH77+(1-EXP(-LN(2)/2))/(LN(2)/2)*DB78*DE78*VLOOKUP('Données projet'!$B$13,Paramètres!$A$1:$I$89,3,0)*0.475*44/12</f>
        <v>#N/A</v>
      </c>
      <c r="DI78" s="22" t="e">
        <f t="shared" si="69"/>
        <v>#N/A</v>
      </c>
      <c r="DJ78" s="75">
        <f>('Scénario référence'!$F$8+'Scénario référence'!$F$9+'Scénario référence'!$B$17+'Scénario référence'!$B$9+'Scénario référence'!$B$10)*70+IF((45+25*(1-EXP(-0.0175*A78)))&lt;70,'Scénario référence'!$B$16*(45+25*(1-EXP(-0.0175*A78))),70*'Scénario référence'!$B$16)+IF((32+38*(1-EXP(-0.0175*A78)))&lt;70,'Scénario référence'!$B$18*(32+38*(1-EXP(-0.0175*A78))),70*'Scénario référence'!$B$18)</f>
        <v>70</v>
      </c>
      <c r="DK78" s="12">
        <f>IF(A78&gt;30,10,('Scénario référence'!$B$16+'Scénario référence'!$B$17+'Scénario référence'!$B$18+'Scénario référence'!$B$9+'Scénario référence'!$B$10)*A78*10/30+('Scénario référence'!$F$8+'Scénario référence'!$F$9)*10)</f>
        <v>10</v>
      </c>
      <c r="DL78" s="12" t="e">
        <f>VLOOKUP(A78,'Données projet'!$A$165:$I$185,2,0)</f>
        <v>#N/A</v>
      </c>
      <c r="DM78" s="12" t="e">
        <f>VLOOKUP(A78,'Données projet'!$A$165:$I$185,9,0)</f>
        <v>#N/A</v>
      </c>
      <c r="DN78" s="12">
        <f t="array" ref="DN78">INDEX(DM:DM,MIN(IF(ISNUMBER(DM78:DM274),ROW(DM78:DM274),"")))</f>
        <v>4.7</v>
      </c>
      <c r="DO78" s="12">
        <f>IF('Données projet'!$A$166&gt;35,DO77+DN78-DW77,IF(A78&lt;'Données projet'!$A$166,$DL$205^A78,IF(A78='Données projet'!$A$166,'Données projet'!$B$166,DO77+DN78-DW77)))</f>
        <v>272.50000000000023</v>
      </c>
      <c r="DP78" s="17">
        <f>DO78*VLOOKUP('Données projet'!$B$14,Paramètres!$A$1:$I$89,3,0)*VLOOKUP('Données projet'!$B$14,Paramètres!$A$1:$I$89,5,0)</f>
        <v>178.54200000000014</v>
      </c>
      <c r="DQ78" s="13">
        <f t="shared" si="97"/>
        <v>44.997654647354175</v>
      </c>
      <c r="DR78" s="20">
        <f t="shared" si="70"/>
        <v>389.3315651774754</v>
      </c>
      <c r="DS78" s="59">
        <f t="shared" si="71"/>
        <v>682.66489851080871</v>
      </c>
      <c r="DT78" s="59">
        <f ca="1">AVERAGE(OFFSET($DS$3,0,0,'Données projet'!$E$14+1,1))-AVERAGE(OFFSET($H$3,0,0,'Données projet'!$E$14+1,1))</f>
        <v>188.68915783955595</v>
      </c>
      <c r="DU78" s="59">
        <f t="shared" si="98"/>
        <v>240.82467772396944</v>
      </c>
      <c r="DV78" s="15">
        <f>IF(ISNA(VLOOKUP(A78,'Données projet'!$A$165:$I$185,3,0)),0,VLOOKUP(A78,'Données projet'!$A$165:$I$185,3,0))</f>
        <v>0</v>
      </c>
      <c r="DW78" s="15">
        <f>IF(ISNA(VLOOKUP(A78,'Données projet'!$A$165:$I$185,4,0)),0,VLOOKUP(A78,'Données projet'!$A$165:$I$185,4,0))</f>
        <v>0</v>
      </c>
      <c r="DX78" s="16">
        <f>IF(ISNA(VLOOKUP(A78,'Données projet'!$A$165:$I$185,5,0)),0%,VLOOKUP(A78,'Données projet'!$A$165:$I$185,5,0)*VLOOKUP('Données projet'!$B$14,Paramètres!$A$1:$I$89,7,0))</f>
        <v>0</v>
      </c>
      <c r="DY78" s="16">
        <f>IF(ISNA(VLOOKUP(A78,'Données projet'!$A$165:$I$185,6,0)),0%,VLOOKUP(A78,'Données projet'!$A$165:$I$185,6,0)*VLOOKUP('Données projet'!$B$14,Paramètres!$A$1:$I$89,7,0))</f>
        <v>0</v>
      </c>
      <c r="DZ78" s="16">
        <f>IF(ISNA(VLOOKUP(A78,'Données projet'!$A$165:$I$185,7,0)),0%,VLOOKUP(A78,'Données projet'!$A$165:$I$185,7,0))</f>
        <v>0</v>
      </c>
      <c r="EA78" s="21">
        <f>EXP(-LN(2)/35)*EA77+(1-EXP(-LN(2)/35))/(LN(2)/35)*DW78*DX78*VLOOKUP('Données projet'!$B$14,Paramètres!$A$1:$I$89,3,0)*0.475*44/12</f>
        <v>0.63873526308314099</v>
      </c>
      <c r="EB78" s="21">
        <f>EXP(-LN(2)/25)*EB77+(1-EXP(-LN(2)/25))/(LN(2)/25)*Calculateur!DW78*Calculateur!DY78*VLOOKUP('Données projet'!$B$14,Paramètres!$A$1:$I$89,3,0)*0.475*44/12</f>
        <v>2.3083177421428096</v>
      </c>
      <c r="EC78" s="21">
        <f>EXP(-LN(2)/2)*EC77+(1-EXP(-LN(2)/2))/(LN(2)/2)*DW78*DZ78*VLOOKUP('Données projet'!$B$14,Paramètres!$A$1:$I$89,3,0)*0.475*44/12</f>
        <v>2.35961794836535E-6</v>
      </c>
      <c r="ED78" s="22">
        <f t="shared" si="72"/>
        <v>2.9470553648438989</v>
      </c>
      <c r="EE78" s="75">
        <f>('Scénario référence'!$F$8+'Scénario référence'!$F$9+'Scénario référence'!$B$17+'Scénario référence'!$B$9+'Scénario référence'!$B$10)*70+IF((45+25*(1-EXP(-0.0175*A78)))&lt;70,'Scénario référence'!$B$16*(45+25*(1-EXP(-0.0175*A78))),70*'Scénario référence'!$B$16)+IF((32+38*(1-EXP(-0.0175*A78)))&lt;70,'Scénario référence'!$B$18*(32+38*(1-EXP(-0.0175*A78))),70*'Scénario référence'!$B$18)</f>
        <v>70</v>
      </c>
      <c r="EF78" s="12">
        <f>IF(A78&gt;30,10,('Scénario référence'!$B$16+'Scénario référence'!$B$17+'Scénario référence'!$B$18+'Scénario référence'!$B$9+'Scénario référence'!$B$10)*A78*10/30+('Scénario référence'!$F$8+'Scénario référence'!$F$9)*10)</f>
        <v>10</v>
      </c>
      <c r="EG78" s="12" t="e">
        <f>VLOOKUP(A78,'Données projet'!$A$191:$I$211,2,0)</f>
        <v>#N/A</v>
      </c>
      <c r="EH78" s="12" t="e">
        <f>VLOOKUP(A78,'Données projet'!$A$191:$I$211,9,0)</f>
        <v>#N/A</v>
      </c>
      <c r="EI78" s="12">
        <f t="array" ref="EI78">INDEX(EH:EH,MIN(IF(ISNUMBER(EH78:EH274),ROW(EH78:EH274),"")))</f>
        <v>5.2</v>
      </c>
      <c r="EJ78" s="12">
        <f>IF('Données projet'!$A$192&gt;35,EJ77+EI78-ER77,IF(A78&lt;'Données projet'!$A$192,$EG$205^A78,IF(A78='Données projet'!$A$192,'Données projet'!$B$192,EJ77+EI78-ER77)))</f>
        <v>266.99999999999989</v>
      </c>
      <c r="EK78" s="17">
        <f>EJ78*VLOOKUP('Données projet'!$B$15,Paramètres!$A$1:$I$89,3,0)*VLOOKUP('Données projet'!$B$15,Paramètres!$A$1:$I$89,5,0)</f>
        <v>216.59039999999993</v>
      </c>
      <c r="EL78" s="13">
        <f t="shared" si="99"/>
        <v>53.373153688190953</v>
      </c>
      <c r="EM78" s="20">
        <f t="shared" si="73"/>
        <v>470.18652267359909</v>
      </c>
      <c r="EN78" s="59">
        <f t="shared" si="74"/>
        <v>763.5198560069324</v>
      </c>
      <c r="EO78" s="59">
        <f ca="1">AVERAGE(OFFSET($EN$3,0,0,'Données projet'!$E$15+1,1))-AVERAGE(OFFSET($H$3,0,0,'Données projet'!$E$15+1,1))</f>
        <v>205.5272583787887</v>
      </c>
      <c r="EP78" s="59">
        <f t="shared" si="100"/>
        <v>180.54762778843178</v>
      </c>
      <c r="EQ78" s="15">
        <f>IF(ISNA(VLOOKUP(A78,'Données projet'!$A$191:$I$211,3,0)),0,VLOOKUP(A78,'Données projet'!$A$191:$I$211,3,0))</f>
        <v>0</v>
      </c>
      <c r="ER78" s="15">
        <f>IF(ISNA(VLOOKUP(A78,'Données projet'!$A$191:$I$211,4,0)),0,VLOOKUP(A78,'Données projet'!$A$191:$I$211,4,0))</f>
        <v>0</v>
      </c>
      <c r="ES78" s="16">
        <f>IF(ISNA(VLOOKUP(A78,'Données projet'!$A$191:$I$211,5,0)),0%,VLOOKUP(A78,'Données projet'!$A$191:$I$211,5,0)*VLOOKUP('Données projet'!$B$15,Paramètres!$A$1:$I$89,7,0))</f>
        <v>0</v>
      </c>
      <c r="ET78" s="16">
        <f>IF(ISNA(VLOOKUP(A78,'Données projet'!$A$191:$I$211,6,0)),0%,VLOOKUP(A78,'Données projet'!$A$191:$I$211,6,0)*VLOOKUP('Données projet'!$B$15,Paramètres!$A$1:$I$89,7,0))</f>
        <v>0</v>
      </c>
      <c r="EU78" s="16">
        <f>IF(ISNA(VLOOKUP(A78,'Données projet'!$A$191:$I$211,7,0)),0%,VLOOKUP(A78,'Données projet'!$A$191:$I$211,7,0))</f>
        <v>0</v>
      </c>
      <c r="EV78" s="21">
        <f>EXP(-LN(2)/35)*EV77+(1-EXP(-LN(2)/35))/(LN(2)/35)*ER78*ES78*VLOOKUP('Données projet'!$B$15,Paramètres!$A$1:$I$89,3,0)*0.475*44/12</f>
        <v>0.4112238455659078</v>
      </c>
      <c r="EW78" s="21">
        <f>EXP(-LN(2)/25)*EW77+(1-EXP(-LN(2)/25))/(LN(2)/25)*Calculateur!ER78*Calculateur!ET78*VLOOKUP('Données projet'!$B$15,Paramètres!$A$1:$I$89,3,0)*0.475*44/12</f>
        <v>1.6666754348730646</v>
      </c>
      <c r="EX78" s="21">
        <f>EXP(-LN(2)/2)*EX77+(1-EXP(-LN(2)/2))/(LN(2)/2)*ER78*EU78*VLOOKUP('Données projet'!$B$15,Paramètres!$A$1:$I$89,3,0)*0.475*44/12</f>
        <v>1.5278543663299111E-6</v>
      </c>
      <c r="EY78" s="22">
        <f t="shared" si="75"/>
        <v>2.0779008082933386</v>
      </c>
      <c r="EZ78" s="75">
        <f>('Scénario référence'!$F$8+'Scénario référence'!$F$9+'Scénario référence'!$B$17+'Scénario référence'!$B$9+'Scénario référence'!$B$10)*70+IF((45+25*(1-EXP(-0.0175*A78)))&lt;70,'Scénario référence'!$B$16*(45+25*(1-EXP(-0.0175*A78))),70*'Scénario référence'!$B$16)+IF((32+38*(1-EXP(-0.0175*A78)))&lt;70,'Scénario référence'!$B$18*(32+38*(1-EXP(-0.0175*A78))),70*'Scénario référence'!$B$18)</f>
        <v>70</v>
      </c>
      <c r="FA78" s="12">
        <f>IF(A78&gt;30,10,('Scénario référence'!$B$16+'Scénario référence'!$B$17+'Scénario référence'!$B$18+'Scénario référence'!$B$9+'Scénario référence'!$B$10)*A78*10/30+('Scénario référence'!$F$8+'Scénario référence'!$F$9)*10)</f>
        <v>10</v>
      </c>
      <c r="FB78" s="12" t="e">
        <f>VLOOKUP(A78,'Données projet'!$A$217:$I$237,2,0)</f>
        <v>#N/A</v>
      </c>
      <c r="FC78" s="12" t="e">
        <f>VLOOKUP(A78,'Données projet'!$A$217:$I$237,9,0)</f>
        <v>#N/A</v>
      </c>
      <c r="FD78" s="12">
        <f t="array" ref="FD78">INDEX(FC:FC,MIN(IF(ISNUMBER(FC78:FC274),ROW(FC78:FC274),"")))</f>
        <v>12.1</v>
      </c>
      <c r="FE78" s="12">
        <f>IF('Données projet'!$A$218&gt;35,FE77+FD78-FM77,IF(A78&lt;'Données projet'!$A$218,$FB$205^A78,IF(A78='Données projet'!$A$218,'Données projet'!$B$218,FE77+FD78-FM77)))</f>
        <v>340.50000000000006</v>
      </c>
      <c r="FF78" s="17">
        <f>FE78*VLOOKUP('Données projet'!$B$16,Paramètres!$A$1:$I$89,3,0)*VLOOKUP('Données projet'!$B$16,Paramètres!$A$1:$I$89,5,0)</f>
        <v>292.14900000000006</v>
      </c>
      <c r="FG78" s="13">
        <f t="shared" si="101"/>
        <v>69.528060742102028</v>
      </c>
      <c r="FH78" s="20">
        <f t="shared" si="76"/>
        <v>629.92088079249436</v>
      </c>
      <c r="FI78" s="59">
        <f t="shared" si="77"/>
        <v>923.25421412582773</v>
      </c>
      <c r="FJ78" s="59">
        <f ca="1">AVERAGE(OFFSET($FI$3,0,0,'Données projet'!$E$16+1,1))-AVERAGE(OFFSET($H$3,0,0,'Données projet'!$E$16+1,1))</f>
        <v>383.97627237444709</v>
      </c>
      <c r="FK78" s="59">
        <f t="shared" si="102"/>
        <v>203.35476578922339</v>
      </c>
      <c r="FL78" s="15">
        <f>IF(ISNA(VLOOKUP(A78,'Données projet'!$A$217:$I$237,3,0)),0,VLOOKUP(A78,'Données projet'!$A$217:$I$237,3,0))</f>
        <v>0</v>
      </c>
      <c r="FM78" s="15">
        <f>IF(ISNA(VLOOKUP(A78,'Données projet'!$A$217:$I$237,4,0)),0,VLOOKUP(A78,'Données projet'!$A$217:$I$237,4,0))</f>
        <v>0</v>
      </c>
      <c r="FN78" s="16">
        <f>IF(ISNA(VLOOKUP(A78,'Données projet'!$A$217:$I$237,5,0)),0%,VLOOKUP(A78,'Données projet'!$A$217:$I$237,5,0)*VLOOKUP('Données projet'!$B$16,Paramètres!$A$1:$I$89,7,0))</f>
        <v>0</v>
      </c>
      <c r="FO78" s="16">
        <f>IF(ISNA(VLOOKUP(A78,'Données projet'!$A$217:$I$237,6,0)),0%,VLOOKUP(A78,'Données projet'!$A$217:$I$237,6,0)*VLOOKUP('Données projet'!$B$16,Paramètres!$A$1:$I$89,7,0))</f>
        <v>0</v>
      </c>
      <c r="FP78" s="16">
        <f>IF(ISNA(VLOOKUP(A78,'Données projet'!$A$217:$I$237,7,0)),0%,VLOOKUP(A78,'Données projet'!$A$217:$I$237,7,0))</f>
        <v>0</v>
      </c>
      <c r="FQ78" s="21">
        <f>EXP(-LN(2)/35)*FQ77+(1-EXP(-LN(2)/35))/(LN(2)/35)*FM78*FN78*VLOOKUP('Données projet'!$B$16,Paramètres!$A$1:$I$89,3,0)*0.475*44/12</f>
        <v>2.113467468642904</v>
      </c>
      <c r="FR78" s="21">
        <f>EXP(-LN(2)/25)*FR77+(1-EXP(-LN(2)/25))/(LN(2)/25)*Calculateur!FM78*Calculateur!FO78*VLOOKUP('Données projet'!$B$16,Paramètres!$A$1:$I$89,3,0)*0.475*44/12</f>
        <v>1.691847833674136</v>
      </c>
      <c r="FS78" s="21">
        <f>EXP(-LN(2)/2)*FS77+(1-EXP(-LN(2)/2))/(LN(2)/2)*FM78*FP78*VLOOKUP('Données projet'!$B$16,Paramètres!$A$1:$I$89,3,0)*0.475*44/12</f>
        <v>2.806354909834107E-6</v>
      </c>
      <c r="FT78" s="22">
        <f t="shared" si="78"/>
        <v>3.8053181086719499</v>
      </c>
      <c r="FU78" s="75">
        <f>('Scénario référence'!$F$8+'Scénario référence'!$F$9+'Scénario référence'!$B$17+'Scénario référence'!$B$9+'Scénario référence'!$B$10)*70+IF((45+25*(1-EXP(-0.0175*A78)))&lt;70,'Scénario référence'!$B$16*(45+25*(1-EXP(-0.0175*A78))),70*'Scénario référence'!$B$16)+IF((32+38*(1-EXP(-0.0175*A78)))&lt;70,'Scénario référence'!$B$18*(32+38*(1-EXP(-0.0175*A78))),70*'Scénario référence'!$B$18)</f>
        <v>70</v>
      </c>
      <c r="FV78" s="12">
        <f>IF(A78&gt;30,10,('Scénario référence'!$B$16+'Scénario référence'!$B$17+'Scénario référence'!$B$18+'Scénario référence'!$B$9+'Scénario référence'!$B$10)*A78*10/30+('Scénario référence'!$F$8+'Scénario référence'!$F$9)*10)</f>
        <v>10</v>
      </c>
      <c r="FW78" s="12" t="e">
        <f>VLOOKUP(A78,'Données projet'!$A$243:$I$263,2,0)</f>
        <v>#N/A</v>
      </c>
      <c r="FX78" s="12" t="e">
        <f>VLOOKUP(A78,'Données projet'!$A$243:$I$263,9,0)</f>
        <v>#N/A</v>
      </c>
      <c r="FY78" s="12">
        <f t="array" ref="FY78">INDEX(FX:FX,MIN(IF(ISNUMBER(FX78:FX274),ROW(FX78:FX274),"")))</f>
        <v>7.8425925925925934</v>
      </c>
      <c r="FZ78" s="12">
        <f>IF('Données projet'!$A$244&gt;35,FZ77+FY78-GH77,IF(A78&lt;'Données projet'!$A$244,$FW$205^A78,IF(A78='Données projet'!$A$244,'Données projet'!$B$244,FZ77+FY78-GH77)))</f>
        <v>234.79985754985751</v>
      </c>
      <c r="GA78" s="17">
        <f>FZ78*VLOOKUP('Données projet'!$B$17,Paramètres!$A$1:$I$89,3,0)*VLOOKUP('Données projet'!$B$17,Paramètres!$A$1:$I$89,5,0)</f>
        <v>252.7385666666666</v>
      </c>
      <c r="GB78" s="13">
        <f t="shared" si="103"/>
        <v>61.171991335046357</v>
      </c>
      <c r="GC78" s="20">
        <f t="shared" si="79"/>
        <v>546.72755518631664</v>
      </c>
      <c r="GD78" s="59">
        <f t="shared" si="80"/>
        <v>840.06088851965001</v>
      </c>
      <c r="GE78" s="59">
        <f ca="1">AVERAGE(OFFSET($GD$3,0,0,'Données projet'!$E$17+1,1))-AVERAGE(OFFSET($H$3,0,0,'Données projet'!$E$17+1,1))</f>
        <v>286.77702855541287</v>
      </c>
      <c r="GF78" s="59">
        <f t="shared" si="104"/>
        <v>227.12211541860779</v>
      </c>
      <c r="GG78" s="15">
        <f>IF(ISNA(VLOOKUP(A78,'Données projet'!$A$243:$I$263,3,0)),0,VLOOKUP(A78,'Données projet'!$A$243:$I$263,3,0))</f>
        <v>0</v>
      </c>
      <c r="GH78" s="15">
        <f>IF(ISNA(VLOOKUP(A78,'Données projet'!$A$243:$I$263,4,0)),0,VLOOKUP(A78,'Données projet'!$A$243:$I$263,4,0))</f>
        <v>0</v>
      </c>
      <c r="GI78" s="16">
        <f>IF(ISNA(VLOOKUP(A78,'Données projet'!$A$243:$I$263,5,0)),0%,VLOOKUP(A78,'Données projet'!$A$243:$I$263,5,0)*VLOOKUP('Données projet'!$B$17,Paramètres!$A$1:$I$89,7,0))</f>
        <v>0</v>
      </c>
      <c r="GJ78" s="16">
        <f>IF(ISNA(VLOOKUP(A78,'Données projet'!$A$243:$I$263,6,0)),0%,VLOOKUP(A78,'Données projet'!$A$243:$I$263,6,0)*VLOOKUP('Données projet'!$B$17,Paramètres!$A$1:$I$89,7,0))</f>
        <v>0</v>
      </c>
      <c r="GK78" s="16">
        <f>IF(ISNA(VLOOKUP(A78,'Données projet'!$A$243:$I$263,7,0)),0%,VLOOKUP(A78,'Données projet'!$A$243:$I$263,7,0))</f>
        <v>0</v>
      </c>
      <c r="GL78" s="21">
        <f>EXP(-LN(2)/35)*GL77+(1-EXP(-LN(2)/35))/(LN(2)/35)*GH78*GI78*VLOOKUP('Données projet'!$B$17,Paramètres!$A$1:$I$89,3,0)*0.475*44/12</f>
        <v>0</v>
      </c>
      <c r="GM78" s="21">
        <f>EXP(-LN(2)/25)*GM77+(1-EXP(-LN(2)/25))/(LN(2)/25)*Calculateur!GH78*Calculateur!GJ78*VLOOKUP('Données projet'!$B$17,Paramètres!$A$1:$I$89,3,0)*0.475*44/12</f>
        <v>0</v>
      </c>
      <c r="GN78" s="21">
        <f>EXP(-LN(2)/2)*GN77+(1-EXP(-LN(2)/2))/(LN(2)/2)*GH78*GK78*VLOOKUP('Données projet'!$B$17,Paramètres!$A$1:$I$89,3,0)*0.475*44/12</f>
        <v>0</v>
      </c>
      <c r="GO78" s="21">
        <f t="shared" si="81"/>
        <v>0</v>
      </c>
      <c r="GP78" s="75">
        <f>('Scénario référence'!$F$8+'Scénario référence'!$F$9+'Scénario référence'!$B$17+'Scénario référence'!$B$9+'Scénario référence'!$B$10)*70+IF((45+25*(1-EXP(-0.0175*A78)))&lt;70,'Scénario référence'!$B$16*(45+25*(1-EXP(-0.0175*A78))),70*'Scénario référence'!$B$16)+IF((32+38*(1-EXP(-0.0175*A78)))&lt;70,'Scénario référence'!$B$18*(32+38*(1-EXP(-0.0175*A78))),70*'Scénario référence'!$B$18)</f>
        <v>70</v>
      </c>
      <c r="GQ78" s="12">
        <f>IF(A78&gt;30,10,('Scénario référence'!$B$16+'Scénario référence'!$B$17+'Scénario référence'!$B$18+'Scénario référence'!$B$9+'Scénario référence'!$B$10)*A78*10/30+('Scénario référence'!$F$8+'Scénario référence'!$F$9)*10)</f>
        <v>10</v>
      </c>
      <c r="GR78" s="12" t="e">
        <f>VLOOKUP(A78,'Données projet'!$A$269:$I$289,2,0)</f>
        <v>#N/A</v>
      </c>
      <c r="GS78" s="12" t="e">
        <f>VLOOKUP(A78,'Données projet'!$A$269:$I$289,9,0)</f>
        <v>#N/A</v>
      </c>
      <c r="GT78" s="12">
        <f t="array" ref="GT78">INDEX(GS:GS,MIN(IF(ISNUMBER(GS78:GS274),ROW(GS78:GS274),"")))</f>
        <v>7.8425925925925934</v>
      </c>
      <c r="GU78" s="12">
        <f>IF('Données projet'!$A$270&gt;35,GU77+GT78-HC77,IF(A78&lt;'Données projet'!$A$270,$GR$205^A78,IF(A78='Données projet'!$A$270,'Données projet'!$B$270,GU77+GT78-HC77)))</f>
        <v>234.79985754985751</v>
      </c>
      <c r="GV78" s="17">
        <f>GU78*VLOOKUP('Données projet'!$B$18,Paramètres!$A$1:$I$89,3,0)*VLOOKUP('Données projet'!$B$18,Paramètres!$A$1:$I$89,5,0)</f>
        <v>252.7385666666666</v>
      </c>
      <c r="GW78" s="13">
        <f t="shared" si="105"/>
        <v>61.171991335046357</v>
      </c>
      <c r="GX78" s="20">
        <f t="shared" si="82"/>
        <v>546.72755518631664</v>
      </c>
      <c r="GY78" s="59">
        <f t="shared" si="83"/>
        <v>840.06088851965001</v>
      </c>
      <c r="GZ78" s="59">
        <f ca="1">AVERAGE(OFFSET($GY$3,0,0,'Données projet'!$E$18+1,1))-AVERAGE(OFFSET($H$3,0,0,'Données projet'!$E$18+1,1))</f>
        <v>286.77702855541287</v>
      </c>
      <c r="HA78" s="59">
        <f t="shared" si="106"/>
        <v>227.12211541860779</v>
      </c>
      <c r="HB78" s="15">
        <f>IF(ISNA(VLOOKUP(A78,'Données projet'!$A$269:$I$289,3,0)),0,VLOOKUP(A78,'Données projet'!$A$269:$I$289,3,0))</f>
        <v>0</v>
      </c>
      <c r="HC78" s="15">
        <f>IF(ISNA(VLOOKUP(A78,'Données projet'!$A$269:$I$289,4,0)),0,VLOOKUP(A78,'Données projet'!$A$269:$I$289,4,0))</f>
        <v>0</v>
      </c>
      <c r="HD78" s="16">
        <f>IF(ISNA(VLOOKUP(A78,'Données projet'!$A$269:$I$289,5,0)),0%,VLOOKUP(A78,'Données projet'!$A$269:$I$289,5,0)*VLOOKUP('Données projet'!$B$18,Paramètres!$A$1:$I$89,7,0))</f>
        <v>0</v>
      </c>
      <c r="HE78" s="16">
        <f>IF(ISNA(VLOOKUP(A78,'Données projet'!$A$269:$I$289,6,0)),0%,VLOOKUP(A78,'Données projet'!$A$269:$I$289,6,0)*VLOOKUP('Données projet'!$B$18,Paramètres!$A$1:$I$89,7,0))</f>
        <v>0</v>
      </c>
      <c r="HF78" s="16">
        <f>IF(ISNA(VLOOKUP(A78,'Données projet'!$A$269:$I$289,7,0)),0%,VLOOKUP(A78,'Données projet'!$A$269:$I$289,7,0))</f>
        <v>0</v>
      </c>
      <c r="HG78" s="21">
        <f>EXP(-LN(2)/35)*HG77+(1-EXP(-LN(2)/35))/(LN(2)/35)*HC78*HD78*VLOOKUP('Données projet'!$B$18,Paramètres!$A$1:$I$89,3,0)*0.475*44/12</f>
        <v>0</v>
      </c>
      <c r="HH78" s="21">
        <f>EXP(-LN(2)/25)*HH77+(1-EXP(-LN(2)/25))/(LN(2)/25)*Calculateur!HC78*Calculateur!HE78*VLOOKUP('Données projet'!$B$18,Paramètres!$A$1:$I$89,3,0)*0.475*44/12</f>
        <v>0</v>
      </c>
      <c r="HI78" s="21">
        <f>EXP(-LN(2)/2)*HI77+(1-EXP(-LN(2)/2))/(LN(2)/2)*HC78*HF78*VLOOKUP('Données projet'!$B$18,Paramètres!$A$1:$I$89,3,0)*0.475*44/12</f>
        <v>0</v>
      </c>
      <c r="HJ78" s="22">
        <f t="shared" si="84"/>
        <v>0</v>
      </c>
    </row>
    <row r="79" spans="1:218" x14ac:dyDescent="0.25">
      <c r="A79" s="10">
        <f t="shared" si="85"/>
        <v>76</v>
      </c>
      <c r="B79" s="73">
        <f>'Scénario référence'!$B$16*5+'Scénario référence'!$B$17*0+'Scénario référence'!$B$18*5</f>
        <v>0</v>
      </c>
      <c r="C79" s="19">
        <f>Calculateur!C78+'Scénario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67.579200000000085</v>
      </c>
      <c r="D79" s="11">
        <f t="shared" si="86"/>
        <v>19.071061760403854</v>
      </c>
      <c r="E7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79" s="11">
        <f>IF(OR('Scénario référence'!$F$8&gt;0,'Scénario référence'!$F$9&gt;0),('Scénario référence'!$F$8+'Scénario référence'!$F$9)*10,0)</f>
        <v>10</v>
      </c>
      <c r="G79" s="11">
        <f>'Scénario référence'!$B$8*B79*44/12+'Scénario référence'!$B$9*(C79+D79)/0.475*44/12+'Scénario référence'!$B$10*(C79+D79)/0.475*44/12+'Scénario référence'!$F$8*(C79+D79)/0.475*44/12+'Scénario référence'!$F$9*(C79+D79)/0.475*44/12</f>
        <v>668.87921358908307</v>
      </c>
      <c r="H79" s="67">
        <f t="shared" si="56"/>
        <v>444.24920589937017</v>
      </c>
      <c r="I79" s="70">
        <f>('Scénario référence'!$F$8+'Scénario référence'!$F$9+'Scénario référence'!$B$17+'Scénario référence'!$B$9+'Scénario référence'!$B$10)*70+IF((45+25*(1-EXP(-0.0175*A79)))&lt;70,'Scénario référence'!$B$16*(45+25*(1-EXP(-0.0175*A79))),70*'Scénario référence'!$B$16)+IF((32+38*(1-EXP(-0.0175*A79)))&lt;70,'Scénario référence'!$B$18*(32+38*(1-EXP(-0.0175*A79))),70*'Scénario référence'!$B$18)</f>
        <v>70</v>
      </c>
      <c r="J79" s="13">
        <f>IF(A79&gt;30,10,('Scénario référence'!$B$16+'Scénario référence'!$B$17+'Scénario référence'!$B$18+'Scénario référence'!$B$9+'Scénario référence'!$B$10)*A79*10/30+('Scénario référence'!$F$8+'Scénario référence'!$F$9)*10)</f>
        <v>10</v>
      </c>
      <c r="K79" s="12" t="e">
        <f>VLOOKUP(A79,'Données projet'!$A$35:$I$55,2,0)</f>
        <v>#N/A</v>
      </c>
      <c r="L79" s="12" t="e">
        <f>VLOOKUP(A79,'Données projet'!$A$35:$I$55,9,0)</f>
        <v>#N/A</v>
      </c>
      <c r="M79" s="12">
        <f t="array" ref="M79">INDEX(L:L,MIN(IF(ISNUMBER(L79:L275),ROW(L79:L275),"")))</f>
        <v>0</v>
      </c>
      <c r="N79" s="13">
        <f>IF('Données projet'!$A$36&gt;35,N78+M79-V78,IF(A79&lt;'Données projet'!$A$36,$K$205^A79,IF(A79='Données projet'!$A$36,'Données projet'!$B$36,N78+M79-V78)))</f>
        <v>-2.2737367544323206E-13</v>
      </c>
      <c r="O79" s="13">
        <f>N79*VLOOKUP('Données projet'!$B$9,Paramètres!$A$1:$I$89,3,0)*VLOOKUP('Données projet'!$B$9,Paramètres!$A$1:$I$89,5,0)</f>
        <v>-1.2710188457276673E-13</v>
      </c>
      <c r="P79" s="13" t="e">
        <f t="shared" si="87"/>
        <v>#NUM!</v>
      </c>
      <c r="Q79" s="20" t="e">
        <f t="shared" si="54"/>
        <v>#NUM!</v>
      </c>
      <c r="R79" s="59" t="e">
        <f t="shared" si="55"/>
        <v>#NUM!</v>
      </c>
      <c r="S79" s="59">
        <f ca="1">AVERAGE(OFFSET($R$3,0,0,'Données projet'!$E$9+1,1))-AVERAGE(OFFSET($H$3,0,0,'Données projet'!$E$9+1,1))</f>
        <v>255.5374979188561</v>
      </c>
      <c r="T79" s="59">
        <f t="shared" si="88"/>
        <v>343.10418468620901</v>
      </c>
      <c r="U79" s="15">
        <f>IF(ISNA(VLOOKUP(A79,'Données projet'!$A$35:$I$55,3,0)),0,VLOOKUP(A79,'Données projet'!$A$35:$I$55,3,0))</f>
        <v>0</v>
      </c>
      <c r="V79" s="15">
        <f>IF(ISNA(VLOOKUP(A79,'Données projet'!$A$35:$I$55,4,0)),0,VLOOKUP(A79,'Données projet'!$A$35:$I$55,4,0))</f>
        <v>0</v>
      </c>
      <c r="W79" s="16">
        <f>IF(ISNA(VLOOKUP(A79,'Données projet'!$A$35:$I$55,5,0)),0%,VLOOKUP(A79,'Données projet'!$A$35:$I$55,5,0)*VLOOKUP('Données projet'!$B$9,Paramètres!$A$1:$I$89,7,0))</f>
        <v>0</v>
      </c>
      <c r="X79" s="16">
        <f>IF(ISNA(VLOOKUP(A79,'Données projet'!$A$35:$I$55,6,0)),0%,VLOOKUP(A79,'Données projet'!$A$35:$I$55,6,0)*VLOOKUP('Données projet'!$B$9,Paramètres!$A$1:$I$89,7,0))</f>
        <v>0</v>
      </c>
      <c r="Y79" s="16">
        <f>IF(ISNA(VLOOKUP(A79,'Données projet'!$A$35:$I$55,7,0)),0%,VLOOKUP(A79,'Données projet'!$A$35:$I$55,7,0))</f>
        <v>0</v>
      </c>
      <c r="Z79" s="21">
        <f>EXP(-LN(2)/35)*Z78+(1-EXP(-LN(2)/35))/(LN(2)/35)*V79*W79*VLOOKUP('Données projet'!$B$9,Paramètres!$A$1:$I$89,3,0)*0.475*44/12</f>
        <v>1.2425812540505552</v>
      </c>
      <c r="AA79" s="21">
        <f>EXP(-LN(2)/25)*AA78+(1-EXP(-LN(2)/25))/(LN(2)/25)*Calculateur!V79*Calculateur!X79*VLOOKUP('Données projet'!$B$9,Paramètres!$A$1:$I$89,3,0)*0.475*44/12</f>
        <v>4.4580480616370437</v>
      </c>
      <c r="AB79" s="21">
        <f>EXP(-LN(2)/2)*AB78+(1-EXP(-LN(2)/2))/(LN(2)/2)*V79*Y79*VLOOKUP('Données projet'!$B$9,Paramètres!$A$1:$I$89,3,0)*0.475*44/12</f>
        <v>2.0177985184837175E-7</v>
      </c>
      <c r="AC79" s="22">
        <f t="shared" si="57"/>
        <v>5.7006295174674504</v>
      </c>
      <c r="AD79" s="13">
        <f>('Scénario référence'!$F$8+'Scénario référence'!$F$9+'Scénario référence'!$B$17+'Scénario référence'!$B$9+'Scénario référence'!$B$10)*70+IF((45+25*(1-EXP(-0.0175*A79)))&lt;70,'Scénario référence'!$B$16*(45+25*(1-EXP(-0.0175*A79))),70*'Scénario référence'!$B$16)+IF((32+38*(1-EXP(-0.0175*A79)))&lt;70,'Scénario référence'!$B$18*(32+38*(1-EXP(-0.0175*A79))),70*'Scénario référence'!$B$18)</f>
        <v>70</v>
      </c>
      <c r="AE79" s="13">
        <f>IF(A79&gt;30,10,('Scénario référence'!$B$16+'Scénario référence'!$B$17+'Scénario référence'!$B$18+'Scénario référence'!$B$9+'Scénario référence'!$B$10)*A79*10/30+('Scénario référence'!$F$8+'Scénario référence'!$F$9)*10)</f>
        <v>10</v>
      </c>
      <c r="AF79" s="12" t="e">
        <f>VLOOKUP(A79,'Données projet'!$A$61:$I$81,2,0)</f>
        <v>#N/A</v>
      </c>
      <c r="AG79" s="12" t="e">
        <f>VLOOKUP(A79,'Données projet'!$A$61:$I$81,9,0)</f>
        <v>#N/A</v>
      </c>
      <c r="AH79" s="12">
        <f t="array" ref="AH79">INDEX(AG:AG,MIN(IF(ISNUMBER(AG79:AG275),ROW(AG79:AG275),"")))</f>
        <v>6</v>
      </c>
      <c r="AI79" s="13">
        <f>IF('Données projet'!$A$62&gt;35,AI78+AH79-AQ78,IF(A79&lt;'Données projet'!$A$62,$AF$205^A79,IF(A79='Données projet'!$A$62,'Données projet'!$B$62,AI78+AH79-AQ78)))</f>
        <v>418</v>
      </c>
      <c r="AJ79" s="13">
        <f>AI79*VLOOKUP('Données projet'!$B$10,Paramètres!$A$1:$I$89,3,0)*VLOOKUP('Données projet'!$B$10,Paramètres!$A$1:$I$89,5,0)</f>
        <v>260.83199999999999</v>
      </c>
      <c r="AK79" s="13">
        <f t="shared" si="89"/>
        <v>62.899693744110721</v>
      </c>
      <c r="AL79" s="20">
        <f t="shared" si="58"/>
        <v>563.83269993765953</v>
      </c>
      <c r="AM79" s="59">
        <f t="shared" si="59"/>
        <v>857.16603327099278</v>
      </c>
      <c r="AN79" s="59">
        <f ca="1">AVERAGE(OFFSET($AM$3,0,0,'Données projet'!$E$10+1,1))-AVERAGE(OFFSET($H$3,0,0,'Données projet'!$E$10+1,1))</f>
        <v>261.78489480911571</v>
      </c>
      <c r="AO79" s="59">
        <f t="shared" si="90"/>
        <v>297.50513563712764</v>
      </c>
      <c r="AP79" s="15">
        <f>IF(ISNA(VLOOKUP(A79,'Données projet'!$A$61:$I$81,3,0)),0,VLOOKUP(A79,'Données projet'!$A$61:$I$81,3,0))</f>
        <v>0</v>
      </c>
      <c r="AQ79" s="15">
        <f>IF(ISNA(VLOOKUP(A79,'Données projet'!$A$61:$I$81,4,0)),0,VLOOKUP(A79,'Données projet'!$A$61:$I$81,4,0))</f>
        <v>0</v>
      </c>
      <c r="AR79" s="16">
        <f>IF(ISNA(VLOOKUP(A79,'Données projet'!$A$61:$I$81,5,0)),0%,VLOOKUP(A79,'Données projet'!$A$61:$I$81,5,0)*VLOOKUP('Données projet'!$B$10,Paramètres!$A$1:$I$89,7,0))</f>
        <v>0</v>
      </c>
      <c r="AS79" s="16">
        <f>IF(ISNA(VLOOKUP(A79,'Données projet'!$A$61:$I$81,6,0)),0%,VLOOKUP(A79,'Données projet'!$A$61:$I$81,6,0)*VLOOKUP('Données projet'!$B$10,Paramètres!$A$1:$I$89,7,0))</f>
        <v>0</v>
      </c>
      <c r="AT79" s="16">
        <f>IF(ISNA(VLOOKUP(A79,'Données projet'!$A$61:$I$81,7,0)),0%,VLOOKUP(A79,'Données projet'!$A$61:$I$81,7,0))</f>
        <v>0</v>
      </c>
      <c r="AU79" s="21">
        <f>EXP(-LN(2)/35)*AU78+(1-EXP(-LN(2)/35))/(LN(2)/35)*AQ79*AR79*VLOOKUP('Données projet'!$B$10,Paramètres!$A$1:$I$89,3,0)*0.475*44/12</f>
        <v>3.3553208483584611</v>
      </c>
      <c r="AV79" s="21">
        <f>EXP(-LN(2)/25)*AV78+(1-EXP(-LN(2)/25))/(LN(2)/25)*Calculateur!AQ79*Calculateur!AS79*VLOOKUP('Données projet'!$B$10,Paramètres!$A$1:$I$89,3,0)*0.475*44/12</f>
        <v>7.7846611830000514</v>
      </c>
      <c r="AW79" s="21">
        <f>EXP(-LN(2)/2)*AW78+(1-EXP(-LN(2)/2))/(LN(2)/2)*AQ79*AT79*VLOOKUP('Données projet'!$B$10,Paramètres!$A$1:$I$89,3,0)*0.475*44/12</f>
        <v>2.9088486596240854E-6</v>
      </c>
      <c r="AX79" s="21">
        <f t="shared" si="60"/>
        <v>11.139984940207171</v>
      </c>
      <c r="AY79" s="74">
        <f>('Scénario référence'!$F$8+'Scénario référence'!$F$9+'Scénario référence'!$B$17+'Scénario référence'!$B$9+'Scénario référence'!$B$10)*70+IF((45+25*(1-EXP(-0.0175*A79)))&lt;70,'Scénario référence'!$B$16*(45+25*(1-EXP(-0.0175*A79))),70*'Scénario référence'!$B$16)+IF((32+38*(1-EXP(-0.0175*A79)))&lt;70,'Scénario référence'!$B$18*(32+38*(1-EXP(-0.0175*A79))),70*'Scénario référence'!$B$18)</f>
        <v>70</v>
      </c>
      <c r="AZ79" s="12">
        <f>IF(A79&gt;30,10,('Scénario référence'!$B$16+'Scénario référence'!$B$17+'Scénario référence'!$B$18+'Scénario référence'!$B$9+'Scénario référence'!$B$10)*A79*10/30+('Scénario référence'!$F$8+'Scénario référence'!$F$9)*10)</f>
        <v>10</v>
      </c>
      <c r="BA79" s="12" t="e">
        <f>VLOOKUP(A79,'Données projet'!$A$87:$I$107,2,0)</f>
        <v>#N/A</v>
      </c>
      <c r="BB79" s="12" t="e">
        <f>VLOOKUP(A79,'Données projet'!$A$87:$I$107,9,0)</f>
        <v>#N/A</v>
      </c>
      <c r="BC79" s="12">
        <f t="array" ref="BC79">INDEX(BB:BB,MIN(IF(ISNUMBER(BB79:BB275),ROW(BB79:BB275),"")))</f>
        <v>14.5</v>
      </c>
      <c r="BD79" s="12">
        <f>IF('Données projet'!$A$88&gt;35,BD78+BC79-BL78,IF(A79&lt;'Données projet'!$A$88,$BA$205^A79,IF(A79='Données projet'!$A$88,'Données projet'!$B$88,BD78+BC79-BL78)))</f>
        <v>547.99999999999955</v>
      </c>
      <c r="BE79" s="13">
        <f>BD79*VLOOKUP('Données projet'!$B$11,Paramètres!$A$1:$I$89,3,0)*VLOOKUP('Données projet'!$B$11,Paramètres!$A$1:$I$89,5,0)</f>
        <v>327.70399999999978</v>
      </c>
      <c r="BF79" s="13">
        <f t="shared" si="91"/>
        <v>76.954094537214388</v>
      </c>
      <c r="BG79" s="20">
        <f t="shared" si="61"/>
        <v>704.77951465231456</v>
      </c>
      <c r="BH79" s="59">
        <f t="shared" si="62"/>
        <v>998.11284798564793</v>
      </c>
      <c r="BI79" s="59">
        <f ca="1">AVERAGE(OFFSET($BH$3,0,0,'Données projet'!$E$11+1,1))-AVERAGE(OFFSET($H$3,0,0,'Données projet'!$E$11+1,1))</f>
        <v>316.58509520829671</v>
      </c>
      <c r="BJ79" s="59">
        <f t="shared" si="92"/>
        <v>240.71332110643596</v>
      </c>
      <c r="BK79" s="15">
        <f>IF(ISNA(VLOOKUP(A79,'Données projet'!$A$87:$I$107,3,0)),0,VLOOKUP(A79,'Données projet'!$A$87:$I$107,3,0))</f>
        <v>0</v>
      </c>
      <c r="BL79" s="15">
        <f>IF(ISNA(VLOOKUP(A79,'Données projet'!$A$87:$I$107,4,0)),0,VLOOKUP(A79,'Données projet'!$A$87:$I$107,4,0))</f>
        <v>0</v>
      </c>
      <c r="BM79" s="16">
        <f>IF(ISNA(VLOOKUP(A79,'Données projet'!$A$87:$I$107,5,0)),0%,VLOOKUP(A79,'Données projet'!$A$87:$I$107,5,0)*VLOOKUP('Données projet'!$B$11,Paramètres!$A$1:$I$89,7,0))</f>
        <v>0</v>
      </c>
      <c r="BN79" s="16">
        <f>IF(ISNA(VLOOKUP(A79,'Données projet'!$A$87:$I$107,6,0)),0%,VLOOKUP(A79,'Données projet'!$A$87:$I$107,6,0)*VLOOKUP('Données projet'!$B$11,Paramètres!$A$1:$I$89,7,0))</f>
        <v>0</v>
      </c>
      <c r="BO79" s="16">
        <f>IF(ISNA(VLOOKUP(A79,'Données projet'!$A$87:$I$107,7,0)),0%,VLOOKUP(A79,'Données projet'!$A$87:$I$107,7,0))</f>
        <v>0</v>
      </c>
      <c r="BP79" s="21">
        <f>EXP(-LN(2)/35)*BP78+(1-EXP(-LN(2)/35))/(LN(2)/35)*BL79*BM79*VLOOKUP('Données projet'!$B$11,Paramètres!$A$1:$I$89,3,0)*0.475*44/12</f>
        <v>1.0192036728737661</v>
      </c>
      <c r="BQ79" s="21">
        <f>EXP(-LN(2)/25)*BQ78+(1-EXP(-LN(2)/25))/(LN(2)/25)*Calculateur!BL79*Calculateur!BN79*VLOOKUP('Données projet'!$B$11,Paramètres!$A$1:$I$89,3,0)*0.475*44/12</f>
        <v>4.2646645374876417</v>
      </c>
      <c r="BR79" s="21">
        <f>EXP(-LN(2)/2)*BR78+(1-EXP(-LN(2)/2))/(LN(2)/2)*BL79*BO79*VLOOKUP('Données projet'!$B$11,Paramètres!$A$1:$I$89,3,0)*0.475*44/12</f>
        <v>2.6153735006023484E-6</v>
      </c>
      <c r="BS79" s="22">
        <f t="shared" si="63"/>
        <v>5.2838708257349092</v>
      </c>
      <c r="BT79" s="75">
        <f>('Scénario référence'!$F$8+'Scénario référence'!$F$9+'Scénario référence'!$B$17+'Scénario référence'!$B$9+'Scénario référence'!$B$10)*70+IF((45+25*(1-EXP(-0.0175*A79)))&lt;70,'Scénario référence'!$B$16*(45+25*(1-EXP(-0.0175*A79))),70*'Scénario référence'!$B$16)+IF((32+38*(1-EXP(-0.0175*A79)))&lt;70,'Scénario référence'!$B$18*(32+38*(1-EXP(-0.0175*A79))),70*'Scénario référence'!$B$18)</f>
        <v>70</v>
      </c>
      <c r="BU79" s="12">
        <f>IF(A79&gt;30,10,('Scénario référence'!$B$16+'Scénario référence'!$B$17+'Scénario référence'!$B$18+'Scénario référence'!$B$9+'Scénario référence'!$B$10)*A79*10/30+('Scénario référence'!$F$8+'Scénario référence'!$F$9)*10)</f>
        <v>10</v>
      </c>
      <c r="BV79" s="12" t="e">
        <f>VLOOKUP(A79,'Données projet'!$A$113:$I$133,2,0)</f>
        <v>#N/A</v>
      </c>
      <c r="BW79" s="12" t="e">
        <f>VLOOKUP(A79,'Données projet'!$A$113:$I$133,9,0)</f>
        <v>#N/A</v>
      </c>
      <c r="BX79" s="12">
        <f t="array" ref="BX79">INDEX(BW:BW,MIN(IF(ISNUMBER(BW79:BW275),ROW(BW79:BW275),"")))</f>
        <v>5.4</v>
      </c>
      <c r="BY79" s="12">
        <f>IF('Données projet'!$A$114&gt;35,BY78+BX79-CG78,IF(A79&lt;'Données projet'!$A$114,$BV$205^A79,IF(A79='Données projet'!$A$114,'Données projet'!$B$114,BY78+BX79-CG78)))</f>
        <v>332.39999999999975</v>
      </c>
      <c r="BZ79" s="13">
        <f>BY79*VLOOKUP('Données projet'!$B$12,Paramètres!$A$1:$I$89,3,0)*VLOOKUP('Données projet'!$B$12,Paramètres!$A$1:$I$89,5,0)</f>
        <v>190.13279999999986</v>
      </c>
      <c r="CA79" s="13">
        <f t="shared" si="93"/>
        <v>47.569311851680105</v>
      </c>
      <c r="CB79" s="20">
        <f t="shared" si="64"/>
        <v>413.99784480834256</v>
      </c>
      <c r="CC79" s="59">
        <f t="shared" si="65"/>
        <v>707.33117814167588</v>
      </c>
      <c r="CD79" s="59">
        <f ca="1">AVERAGE(OFFSET($CC$3,0,0,'Données projet'!$E$12+1,1))-AVERAGE(OFFSET($H$3,0,0,'Données projet'!$E$12+1,1))</f>
        <v>188.64374818906128</v>
      </c>
      <c r="CE79" s="59">
        <f t="shared" si="94"/>
        <v>211.95157880548652</v>
      </c>
      <c r="CF79" s="15">
        <f>IF(ISNA(VLOOKUP(A79,'Données projet'!$A$113:$I$133,3,0)),0,VLOOKUP(A79,'Données projet'!$A$113:$I$133,3,0))</f>
        <v>0</v>
      </c>
      <c r="CG79" s="15">
        <f>IF(ISNA(VLOOKUP(A79,'Données projet'!$A$113:$I$133,4,0)),0,VLOOKUP(A79,'Données projet'!$A$113:$I$133,4,0))</f>
        <v>0</v>
      </c>
      <c r="CH79" s="16">
        <f>IF(ISNA(VLOOKUP(A79,'Données projet'!$A$113:$I$133,5,0)),0%,VLOOKUP(A79,'Données projet'!$A$113:$I$133,5,0)*VLOOKUP('Données projet'!$B$12,Paramètres!$A$1:$I$89,7,0))</f>
        <v>0</v>
      </c>
      <c r="CI79" s="16">
        <f>IF(ISNA(VLOOKUP(A79,'Données projet'!$A$113:$I$133,6,0)),0%,VLOOKUP(A79,'Données projet'!$A$113:$I$133,6,0)*VLOOKUP('Données projet'!$B$12,Paramètres!$A$1:$I$89,7,0))</f>
        <v>0</v>
      </c>
      <c r="CJ79" s="16">
        <f>IF(ISNA(VLOOKUP(A79,'Données projet'!$A$113:$I$133,7,0)),0%,VLOOKUP(A79,'Données projet'!$A$113:$I$133,7,0))</f>
        <v>0</v>
      </c>
      <c r="CK79" s="21">
        <f>EXP(-LN(2)/35)*CK78+(1-EXP(-LN(2)/35))/(LN(2)/35)*CG79*CH79*VLOOKUP('Données projet'!$B$12,Paramètres!$A$1:$I$89,3,0)*0.475*44/12</f>
        <v>0.98862132139133185</v>
      </c>
      <c r="CL79" s="21">
        <f>EXP(-LN(2)/25)*CL78+(1-EXP(-LN(2)/25))/(LN(2)/25)*Calculateur!CG79*Calculateur!CI79*VLOOKUP('Données projet'!$B$12,Paramètres!$A$1:$I$89,3,0)*0.475*44/12</f>
        <v>4.0139988222059282</v>
      </c>
      <c r="CM79" s="21">
        <f>EXP(-LN(2)/2)*CM78+(1-EXP(-LN(2)/2))/(LN(2)/2)*CG79*CJ79*VLOOKUP('Données projet'!$B$12,Paramètres!$A$1:$I$89,3,0)*0.475*44/12</f>
        <v>2.5327846054716416E-6</v>
      </c>
      <c r="CN79" s="22">
        <f t="shared" si="66"/>
        <v>5.0026226763818649</v>
      </c>
      <c r="CO79" s="75">
        <f>('Scénario référence'!$F$8+'Scénario référence'!$F$9+'Scénario référence'!$B$17+'Scénario référence'!$B$9+'Scénario référence'!$B$10)*70+IF((45+25*(1-EXP(-0.0175*A79)))&lt;70,'Scénario référence'!$B$16*(45+25*(1-EXP(-0.0175*A79))),70*'Scénario référence'!$B$16)+IF((32+38*(1-EXP(-0.0175*A79)))&lt;70,'Scénario référence'!$B$18*(32+38*(1-EXP(-0.0175*A79))),70*'Scénario référence'!$B$18)</f>
        <v>70</v>
      </c>
      <c r="CP79" s="12">
        <f>IF(A79&gt;30,10,('Scénario référence'!$B$16+'Scénario référence'!$B$17+'Scénario référence'!$B$18+'Scénario référence'!$B$9+'Scénario référence'!$B$10)*A79*10/30+('Scénario référence'!$F$8+'Scénario référence'!$F$9)*10)</f>
        <v>10</v>
      </c>
      <c r="CQ79" s="12" t="e">
        <f>VLOOKUP(A79,'Données projet'!$A$139:$I$159,2,0)</f>
        <v>#N/A</v>
      </c>
      <c r="CR79" s="12" t="e">
        <f>VLOOKUP(A79,'Données projet'!$A$139:$I$159,9,0)</f>
        <v>#N/A</v>
      </c>
      <c r="CS79" s="12">
        <f t="array" ref="CS79">INDEX(CR:CR,MIN(IF(ISNUMBER(CR79:CR275),ROW(CR79:CR275),"")))</f>
        <v>0</v>
      </c>
      <c r="CT79" s="12">
        <f>IF('Données projet'!$A$140&gt;35,CT78+CS79-DB78,IF(A79&lt;'Données projet'!$A$140,$CQ$205^A79,IF(A79='Données projet'!$A$140,'Données projet'!$B$140,CT78+CS79-DB78)))</f>
        <v>0</v>
      </c>
      <c r="CU79" s="17" t="e">
        <f>CT79*VLOOKUP('Données projet'!$B$13,Paramètres!$A$1:$I$89,3,0)*VLOOKUP('Données projet'!$B$13,Paramètres!$A$1:$I$89,5,0)</f>
        <v>#N/A</v>
      </c>
      <c r="CV79" s="13" t="e">
        <f t="shared" si="95"/>
        <v>#N/A</v>
      </c>
      <c r="CW79" s="20" t="e">
        <f t="shared" si="67"/>
        <v>#N/A</v>
      </c>
      <c r="CX79" s="59" t="e">
        <f t="shared" si="68"/>
        <v>#N/A</v>
      </c>
      <c r="CY79" s="59" t="e">
        <f ca="1">AVERAGE(OFFSET($CX$3,0,0,'Données projet'!$E$13+1,1))-AVERAGE(OFFSET($H$3,0,0,'Données projet'!$E$13+1,1))</f>
        <v>#N/A</v>
      </c>
      <c r="CZ79" s="59" t="e">
        <f t="shared" si="96"/>
        <v>#N/A</v>
      </c>
      <c r="DA79" s="15">
        <f>IF(ISNA(VLOOKUP(A79,'Données projet'!$A$139:$I$159,3,0)),0,VLOOKUP(A79,'Données projet'!$A$139:$I$159,3,0))</f>
        <v>0</v>
      </c>
      <c r="DB79" s="15">
        <f>IF(ISNA(VLOOKUP(A79,'Données projet'!$A$139:$I$159,4,0)),0,VLOOKUP(A79,'Données projet'!$A$139:$I$159,4,0))</f>
        <v>0</v>
      </c>
      <c r="DC79" s="16">
        <f>IF(ISNA(VLOOKUP(A79,'Données projet'!$A$139:$I$159,5,0)),0%,VLOOKUP(A79,'Données projet'!$A$139:$I$159,5,0)*VLOOKUP('Données projet'!$B$13,Paramètres!$A$1:$I$89,7,0))</f>
        <v>0</v>
      </c>
      <c r="DD79" s="16">
        <f>IF(ISNA(VLOOKUP(A79,'Données projet'!$A$139:$I$159,6,0)),0%,VLOOKUP(A79,'Données projet'!$A$139:$I$159,6,0)*VLOOKUP('Données projet'!$B$13,Paramètres!$A$1:$I$89,7,0))</f>
        <v>0</v>
      </c>
      <c r="DE79" s="16">
        <f>IF(ISNA(VLOOKUP(A79,'Données projet'!$A$139:$I$159,7,0)),0%,VLOOKUP(A79,'Données projet'!$A$139:$I$159,7,0))</f>
        <v>0</v>
      </c>
      <c r="DF79" s="21" t="e">
        <f>EXP(-LN(2)/35)*DF78+(1-EXP(-LN(2)/35))/(LN(2)/35)*DB79*DC79*VLOOKUP('Données projet'!$B$13,Paramètres!$A$1:$I$89,3,0)*0.475*44/12</f>
        <v>#N/A</v>
      </c>
      <c r="DG79" s="21" t="e">
        <f>EXP(-LN(2)/25)*DG78+(1-EXP(-LN(2)/25))/(LN(2)/25)*Calculateur!DB79*Calculateur!DD79*VLOOKUP('Données projet'!$B$13,Paramètres!$A$1:$I$89,3,0)*0.475*44/12</f>
        <v>#N/A</v>
      </c>
      <c r="DH79" s="21" t="e">
        <f>EXP(-LN(2)/2)*DH78+(1-EXP(-LN(2)/2))/(LN(2)/2)*DB79*DE79*VLOOKUP('Données projet'!$B$13,Paramètres!$A$1:$I$89,3,0)*0.475*44/12</f>
        <v>#N/A</v>
      </c>
      <c r="DI79" s="22" t="e">
        <f t="shared" si="69"/>
        <v>#N/A</v>
      </c>
      <c r="DJ79" s="75">
        <f>('Scénario référence'!$F$8+'Scénario référence'!$F$9+'Scénario référence'!$B$17+'Scénario référence'!$B$9+'Scénario référence'!$B$10)*70+IF((45+25*(1-EXP(-0.0175*A79)))&lt;70,'Scénario référence'!$B$16*(45+25*(1-EXP(-0.0175*A79))),70*'Scénario référence'!$B$16)+IF((32+38*(1-EXP(-0.0175*A79)))&lt;70,'Scénario référence'!$B$18*(32+38*(1-EXP(-0.0175*A79))),70*'Scénario référence'!$B$18)</f>
        <v>70</v>
      </c>
      <c r="DK79" s="12">
        <f>IF(A79&gt;30,10,('Scénario référence'!$B$16+'Scénario référence'!$B$17+'Scénario référence'!$B$18+'Scénario référence'!$B$9+'Scénario référence'!$B$10)*A79*10/30+('Scénario référence'!$F$8+'Scénario référence'!$F$9)*10)</f>
        <v>10</v>
      </c>
      <c r="DL79" s="12" t="e">
        <f>VLOOKUP(A79,'Données projet'!$A$165:$I$185,2,0)</f>
        <v>#N/A</v>
      </c>
      <c r="DM79" s="12" t="e">
        <f>VLOOKUP(A79,'Données projet'!$A$165:$I$185,9,0)</f>
        <v>#N/A</v>
      </c>
      <c r="DN79" s="12">
        <f t="array" ref="DN79">INDEX(DM:DM,MIN(IF(ISNUMBER(DM79:DM275),ROW(DM79:DM275),"")))</f>
        <v>4.7</v>
      </c>
      <c r="DO79" s="12">
        <f>IF('Données projet'!$A$166&gt;35,DO78+DN79-DW78,IF(A79&lt;'Données projet'!$A$166,$DL$205^A79,IF(A79='Données projet'!$A$166,'Données projet'!$B$166,DO78+DN79-DW78)))</f>
        <v>277.20000000000022</v>
      </c>
      <c r="DP79" s="17">
        <f>DO79*VLOOKUP('Données projet'!$B$14,Paramètres!$A$1:$I$89,3,0)*VLOOKUP('Données projet'!$B$14,Paramètres!$A$1:$I$89,5,0)</f>
        <v>181.62144000000015</v>
      </c>
      <c r="DQ79" s="13">
        <f t="shared" si="97"/>
        <v>45.682738200427785</v>
      </c>
      <c r="DR79" s="20">
        <f t="shared" si="70"/>
        <v>395.88811036574526</v>
      </c>
      <c r="DS79" s="59">
        <f t="shared" si="71"/>
        <v>689.22144369907858</v>
      </c>
      <c r="DT79" s="59">
        <f ca="1">AVERAGE(OFFSET($DS$3,0,0,'Données projet'!$E$14+1,1))-AVERAGE(OFFSET($H$3,0,0,'Données projet'!$E$14+1,1))</f>
        <v>188.68915783955595</v>
      </c>
      <c r="DU79" s="59">
        <f t="shared" si="98"/>
        <v>240.82467772396944</v>
      </c>
      <c r="DV79" s="15">
        <f>IF(ISNA(VLOOKUP(A79,'Données projet'!$A$165:$I$185,3,0)),0,VLOOKUP(A79,'Données projet'!$A$165:$I$185,3,0))</f>
        <v>0</v>
      </c>
      <c r="DW79" s="15">
        <f>IF(ISNA(VLOOKUP(A79,'Données projet'!$A$165:$I$185,4,0)),0,VLOOKUP(A79,'Données projet'!$A$165:$I$185,4,0))</f>
        <v>0</v>
      </c>
      <c r="DX79" s="16">
        <f>IF(ISNA(VLOOKUP(A79,'Données projet'!$A$165:$I$185,5,0)),0%,VLOOKUP(A79,'Données projet'!$A$165:$I$185,5,0)*VLOOKUP('Données projet'!$B$14,Paramètres!$A$1:$I$89,7,0))</f>
        <v>0</v>
      </c>
      <c r="DY79" s="16">
        <f>IF(ISNA(VLOOKUP(A79,'Données projet'!$A$165:$I$185,6,0)),0%,VLOOKUP(A79,'Données projet'!$A$165:$I$185,6,0)*VLOOKUP('Données projet'!$B$14,Paramètres!$A$1:$I$89,7,0))</f>
        <v>0</v>
      </c>
      <c r="DZ79" s="16">
        <f>IF(ISNA(VLOOKUP(A79,'Données projet'!$A$165:$I$185,7,0)),0%,VLOOKUP(A79,'Données projet'!$A$165:$I$185,7,0))</f>
        <v>0</v>
      </c>
      <c r="EA79" s="21">
        <f>EXP(-LN(2)/35)*EA78+(1-EXP(-LN(2)/35))/(LN(2)/35)*DW79*DX79*VLOOKUP('Données projet'!$B$14,Paramètres!$A$1:$I$89,3,0)*0.475*44/12</f>
        <v>0.62621005416412223</v>
      </c>
      <c r="EB79" s="21">
        <f>EXP(-LN(2)/25)*EB78+(1-EXP(-LN(2)/25))/(LN(2)/25)*Calculateur!DW79*Calculateur!DY79*VLOOKUP('Données projet'!$B$14,Paramètres!$A$1:$I$89,3,0)*0.475*44/12</f>
        <v>2.2451966720947603</v>
      </c>
      <c r="EC79" s="21">
        <f>EXP(-LN(2)/2)*EC78+(1-EXP(-LN(2)/2))/(LN(2)/2)*DW79*DZ79*VLOOKUP('Données projet'!$B$14,Paramètres!$A$1:$I$89,3,0)*0.475*44/12</f>
        <v>1.6685018522986278E-6</v>
      </c>
      <c r="ED79" s="22">
        <f t="shared" si="72"/>
        <v>2.871408394760735</v>
      </c>
      <c r="EE79" s="75">
        <f>('Scénario référence'!$F$8+'Scénario référence'!$F$9+'Scénario référence'!$B$17+'Scénario référence'!$B$9+'Scénario référence'!$B$10)*70+IF((45+25*(1-EXP(-0.0175*A79)))&lt;70,'Scénario référence'!$B$16*(45+25*(1-EXP(-0.0175*A79))),70*'Scénario référence'!$B$16)+IF((32+38*(1-EXP(-0.0175*A79)))&lt;70,'Scénario référence'!$B$18*(32+38*(1-EXP(-0.0175*A79))),70*'Scénario référence'!$B$18)</f>
        <v>70</v>
      </c>
      <c r="EF79" s="12">
        <f>IF(A79&gt;30,10,('Scénario référence'!$B$16+'Scénario référence'!$B$17+'Scénario référence'!$B$18+'Scénario référence'!$B$9+'Scénario référence'!$B$10)*A79*10/30+('Scénario référence'!$F$8+'Scénario référence'!$F$9)*10)</f>
        <v>10</v>
      </c>
      <c r="EG79" s="12" t="e">
        <f>VLOOKUP(A79,'Données projet'!$A$191:$I$211,2,0)</f>
        <v>#N/A</v>
      </c>
      <c r="EH79" s="12" t="e">
        <f>VLOOKUP(A79,'Données projet'!$A$191:$I$211,9,0)</f>
        <v>#N/A</v>
      </c>
      <c r="EI79" s="12">
        <f t="array" ref="EI79">INDEX(EH:EH,MIN(IF(ISNUMBER(EH79:EH275),ROW(EH79:EH275),"")))</f>
        <v>5.2</v>
      </c>
      <c r="EJ79" s="12">
        <f>IF('Données projet'!$A$192&gt;35,EJ78+EI79-ER78,IF(A79&lt;'Données projet'!$A$192,$EG$205^A79,IF(A79='Données projet'!$A$192,'Données projet'!$B$192,EJ78+EI79-ER78)))</f>
        <v>272.19999999999987</v>
      </c>
      <c r="EK79" s="17">
        <f>EJ79*VLOOKUP('Données projet'!$B$15,Paramètres!$A$1:$I$89,3,0)*VLOOKUP('Données projet'!$B$15,Paramètres!$A$1:$I$89,5,0)</f>
        <v>220.80863999999988</v>
      </c>
      <c r="EL79" s="13">
        <f t="shared" si="99"/>
        <v>54.290602082955985</v>
      </c>
      <c r="EM79" s="20">
        <f t="shared" si="73"/>
        <v>479.13117996114812</v>
      </c>
      <c r="EN79" s="59">
        <f t="shared" si="74"/>
        <v>772.46451329448143</v>
      </c>
      <c r="EO79" s="59">
        <f ca="1">AVERAGE(OFFSET($EN$3,0,0,'Données projet'!$E$15+1,1))-AVERAGE(OFFSET($H$3,0,0,'Données projet'!$E$15+1,1))</f>
        <v>205.5272583787887</v>
      </c>
      <c r="EP79" s="59">
        <f t="shared" si="100"/>
        <v>180.54762778843178</v>
      </c>
      <c r="EQ79" s="15">
        <f>IF(ISNA(VLOOKUP(A79,'Données projet'!$A$191:$I$211,3,0)),0,VLOOKUP(A79,'Données projet'!$A$191:$I$211,3,0))</f>
        <v>0</v>
      </c>
      <c r="ER79" s="15">
        <f>IF(ISNA(VLOOKUP(A79,'Données projet'!$A$191:$I$211,4,0)),0,VLOOKUP(A79,'Données projet'!$A$191:$I$211,4,0))</f>
        <v>0</v>
      </c>
      <c r="ES79" s="16">
        <f>IF(ISNA(VLOOKUP(A79,'Données projet'!$A$191:$I$211,5,0)),0%,VLOOKUP(A79,'Données projet'!$A$191:$I$211,5,0)*VLOOKUP('Données projet'!$B$15,Paramètres!$A$1:$I$89,7,0))</f>
        <v>0</v>
      </c>
      <c r="ET79" s="16">
        <f>IF(ISNA(VLOOKUP(A79,'Données projet'!$A$191:$I$211,6,0)),0%,VLOOKUP(A79,'Données projet'!$A$191:$I$211,6,0)*VLOOKUP('Données projet'!$B$15,Paramètres!$A$1:$I$89,7,0))</f>
        <v>0</v>
      </c>
      <c r="EU79" s="16">
        <f>IF(ISNA(VLOOKUP(A79,'Données projet'!$A$191:$I$211,7,0)),0%,VLOOKUP(A79,'Données projet'!$A$191:$I$211,7,0))</f>
        <v>0</v>
      </c>
      <c r="EV79" s="21">
        <f>EXP(-LN(2)/35)*EV78+(1-EXP(-LN(2)/35))/(LN(2)/35)*ER79*ES79*VLOOKUP('Données projet'!$B$15,Paramètres!$A$1:$I$89,3,0)*0.475*44/12</f>
        <v>0.40315999677613956</v>
      </c>
      <c r="EW79" s="21">
        <f>EXP(-LN(2)/25)*EW78+(1-EXP(-LN(2)/25))/(LN(2)/25)*Calculateur!ER79*Calculateur!ET79*VLOOKUP('Données projet'!$B$15,Paramètres!$A$1:$I$89,3,0)*0.475*44/12</f>
        <v>1.6211001074598088</v>
      </c>
      <c r="EX79" s="21">
        <f>EXP(-LN(2)/2)*EX78+(1-EXP(-LN(2)/2))/(LN(2)/2)*ER79*EU79*VLOOKUP('Données projet'!$B$15,Paramètres!$A$1:$I$89,3,0)*0.475*44/12</f>
        <v>1.0803561830973557E-6</v>
      </c>
      <c r="EY79" s="22">
        <f t="shared" si="75"/>
        <v>2.0242611845921314</v>
      </c>
      <c r="EZ79" s="75">
        <f>('Scénario référence'!$F$8+'Scénario référence'!$F$9+'Scénario référence'!$B$17+'Scénario référence'!$B$9+'Scénario référence'!$B$10)*70+IF((45+25*(1-EXP(-0.0175*A79)))&lt;70,'Scénario référence'!$B$16*(45+25*(1-EXP(-0.0175*A79))),70*'Scénario référence'!$B$16)+IF((32+38*(1-EXP(-0.0175*A79)))&lt;70,'Scénario référence'!$B$18*(32+38*(1-EXP(-0.0175*A79))),70*'Scénario référence'!$B$18)</f>
        <v>70</v>
      </c>
      <c r="FA79" s="12">
        <f>IF(A79&gt;30,10,('Scénario référence'!$B$16+'Scénario référence'!$B$17+'Scénario référence'!$B$18+'Scénario référence'!$B$9+'Scénario référence'!$B$10)*A79*10/30+('Scénario référence'!$F$8+'Scénario référence'!$F$9)*10)</f>
        <v>10</v>
      </c>
      <c r="FB79" s="12" t="e">
        <f>VLOOKUP(A79,'Données projet'!$A$217:$I$237,2,0)</f>
        <v>#N/A</v>
      </c>
      <c r="FC79" s="12" t="e">
        <f>VLOOKUP(A79,'Données projet'!$A$217:$I$237,9,0)</f>
        <v>#N/A</v>
      </c>
      <c r="FD79" s="12">
        <f t="array" ref="FD79">INDEX(FC:FC,MIN(IF(ISNUMBER(FC79:FC275),ROW(FC79:FC275),"")))</f>
        <v>12.1</v>
      </c>
      <c r="FE79" s="12">
        <f>IF('Données projet'!$A$218&gt;35,FE78+FD79-FM78,IF(A79&lt;'Données projet'!$A$218,$FB$205^A79,IF(A79='Données projet'!$A$218,'Données projet'!$B$218,FE78+FD79-FM78)))</f>
        <v>352.60000000000008</v>
      </c>
      <c r="FF79" s="17">
        <f>FE79*VLOOKUP('Données projet'!$B$16,Paramètres!$A$1:$I$89,3,0)*VLOOKUP('Données projet'!$B$16,Paramètres!$A$1:$I$89,5,0)</f>
        <v>302.53080000000011</v>
      </c>
      <c r="FG79" s="13">
        <f t="shared" si="101"/>
        <v>71.706756690602276</v>
      </c>
      <c r="FH79" s="20">
        <f t="shared" si="76"/>
        <v>651.79707790279917</v>
      </c>
      <c r="FI79" s="59">
        <f t="shared" si="77"/>
        <v>945.13041123613243</v>
      </c>
      <c r="FJ79" s="59">
        <f ca="1">AVERAGE(OFFSET($FI$3,0,0,'Données projet'!$E$16+1,1))-AVERAGE(OFFSET($H$3,0,0,'Données projet'!$E$16+1,1))</f>
        <v>383.97627237444709</v>
      </c>
      <c r="FK79" s="59">
        <f t="shared" si="102"/>
        <v>203.35476578922339</v>
      </c>
      <c r="FL79" s="15">
        <f>IF(ISNA(VLOOKUP(A79,'Données projet'!$A$217:$I$237,3,0)),0,VLOOKUP(A79,'Données projet'!$A$217:$I$237,3,0))</f>
        <v>0</v>
      </c>
      <c r="FM79" s="15">
        <f>IF(ISNA(VLOOKUP(A79,'Données projet'!$A$217:$I$237,4,0)),0,VLOOKUP(A79,'Données projet'!$A$217:$I$237,4,0))</f>
        <v>0</v>
      </c>
      <c r="FN79" s="16">
        <f>IF(ISNA(VLOOKUP(A79,'Données projet'!$A$217:$I$237,5,0)),0%,VLOOKUP(A79,'Données projet'!$A$217:$I$237,5,0)*VLOOKUP('Données projet'!$B$16,Paramètres!$A$1:$I$89,7,0))</f>
        <v>0</v>
      </c>
      <c r="FO79" s="16">
        <f>IF(ISNA(VLOOKUP(A79,'Données projet'!$A$217:$I$237,6,0)),0%,VLOOKUP(A79,'Données projet'!$A$217:$I$237,6,0)*VLOOKUP('Données projet'!$B$16,Paramètres!$A$1:$I$89,7,0))</f>
        <v>0</v>
      </c>
      <c r="FP79" s="16">
        <f>IF(ISNA(VLOOKUP(A79,'Données projet'!$A$217:$I$237,7,0)),0%,VLOOKUP(A79,'Données projet'!$A$217:$I$237,7,0))</f>
        <v>0</v>
      </c>
      <c r="FQ79" s="21">
        <f>EXP(-LN(2)/35)*FQ78+(1-EXP(-LN(2)/35))/(LN(2)/35)*FM79*FN79*VLOOKUP('Données projet'!$B$16,Paramètres!$A$1:$I$89,3,0)*0.475*44/12</f>
        <v>2.0720236606706859</v>
      </c>
      <c r="FR79" s="21">
        <f>EXP(-LN(2)/25)*FR78+(1-EXP(-LN(2)/25))/(LN(2)/25)*Calculateur!FM79*Calculateur!FO79*VLOOKUP('Données projet'!$B$16,Paramètres!$A$1:$I$89,3,0)*0.475*44/12</f>
        <v>1.6455841656919059</v>
      </c>
      <c r="FS79" s="21">
        <f>EXP(-LN(2)/2)*FS78+(1-EXP(-LN(2)/2))/(LN(2)/2)*FM79*FP79*VLOOKUP('Données projet'!$B$16,Paramètres!$A$1:$I$89,3,0)*0.475*44/12</f>
        <v>1.9843925871598592E-6</v>
      </c>
      <c r="FT79" s="22">
        <f t="shared" si="78"/>
        <v>3.7176098107551789</v>
      </c>
      <c r="FU79" s="75">
        <f>('Scénario référence'!$F$8+'Scénario référence'!$F$9+'Scénario référence'!$B$17+'Scénario référence'!$B$9+'Scénario référence'!$B$10)*70+IF((45+25*(1-EXP(-0.0175*A79)))&lt;70,'Scénario référence'!$B$16*(45+25*(1-EXP(-0.0175*A79))),70*'Scénario référence'!$B$16)+IF((32+38*(1-EXP(-0.0175*A79)))&lt;70,'Scénario référence'!$B$18*(32+38*(1-EXP(-0.0175*A79))),70*'Scénario référence'!$B$18)</f>
        <v>70</v>
      </c>
      <c r="FV79" s="12">
        <f>IF(A79&gt;30,10,('Scénario référence'!$B$16+'Scénario référence'!$B$17+'Scénario référence'!$B$18+'Scénario référence'!$B$9+'Scénario référence'!$B$10)*A79*10/30+('Scénario référence'!$F$8+'Scénario référence'!$F$9)*10)</f>
        <v>10</v>
      </c>
      <c r="FW79" s="12" t="e">
        <f>VLOOKUP(A79,'Données projet'!$A$243:$I$263,2,0)</f>
        <v>#N/A</v>
      </c>
      <c r="FX79" s="12" t="e">
        <f>VLOOKUP(A79,'Données projet'!$A$243:$I$263,9,0)</f>
        <v>#N/A</v>
      </c>
      <c r="FY79" s="12">
        <f t="array" ref="FY79">INDEX(FX:FX,MIN(IF(ISNUMBER(FX79:FX275),ROW(FX79:FX275),"")))</f>
        <v>7.8425925925925934</v>
      </c>
      <c r="FZ79" s="12">
        <f>IF('Données projet'!$A$244&gt;35,FZ78+FY79-GH78,IF(A79&lt;'Données projet'!$A$244,$FW$205^A79,IF(A79='Données projet'!$A$244,'Données projet'!$B$244,FZ78+FY79-GH78)))</f>
        <v>242.64245014245009</v>
      </c>
      <c r="GA79" s="17">
        <f>FZ79*VLOOKUP('Données projet'!$B$17,Paramètres!$A$1:$I$89,3,0)*VLOOKUP('Données projet'!$B$17,Paramètres!$A$1:$I$89,5,0)</f>
        <v>261.18033333333324</v>
      </c>
      <c r="GB79" s="13">
        <f t="shared" si="103"/>
        <v>62.973910960670537</v>
      </c>
      <c r="GC79" s="20">
        <f t="shared" si="79"/>
        <v>564.56864214538984</v>
      </c>
      <c r="GD79" s="59">
        <f t="shared" si="80"/>
        <v>857.90197547872322</v>
      </c>
      <c r="GE79" s="59">
        <f ca="1">AVERAGE(OFFSET($GD$3,0,0,'Données projet'!$E$17+1,1))-AVERAGE(OFFSET($H$3,0,0,'Données projet'!$E$17+1,1))</f>
        <v>286.77702855541287</v>
      </c>
      <c r="GF79" s="59">
        <f t="shared" si="104"/>
        <v>227.12211541860779</v>
      </c>
      <c r="GG79" s="15">
        <f>IF(ISNA(VLOOKUP(A79,'Données projet'!$A$243:$I$263,3,0)),0,VLOOKUP(A79,'Données projet'!$A$243:$I$263,3,0))</f>
        <v>0</v>
      </c>
      <c r="GH79" s="15">
        <f>IF(ISNA(VLOOKUP(A79,'Données projet'!$A$243:$I$263,4,0)),0,VLOOKUP(A79,'Données projet'!$A$243:$I$263,4,0))</f>
        <v>0</v>
      </c>
      <c r="GI79" s="16">
        <f>IF(ISNA(VLOOKUP(A79,'Données projet'!$A$243:$I$263,5,0)),0%,VLOOKUP(A79,'Données projet'!$A$243:$I$263,5,0)*VLOOKUP('Données projet'!$B$17,Paramètres!$A$1:$I$89,7,0))</f>
        <v>0</v>
      </c>
      <c r="GJ79" s="16">
        <f>IF(ISNA(VLOOKUP(A79,'Données projet'!$A$243:$I$263,6,0)),0%,VLOOKUP(A79,'Données projet'!$A$243:$I$263,6,0)*VLOOKUP('Données projet'!$B$17,Paramètres!$A$1:$I$89,7,0))</f>
        <v>0</v>
      </c>
      <c r="GK79" s="16">
        <f>IF(ISNA(VLOOKUP(A79,'Données projet'!$A$243:$I$263,7,0)),0%,VLOOKUP(A79,'Données projet'!$A$243:$I$263,7,0))</f>
        <v>0</v>
      </c>
      <c r="GL79" s="21">
        <f>EXP(-LN(2)/35)*GL78+(1-EXP(-LN(2)/35))/(LN(2)/35)*GH79*GI79*VLOOKUP('Données projet'!$B$17,Paramètres!$A$1:$I$89,3,0)*0.475*44/12</f>
        <v>0</v>
      </c>
      <c r="GM79" s="21">
        <f>EXP(-LN(2)/25)*GM78+(1-EXP(-LN(2)/25))/(LN(2)/25)*Calculateur!GH79*Calculateur!GJ79*VLOOKUP('Données projet'!$B$17,Paramètres!$A$1:$I$89,3,0)*0.475*44/12</f>
        <v>0</v>
      </c>
      <c r="GN79" s="21">
        <f>EXP(-LN(2)/2)*GN78+(1-EXP(-LN(2)/2))/(LN(2)/2)*GH79*GK79*VLOOKUP('Données projet'!$B$17,Paramètres!$A$1:$I$89,3,0)*0.475*44/12</f>
        <v>0</v>
      </c>
      <c r="GO79" s="21">
        <f t="shared" si="81"/>
        <v>0</v>
      </c>
      <c r="GP79" s="75">
        <f>('Scénario référence'!$F$8+'Scénario référence'!$F$9+'Scénario référence'!$B$17+'Scénario référence'!$B$9+'Scénario référence'!$B$10)*70+IF((45+25*(1-EXP(-0.0175*A79)))&lt;70,'Scénario référence'!$B$16*(45+25*(1-EXP(-0.0175*A79))),70*'Scénario référence'!$B$16)+IF((32+38*(1-EXP(-0.0175*A79)))&lt;70,'Scénario référence'!$B$18*(32+38*(1-EXP(-0.0175*A79))),70*'Scénario référence'!$B$18)</f>
        <v>70</v>
      </c>
      <c r="GQ79" s="12">
        <f>IF(A79&gt;30,10,('Scénario référence'!$B$16+'Scénario référence'!$B$17+'Scénario référence'!$B$18+'Scénario référence'!$B$9+'Scénario référence'!$B$10)*A79*10/30+('Scénario référence'!$F$8+'Scénario référence'!$F$9)*10)</f>
        <v>10</v>
      </c>
      <c r="GR79" s="12" t="e">
        <f>VLOOKUP(A79,'Données projet'!$A$269:$I$289,2,0)</f>
        <v>#N/A</v>
      </c>
      <c r="GS79" s="12" t="e">
        <f>VLOOKUP(A79,'Données projet'!$A$269:$I$289,9,0)</f>
        <v>#N/A</v>
      </c>
      <c r="GT79" s="12">
        <f t="array" ref="GT79">INDEX(GS:GS,MIN(IF(ISNUMBER(GS79:GS275),ROW(GS79:GS275),"")))</f>
        <v>7.8425925925925934</v>
      </c>
      <c r="GU79" s="12">
        <f>IF('Données projet'!$A$270&gt;35,GU78+GT79-HC78,IF(A79&lt;'Données projet'!$A$270,$GR$205^A79,IF(A79='Données projet'!$A$270,'Données projet'!$B$270,GU78+GT79-HC78)))</f>
        <v>242.64245014245009</v>
      </c>
      <c r="GV79" s="17">
        <f>GU79*VLOOKUP('Données projet'!$B$18,Paramètres!$A$1:$I$89,3,0)*VLOOKUP('Données projet'!$B$18,Paramètres!$A$1:$I$89,5,0)</f>
        <v>261.18033333333324</v>
      </c>
      <c r="GW79" s="13">
        <f t="shared" si="105"/>
        <v>62.973910960670537</v>
      </c>
      <c r="GX79" s="20">
        <f t="shared" si="82"/>
        <v>564.56864214538984</v>
      </c>
      <c r="GY79" s="59">
        <f t="shared" si="83"/>
        <v>857.90197547872322</v>
      </c>
      <c r="GZ79" s="59">
        <f ca="1">AVERAGE(OFFSET($GY$3,0,0,'Données projet'!$E$18+1,1))-AVERAGE(OFFSET($H$3,0,0,'Données projet'!$E$18+1,1))</f>
        <v>286.77702855541287</v>
      </c>
      <c r="HA79" s="59">
        <f t="shared" si="106"/>
        <v>227.12211541860779</v>
      </c>
      <c r="HB79" s="15">
        <f>IF(ISNA(VLOOKUP(A79,'Données projet'!$A$269:$I$289,3,0)),0,VLOOKUP(A79,'Données projet'!$A$269:$I$289,3,0))</f>
        <v>0</v>
      </c>
      <c r="HC79" s="15">
        <f>IF(ISNA(VLOOKUP(A79,'Données projet'!$A$269:$I$289,4,0)),0,VLOOKUP(A79,'Données projet'!$A$269:$I$289,4,0))</f>
        <v>0</v>
      </c>
      <c r="HD79" s="16">
        <f>IF(ISNA(VLOOKUP(A79,'Données projet'!$A$269:$I$289,5,0)),0%,VLOOKUP(A79,'Données projet'!$A$269:$I$289,5,0)*VLOOKUP('Données projet'!$B$18,Paramètres!$A$1:$I$89,7,0))</f>
        <v>0</v>
      </c>
      <c r="HE79" s="16">
        <f>IF(ISNA(VLOOKUP(A79,'Données projet'!$A$269:$I$289,6,0)),0%,VLOOKUP(A79,'Données projet'!$A$269:$I$289,6,0)*VLOOKUP('Données projet'!$B$18,Paramètres!$A$1:$I$89,7,0))</f>
        <v>0</v>
      </c>
      <c r="HF79" s="16">
        <f>IF(ISNA(VLOOKUP(A79,'Données projet'!$A$269:$I$289,7,0)),0%,VLOOKUP(A79,'Données projet'!$A$269:$I$289,7,0))</f>
        <v>0</v>
      </c>
      <c r="HG79" s="21">
        <f>EXP(-LN(2)/35)*HG78+(1-EXP(-LN(2)/35))/(LN(2)/35)*HC79*HD79*VLOOKUP('Données projet'!$B$18,Paramètres!$A$1:$I$89,3,0)*0.475*44/12</f>
        <v>0</v>
      </c>
      <c r="HH79" s="21">
        <f>EXP(-LN(2)/25)*HH78+(1-EXP(-LN(2)/25))/(LN(2)/25)*Calculateur!HC79*Calculateur!HE79*VLOOKUP('Données projet'!$B$18,Paramètres!$A$1:$I$89,3,0)*0.475*44/12</f>
        <v>0</v>
      </c>
      <c r="HI79" s="21">
        <f>EXP(-LN(2)/2)*HI78+(1-EXP(-LN(2)/2))/(LN(2)/2)*HC79*HF79*VLOOKUP('Données projet'!$B$18,Paramètres!$A$1:$I$89,3,0)*0.475*44/12</f>
        <v>0</v>
      </c>
      <c r="HJ79" s="22">
        <f t="shared" si="84"/>
        <v>0</v>
      </c>
    </row>
    <row r="80" spans="1:218" x14ac:dyDescent="0.25">
      <c r="A80" s="10">
        <f t="shared" si="85"/>
        <v>77</v>
      </c>
      <c r="B80" s="73">
        <f>'Scénario référence'!$B$16*5+'Scénario référence'!$B$17*0+'Scénario référence'!$B$18*5</f>
        <v>0</v>
      </c>
      <c r="C80" s="19">
        <f>Calculateur!C79+'Scénario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68.468400000000088</v>
      </c>
      <c r="D80" s="11">
        <f t="shared" si="86"/>
        <v>19.292618976952753</v>
      </c>
      <c r="E8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80" s="11">
        <f>IF(OR('Scénario référence'!$F$8&gt;0,'Scénario référence'!$F$9&gt;0),('Scénario référence'!$F$8+'Scénario référence'!$F$9)*10,0)</f>
        <v>10</v>
      </c>
      <c r="G80" s="11">
        <f>'Scénario référence'!$B$8*B80*44/12+'Scénario référence'!$B$9*(C80+D80)/0.475*44/12+'Scénario référence'!$B$10*(C80+D80)/0.475*44/12+'Scénario référence'!$F$8*(C80+D80)/0.475*44/12+'Scénario référence'!$F$9*(C80+D80)/0.475*44/12</f>
        <v>677.45347982209216</v>
      </c>
      <c r="H80" s="67">
        <f t="shared" si="56"/>
        <v>446.18377471819281</v>
      </c>
      <c r="I80" s="70">
        <f>('Scénario référence'!$F$8+'Scénario référence'!$F$9+'Scénario référence'!$B$17+'Scénario référence'!$B$9+'Scénario référence'!$B$10)*70+IF((45+25*(1-EXP(-0.0175*A80)))&lt;70,'Scénario référence'!$B$16*(45+25*(1-EXP(-0.0175*A80))),70*'Scénario référence'!$B$16)+IF((32+38*(1-EXP(-0.0175*A80)))&lt;70,'Scénario référence'!$B$18*(32+38*(1-EXP(-0.0175*A80))),70*'Scénario référence'!$B$18)</f>
        <v>70</v>
      </c>
      <c r="J80" s="13">
        <f>IF(A80&gt;30,10,('Scénario référence'!$B$16+'Scénario référence'!$B$17+'Scénario référence'!$B$18+'Scénario référence'!$B$9+'Scénario référence'!$B$10)*A80*10/30+('Scénario référence'!$F$8+'Scénario référence'!$F$9)*10)</f>
        <v>10</v>
      </c>
      <c r="K80" s="12" t="e">
        <f>VLOOKUP(A80,'Données projet'!$A$35:$I$55,2,0)</f>
        <v>#N/A</v>
      </c>
      <c r="L80" s="12" t="e">
        <f>VLOOKUP(A80,'Données projet'!$A$35:$I$55,9,0)</f>
        <v>#N/A</v>
      </c>
      <c r="M80" s="12">
        <f t="array" ref="M80">INDEX(L:L,MIN(IF(ISNUMBER(L80:L276),ROW(L80:L276),"")))</f>
        <v>0</v>
      </c>
      <c r="N80" s="13">
        <f>IF('Données projet'!$A$36&gt;35,N79+M80-V79,IF(A80&lt;'Données projet'!$A$36,$K$205^A80,IF(A80='Données projet'!$A$36,'Données projet'!$B$36,N79+M80-V79)))</f>
        <v>-2.2737367544323206E-13</v>
      </c>
      <c r="O80" s="13">
        <f>N80*VLOOKUP('Données projet'!$B$9,Paramètres!$A$1:$I$89,3,0)*VLOOKUP('Données projet'!$B$9,Paramètres!$A$1:$I$89,5,0)</f>
        <v>-1.2710188457276673E-13</v>
      </c>
      <c r="P80" s="13" t="e">
        <f t="shared" si="87"/>
        <v>#NUM!</v>
      </c>
      <c r="Q80" s="20" t="e">
        <f t="shared" si="54"/>
        <v>#NUM!</v>
      </c>
      <c r="R80" s="59" t="e">
        <f t="shared" si="55"/>
        <v>#NUM!</v>
      </c>
      <c r="S80" s="59">
        <f ca="1">AVERAGE(OFFSET($R$3,0,0,'Données projet'!$E$9+1,1))-AVERAGE(OFFSET($H$3,0,0,'Données projet'!$E$9+1,1))</f>
        <v>255.5374979188561</v>
      </c>
      <c r="T80" s="59">
        <f t="shared" si="88"/>
        <v>343.10418468620901</v>
      </c>
      <c r="U80" s="15">
        <f>IF(ISNA(VLOOKUP(A80,'Données projet'!$A$35:$I$55,3,0)),0,VLOOKUP(A80,'Données projet'!$A$35:$I$55,3,0))</f>
        <v>0</v>
      </c>
      <c r="V80" s="15">
        <f>IF(ISNA(VLOOKUP(A80,'Données projet'!$A$35:$I$55,4,0)),0,VLOOKUP(A80,'Données projet'!$A$35:$I$55,4,0))</f>
        <v>0</v>
      </c>
      <c r="W80" s="16">
        <f>IF(ISNA(VLOOKUP(A80,'Données projet'!$A$35:$I$55,5,0)),0%,VLOOKUP(A80,'Données projet'!$A$35:$I$55,5,0)*VLOOKUP('Données projet'!$B$9,Paramètres!$A$1:$I$89,7,0))</f>
        <v>0</v>
      </c>
      <c r="X80" s="16">
        <f>IF(ISNA(VLOOKUP(A80,'Données projet'!$A$35:$I$55,6,0)),0%,VLOOKUP(A80,'Données projet'!$A$35:$I$55,6,0)*VLOOKUP('Données projet'!$B$9,Paramètres!$A$1:$I$89,7,0))</f>
        <v>0</v>
      </c>
      <c r="Y80" s="16">
        <f>IF(ISNA(VLOOKUP(A80,'Données projet'!$A$35:$I$55,7,0)),0%,VLOOKUP(A80,'Données projet'!$A$35:$I$55,7,0))</f>
        <v>0</v>
      </c>
      <c r="Z80" s="21">
        <f>EXP(-LN(2)/35)*Z79+(1-EXP(-LN(2)/35))/(LN(2)/35)*V80*W80*VLOOKUP('Données projet'!$B$9,Paramètres!$A$1:$I$89,3,0)*0.475*44/12</f>
        <v>1.2182149935583524</v>
      </c>
      <c r="AA80" s="21">
        <f>EXP(-LN(2)/25)*AA79+(1-EXP(-LN(2)/25))/(LN(2)/25)*Calculateur!V80*Calculateur!X80*VLOOKUP('Données projet'!$B$9,Paramètres!$A$1:$I$89,3,0)*0.475*44/12</f>
        <v>4.3361425029530203</v>
      </c>
      <c r="AB80" s="21">
        <f>EXP(-LN(2)/2)*AB79+(1-EXP(-LN(2)/2))/(LN(2)/2)*V80*Y80*VLOOKUP('Données projet'!$B$9,Paramètres!$A$1:$I$89,3,0)*0.475*44/12</f>
        <v>1.4267990154880058E-7</v>
      </c>
      <c r="AC80" s="22">
        <f t="shared" si="57"/>
        <v>5.5543576391912746</v>
      </c>
      <c r="AD80" s="13">
        <f>('Scénario référence'!$F$8+'Scénario référence'!$F$9+'Scénario référence'!$B$17+'Scénario référence'!$B$9+'Scénario référence'!$B$10)*70+IF((45+25*(1-EXP(-0.0175*A80)))&lt;70,'Scénario référence'!$B$16*(45+25*(1-EXP(-0.0175*A80))),70*'Scénario référence'!$B$16)+IF((32+38*(1-EXP(-0.0175*A80)))&lt;70,'Scénario référence'!$B$18*(32+38*(1-EXP(-0.0175*A80))),70*'Scénario référence'!$B$18)</f>
        <v>70</v>
      </c>
      <c r="AE80" s="13">
        <f>IF(A80&gt;30,10,('Scénario référence'!$B$16+'Scénario référence'!$B$17+'Scénario référence'!$B$18+'Scénario référence'!$B$9+'Scénario référence'!$B$10)*A80*10/30+('Scénario référence'!$F$8+'Scénario référence'!$F$9)*10)</f>
        <v>10</v>
      </c>
      <c r="AF80" s="12" t="e">
        <f>VLOOKUP(A80,'Données projet'!$A$61:$I$81,2,0)</f>
        <v>#N/A</v>
      </c>
      <c r="AG80" s="12" t="e">
        <f>VLOOKUP(A80,'Données projet'!$A$61:$I$81,9,0)</f>
        <v>#N/A</v>
      </c>
      <c r="AH80" s="12">
        <f t="array" ref="AH80">INDEX(AG:AG,MIN(IF(ISNUMBER(AG80:AG276),ROW(AG80:AG276),"")))</f>
        <v>6</v>
      </c>
      <c r="AI80" s="13">
        <f>IF('Données projet'!$A$62&gt;35,AI79+AH80-AQ79,IF(A80&lt;'Données projet'!$A$62,$AF$205^A80,IF(A80='Données projet'!$A$62,'Données projet'!$B$62,AI79+AH80-AQ79)))</f>
        <v>424</v>
      </c>
      <c r="AJ80" s="13">
        <f>AI80*VLOOKUP('Données projet'!$B$10,Paramètres!$A$1:$I$89,3,0)*VLOOKUP('Données projet'!$B$10,Paramètres!$A$1:$I$89,5,0)</f>
        <v>264.57599999999996</v>
      </c>
      <c r="AK80" s="13">
        <f t="shared" si="89"/>
        <v>63.696803579002321</v>
      </c>
      <c r="AL80" s="20">
        <f t="shared" si="58"/>
        <v>571.74179956676232</v>
      </c>
      <c r="AM80" s="59">
        <f t="shared" si="59"/>
        <v>865.0751329000957</v>
      </c>
      <c r="AN80" s="59">
        <f ca="1">AVERAGE(OFFSET($AM$3,0,0,'Données projet'!$E$10+1,1))-AVERAGE(OFFSET($H$3,0,0,'Données projet'!$E$10+1,1))</f>
        <v>261.78489480911571</v>
      </c>
      <c r="AO80" s="59">
        <f t="shared" si="90"/>
        <v>297.50513563712764</v>
      </c>
      <c r="AP80" s="15">
        <f>IF(ISNA(VLOOKUP(A80,'Données projet'!$A$61:$I$81,3,0)),0,VLOOKUP(A80,'Données projet'!$A$61:$I$81,3,0))</f>
        <v>0</v>
      </c>
      <c r="AQ80" s="15">
        <f>IF(ISNA(VLOOKUP(A80,'Données projet'!$A$61:$I$81,4,0)),0,VLOOKUP(A80,'Données projet'!$A$61:$I$81,4,0))</f>
        <v>0</v>
      </c>
      <c r="AR80" s="16">
        <f>IF(ISNA(VLOOKUP(A80,'Données projet'!$A$61:$I$81,5,0)),0%,VLOOKUP(A80,'Données projet'!$A$61:$I$81,5,0)*VLOOKUP('Données projet'!$B$10,Paramètres!$A$1:$I$89,7,0))</f>
        <v>0</v>
      </c>
      <c r="AS80" s="16">
        <f>IF(ISNA(VLOOKUP(A80,'Données projet'!$A$61:$I$81,6,0)),0%,VLOOKUP(A80,'Données projet'!$A$61:$I$81,6,0)*VLOOKUP('Données projet'!$B$10,Paramètres!$A$1:$I$89,7,0))</f>
        <v>0</v>
      </c>
      <c r="AT80" s="16">
        <f>IF(ISNA(VLOOKUP(A80,'Données projet'!$A$61:$I$81,7,0)),0%,VLOOKUP(A80,'Données projet'!$A$61:$I$81,7,0))</f>
        <v>0</v>
      </c>
      <c r="AU80" s="21">
        <f>EXP(-LN(2)/35)*AU79+(1-EXP(-LN(2)/35))/(LN(2)/35)*AQ80*AR80*VLOOKUP('Données projet'!$B$10,Paramètres!$A$1:$I$89,3,0)*0.475*44/12</f>
        <v>3.2895250530657898</v>
      </c>
      <c r="AV80" s="21">
        <f>EXP(-LN(2)/25)*AV79+(1-EXP(-LN(2)/25))/(LN(2)/25)*Calculateur!AQ80*Calculateur!AS80*VLOOKUP('Données projet'!$B$10,Paramètres!$A$1:$I$89,3,0)*0.475*44/12</f>
        <v>7.5717892135733758</v>
      </c>
      <c r="AW80" s="21">
        <f>EXP(-LN(2)/2)*AW79+(1-EXP(-LN(2)/2))/(LN(2)/2)*AQ80*AT80*VLOOKUP('Données projet'!$B$10,Paramètres!$A$1:$I$89,3,0)*0.475*44/12</f>
        <v>2.0568666126655902E-6</v>
      </c>
      <c r="AX80" s="21">
        <f t="shared" si="60"/>
        <v>10.861316323505779</v>
      </c>
      <c r="AY80" s="74">
        <f>('Scénario référence'!$F$8+'Scénario référence'!$F$9+'Scénario référence'!$B$17+'Scénario référence'!$B$9+'Scénario référence'!$B$10)*70+IF((45+25*(1-EXP(-0.0175*A80)))&lt;70,'Scénario référence'!$B$16*(45+25*(1-EXP(-0.0175*A80))),70*'Scénario référence'!$B$16)+IF((32+38*(1-EXP(-0.0175*A80)))&lt;70,'Scénario référence'!$B$18*(32+38*(1-EXP(-0.0175*A80))),70*'Scénario référence'!$B$18)</f>
        <v>70</v>
      </c>
      <c r="AZ80" s="12">
        <f>IF(A80&gt;30,10,('Scénario référence'!$B$16+'Scénario référence'!$B$17+'Scénario référence'!$B$18+'Scénario référence'!$B$9+'Scénario référence'!$B$10)*A80*10/30+('Scénario référence'!$F$8+'Scénario référence'!$F$9)*10)</f>
        <v>10</v>
      </c>
      <c r="BA80" s="12" t="e">
        <f>VLOOKUP(A80,'Données projet'!$A$87:$I$107,2,0)</f>
        <v>#N/A</v>
      </c>
      <c r="BB80" s="12" t="e">
        <f>VLOOKUP(A80,'Données projet'!$A$87:$I$107,9,0)</f>
        <v>#N/A</v>
      </c>
      <c r="BC80" s="12">
        <f t="array" ref="BC80">INDEX(BB:BB,MIN(IF(ISNUMBER(BB80:BB276),ROW(BB80:BB276),"")))</f>
        <v>14.5</v>
      </c>
      <c r="BD80" s="12">
        <f>IF('Données projet'!$A$88&gt;35,BD79+BC80-BL79,IF(A80&lt;'Données projet'!$A$88,$BA$205^A80,IF(A80='Données projet'!$A$88,'Données projet'!$B$88,BD79+BC80-BL79)))</f>
        <v>562.49999999999955</v>
      </c>
      <c r="BE80" s="13">
        <f>BD80*VLOOKUP('Données projet'!$B$11,Paramètres!$A$1:$I$89,3,0)*VLOOKUP('Données projet'!$B$11,Paramètres!$A$1:$I$89,5,0)</f>
        <v>336.37499999999977</v>
      </c>
      <c r="BF80" s="13">
        <f t="shared" si="91"/>
        <v>78.750531883095675</v>
      </c>
      <c r="BG80" s="20">
        <f t="shared" si="61"/>
        <v>723.01030136305792</v>
      </c>
      <c r="BH80" s="59">
        <f t="shared" si="62"/>
        <v>1016.3436346963913</v>
      </c>
      <c r="BI80" s="59">
        <f ca="1">AVERAGE(OFFSET($BH$3,0,0,'Données projet'!$E$11+1,1))-AVERAGE(OFFSET($H$3,0,0,'Données projet'!$E$11+1,1))</f>
        <v>316.58509520829671</v>
      </c>
      <c r="BJ80" s="59">
        <f t="shared" si="92"/>
        <v>240.71332110643596</v>
      </c>
      <c r="BK80" s="15">
        <f>IF(ISNA(VLOOKUP(A80,'Données projet'!$A$87:$I$107,3,0)),0,VLOOKUP(A80,'Données projet'!$A$87:$I$107,3,0))</f>
        <v>0</v>
      </c>
      <c r="BL80" s="15">
        <f>IF(ISNA(VLOOKUP(A80,'Données projet'!$A$87:$I$107,4,0)),0,VLOOKUP(A80,'Données projet'!$A$87:$I$107,4,0))</f>
        <v>0</v>
      </c>
      <c r="BM80" s="16">
        <f>IF(ISNA(VLOOKUP(A80,'Données projet'!$A$87:$I$107,5,0)),0%,VLOOKUP(A80,'Données projet'!$A$87:$I$107,5,0)*VLOOKUP('Données projet'!$B$11,Paramètres!$A$1:$I$89,7,0))</f>
        <v>0</v>
      </c>
      <c r="BN80" s="16">
        <f>IF(ISNA(VLOOKUP(A80,'Données projet'!$A$87:$I$107,6,0)),0%,VLOOKUP(A80,'Données projet'!$A$87:$I$107,6,0)*VLOOKUP('Données projet'!$B$11,Paramètres!$A$1:$I$89,7,0))</f>
        <v>0</v>
      </c>
      <c r="BO80" s="16">
        <f>IF(ISNA(VLOOKUP(A80,'Données projet'!$A$87:$I$107,7,0)),0%,VLOOKUP(A80,'Données projet'!$A$87:$I$107,7,0))</f>
        <v>0</v>
      </c>
      <c r="BP80" s="21">
        <f>EXP(-LN(2)/35)*BP79+(1-EXP(-LN(2)/35))/(LN(2)/35)*BL80*BM80*VLOOKUP('Données projet'!$B$11,Paramètres!$A$1:$I$89,3,0)*0.475*44/12</f>
        <v>0.99921771050156893</v>
      </c>
      <c r="BQ80" s="21">
        <f>EXP(-LN(2)/25)*BQ79+(1-EXP(-LN(2)/25))/(LN(2)/25)*Calculateur!BL80*Calculateur!BN80*VLOOKUP('Données projet'!$B$11,Paramètres!$A$1:$I$89,3,0)*0.475*44/12</f>
        <v>4.1480470614410816</v>
      </c>
      <c r="BR80" s="21">
        <f>EXP(-LN(2)/2)*BR79+(1-EXP(-LN(2)/2))/(LN(2)/2)*BL80*BO80*VLOOKUP('Données projet'!$B$11,Paramètres!$A$1:$I$89,3,0)*0.475*44/12</f>
        <v>1.8493483376115198E-6</v>
      </c>
      <c r="BS80" s="22">
        <f t="shared" si="63"/>
        <v>5.1472666212909877</v>
      </c>
      <c r="BT80" s="75">
        <f>('Scénario référence'!$F$8+'Scénario référence'!$F$9+'Scénario référence'!$B$17+'Scénario référence'!$B$9+'Scénario référence'!$B$10)*70+IF((45+25*(1-EXP(-0.0175*A80)))&lt;70,'Scénario référence'!$B$16*(45+25*(1-EXP(-0.0175*A80))),70*'Scénario référence'!$B$16)+IF((32+38*(1-EXP(-0.0175*A80)))&lt;70,'Scénario référence'!$B$18*(32+38*(1-EXP(-0.0175*A80))),70*'Scénario référence'!$B$18)</f>
        <v>70</v>
      </c>
      <c r="BU80" s="12">
        <f>IF(A80&gt;30,10,('Scénario référence'!$B$16+'Scénario référence'!$B$17+'Scénario référence'!$B$18+'Scénario référence'!$B$9+'Scénario référence'!$B$10)*A80*10/30+('Scénario référence'!$F$8+'Scénario référence'!$F$9)*10)</f>
        <v>10</v>
      </c>
      <c r="BV80" s="12" t="e">
        <f>VLOOKUP(A80,'Données projet'!$A$113:$I$133,2,0)</f>
        <v>#N/A</v>
      </c>
      <c r="BW80" s="12" t="e">
        <f>VLOOKUP(A80,'Données projet'!$A$113:$I$133,9,0)</f>
        <v>#N/A</v>
      </c>
      <c r="BX80" s="12">
        <f t="array" ref="BX80">INDEX(BW:BW,MIN(IF(ISNUMBER(BW80:BW276),ROW(BW80:BW276),"")))</f>
        <v>5.4</v>
      </c>
      <c r="BY80" s="12">
        <f>IF('Données projet'!$A$114&gt;35,BY79+BX80-CG79,IF(A80&lt;'Données projet'!$A$114,$BV$205^A80,IF(A80='Données projet'!$A$114,'Données projet'!$B$114,BY79+BX80-CG79)))</f>
        <v>337.79999999999973</v>
      </c>
      <c r="BZ80" s="13">
        <f>BY80*VLOOKUP('Données projet'!$B$12,Paramètres!$A$1:$I$89,3,0)*VLOOKUP('Données projet'!$B$12,Paramètres!$A$1:$I$89,5,0)</f>
        <v>193.22159999999985</v>
      </c>
      <c r="CA80" s="13">
        <f t="shared" si="93"/>
        <v>48.251504398341659</v>
      </c>
      <c r="CB80" s="20">
        <f t="shared" si="64"/>
        <v>420.56565682711147</v>
      </c>
      <c r="CC80" s="59">
        <f t="shared" si="65"/>
        <v>713.89899016044478</v>
      </c>
      <c r="CD80" s="59">
        <f ca="1">AVERAGE(OFFSET($CC$3,0,0,'Données projet'!$E$12+1,1))-AVERAGE(OFFSET($H$3,0,0,'Données projet'!$E$12+1,1))</f>
        <v>188.64374818906128</v>
      </c>
      <c r="CE80" s="59">
        <f t="shared" si="94"/>
        <v>211.95157880548652</v>
      </c>
      <c r="CF80" s="15">
        <f>IF(ISNA(VLOOKUP(A80,'Données projet'!$A$113:$I$133,3,0)),0,VLOOKUP(A80,'Données projet'!$A$113:$I$133,3,0))</f>
        <v>0</v>
      </c>
      <c r="CG80" s="15">
        <f>IF(ISNA(VLOOKUP(A80,'Données projet'!$A$113:$I$133,4,0)),0,VLOOKUP(A80,'Données projet'!$A$113:$I$133,4,0))</f>
        <v>0</v>
      </c>
      <c r="CH80" s="16">
        <f>IF(ISNA(VLOOKUP(A80,'Données projet'!$A$113:$I$133,5,0)),0%,VLOOKUP(A80,'Données projet'!$A$113:$I$133,5,0)*VLOOKUP('Données projet'!$B$12,Paramètres!$A$1:$I$89,7,0))</f>
        <v>0</v>
      </c>
      <c r="CI80" s="16">
        <f>IF(ISNA(VLOOKUP(A80,'Données projet'!$A$113:$I$133,6,0)),0%,VLOOKUP(A80,'Données projet'!$A$113:$I$133,6,0)*VLOOKUP('Données projet'!$B$12,Paramètres!$A$1:$I$89,7,0))</f>
        <v>0</v>
      </c>
      <c r="CJ80" s="16">
        <f>IF(ISNA(VLOOKUP(A80,'Données projet'!$A$113:$I$133,7,0)),0%,VLOOKUP(A80,'Données projet'!$A$113:$I$133,7,0))</f>
        <v>0</v>
      </c>
      <c r="CK80" s="21">
        <f>EXP(-LN(2)/35)*CK79+(1-EXP(-LN(2)/35))/(LN(2)/35)*CG80*CH80*VLOOKUP('Données projet'!$B$12,Paramètres!$A$1:$I$89,3,0)*0.475*44/12</f>
        <v>0.96923506027831263</v>
      </c>
      <c r="CL80" s="21">
        <f>EXP(-LN(2)/25)*CL79+(1-EXP(-LN(2)/25))/(LN(2)/25)*Calculateur!CG80*Calculateur!CI80*VLOOKUP('Données projet'!$B$12,Paramètres!$A$1:$I$89,3,0)*0.475*44/12</f>
        <v>3.9042358133256831</v>
      </c>
      <c r="CM80" s="21">
        <f>EXP(-LN(2)/2)*CM79+(1-EXP(-LN(2)/2))/(LN(2)/2)*CG80*CJ80*VLOOKUP('Données projet'!$B$12,Paramètres!$A$1:$I$89,3,0)*0.475*44/12</f>
        <v>1.7909491698138922E-6</v>
      </c>
      <c r="CN80" s="22">
        <f t="shared" si="66"/>
        <v>4.873472664553165</v>
      </c>
      <c r="CO80" s="75">
        <f>('Scénario référence'!$F$8+'Scénario référence'!$F$9+'Scénario référence'!$B$17+'Scénario référence'!$B$9+'Scénario référence'!$B$10)*70+IF((45+25*(1-EXP(-0.0175*A80)))&lt;70,'Scénario référence'!$B$16*(45+25*(1-EXP(-0.0175*A80))),70*'Scénario référence'!$B$16)+IF((32+38*(1-EXP(-0.0175*A80)))&lt;70,'Scénario référence'!$B$18*(32+38*(1-EXP(-0.0175*A80))),70*'Scénario référence'!$B$18)</f>
        <v>70</v>
      </c>
      <c r="CP80" s="12">
        <f>IF(A80&gt;30,10,('Scénario référence'!$B$16+'Scénario référence'!$B$17+'Scénario référence'!$B$18+'Scénario référence'!$B$9+'Scénario référence'!$B$10)*A80*10/30+('Scénario référence'!$F$8+'Scénario référence'!$F$9)*10)</f>
        <v>10</v>
      </c>
      <c r="CQ80" s="12" t="e">
        <f>VLOOKUP(A80,'Données projet'!$A$139:$I$159,2,0)</f>
        <v>#N/A</v>
      </c>
      <c r="CR80" s="12" t="e">
        <f>VLOOKUP(A80,'Données projet'!$A$139:$I$159,9,0)</f>
        <v>#N/A</v>
      </c>
      <c r="CS80" s="12">
        <f t="array" ref="CS80">INDEX(CR:CR,MIN(IF(ISNUMBER(CR80:CR276),ROW(CR80:CR276),"")))</f>
        <v>0</v>
      </c>
      <c r="CT80" s="12">
        <f>IF('Données projet'!$A$140&gt;35,CT79+CS80-DB79,IF(A80&lt;'Données projet'!$A$140,$CQ$205^A80,IF(A80='Données projet'!$A$140,'Données projet'!$B$140,CT79+CS80-DB79)))</f>
        <v>0</v>
      </c>
      <c r="CU80" s="17" t="e">
        <f>CT80*VLOOKUP('Données projet'!$B$13,Paramètres!$A$1:$I$89,3,0)*VLOOKUP('Données projet'!$B$13,Paramètres!$A$1:$I$89,5,0)</f>
        <v>#N/A</v>
      </c>
      <c r="CV80" s="13" t="e">
        <f t="shared" si="95"/>
        <v>#N/A</v>
      </c>
      <c r="CW80" s="20" t="e">
        <f t="shared" si="67"/>
        <v>#N/A</v>
      </c>
      <c r="CX80" s="59" t="e">
        <f t="shared" si="68"/>
        <v>#N/A</v>
      </c>
      <c r="CY80" s="59" t="e">
        <f ca="1">AVERAGE(OFFSET($CX$3,0,0,'Données projet'!$E$13+1,1))-AVERAGE(OFFSET($H$3,0,0,'Données projet'!$E$13+1,1))</f>
        <v>#N/A</v>
      </c>
      <c r="CZ80" s="59" t="e">
        <f t="shared" si="96"/>
        <v>#N/A</v>
      </c>
      <c r="DA80" s="15">
        <f>IF(ISNA(VLOOKUP(A80,'Données projet'!$A$139:$I$159,3,0)),0,VLOOKUP(A80,'Données projet'!$A$139:$I$159,3,0))</f>
        <v>0</v>
      </c>
      <c r="DB80" s="15">
        <f>IF(ISNA(VLOOKUP(A80,'Données projet'!$A$139:$I$159,4,0)),0,VLOOKUP(A80,'Données projet'!$A$139:$I$159,4,0))</f>
        <v>0</v>
      </c>
      <c r="DC80" s="16">
        <f>IF(ISNA(VLOOKUP(A80,'Données projet'!$A$139:$I$159,5,0)),0%,VLOOKUP(A80,'Données projet'!$A$139:$I$159,5,0)*VLOOKUP('Données projet'!$B$13,Paramètres!$A$1:$I$89,7,0))</f>
        <v>0</v>
      </c>
      <c r="DD80" s="16">
        <f>IF(ISNA(VLOOKUP(A80,'Données projet'!$A$139:$I$159,6,0)),0%,VLOOKUP(A80,'Données projet'!$A$139:$I$159,6,0)*VLOOKUP('Données projet'!$B$13,Paramètres!$A$1:$I$89,7,0))</f>
        <v>0</v>
      </c>
      <c r="DE80" s="16">
        <f>IF(ISNA(VLOOKUP(A80,'Données projet'!$A$139:$I$159,7,0)),0%,VLOOKUP(A80,'Données projet'!$A$139:$I$159,7,0))</f>
        <v>0</v>
      </c>
      <c r="DF80" s="21" t="e">
        <f>EXP(-LN(2)/35)*DF79+(1-EXP(-LN(2)/35))/(LN(2)/35)*DB80*DC80*VLOOKUP('Données projet'!$B$13,Paramètres!$A$1:$I$89,3,0)*0.475*44/12</f>
        <v>#N/A</v>
      </c>
      <c r="DG80" s="21" t="e">
        <f>EXP(-LN(2)/25)*DG79+(1-EXP(-LN(2)/25))/(LN(2)/25)*Calculateur!DB80*Calculateur!DD80*VLOOKUP('Données projet'!$B$13,Paramètres!$A$1:$I$89,3,0)*0.475*44/12</f>
        <v>#N/A</v>
      </c>
      <c r="DH80" s="21" t="e">
        <f>EXP(-LN(2)/2)*DH79+(1-EXP(-LN(2)/2))/(LN(2)/2)*DB80*DE80*VLOOKUP('Données projet'!$B$13,Paramètres!$A$1:$I$89,3,0)*0.475*44/12</f>
        <v>#N/A</v>
      </c>
      <c r="DI80" s="22" t="e">
        <f t="shared" si="69"/>
        <v>#N/A</v>
      </c>
      <c r="DJ80" s="75">
        <f>('Scénario référence'!$F$8+'Scénario référence'!$F$9+'Scénario référence'!$B$17+'Scénario référence'!$B$9+'Scénario référence'!$B$10)*70+IF((45+25*(1-EXP(-0.0175*A80)))&lt;70,'Scénario référence'!$B$16*(45+25*(1-EXP(-0.0175*A80))),70*'Scénario référence'!$B$16)+IF((32+38*(1-EXP(-0.0175*A80)))&lt;70,'Scénario référence'!$B$18*(32+38*(1-EXP(-0.0175*A80))),70*'Scénario référence'!$B$18)</f>
        <v>70</v>
      </c>
      <c r="DK80" s="12">
        <f>IF(A80&gt;30,10,('Scénario référence'!$B$16+'Scénario référence'!$B$17+'Scénario référence'!$B$18+'Scénario référence'!$B$9+'Scénario référence'!$B$10)*A80*10/30+('Scénario référence'!$F$8+'Scénario référence'!$F$9)*10)</f>
        <v>10</v>
      </c>
      <c r="DL80" s="12" t="e">
        <f>VLOOKUP(A80,'Données projet'!$A$165:$I$185,2,0)</f>
        <v>#N/A</v>
      </c>
      <c r="DM80" s="12" t="e">
        <f>VLOOKUP(A80,'Données projet'!$A$165:$I$185,9,0)</f>
        <v>#N/A</v>
      </c>
      <c r="DN80" s="12">
        <f t="array" ref="DN80">INDEX(DM:DM,MIN(IF(ISNUMBER(DM80:DM276),ROW(DM80:DM276),"")))</f>
        <v>4.7</v>
      </c>
      <c r="DO80" s="12">
        <f>IF('Données projet'!$A$166&gt;35,DO79+DN80-DW79,IF(A80&lt;'Données projet'!$A$166,$DL$205^A80,IF(A80='Données projet'!$A$166,'Données projet'!$B$166,DO79+DN80-DW79)))</f>
        <v>281.9000000000002</v>
      </c>
      <c r="DP80" s="17">
        <f>DO80*VLOOKUP('Données projet'!$B$14,Paramètres!$A$1:$I$89,3,0)*VLOOKUP('Données projet'!$B$14,Paramètres!$A$1:$I$89,5,0)</f>
        <v>184.70088000000013</v>
      </c>
      <c r="DQ80" s="13">
        <f t="shared" si="97"/>
        <v>46.366470942266808</v>
      </c>
      <c r="DR80" s="20">
        <f t="shared" si="70"/>
        <v>402.44230289111488</v>
      </c>
      <c r="DS80" s="59">
        <f t="shared" si="71"/>
        <v>695.77563622444814</v>
      </c>
      <c r="DT80" s="59">
        <f ca="1">AVERAGE(OFFSET($DS$3,0,0,'Données projet'!$E$14+1,1))-AVERAGE(OFFSET($H$3,0,0,'Données projet'!$E$14+1,1))</f>
        <v>188.68915783955595</v>
      </c>
      <c r="DU80" s="59">
        <f t="shared" si="98"/>
        <v>240.82467772396944</v>
      </c>
      <c r="DV80" s="15">
        <f>IF(ISNA(VLOOKUP(A80,'Données projet'!$A$165:$I$185,3,0)),0,VLOOKUP(A80,'Données projet'!$A$165:$I$185,3,0))</f>
        <v>0</v>
      </c>
      <c r="DW80" s="15">
        <f>IF(ISNA(VLOOKUP(A80,'Données projet'!$A$165:$I$185,4,0)),0,VLOOKUP(A80,'Données projet'!$A$165:$I$185,4,0))</f>
        <v>0</v>
      </c>
      <c r="DX80" s="16">
        <f>IF(ISNA(VLOOKUP(A80,'Données projet'!$A$165:$I$185,5,0)),0%,VLOOKUP(A80,'Données projet'!$A$165:$I$185,5,0)*VLOOKUP('Données projet'!$B$14,Paramètres!$A$1:$I$89,7,0))</f>
        <v>0</v>
      </c>
      <c r="DY80" s="16">
        <f>IF(ISNA(VLOOKUP(A80,'Données projet'!$A$165:$I$185,6,0)),0%,VLOOKUP(A80,'Données projet'!$A$165:$I$185,6,0)*VLOOKUP('Données projet'!$B$14,Paramètres!$A$1:$I$89,7,0))</f>
        <v>0</v>
      </c>
      <c r="DZ80" s="16">
        <f>IF(ISNA(VLOOKUP(A80,'Données projet'!$A$165:$I$185,7,0)),0%,VLOOKUP(A80,'Données projet'!$A$165:$I$185,7,0))</f>
        <v>0</v>
      </c>
      <c r="EA80" s="21">
        <f>EXP(-LN(2)/35)*EA79+(1-EXP(-LN(2)/35))/(LN(2)/35)*DW80*DX80*VLOOKUP('Données projet'!$B$14,Paramètres!$A$1:$I$89,3,0)*0.475*44/12</f>
        <v>0.61393045695238235</v>
      </c>
      <c r="EB80" s="21">
        <f>EXP(-LN(2)/25)*EB79+(1-EXP(-LN(2)/25))/(LN(2)/25)*Calculateur!DW80*Calculateur!DY80*VLOOKUP('Données projet'!$B$14,Paramètres!$A$1:$I$89,3,0)*0.475*44/12</f>
        <v>2.1838016510265676</v>
      </c>
      <c r="EC80" s="21">
        <f>EXP(-LN(2)/2)*EC79+(1-EXP(-LN(2)/2))/(LN(2)/2)*DW80*DZ80*VLOOKUP('Données projet'!$B$14,Paramètres!$A$1:$I$89,3,0)*0.475*44/12</f>
        <v>1.179808974182675E-6</v>
      </c>
      <c r="ED80" s="22">
        <f t="shared" si="72"/>
        <v>2.7977332877879242</v>
      </c>
      <c r="EE80" s="75">
        <f>('Scénario référence'!$F$8+'Scénario référence'!$F$9+'Scénario référence'!$B$17+'Scénario référence'!$B$9+'Scénario référence'!$B$10)*70+IF((45+25*(1-EXP(-0.0175*A80)))&lt;70,'Scénario référence'!$B$16*(45+25*(1-EXP(-0.0175*A80))),70*'Scénario référence'!$B$16)+IF((32+38*(1-EXP(-0.0175*A80)))&lt;70,'Scénario référence'!$B$18*(32+38*(1-EXP(-0.0175*A80))),70*'Scénario référence'!$B$18)</f>
        <v>70</v>
      </c>
      <c r="EF80" s="12">
        <f>IF(A80&gt;30,10,('Scénario référence'!$B$16+'Scénario référence'!$B$17+'Scénario référence'!$B$18+'Scénario référence'!$B$9+'Scénario référence'!$B$10)*A80*10/30+('Scénario référence'!$F$8+'Scénario référence'!$F$9)*10)</f>
        <v>10</v>
      </c>
      <c r="EG80" s="12" t="e">
        <f>VLOOKUP(A80,'Données projet'!$A$191:$I$211,2,0)</f>
        <v>#N/A</v>
      </c>
      <c r="EH80" s="12" t="e">
        <f>VLOOKUP(A80,'Données projet'!$A$191:$I$211,9,0)</f>
        <v>#N/A</v>
      </c>
      <c r="EI80" s="12">
        <f t="array" ref="EI80">INDEX(EH:EH,MIN(IF(ISNUMBER(EH80:EH276),ROW(EH80:EH276),"")))</f>
        <v>5.2</v>
      </c>
      <c r="EJ80" s="12">
        <f>IF('Données projet'!$A$192&gt;35,EJ79+EI80-ER79,IF(A80&lt;'Données projet'!$A$192,$EG$205^A80,IF(A80='Données projet'!$A$192,'Données projet'!$B$192,EJ79+EI80-ER79)))</f>
        <v>277.39999999999986</v>
      </c>
      <c r="EK80" s="17">
        <f>EJ80*VLOOKUP('Données projet'!$B$15,Paramètres!$A$1:$I$89,3,0)*VLOOKUP('Données projet'!$B$15,Paramètres!$A$1:$I$89,5,0)</f>
        <v>225.02687999999989</v>
      </c>
      <c r="EL80" s="13">
        <f t="shared" si="99"/>
        <v>55.206012520789535</v>
      </c>
      <c r="EM80" s="20">
        <f t="shared" si="73"/>
        <v>488.07228780704162</v>
      </c>
      <c r="EN80" s="59">
        <f t="shared" si="74"/>
        <v>781.40562114037493</v>
      </c>
      <c r="EO80" s="59">
        <f ca="1">AVERAGE(OFFSET($EN$3,0,0,'Données projet'!$E$15+1,1))-AVERAGE(OFFSET($H$3,0,0,'Données projet'!$E$15+1,1))</f>
        <v>205.5272583787887</v>
      </c>
      <c r="EP80" s="59">
        <f t="shared" si="100"/>
        <v>180.54762778843178</v>
      </c>
      <c r="EQ80" s="15">
        <f>IF(ISNA(VLOOKUP(A80,'Données projet'!$A$191:$I$211,3,0)),0,VLOOKUP(A80,'Données projet'!$A$191:$I$211,3,0))</f>
        <v>0</v>
      </c>
      <c r="ER80" s="15">
        <f>IF(ISNA(VLOOKUP(A80,'Données projet'!$A$191:$I$211,4,0)),0,VLOOKUP(A80,'Données projet'!$A$191:$I$211,4,0))</f>
        <v>0</v>
      </c>
      <c r="ES80" s="16">
        <f>IF(ISNA(VLOOKUP(A80,'Données projet'!$A$191:$I$211,5,0)),0%,VLOOKUP(A80,'Données projet'!$A$191:$I$211,5,0)*VLOOKUP('Données projet'!$B$15,Paramètres!$A$1:$I$89,7,0))</f>
        <v>0</v>
      </c>
      <c r="ET80" s="16">
        <f>IF(ISNA(VLOOKUP(A80,'Données projet'!$A$191:$I$211,6,0)),0%,VLOOKUP(A80,'Données projet'!$A$191:$I$211,6,0)*VLOOKUP('Données projet'!$B$15,Paramètres!$A$1:$I$89,7,0))</f>
        <v>0</v>
      </c>
      <c r="EU80" s="16">
        <f>IF(ISNA(VLOOKUP(A80,'Données projet'!$A$191:$I$211,7,0)),0%,VLOOKUP(A80,'Données projet'!$A$191:$I$211,7,0))</f>
        <v>0</v>
      </c>
      <c r="EV80" s="21">
        <f>EXP(-LN(2)/35)*EV79+(1-EXP(-LN(2)/35))/(LN(2)/35)*ER80*ES80*VLOOKUP('Données projet'!$B$15,Paramètres!$A$1:$I$89,3,0)*0.475*44/12</f>
        <v>0.39525427514267658</v>
      </c>
      <c r="EW80" s="21">
        <f>EXP(-LN(2)/25)*EW79+(1-EXP(-LN(2)/25))/(LN(2)/25)*Calculateur!ER80*Calculateur!ET80*VLOOKUP('Données projet'!$B$15,Paramètres!$A$1:$I$89,3,0)*0.475*44/12</f>
        <v>1.5767710397713708</v>
      </c>
      <c r="EX80" s="21">
        <f>EXP(-LN(2)/2)*EX79+(1-EXP(-LN(2)/2))/(LN(2)/2)*ER80*EU80*VLOOKUP('Données projet'!$B$15,Paramètres!$A$1:$I$89,3,0)*0.475*44/12</f>
        <v>7.6392718316495557E-7</v>
      </c>
      <c r="EY80" s="22">
        <f t="shared" si="75"/>
        <v>1.9720260788412305</v>
      </c>
      <c r="EZ80" s="75">
        <f>('Scénario référence'!$F$8+'Scénario référence'!$F$9+'Scénario référence'!$B$17+'Scénario référence'!$B$9+'Scénario référence'!$B$10)*70+IF((45+25*(1-EXP(-0.0175*A80)))&lt;70,'Scénario référence'!$B$16*(45+25*(1-EXP(-0.0175*A80))),70*'Scénario référence'!$B$16)+IF((32+38*(1-EXP(-0.0175*A80)))&lt;70,'Scénario référence'!$B$18*(32+38*(1-EXP(-0.0175*A80))),70*'Scénario référence'!$B$18)</f>
        <v>70</v>
      </c>
      <c r="FA80" s="12">
        <f>IF(A80&gt;30,10,('Scénario référence'!$B$16+'Scénario référence'!$B$17+'Scénario référence'!$B$18+'Scénario référence'!$B$9+'Scénario référence'!$B$10)*A80*10/30+('Scénario référence'!$F$8+'Scénario référence'!$F$9)*10)</f>
        <v>10</v>
      </c>
      <c r="FB80" s="12" t="e">
        <f>VLOOKUP(A80,'Données projet'!$A$217:$I$237,2,0)</f>
        <v>#N/A</v>
      </c>
      <c r="FC80" s="12" t="e">
        <f>VLOOKUP(A80,'Données projet'!$A$217:$I$237,9,0)</f>
        <v>#N/A</v>
      </c>
      <c r="FD80" s="12">
        <f t="array" ref="FD80">INDEX(FC:FC,MIN(IF(ISNUMBER(FC80:FC276),ROW(FC80:FC276),"")))</f>
        <v>12.1</v>
      </c>
      <c r="FE80" s="12">
        <f>IF('Données projet'!$A$218&gt;35,FE79+FD80-FM79,IF(A80&lt;'Données projet'!$A$218,$FB$205^A80,IF(A80='Données projet'!$A$218,'Données projet'!$B$218,FE79+FD80-FM79)))</f>
        <v>364.7000000000001</v>
      </c>
      <c r="FF80" s="17">
        <f>FE80*VLOOKUP('Données projet'!$B$16,Paramètres!$A$1:$I$89,3,0)*VLOOKUP('Données projet'!$B$16,Paramètres!$A$1:$I$89,5,0)</f>
        <v>312.91260000000011</v>
      </c>
      <c r="FG80" s="13">
        <f t="shared" si="101"/>
        <v>73.876765522909437</v>
      </c>
      <c r="FH80" s="20">
        <f t="shared" si="76"/>
        <v>673.65814495240068</v>
      </c>
      <c r="FI80" s="59">
        <f t="shared" si="77"/>
        <v>966.99147828573405</v>
      </c>
      <c r="FJ80" s="59">
        <f ca="1">AVERAGE(OFFSET($FI$3,0,0,'Données projet'!$E$16+1,1))-AVERAGE(OFFSET($H$3,0,0,'Données projet'!$E$16+1,1))</f>
        <v>383.97627237444709</v>
      </c>
      <c r="FK80" s="59">
        <f t="shared" si="102"/>
        <v>203.35476578922339</v>
      </c>
      <c r="FL80" s="15">
        <f>IF(ISNA(VLOOKUP(A80,'Données projet'!$A$217:$I$237,3,0)),0,VLOOKUP(A80,'Données projet'!$A$217:$I$237,3,0))</f>
        <v>0</v>
      </c>
      <c r="FM80" s="15">
        <f>IF(ISNA(VLOOKUP(A80,'Données projet'!$A$217:$I$237,4,0)),0,VLOOKUP(A80,'Données projet'!$A$217:$I$237,4,0))</f>
        <v>0</v>
      </c>
      <c r="FN80" s="16">
        <f>IF(ISNA(VLOOKUP(A80,'Données projet'!$A$217:$I$237,5,0)),0%,VLOOKUP(A80,'Données projet'!$A$217:$I$237,5,0)*VLOOKUP('Données projet'!$B$16,Paramètres!$A$1:$I$89,7,0))</f>
        <v>0</v>
      </c>
      <c r="FO80" s="16">
        <f>IF(ISNA(VLOOKUP(A80,'Données projet'!$A$217:$I$237,6,0)),0%,VLOOKUP(A80,'Données projet'!$A$217:$I$237,6,0)*VLOOKUP('Données projet'!$B$16,Paramètres!$A$1:$I$89,7,0))</f>
        <v>0</v>
      </c>
      <c r="FP80" s="16">
        <f>IF(ISNA(VLOOKUP(A80,'Données projet'!$A$217:$I$237,7,0)),0%,VLOOKUP(A80,'Données projet'!$A$217:$I$237,7,0))</f>
        <v>0</v>
      </c>
      <c r="FQ80" s="21">
        <f>EXP(-LN(2)/35)*FQ79+(1-EXP(-LN(2)/35))/(LN(2)/35)*FM80*FN80*VLOOKUP('Données projet'!$B$16,Paramètres!$A$1:$I$89,3,0)*0.475*44/12</f>
        <v>2.0313925404945761</v>
      </c>
      <c r="FR80" s="21">
        <f>EXP(-LN(2)/25)*FR79+(1-EXP(-LN(2)/25))/(LN(2)/25)*Calculateur!FM80*Calculateur!FO80*VLOOKUP('Données projet'!$B$16,Paramètres!$A$1:$I$89,3,0)*0.475*44/12</f>
        <v>1.6005855801435505</v>
      </c>
      <c r="FS80" s="21">
        <f>EXP(-LN(2)/2)*FS79+(1-EXP(-LN(2)/2))/(LN(2)/2)*FM80*FP80*VLOOKUP('Données projet'!$B$16,Paramètres!$A$1:$I$89,3,0)*0.475*44/12</f>
        <v>1.4031774549170535E-6</v>
      </c>
      <c r="FT80" s="22">
        <f t="shared" si="78"/>
        <v>3.6319795238155814</v>
      </c>
      <c r="FU80" s="75">
        <f>('Scénario référence'!$F$8+'Scénario référence'!$F$9+'Scénario référence'!$B$17+'Scénario référence'!$B$9+'Scénario référence'!$B$10)*70+IF((45+25*(1-EXP(-0.0175*A80)))&lt;70,'Scénario référence'!$B$16*(45+25*(1-EXP(-0.0175*A80))),70*'Scénario référence'!$B$16)+IF((32+38*(1-EXP(-0.0175*A80)))&lt;70,'Scénario référence'!$B$18*(32+38*(1-EXP(-0.0175*A80))),70*'Scénario référence'!$B$18)</f>
        <v>70</v>
      </c>
      <c r="FV80" s="12">
        <f>IF(A80&gt;30,10,('Scénario référence'!$B$16+'Scénario référence'!$B$17+'Scénario référence'!$B$18+'Scénario référence'!$B$9+'Scénario référence'!$B$10)*A80*10/30+('Scénario référence'!$F$8+'Scénario référence'!$F$9)*10)</f>
        <v>10</v>
      </c>
      <c r="FW80" s="12" t="e">
        <f>VLOOKUP(A80,'Données projet'!$A$243:$I$263,2,0)</f>
        <v>#N/A</v>
      </c>
      <c r="FX80" s="12" t="e">
        <f>VLOOKUP(A80,'Données projet'!$A$243:$I$263,9,0)</f>
        <v>#N/A</v>
      </c>
      <c r="FY80" s="12">
        <f t="array" ref="FY80">INDEX(FX:FX,MIN(IF(ISNUMBER(FX80:FX276),ROW(FX80:FX276),"")))</f>
        <v>7.8425925925925934</v>
      </c>
      <c r="FZ80" s="12">
        <f>IF('Données projet'!$A$244&gt;35,FZ79+FY80-GH79,IF(A80&lt;'Données projet'!$A$244,$FW$205^A80,IF(A80='Données projet'!$A$244,'Données projet'!$B$244,FZ79+FY80-GH79)))</f>
        <v>250.48504273504267</v>
      </c>
      <c r="GA80" s="17">
        <f>FZ80*VLOOKUP('Données projet'!$B$17,Paramètres!$A$1:$I$89,3,0)*VLOOKUP('Données projet'!$B$17,Paramètres!$A$1:$I$89,5,0)</f>
        <v>269.62209999999988</v>
      </c>
      <c r="GB80" s="13">
        <f t="shared" si="103"/>
        <v>64.769062833916962</v>
      </c>
      <c r="GC80" s="20">
        <f t="shared" si="79"/>
        <v>582.39794193573846</v>
      </c>
      <c r="GD80" s="59">
        <f t="shared" si="80"/>
        <v>875.73127526907183</v>
      </c>
      <c r="GE80" s="59">
        <f ca="1">AVERAGE(OFFSET($GD$3,0,0,'Données projet'!$E$17+1,1))-AVERAGE(OFFSET($H$3,0,0,'Données projet'!$E$17+1,1))</f>
        <v>286.77702855541287</v>
      </c>
      <c r="GF80" s="59">
        <f t="shared" si="104"/>
        <v>227.12211541860779</v>
      </c>
      <c r="GG80" s="15">
        <f>IF(ISNA(VLOOKUP(A80,'Données projet'!$A$243:$I$263,3,0)),0,VLOOKUP(A80,'Données projet'!$A$243:$I$263,3,0))</f>
        <v>0</v>
      </c>
      <c r="GH80" s="15">
        <f>IF(ISNA(VLOOKUP(A80,'Données projet'!$A$243:$I$263,4,0)),0,VLOOKUP(A80,'Données projet'!$A$243:$I$263,4,0))</f>
        <v>0</v>
      </c>
      <c r="GI80" s="16">
        <f>IF(ISNA(VLOOKUP(A80,'Données projet'!$A$243:$I$263,5,0)),0%,VLOOKUP(A80,'Données projet'!$A$243:$I$263,5,0)*VLOOKUP('Données projet'!$B$17,Paramètres!$A$1:$I$89,7,0))</f>
        <v>0</v>
      </c>
      <c r="GJ80" s="16">
        <f>IF(ISNA(VLOOKUP(A80,'Données projet'!$A$243:$I$263,6,0)),0%,VLOOKUP(A80,'Données projet'!$A$243:$I$263,6,0)*VLOOKUP('Données projet'!$B$17,Paramètres!$A$1:$I$89,7,0))</f>
        <v>0</v>
      </c>
      <c r="GK80" s="16">
        <f>IF(ISNA(VLOOKUP(A80,'Données projet'!$A$243:$I$263,7,0)),0%,VLOOKUP(A80,'Données projet'!$A$243:$I$263,7,0))</f>
        <v>0</v>
      </c>
      <c r="GL80" s="21">
        <f>EXP(-LN(2)/35)*GL79+(1-EXP(-LN(2)/35))/(LN(2)/35)*GH80*GI80*VLOOKUP('Données projet'!$B$17,Paramètres!$A$1:$I$89,3,0)*0.475*44/12</f>
        <v>0</v>
      </c>
      <c r="GM80" s="21">
        <f>EXP(-LN(2)/25)*GM79+(1-EXP(-LN(2)/25))/(LN(2)/25)*Calculateur!GH80*Calculateur!GJ80*VLOOKUP('Données projet'!$B$17,Paramètres!$A$1:$I$89,3,0)*0.475*44/12</f>
        <v>0</v>
      </c>
      <c r="GN80" s="21">
        <f>EXP(-LN(2)/2)*GN79+(1-EXP(-LN(2)/2))/(LN(2)/2)*GH80*GK80*VLOOKUP('Données projet'!$B$17,Paramètres!$A$1:$I$89,3,0)*0.475*44/12</f>
        <v>0</v>
      </c>
      <c r="GO80" s="21">
        <f t="shared" si="81"/>
        <v>0</v>
      </c>
      <c r="GP80" s="75">
        <f>('Scénario référence'!$F$8+'Scénario référence'!$F$9+'Scénario référence'!$B$17+'Scénario référence'!$B$9+'Scénario référence'!$B$10)*70+IF((45+25*(1-EXP(-0.0175*A80)))&lt;70,'Scénario référence'!$B$16*(45+25*(1-EXP(-0.0175*A80))),70*'Scénario référence'!$B$16)+IF((32+38*(1-EXP(-0.0175*A80)))&lt;70,'Scénario référence'!$B$18*(32+38*(1-EXP(-0.0175*A80))),70*'Scénario référence'!$B$18)</f>
        <v>70</v>
      </c>
      <c r="GQ80" s="12">
        <f>IF(A80&gt;30,10,('Scénario référence'!$B$16+'Scénario référence'!$B$17+'Scénario référence'!$B$18+'Scénario référence'!$B$9+'Scénario référence'!$B$10)*A80*10/30+('Scénario référence'!$F$8+'Scénario référence'!$F$9)*10)</f>
        <v>10</v>
      </c>
      <c r="GR80" s="12" t="e">
        <f>VLOOKUP(A80,'Données projet'!$A$269:$I$289,2,0)</f>
        <v>#N/A</v>
      </c>
      <c r="GS80" s="12" t="e">
        <f>VLOOKUP(A80,'Données projet'!$A$269:$I$289,9,0)</f>
        <v>#N/A</v>
      </c>
      <c r="GT80" s="12">
        <f t="array" ref="GT80">INDEX(GS:GS,MIN(IF(ISNUMBER(GS80:GS276),ROW(GS80:GS276),"")))</f>
        <v>7.8425925925925934</v>
      </c>
      <c r="GU80" s="12">
        <f>IF('Données projet'!$A$270&gt;35,GU79+GT80-HC79,IF(A80&lt;'Données projet'!$A$270,$GR$205^A80,IF(A80='Données projet'!$A$270,'Données projet'!$B$270,GU79+GT80-HC79)))</f>
        <v>250.48504273504267</v>
      </c>
      <c r="GV80" s="17">
        <f>GU80*VLOOKUP('Données projet'!$B$18,Paramètres!$A$1:$I$89,3,0)*VLOOKUP('Données projet'!$B$18,Paramètres!$A$1:$I$89,5,0)</f>
        <v>269.62209999999988</v>
      </c>
      <c r="GW80" s="13">
        <f t="shared" si="105"/>
        <v>64.769062833916962</v>
      </c>
      <c r="GX80" s="20">
        <f t="shared" si="82"/>
        <v>582.39794193573846</v>
      </c>
      <c r="GY80" s="59">
        <f t="shared" si="83"/>
        <v>875.73127526907183</v>
      </c>
      <c r="GZ80" s="59">
        <f ca="1">AVERAGE(OFFSET($GY$3,0,0,'Données projet'!$E$18+1,1))-AVERAGE(OFFSET($H$3,0,0,'Données projet'!$E$18+1,1))</f>
        <v>286.77702855541287</v>
      </c>
      <c r="HA80" s="59">
        <f t="shared" si="106"/>
        <v>227.12211541860779</v>
      </c>
      <c r="HB80" s="15">
        <f>IF(ISNA(VLOOKUP(A80,'Données projet'!$A$269:$I$289,3,0)),0,VLOOKUP(A80,'Données projet'!$A$269:$I$289,3,0))</f>
        <v>0</v>
      </c>
      <c r="HC80" s="15">
        <f>IF(ISNA(VLOOKUP(A80,'Données projet'!$A$269:$I$289,4,0)),0,VLOOKUP(A80,'Données projet'!$A$269:$I$289,4,0))</f>
        <v>0</v>
      </c>
      <c r="HD80" s="16">
        <f>IF(ISNA(VLOOKUP(A80,'Données projet'!$A$269:$I$289,5,0)),0%,VLOOKUP(A80,'Données projet'!$A$269:$I$289,5,0)*VLOOKUP('Données projet'!$B$18,Paramètres!$A$1:$I$89,7,0))</f>
        <v>0</v>
      </c>
      <c r="HE80" s="16">
        <f>IF(ISNA(VLOOKUP(A80,'Données projet'!$A$269:$I$289,6,0)),0%,VLOOKUP(A80,'Données projet'!$A$269:$I$289,6,0)*VLOOKUP('Données projet'!$B$18,Paramètres!$A$1:$I$89,7,0))</f>
        <v>0</v>
      </c>
      <c r="HF80" s="16">
        <f>IF(ISNA(VLOOKUP(A80,'Données projet'!$A$269:$I$289,7,0)),0%,VLOOKUP(A80,'Données projet'!$A$269:$I$289,7,0))</f>
        <v>0</v>
      </c>
      <c r="HG80" s="21">
        <f>EXP(-LN(2)/35)*HG79+(1-EXP(-LN(2)/35))/(LN(2)/35)*HC80*HD80*VLOOKUP('Données projet'!$B$18,Paramètres!$A$1:$I$89,3,0)*0.475*44/12</f>
        <v>0</v>
      </c>
      <c r="HH80" s="21">
        <f>EXP(-LN(2)/25)*HH79+(1-EXP(-LN(2)/25))/(LN(2)/25)*Calculateur!HC80*Calculateur!HE80*VLOOKUP('Données projet'!$B$18,Paramètres!$A$1:$I$89,3,0)*0.475*44/12</f>
        <v>0</v>
      </c>
      <c r="HI80" s="21">
        <f>EXP(-LN(2)/2)*HI79+(1-EXP(-LN(2)/2))/(LN(2)/2)*HC80*HF80*VLOOKUP('Données projet'!$B$18,Paramètres!$A$1:$I$89,3,0)*0.475*44/12</f>
        <v>0</v>
      </c>
      <c r="HJ80" s="22">
        <f t="shared" si="84"/>
        <v>0</v>
      </c>
    </row>
    <row r="81" spans="1:218" x14ac:dyDescent="0.25">
      <c r="A81" s="10">
        <f t="shared" si="85"/>
        <v>78</v>
      </c>
      <c r="B81" s="73">
        <f>'Scénario référence'!$B$16*5+'Scénario référence'!$B$17*0+'Scénario référence'!$B$18*5</f>
        <v>0</v>
      </c>
      <c r="C81" s="19">
        <f>Calculateur!C80+'Scénario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69.35760000000009</v>
      </c>
      <c r="D81" s="11">
        <f t="shared" si="86"/>
        <v>19.51384151112245</v>
      </c>
      <c r="E8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81" s="11">
        <f>IF(OR('Scénario référence'!$F$8&gt;0,'Scénario référence'!$F$9&gt;0),('Scénario référence'!$F$8+'Scénario référence'!$F$9)*10,0)</f>
        <v>10</v>
      </c>
      <c r="G81" s="11">
        <f>'Scénario référence'!$B$8*B81*44/12+'Scénario référence'!$B$9*(C81+D81)/0.475*44/12+'Scénario référence'!$B$10*(C81+D81)/0.475*44/12+'Scénario référence'!$F$8*(C81+D81)/0.475*44/12+'Scénario référence'!$F$9*(C81+D81)/0.475*44/12</f>
        <v>686.02516254199861</v>
      </c>
      <c r="H81" s="67">
        <f t="shared" si="56"/>
        <v>448.11776063187176</v>
      </c>
      <c r="I81" s="70">
        <f>('Scénario référence'!$F$8+'Scénario référence'!$F$9+'Scénario référence'!$B$17+'Scénario référence'!$B$9+'Scénario référence'!$B$10)*70+IF((45+25*(1-EXP(-0.0175*A81)))&lt;70,'Scénario référence'!$B$16*(45+25*(1-EXP(-0.0175*A81))),70*'Scénario référence'!$B$16)+IF((32+38*(1-EXP(-0.0175*A81)))&lt;70,'Scénario référence'!$B$18*(32+38*(1-EXP(-0.0175*A81))),70*'Scénario référence'!$B$18)</f>
        <v>70</v>
      </c>
      <c r="J81" s="13">
        <f>IF(A81&gt;30,10,('Scénario référence'!$B$16+'Scénario référence'!$B$17+'Scénario référence'!$B$18+'Scénario référence'!$B$9+'Scénario référence'!$B$10)*A81*10/30+('Scénario référence'!$F$8+'Scénario référence'!$F$9)*10)</f>
        <v>10</v>
      </c>
      <c r="K81" s="12" t="e">
        <f>VLOOKUP(A81,'Données projet'!$A$35:$I$55,2,0)</f>
        <v>#N/A</v>
      </c>
      <c r="L81" s="12" t="e">
        <f>VLOOKUP(A81,'Données projet'!$A$35:$I$55,9,0)</f>
        <v>#N/A</v>
      </c>
      <c r="M81" s="12">
        <f t="array" ref="M81">INDEX(L:L,MIN(IF(ISNUMBER(L81:L277),ROW(L81:L277),"")))</f>
        <v>0</v>
      </c>
      <c r="N81" s="13">
        <f>IF('Données projet'!$A$36&gt;35,N80+M81-V80,IF(A81&lt;'Données projet'!$A$36,$K$205^A81,IF(A81='Données projet'!$A$36,'Données projet'!$B$36,N80+M81-V80)))</f>
        <v>-2.2737367544323206E-13</v>
      </c>
      <c r="O81" s="13">
        <f>N81*VLOOKUP('Données projet'!$B$9,Paramètres!$A$1:$I$89,3,0)*VLOOKUP('Données projet'!$B$9,Paramètres!$A$1:$I$89,5,0)</f>
        <v>-1.2710188457276673E-13</v>
      </c>
      <c r="P81" s="13" t="e">
        <f t="shared" si="87"/>
        <v>#NUM!</v>
      </c>
      <c r="Q81" s="20" t="e">
        <f t="shared" si="54"/>
        <v>#NUM!</v>
      </c>
      <c r="R81" s="59" t="e">
        <f t="shared" si="55"/>
        <v>#NUM!</v>
      </c>
      <c r="S81" s="59">
        <f ca="1">AVERAGE(OFFSET($R$3,0,0,'Données projet'!$E$9+1,1))-AVERAGE(OFFSET($H$3,0,0,'Données projet'!$E$9+1,1))</f>
        <v>255.5374979188561</v>
      </c>
      <c r="T81" s="59">
        <f t="shared" si="88"/>
        <v>343.10418468620901</v>
      </c>
      <c r="U81" s="15">
        <f>IF(ISNA(VLOOKUP(A81,'Données projet'!$A$35:$I$55,3,0)),0,VLOOKUP(A81,'Données projet'!$A$35:$I$55,3,0))</f>
        <v>0</v>
      </c>
      <c r="V81" s="15">
        <f>IF(ISNA(VLOOKUP(A81,'Données projet'!$A$35:$I$55,4,0)),0,VLOOKUP(A81,'Données projet'!$A$35:$I$55,4,0))</f>
        <v>0</v>
      </c>
      <c r="W81" s="16">
        <f>IF(ISNA(VLOOKUP(A81,'Données projet'!$A$35:$I$55,5,0)),0%,VLOOKUP(A81,'Données projet'!$A$35:$I$55,5,0)*VLOOKUP('Données projet'!$B$9,Paramètres!$A$1:$I$89,7,0))</f>
        <v>0</v>
      </c>
      <c r="X81" s="16">
        <f>IF(ISNA(VLOOKUP(A81,'Données projet'!$A$35:$I$55,6,0)),0%,VLOOKUP(A81,'Données projet'!$A$35:$I$55,6,0)*VLOOKUP('Données projet'!$B$9,Paramètres!$A$1:$I$89,7,0))</f>
        <v>0</v>
      </c>
      <c r="Y81" s="16">
        <f>IF(ISNA(VLOOKUP(A81,'Données projet'!$A$35:$I$55,7,0)),0%,VLOOKUP(A81,'Données projet'!$A$35:$I$55,7,0))</f>
        <v>0</v>
      </c>
      <c r="Z81" s="21">
        <f>EXP(-LN(2)/35)*Z80+(1-EXP(-LN(2)/35))/(LN(2)/35)*V81*W81*VLOOKUP('Données projet'!$B$9,Paramètres!$A$1:$I$89,3,0)*0.475*44/12</f>
        <v>1.1943265405724504</v>
      </c>
      <c r="AA81" s="21">
        <f>EXP(-LN(2)/25)*AA80+(1-EXP(-LN(2)/25))/(LN(2)/25)*Calculateur!V81*Calculateur!X81*VLOOKUP('Données projet'!$B$9,Paramètres!$A$1:$I$89,3,0)*0.475*44/12</f>
        <v>4.217570458181946</v>
      </c>
      <c r="AB81" s="21">
        <f>EXP(-LN(2)/2)*AB80+(1-EXP(-LN(2)/2))/(LN(2)/2)*V81*Y81*VLOOKUP('Données projet'!$B$9,Paramètres!$A$1:$I$89,3,0)*0.475*44/12</f>
        <v>1.0088992592418587E-7</v>
      </c>
      <c r="AC81" s="22">
        <f t="shared" si="57"/>
        <v>5.4118970996443219</v>
      </c>
      <c r="AD81" s="13">
        <f>('Scénario référence'!$F$8+'Scénario référence'!$F$9+'Scénario référence'!$B$17+'Scénario référence'!$B$9+'Scénario référence'!$B$10)*70+IF((45+25*(1-EXP(-0.0175*A81)))&lt;70,'Scénario référence'!$B$16*(45+25*(1-EXP(-0.0175*A81))),70*'Scénario référence'!$B$16)+IF((32+38*(1-EXP(-0.0175*A81)))&lt;70,'Scénario référence'!$B$18*(32+38*(1-EXP(-0.0175*A81))),70*'Scénario référence'!$B$18)</f>
        <v>70</v>
      </c>
      <c r="AE81" s="13">
        <f>IF(A81&gt;30,10,('Scénario référence'!$B$16+'Scénario référence'!$B$17+'Scénario référence'!$B$18+'Scénario référence'!$B$9+'Scénario référence'!$B$10)*A81*10/30+('Scénario référence'!$F$8+'Scénario référence'!$F$9)*10)</f>
        <v>10</v>
      </c>
      <c r="AF81" s="12" t="e">
        <f>VLOOKUP(A81,'Données projet'!$A$61:$I$81,2,0)</f>
        <v>#N/A</v>
      </c>
      <c r="AG81" s="12" t="e">
        <f>VLOOKUP(A81,'Données projet'!$A$61:$I$81,9,0)</f>
        <v>#N/A</v>
      </c>
      <c r="AH81" s="12">
        <f t="array" ref="AH81">INDEX(AG:AG,MIN(IF(ISNUMBER(AG81:AG277),ROW(AG81:AG277),"")))</f>
        <v>6</v>
      </c>
      <c r="AI81" s="13">
        <f>IF('Données projet'!$A$62&gt;35,AI80+AH81-AQ80,IF(A81&lt;'Données projet'!$A$62,$AF$205^A81,IF(A81='Données projet'!$A$62,'Données projet'!$B$62,AI80+AH81-AQ80)))</f>
        <v>430</v>
      </c>
      <c r="AJ81" s="13">
        <f>AI81*VLOOKUP('Données projet'!$B$10,Paramètres!$A$1:$I$89,3,0)*VLOOKUP('Données projet'!$B$10,Paramètres!$A$1:$I$89,5,0)</f>
        <v>268.32</v>
      </c>
      <c r="AK81" s="13">
        <f t="shared" si="89"/>
        <v>64.492601473092478</v>
      </c>
      <c r="AL81" s="20">
        <f t="shared" si="58"/>
        <v>579.64861423230275</v>
      </c>
      <c r="AM81" s="59">
        <f t="shared" si="59"/>
        <v>872.98194756563612</v>
      </c>
      <c r="AN81" s="59">
        <f ca="1">AVERAGE(OFFSET($AM$3,0,0,'Données projet'!$E$10+1,1))-AVERAGE(OFFSET($H$3,0,0,'Données projet'!$E$10+1,1))</f>
        <v>261.78489480911571</v>
      </c>
      <c r="AO81" s="59">
        <f t="shared" si="90"/>
        <v>297.50513563712764</v>
      </c>
      <c r="AP81" s="15">
        <f>IF(ISNA(VLOOKUP(A81,'Données projet'!$A$61:$I$81,3,0)),0,VLOOKUP(A81,'Données projet'!$A$61:$I$81,3,0))</f>
        <v>0</v>
      </c>
      <c r="AQ81" s="15">
        <f>IF(ISNA(VLOOKUP(A81,'Données projet'!$A$61:$I$81,4,0)),0,VLOOKUP(A81,'Données projet'!$A$61:$I$81,4,0))</f>
        <v>0</v>
      </c>
      <c r="AR81" s="16">
        <f>IF(ISNA(VLOOKUP(A81,'Données projet'!$A$61:$I$81,5,0)),0%,VLOOKUP(A81,'Données projet'!$A$61:$I$81,5,0)*VLOOKUP('Données projet'!$B$10,Paramètres!$A$1:$I$89,7,0))</f>
        <v>0</v>
      </c>
      <c r="AS81" s="16">
        <f>IF(ISNA(VLOOKUP(A81,'Données projet'!$A$61:$I$81,6,0)),0%,VLOOKUP(A81,'Données projet'!$A$61:$I$81,6,0)*VLOOKUP('Données projet'!$B$10,Paramètres!$A$1:$I$89,7,0))</f>
        <v>0</v>
      </c>
      <c r="AT81" s="16">
        <f>IF(ISNA(VLOOKUP(A81,'Données projet'!$A$61:$I$81,7,0)),0%,VLOOKUP(A81,'Données projet'!$A$61:$I$81,7,0))</f>
        <v>0</v>
      </c>
      <c r="AU81" s="21">
        <f>EXP(-LN(2)/35)*AU80+(1-EXP(-LN(2)/35))/(LN(2)/35)*AQ81*AR81*VLOOKUP('Données projet'!$B$10,Paramètres!$A$1:$I$89,3,0)*0.475*44/12</f>
        <v>3.2250194731873352</v>
      </c>
      <c r="AV81" s="21">
        <f>EXP(-LN(2)/25)*AV80+(1-EXP(-LN(2)/25))/(LN(2)/25)*Calculateur!AQ81*Calculateur!AS81*VLOOKUP('Données projet'!$B$10,Paramètres!$A$1:$I$89,3,0)*0.475*44/12</f>
        <v>7.3647382393451224</v>
      </c>
      <c r="AW81" s="21">
        <f>EXP(-LN(2)/2)*AW80+(1-EXP(-LN(2)/2))/(LN(2)/2)*AQ81*AT81*VLOOKUP('Données projet'!$B$10,Paramètres!$A$1:$I$89,3,0)*0.475*44/12</f>
        <v>1.4544243298120427E-6</v>
      </c>
      <c r="AX81" s="21">
        <f t="shared" si="60"/>
        <v>10.589759166956787</v>
      </c>
      <c r="AY81" s="74">
        <f>('Scénario référence'!$F$8+'Scénario référence'!$F$9+'Scénario référence'!$B$17+'Scénario référence'!$B$9+'Scénario référence'!$B$10)*70+IF((45+25*(1-EXP(-0.0175*A81)))&lt;70,'Scénario référence'!$B$16*(45+25*(1-EXP(-0.0175*A81))),70*'Scénario référence'!$B$16)+IF((32+38*(1-EXP(-0.0175*A81)))&lt;70,'Scénario référence'!$B$18*(32+38*(1-EXP(-0.0175*A81))),70*'Scénario référence'!$B$18)</f>
        <v>70</v>
      </c>
      <c r="AZ81" s="12">
        <f>IF(A81&gt;30,10,('Scénario référence'!$B$16+'Scénario référence'!$B$17+'Scénario référence'!$B$18+'Scénario référence'!$B$9+'Scénario référence'!$B$10)*A81*10/30+('Scénario référence'!$F$8+'Scénario référence'!$F$9)*10)</f>
        <v>10</v>
      </c>
      <c r="BA81" s="12" t="e">
        <f>VLOOKUP(A81,'Données projet'!$A$87:$I$107,2,0)</f>
        <v>#N/A</v>
      </c>
      <c r="BB81" s="12" t="e">
        <f>VLOOKUP(A81,'Données projet'!$A$87:$I$107,9,0)</f>
        <v>#N/A</v>
      </c>
      <c r="BC81" s="12">
        <f t="array" ref="BC81">INDEX(BB:BB,MIN(IF(ISNUMBER(BB81:BB277),ROW(BB81:BB277),"")))</f>
        <v>14.5</v>
      </c>
      <c r="BD81" s="12">
        <f>IF('Données projet'!$A$88&gt;35,BD80+BC81-BL80,IF(A81&lt;'Données projet'!$A$88,$BA$205^A81,IF(A81='Données projet'!$A$88,'Données projet'!$B$88,BD80+BC81-BL80)))</f>
        <v>576.99999999999955</v>
      </c>
      <c r="BE81" s="13">
        <f>BD81*VLOOKUP('Données projet'!$B$11,Paramètres!$A$1:$I$89,3,0)*VLOOKUP('Données projet'!$B$11,Paramètres!$A$1:$I$89,5,0)</f>
        <v>345.04599999999976</v>
      </c>
      <c r="BF81" s="13">
        <f t="shared" si="91"/>
        <v>80.541586407606928</v>
      </c>
      <c r="BG81" s="20">
        <f t="shared" si="61"/>
        <v>741.23171299324815</v>
      </c>
      <c r="BH81" s="59">
        <f t="shared" si="62"/>
        <v>1034.5650463265815</v>
      </c>
      <c r="BI81" s="59">
        <f ca="1">AVERAGE(OFFSET($BH$3,0,0,'Données projet'!$E$11+1,1))-AVERAGE(OFFSET($H$3,0,0,'Données projet'!$E$11+1,1))</f>
        <v>316.58509520829671</v>
      </c>
      <c r="BJ81" s="59">
        <f t="shared" si="92"/>
        <v>240.71332110643596</v>
      </c>
      <c r="BK81" s="15">
        <f>IF(ISNA(VLOOKUP(A81,'Données projet'!$A$87:$I$107,3,0)),0,VLOOKUP(A81,'Données projet'!$A$87:$I$107,3,0))</f>
        <v>0</v>
      </c>
      <c r="BL81" s="15">
        <f>IF(ISNA(VLOOKUP(A81,'Données projet'!$A$87:$I$107,4,0)),0,VLOOKUP(A81,'Données projet'!$A$87:$I$107,4,0))</f>
        <v>0</v>
      </c>
      <c r="BM81" s="16">
        <f>IF(ISNA(VLOOKUP(A81,'Données projet'!$A$87:$I$107,5,0)),0%,VLOOKUP(A81,'Données projet'!$A$87:$I$107,5,0)*VLOOKUP('Données projet'!$B$11,Paramètres!$A$1:$I$89,7,0))</f>
        <v>0</v>
      </c>
      <c r="BN81" s="16">
        <f>IF(ISNA(VLOOKUP(A81,'Données projet'!$A$87:$I$107,6,0)),0%,VLOOKUP(A81,'Données projet'!$A$87:$I$107,6,0)*VLOOKUP('Données projet'!$B$11,Paramètres!$A$1:$I$89,7,0))</f>
        <v>0</v>
      </c>
      <c r="BO81" s="16">
        <f>IF(ISNA(VLOOKUP(A81,'Données projet'!$A$87:$I$107,7,0)),0%,VLOOKUP(A81,'Données projet'!$A$87:$I$107,7,0))</f>
        <v>0</v>
      </c>
      <c r="BP81" s="21">
        <f>EXP(-LN(2)/35)*BP80+(1-EXP(-LN(2)/35))/(LN(2)/35)*BL81*BM81*VLOOKUP('Données projet'!$B$11,Paramètres!$A$1:$I$89,3,0)*0.475*44/12</f>
        <v>0.97962366066125717</v>
      </c>
      <c r="BQ81" s="21">
        <f>EXP(-LN(2)/25)*BQ80+(1-EXP(-LN(2)/25))/(LN(2)/25)*Calculateur!BL81*Calculateur!BN81*VLOOKUP('Données projet'!$B$11,Paramètres!$A$1:$I$89,3,0)*0.475*44/12</f>
        <v>4.034618496409661</v>
      </c>
      <c r="BR81" s="21">
        <f>EXP(-LN(2)/2)*BR80+(1-EXP(-LN(2)/2))/(LN(2)/2)*BL81*BO81*VLOOKUP('Données projet'!$B$11,Paramètres!$A$1:$I$89,3,0)*0.475*44/12</f>
        <v>1.3076867503011744E-6</v>
      </c>
      <c r="BS81" s="22">
        <f t="shared" si="63"/>
        <v>5.0142434647576684</v>
      </c>
      <c r="BT81" s="75">
        <f>('Scénario référence'!$F$8+'Scénario référence'!$F$9+'Scénario référence'!$B$17+'Scénario référence'!$B$9+'Scénario référence'!$B$10)*70+IF((45+25*(1-EXP(-0.0175*A81)))&lt;70,'Scénario référence'!$B$16*(45+25*(1-EXP(-0.0175*A81))),70*'Scénario référence'!$B$16)+IF((32+38*(1-EXP(-0.0175*A81)))&lt;70,'Scénario référence'!$B$18*(32+38*(1-EXP(-0.0175*A81))),70*'Scénario référence'!$B$18)</f>
        <v>70</v>
      </c>
      <c r="BU81" s="12">
        <f>IF(A81&gt;30,10,('Scénario référence'!$B$16+'Scénario référence'!$B$17+'Scénario référence'!$B$18+'Scénario référence'!$B$9+'Scénario référence'!$B$10)*A81*10/30+('Scénario référence'!$F$8+'Scénario référence'!$F$9)*10)</f>
        <v>10</v>
      </c>
      <c r="BV81" s="12" t="e">
        <f>VLOOKUP(A81,'Données projet'!$A$113:$I$133,2,0)</f>
        <v>#N/A</v>
      </c>
      <c r="BW81" s="12" t="e">
        <f>VLOOKUP(A81,'Données projet'!$A$113:$I$133,9,0)</f>
        <v>#N/A</v>
      </c>
      <c r="BX81" s="12">
        <f t="array" ref="BX81">INDEX(BW:BW,MIN(IF(ISNUMBER(BW81:BW277),ROW(BW81:BW277),"")))</f>
        <v>5.4</v>
      </c>
      <c r="BY81" s="12">
        <f>IF('Données projet'!$A$114&gt;35,BY80+BX81-CG80,IF(A81&lt;'Données projet'!$A$114,$BV$205^A81,IF(A81='Données projet'!$A$114,'Données projet'!$B$114,BY80+BX81-CG80)))</f>
        <v>343.1999999999997</v>
      </c>
      <c r="BZ81" s="13">
        <f>BY81*VLOOKUP('Données projet'!$B$12,Paramètres!$A$1:$I$89,3,0)*VLOOKUP('Données projet'!$B$12,Paramètres!$A$1:$I$89,5,0)</f>
        <v>196.31039999999985</v>
      </c>
      <c r="CA81" s="13">
        <f t="shared" si="93"/>
        <v>48.932428681108931</v>
      </c>
      <c r="CB81" s="20">
        <f t="shared" si="64"/>
        <v>427.13125995293109</v>
      </c>
      <c r="CC81" s="59">
        <f t="shared" si="65"/>
        <v>720.4645932862644</v>
      </c>
      <c r="CD81" s="59">
        <f ca="1">AVERAGE(OFFSET($CC$3,0,0,'Données projet'!$E$12+1,1))-AVERAGE(OFFSET($H$3,0,0,'Données projet'!$E$12+1,1))</f>
        <v>188.64374818906128</v>
      </c>
      <c r="CE81" s="59">
        <f t="shared" si="94"/>
        <v>211.95157880548652</v>
      </c>
      <c r="CF81" s="15">
        <f>IF(ISNA(VLOOKUP(A81,'Données projet'!$A$113:$I$133,3,0)),0,VLOOKUP(A81,'Données projet'!$A$113:$I$133,3,0))</f>
        <v>0</v>
      </c>
      <c r="CG81" s="15">
        <f>IF(ISNA(VLOOKUP(A81,'Données projet'!$A$113:$I$133,4,0)),0,VLOOKUP(A81,'Données projet'!$A$113:$I$133,4,0))</f>
        <v>0</v>
      </c>
      <c r="CH81" s="16">
        <f>IF(ISNA(VLOOKUP(A81,'Données projet'!$A$113:$I$133,5,0)),0%,VLOOKUP(A81,'Données projet'!$A$113:$I$133,5,0)*VLOOKUP('Données projet'!$B$12,Paramètres!$A$1:$I$89,7,0))</f>
        <v>0</v>
      </c>
      <c r="CI81" s="16">
        <f>IF(ISNA(VLOOKUP(A81,'Données projet'!$A$113:$I$133,6,0)),0%,VLOOKUP(A81,'Données projet'!$A$113:$I$133,6,0)*VLOOKUP('Données projet'!$B$12,Paramètres!$A$1:$I$89,7,0))</f>
        <v>0</v>
      </c>
      <c r="CJ81" s="16">
        <f>IF(ISNA(VLOOKUP(A81,'Données projet'!$A$113:$I$133,7,0)),0%,VLOOKUP(A81,'Données projet'!$A$113:$I$133,7,0))</f>
        <v>0</v>
      </c>
      <c r="CK81" s="21">
        <f>EXP(-LN(2)/35)*CK80+(1-EXP(-LN(2)/35))/(LN(2)/35)*CG81*CH81*VLOOKUP('Données projet'!$B$12,Paramètres!$A$1:$I$89,3,0)*0.475*44/12</f>
        <v>0.95022895192126799</v>
      </c>
      <c r="CL81" s="21">
        <f>EXP(-LN(2)/25)*CL80+(1-EXP(-LN(2)/25))/(LN(2)/25)*Calculateur!CG81*Calculateur!CI81*VLOOKUP('Données projet'!$B$12,Paramètres!$A$1:$I$89,3,0)*0.475*44/12</f>
        <v>3.7974742796954541</v>
      </c>
      <c r="CM81" s="21">
        <f>EXP(-LN(2)/2)*CM80+(1-EXP(-LN(2)/2))/(LN(2)/2)*CG81*CJ81*VLOOKUP('Données projet'!$B$12,Paramètres!$A$1:$I$89,3,0)*0.475*44/12</f>
        <v>1.2663923027358208E-6</v>
      </c>
      <c r="CN81" s="22">
        <f t="shared" si="66"/>
        <v>4.7477044980090248</v>
      </c>
      <c r="CO81" s="75">
        <f>('Scénario référence'!$F$8+'Scénario référence'!$F$9+'Scénario référence'!$B$17+'Scénario référence'!$B$9+'Scénario référence'!$B$10)*70+IF((45+25*(1-EXP(-0.0175*A81)))&lt;70,'Scénario référence'!$B$16*(45+25*(1-EXP(-0.0175*A81))),70*'Scénario référence'!$B$16)+IF((32+38*(1-EXP(-0.0175*A81)))&lt;70,'Scénario référence'!$B$18*(32+38*(1-EXP(-0.0175*A81))),70*'Scénario référence'!$B$18)</f>
        <v>70</v>
      </c>
      <c r="CP81" s="12">
        <f>IF(A81&gt;30,10,('Scénario référence'!$B$16+'Scénario référence'!$B$17+'Scénario référence'!$B$18+'Scénario référence'!$B$9+'Scénario référence'!$B$10)*A81*10/30+('Scénario référence'!$F$8+'Scénario référence'!$F$9)*10)</f>
        <v>10</v>
      </c>
      <c r="CQ81" s="12" t="e">
        <f>VLOOKUP(A81,'Données projet'!$A$139:$I$159,2,0)</f>
        <v>#N/A</v>
      </c>
      <c r="CR81" s="12" t="e">
        <f>VLOOKUP(A81,'Données projet'!$A$139:$I$159,9,0)</f>
        <v>#N/A</v>
      </c>
      <c r="CS81" s="12">
        <f t="array" ref="CS81">INDEX(CR:CR,MIN(IF(ISNUMBER(CR81:CR277),ROW(CR81:CR277),"")))</f>
        <v>0</v>
      </c>
      <c r="CT81" s="12">
        <f>IF('Données projet'!$A$140&gt;35,CT80+CS81-DB80,IF(A81&lt;'Données projet'!$A$140,$CQ$205^A81,IF(A81='Données projet'!$A$140,'Données projet'!$B$140,CT80+CS81-DB80)))</f>
        <v>0</v>
      </c>
      <c r="CU81" s="17" t="e">
        <f>CT81*VLOOKUP('Données projet'!$B$13,Paramètres!$A$1:$I$89,3,0)*VLOOKUP('Données projet'!$B$13,Paramètres!$A$1:$I$89,5,0)</f>
        <v>#N/A</v>
      </c>
      <c r="CV81" s="13" t="e">
        <f t="shared" si="95"/>
        <v>#N/A</v>
      </c>
      <c r="CW81" s="20" t="e">
        <f t="shared" si="67"/>
        <v>#N/A</v>
      </c>
      <c r="CX81" s="59" t="e">
        <f t="shared" si="68"/>
        <v>#N/A</v>
      </c>
      <c r="CY81" s="59" t="e">
        <f ca="1">AVERAGE(OFFSET($CX$3,0,0,'Données projet'!$E$13+1,1))-AVERAGE(OFFSET($H$3,0,0,'Données projet'!$E$13+1,1))</f>
        <v>#N/A</v>
      </c>
      <c r="CZ81" s="59" t="e">
        <f t="shared" si="96"/>
        <v>#N/A</v>
      </c>
      <c r="DA81" s="15">
        <f>IF(ISNA(VLOOKUP(A81,'Données projet'!$A$139:$I$159,3,0)),0,VLOOKUP(A81,'Données projet'!$A$139:$I$159,3,0))</f>
        <v>0</v>
      </c>
      <c r="DB81" s="15">
        <f>IF(ISNA(VLOOKUP(A81,'Données projet'!$A$139:$I$159,4,0)),0,VLOOKUP(A81,'Données projet'!$A$139:$I$159,4,0))</f>
        <v>0</v>
      </c>
      <c r="DC81" s="16">
        <f>IF(ISNA(VLOOKUP(A81,'Données projet'!$A$139:$I$159,5,0)),0%,VLOOKUP(A81,'Données projet'!$A$139:$I$159,5,0)*VLOOKUP('Données projet'!$B$13,Paramètres!$A$1:$I$89,7,0))</f>
        <v>0</v>
      </c>
      <c r="DD81" s="16">
        <f>IF(ISNA(VLOOKUP(A81,'Données projet'!$A$139:$I$159,6,0)),0%,VLOOKUP(A81,'Données projet'!$A$139:$I$159,6,0)*VLOOKUP('Données projet'!$B$13,Paramètres!$A$1:$I$89,7,0))</f>
        <v>0</v>
      </c>
      <c r="DE81" s="16">
        <f>IF(ISNA(VLOOKUP(A81,'Données projet'!$A$139:$I$159,7,0)),0%,VLOOKUP(A81,'Données projet'!$A$139:$I$159,7,0))</f>
        <v>0</v>
      </c>
      <c r="DF81" s="21" t="e">
        <f>EXP(-LN(2)/35)*DF80+(1-EXP(-LN(2)/35))/(LN(2)/35)*DB81*DC81*VLOOKUP('Données projet'!$B$13,Paramètres!$A$1:$I$89,3,0)*0.475*44/12</f>
        <v>#N/A</v>
      </c>
      <c r="DG81" s="21" t="e">
        <f>EXP(-LN(2)/25)*DG80+(1-EXP(-LN(2)/25))/(LN(2)/25)*Calculateur!DB81*Calculateur!DD81*VLOOKUP('Données projet'!$B$13,Paramètres!$A$1:$I$89,3,0)*0.475*44/12</f>
        <v>#N/A</v>
      </c>
      <c r="DH81" s="21" t="e">
        <f>EXP(-LN(2)/2)*DH80+(1-EXP(-LN(2)/2))/(LN(2)/2)*DB81*DE81*VLOOKUP('Données projet'!$B$13,Paramètres!$A$1:$I$89,3,0)*0.475*44/12</f>
        <v>#N/A</v>
      </c>
      <c r="DI81" s="22" t="e">
        <f t="shared" si="69"/>
        <v>#N/A</v>
      </c>
      <c r="DJ81" s="75">
        <f>('Scénario référence'!$F$8+'Scénario référence'!$F$9+'Scénario référence'!$B$17+'Scénario référence'!$B$9+'Scénario référence'!$B$10)*70+IF((45+25*(1-EXP(-0.0175*A81)))&lt;70,'Scénario référence'!$B$16*(45+25*(1-EXP(-0.0175*A81))),70*'Scénario référence'!$B$16)+IF((32+38*(1-EXP(-0.0175*A81)))&lt;70,'Scénario référence'!$B$18*(32+38*(1-EXP(-0.0175*A81))),70*'Scénario référence'!$B$18)</f>
        <v>70</v>
      </c>
      <c r="DK81" s="12">
        <f>IF(A81&gt;30,10,('Scénario référence'!$B$16+'Scénario référence'!$B$17+'Scénario référence'!$B$18+'Scénario référence'!$B$9+'Scénario référence'!$B$10)*A81*10/30+('Scénario référence'!$F$8+'Scénario référence'!$F$9)*10)</f>
        <v>10</v>
      </c>
      <c r="DL81" s="12" t="e">
        <f>VLOOKUP(A81,'Données projet'!$A$165:$I$185,2,0)</f>
        <v>#N/A</v>
      </c>
      <c r="DM81" s="12" t="e">
        <f>VLOOKUP(A81,'Données projet'!$A$165:$I$185,9,0)</f>
        <v>#N/A</v>
      </c>
      <c r="DN81" s="12">
        <f t="array" ref="DN81">INDEX(DM:DM,MIN(IF(ISNUMBER(DM81:DM277),ROW(DM81:DM277),"")))</f>
        <v>4.7</v>
      </c>
      <c r="DO81" s="12">
        <f>IF('Données projet'!$A$166&gt;35,DO80+DN81-DW80,IF(A81&lt;'Données projet'!$A$166,$DL$205^A81,IF(A81='Données projet'!$A$166,'Données projet'!$B$166,DO80+DN81-DW80)))</f>
        <v>286.60000000000019</v>
      </c>
      <c r="DP81" s="17">
        <f>DO81*VLOOKUP('Données projet'!$B$14,Paramètres!$A$1:$I$89,3,0)*VLOOKUP('Données projet'!$B$14,Paramètres!$A$1:$I$89,5,0)</f>
        <v>187.78032000000013</v>
      </c>
      <c r="DQ81" s="13">
        <f t="shared" si="97"/>
        <v>47.048877993845274</v>
      </c>
      <c r="DR81" s="20">
        <f t="shared" si="70"/>
        <v>408.99418650594743</v>
      </c>
      <c r="DS81" s="59">
        <f t="shared" si="71"/>
        <v>702.32751983928074</v>
      </c>
      <c r="DT81" s="59">
        <f ca="1">AVERAGE(OFFSET($DS$3,0,0,'Données projet'!$E$14+1,1))-AVERAGE(OFFSET($H$3,0,0,'Données projet'!$E$14+1,1))</f>
        <v>188.68915783955595</v>
      </c>
      <c r="DU81" s="59">
        <f t="shared" si="98"/>
        <v>240.82467772396944</v>
      </c>
      <c r="DV81" s="15">
        <f>IF(ISNA(VLOOKUP(A81,'Données projet'!$A$165:$I$185,3,0)),0,VLOOKUP(A81,'Données projet'!$A$165:$I$185,3,0))</f>
        <v>0</v>
      </c>
      <c r="DW81" s="15">
        <f>IF(ISNA(VLOOKUP(A81,'Données projet'!$A$165:$I$185,4,0)),0,VLOOKUP(A81,'Données projet'!$A$165:$I$185,4,0))</f>
        <v>0</v>
      </c>
      <c r="DX81" s="16">
        <f>IF(ISNA(VLOOKUP(A81,'Données projet'!$A$165:$I$185,5,0)),0%,VLOOKUP(A81,'Données projet'!$A$165:$I$185,5,0)*VLOOKUP('Données projet'!$B$14,Paramètres!$A$1:$I$89,7,0))</f>
        <v>0</v>
      </c>
      <c r="DY81" s="16">
        <f>IF(ISNA(VLOOKUP(A81,'Données projet'!$A$165:$I$185,6,0)),0%,VLOOKUP(A81,'Données projet'!$A$165:$I$185,6,0)*VLOOKUP('Données projet'!$B$14,Paramètres!$A$1:$I$89,7,0))</f>
        <v>0</v>
      </c>
      <c r="DZ81" s="16">
        <f>IF(ISNA(VLOOKUP(A81,'Données projet'!$A$165:$I$185,7,0)),0%,VLOOKUP(A81,'Données projet'!$A$165:$I$185,7,0))</f>
        <v>0</v>
      </c>
      <c r="EA81" s="21">
        <f>EXP(-LN(2)/35)*EA80+(1-EXP(-LN(2)/35))/(LN(2)/35)*DW81*DX81*VLOOKUP('Données projet'!$B$14,Paramètres!$A$1:$I$89,3,0)*0.475*44/12</f>
        <v>0.60189165515214993</v>
      </c>
      <c r="EB81" s="21">
        <f>EXP(-LN(2)/25)*EB80+(1-EXP(-LN(2)/25))/(LN(2)/25)*Calculateur!DW81*Calculateur!DY81*VLOOKUP('Données projet'!$B$14,Paramètres!$A$1:$I$89,3,0)*0.475*44/12</f>
        <v>2.1240854800381084</v>
      </c>
      <c r="EC81" s="21">
        <f>EXP(-LN(2)/2)*EC80+(1-EXP(-LN(2)/2))/(LN(2)/2)*DW81*DZ81*VLOOKUP('Données projet'!$B$14,Paramètres!$A$1:$I$89,3,0)*0.475*44/12</f>
        <v>8.3425092614931388E-7</v>
      </c>
      <c r="ED81" s="22">
        <f t="shared" si="72"/>
        <v>2.7259779694411845</v>
      </c>
      <c r="EE81" s="75">
        <f>('Scénario référence'!$F$8+'Scénario référence'!$F$9+'Scénario référence'!$B$17+'Scénario référence'!$B$9+'Scénario référence'!$B$10)*70+IF((45+25*(1-EXP(-0.0175*A81)))&lt;70,'Scénario référence'!$B$16*(45+25*(1-EXP(-0.0175*A81))),70*'Scénario référence'!$B$16)+IF((32+38*(1-EXP(-0.0175*A81)))&lt;70,'Scénario référence'!$B$18*(32+38*(1-EXP(-0.0175*A81))),70*'Scénario référence'!$B$18)</f>
        <v>70</v>
      </c>
      <c r="EF81" s="12">
        <f>IF(A81&gt;30,10,('Scénario référence'!$B$16+'Scénario référence'!$B$17+'Scénario référence'!$B$18+'Scénario référence'!$B$9+'Scénario référence'!$B$10)*A81*10/30+('Scénario référence'!$F$8+'Scénario référence'!$F$9)*10)</f>
        <v>10</v>
      </c>
      <c r="EG81" s="12" t="e">
        <f>VLOOKUP(A81,'Données projet'!$A$191:$I$211,2,0)</f>
        <v>#N/A</v>
      </c>
      <c r="EH81" s="12" t="e">
        <f>VLOOKUP(A81,'Données projet'!$A$191:$I$211,9,0)</f>
        <v>#N/A</v>
      </c>
      <c r="EI81" s="12">
        <f t="array" ref="EI81">INDEX(EH:EH,MIN(IF(ISNUMBER(EH81:EH277),ROW(EH81:EH277),"")))</f>
        <v>5.2</v>
      </c>
      <c r="EJ81" s="12">
        <f>IF('Données projet'!$A$192&gt;35,EJ80+EI81-ER80,IF(A81&lt;'Données projet'!$A$192,$EG$205^A81,IF(A81='Données projet'!$A$192,'Données projet'!$B$192,EJ80+EI81-ER80)))</f>
        <v>282.59999999999985</v>
      </c>
      <c r="EK81" s="17">
        <f>EJ81*VLOOKUP('Données projet'!$B$15,Paramètres!$A$1:$I$89,3,0)*VLOOKUP('Données projet'!$B$15,Paramètres!$A$1:$I$89,5,0)</f>
        <v>229.24511999999993</v>
      </c>
      <c r="EL81" s="13">
        <f t="shared" si="99"/>
        <v>56.119427609510183</v>
      </c>
      <c r="EM81" s="20">
        <f t="shared" si="73"/>
        <v>497.00992041989667</v>
      </c>
      <c r="EN81" s="59">
        <f t="shared" si="74"/>
        <v>790.34325375322999</v>
      </c>
      <c r="EO81" s="59">
        <f ca="1">AVERAGE(OFFSET($EN$3,0,0,'Données projet'!$E$15+1,1))-AVERAGE(OFFSET($H$3,0,0,'Données projet'!$E$15+1,1))</f>
        <v>205.5272583787887</v>
      </c>
      <c r="EP81" s="59">
        <f t="shared" si="100"/>
        <v>180.54762778843178</v>
      </c>
      <c r="EQ81" s="15">
        <f>IF(ISNA(VLOOKUP(A81,'Données projet'!$A$191:$I$211,3,0)),0,VLOOKUP(A81,'Données projet'!$A$191:$I$211,3,0))</f>
        <v>0</v>
      </c>
      <c r="ER81" s="15">
        <f>IF(ISNA(VLOOKUP(A81,'Données projet'!$A$191:$I$211,4,0)),0,VLOOKUP(A81,'Données projet'!$A$191:$I$211,4,0))</f>
        <v>0</v>
      </c>
      <c r="ES81" s="16">
        <f>IF(ISNA(VLOOKUP(A81,'Données projet'!$A$191:$I$211,5,0)),0%,VLOOKUP(A81,'Données projet'!$A$191:$I$211,5,0)*VLOOKUP('Données projet'!$B$15,Paramètres!$A$1:$I$89,7,0))</f>
        <v>0</v>
      </c>
      <c r="ET81" s="16">
        <f>IF(ISNA(VLOOKUP(A81,'Données projet'!$A$191:$I$211,6,0)),0%,VLOOKUP(A81,'Données projet'!$A$191:$I$211,6,0)*VLOOKUP('Données projet'!$B$15,Paramètres!$A$1:$I$89,7,0))</f>
        <v>0</v>
      </c>
      <c r="EU81" s="16">
        <f>IF(ISNA(VLOOKUP(A81,'Données projet'!$A$191:$I$211,7,0)),0%,VLOOKUP(A81,'Données projet'!$A$191:$I$211,7,0))</f>
        <v>0</v>
      </c>
      <c r="EV81" s="21">
        <f>EXP(-LN(2)/35)*EV80+(1-EXP(-LN(2)/35))/(LN(2)/35)*ER81*ES81*VLOOKUP('Données projet'!$B$15,Paramètres!$A$1:$I$89,3,0)*0.475*44/12</f>
        <v>0.3875035798884317</v>
      </c>
      <c r="EW81" s="21">
        <f>EXP(-LN(2)/25)*EW80+(1-EXP(-LN(2)/25))/(LN(2)/25)*Calculateur!ER81*Calculateur!ET81*VLOOKUP('Données projet'!$B$15,Paramètres!$A$1:$I$89,3,0)*0.475*44/12</f>
        <v>1.5336541527700374</v>
      </c>
      <c r="EX81" s="21">
        <f>EXP(-LN(2)/2)*EX80+(1-EXP(-LN(2)/2))/(LN(2)/2)*ER81*EU81*VLOOKUP('Données projet'!$B$15,Paramètres!$A$1:$I$89,3,0)*0.475*44/12</f>
        <v>5.4017809154867784E-7</v>
      </c>
      <c r="EY81" s="22">
        <f t="shared" si="75"/>
        <v>1.9211582728365606</v>
      </c>
      <c r="EZ81" s="75">
        <f>('Scénario référence'!$F$8+'Scénario référence'!$F$9+'Scénario référence'!$B$17+'Scénario référence'!$B$9+'Scénario référence'!$B$10)*70+IF((45+25*(1-EXP(-0.0175*A81)))&lt;70,'Scénario référence'!$B$16*(45+25*(1-EXP(-0.0175*A81))),70*'Scénario référence'!$B$16)+IF((32+38*(1-EXP(-0.0175*A81)))&lt;70,'Scénario référence'!$B$18*(32+38*(1-EXP(-0.0175*A81))),70*'Scénario référence'!$B$18)</f>
        <v>70</v>
      </c>
      <c r="FA81" s="12">
        <f>IF(A81&gt;30,10,('Scénario référence'!$B$16+'Scénario référence'!$B$17+'Scénario référence'!$B$18+'Scénario référence'!$B$9+'Scénario référence'!$B$10)*A81*10/30+('Scénario référence'!$F$8+'Scénario référence'!$F$9)*10)</f>
        <v>10</v>
      </c>
      <c r="FB81" s="12" t="e">
        <f>VLOOKUP(A81,'Données projet'!$A$217:$I$237,2,0)</f>
        <v>#N/A</v>
      </c>
      <c r="FC81" s="12" t="e">
        <f>VLOOKUP(A81,'Données projet'!$A$217:$I$237,9,0)</f>
        <v>#N/A</v>
      </c>
      <c r="FD81" s="12">
        <f t="array" ref="FD81">INDEX(FC:FC,MIN(IF(ISNUMBER(FC81:FC277),ROW(FC81:FC277),"")))</f>
        <v>12.1</v>
      </c>
      <c r="FE81" s="12">
        <f>IF('Données projet'!$A$218&gt;35,FE80+FD81-FM80,IF(A81&lt;'Données projet'!$A$218,$FB$205^A81,IF(A81='Données projet'!$A$218,'Données projet'!$B$218,FE80+FD81-FM80)))</f>
        <v>376.80000000000013</v>
      </c>
      <c r="FF81" s="17">
        <f>FE81*VLOOKUP('Données projet'!$B$16,Paramètres!$A$1:$I$89,3,0)*VLOOKUP('Données projet'!$B$16,Paramètres!$A$1:$I$89,5,0)</f>
        <v>323.29440000000017</v>
      </c>
      <c r="FG81" s="13">
        <f t="shared" si="101"/>
        <v>76.038408507849013</v>
      </c>
      <c r="FH81" s="20">
        <f t="shared" si="76"/>
        <v>695.50464148450385</v>
      </c>
      <c r="FI81" s="59">
        <f t="shared" si="77"/>
        <v>988.83797481783722</v>
      </c>
      <c r="FJ81" s="59">
        <f ca="1">AVERAGE(OFFSET($FI$3,0,0,'Données projet'!$E$16+1,1))-AVERAGE(OFFSET($H$3,0,0,'Données projet'!$E$16+1,1))</f>
        <v>383.97627237444709</v>
      </c>
      <c r="FK81" s="59">
        <f t="shared" si="102"/>
        <v>203.35476578922339</v>
      </c>
      <c r="FL81" s="15">
        <f>IF(ISNA(VLOOKUP(A81,'Données projet'!$A$217:$I$237,3,0)),0,VLOOKUP(A81,'Données projet'!$A$217:$I$237,3,0))</f>
        <v>0</v>
      </c>
      <c r="FM81" s="15">
        <f>IF(ISNA(VLOOKUP(A81,'Données projet'!$A$217:$I$237,4,0)),0,VLOOKUP(A81,'Données projet'!$A$217:$I$237,4,0))</f>
        <v>0</v>
      </c>
      <c r="FN81" s="16">
        <f>IF(ISNA(VLOOKUP(A81,'Données projet'!$A$217:$I$237,5,0)),0%,VLOOKUP(A81,'Données projet'!$A$217:$I$237,5,0)*VLOOKUP('Données projet'!$B$16,Paramètres!$A$1:$I$89,7,0))</f>
        <v>0</v>
      </c>
      <c r="FO81" s="16">
        <f>IF(ISNA(VLOOKUP(A81,'Données projet'!$A$217:$I$237,6,0)),0%,VLOOKUP(A81,'Données projet'!$A$217:$I$237,6,0)*VLOOKUP('Données projet'!$B$16,Paramètres!$A$1:$I$89,7,0))</f>
        <v>0</v>
      </c>
      <c r="FP81" s="16">
        <f>IF(ISNA(VLOOKUP(A81,'Données projet'!$A$217:$I$237,7,0)),0%,VLOOKUP(A81,'Données projet'!$A$217:$I$237,7,0))</f>
        <v>0</v>
      </c>
      <c r="FQ81" s="21">
        <f>EXP(-LN(2)/35)*FQ80+(1-EXP(-LN(2)/35))/(LN(2)/35)*FM81*FN81*VLOOKUP('Données projet'!$B$16,Paramètres!$A$1:$I$89,3,0)*0.475*44/12</f>
        <v>1.9915581718025834</v>
      </c>
      <c r="FR81" s="21">
        <f>EXP(-LN(2)/25)*FR80+(1-EXP(-LN(2)/25))/(LN(2)/25)*Calculateur!FM81*Calculateur!FO81*VLOOKUP('Données projet'!$B$16,Paramètres!$A$1:$I$89,3,0)*0.475*44/12</f>
        <v>1.5568174832833876</v>
      </c>
      <c r="FS81" s="21">
        <f>EXP(-LN(2)/2)*FS80+(1-EXP(-LN(2)/2))/(LN(2)/2)*FM81*FP81*VLOOKUP('Données projet'!$B$16,Paramètres!$A$1:$I$89,3,0)*0.475*44/12</f>
        <v>9.9219629357992958E-7</v>
      </c>
      <c r="FT81" s="22">
        <f t="shared" si="78"/>
        <v>3.5483766472822649</v>
      </c>
      <c r="FU81" s="75">
        <f>('Scénario référence'!$F$8+'Scénario référence'!$F$9+'Scénario référence'!$B$17+'Scénario référence'!$B$9+'Scénario référence'!$B$10)*70+IF((45+25*(1-EXP(-0.0175*A81)))&lt;70,'Scénario référence'!$B$16*(45+25*(1-EXP(-0.0175*A81))),70*'Scénario référence'!$B$16)+IF((32+38*(1-EXP(-0.0175*A81)))&lt;70,'Scénario référence'!$B$18*(32+38*(1-EXP(-0.0175*A81))),70*'Scénario référence'!$B$18)</f>
        <v>70</v>
      </c>
      <c r="FV81" s="12">
        <f>IF(A81&gt;30,10,('Scénario référence'!$B$16+'Scénario référence'!$B$17+'Scénario référence'!$B$18+'Scénario référence'!$B$9+'Scénario référence'!$B$10)*A81*10/30+('Scénario référence'!$F$8+'Scénario référence'!$F$9)*10)</f>
        <v>10</v>
      </c>
      <c r="FW81" s="12" t="e">
        <f>VLOOKUP(A81,'Données projet'!$A$243:$I$263,2,0)</f>
        <v>#N/A</v>
      </c>
      <c r="FX81" s="12" t="e">
        <f>VLOOKUP(A81,'Données projet'!$A$243:$I$263,9,0)</f>
        <v>#N/A</v>
      </c>
      <c r="FY81" s="12">
        <f t="array" ref="FY81">INDEX(FX:FX,MIN(IF(ISNUMBER(FX81:FX277),ROW(FX81:FX277),"")))</f>
        <v>7.8425925925925934</v>
      </c>
      <c r="FZ81" s="12">
        <f>IF('Données projet'!$A$244&gt;35,FZ80+FY81-GH80,IF(A81&lt;'Données projet'!$A$244,$FW$205^A81,IF(A81='Données projet'!$A$244,'Données projet'!$B$244,FZ80+FY81-GH80)))</f>
        <v>258.32763532763528</v>
      </c>
      <c r="GA81" s="17">
        <f>FZ81*VLOOKUP('Données projet'!$B$17,Paramètres!$A$1:$I$89,3,0)*VLOOKUP('Données projet'!$B$17,Paramètres!$A$1:$I$89,5,0)</f>
        <v>278.06386666666663</v>
      </c>
      <c r="GB81" s="13">
        <f t="shared" si="103"/>
        <v>66.557683163007169</v>
      </c>
      <c r="GC81" s="20">
        <f t="shared" si="79"/>
        <v>600.2158659533485</v>
      </c>
      <c r="GD81" s="59">
        <f t="shared" si="80"/>
        <v>893.54919928668187</v>
      </c>
      <c r="GE81" s="59">
        <f ca="1">AVERAGE(OFFSET($GD$3,0,0,'Données projet'!$E$17+1,1))-AVERAGE(OFFSET($H$3,0,0,'Données projet'!$E$17+1,1))</f>
        <v>286.77702855541287</v>
      </c>
      <c r="GF81" s="59">
        <f t="shared" si="104"/>
        <v>227.12211541860779</v>
      </c>
      <c r="GG81" s="15">
        <f>IF(ISNA(VLOOKUP(A81,'Données projet'!$A$243:$I$263,3,0)),0,VLOOKUP(A81,'Données projet'!$A$243:$I$263,3,0))</f>
        <v>0</v>
      </c>
      <c r="GH81" s="15">
        <f>IF(ISNA(VLOOKUP(A81,'Données projet'!$A$243:$I$263,4,0)),0,VLOOKUP(A81,'Données projet'!$A$243:$I$263,4,0))</f>
        <v>0</v>
      </c>
      <c r="GI81" s="16">
        <f>IF(ISNA(VLOOKUP(A81,'Données projet'!$A$243:$I$263,5,0)),0%,VLOOKUP(A81,'Données projet'!$A$243:$I$263,5,0)*VLOOKUP('Données projet'!$B$17,Paramètres!$A$1:$I$89,7,0))</f>
        <v>0</v>
      </c>
      <c r="GJ81" s="16">
        <f>IF(ISNA(VLOOKUP(A81,'Données projet'!$A$243:$I$263,6,0)),0%,VLOOKUP(A81,'Données projet'!$A$243:$I$263,6,0)*VLOOKUP('Données projet'!$B$17,Paramètres!$A$1:$I$89,7,0))</f>
        <v>0</v>
      </c>
      <c r="GK81" s="16">
        <f>IF(ISNA(VLOOKUP(A81,'Données projet'!$A$243:$I$263,7,0)),0%,VLOOKUP(A81,'Données projet'!$A$243:$I$263,7,0))</f>
        <v>0</v>
      </c>
      <c r="GL81" s="21">
        <f>EXP(-LN(2)/35)*GL80+(1-EXP(-LN(2)/35))/(LN(2)/35)*GH81*GI81*VLOOKUP('Données projet'!$B$17,Paramètres!$A$1:$I$89,3,0)*0.475*44/12</f>
        <v>0</v>
      </c>
      <c r="GM81" s="21">
        <f>EXP(-LN(2)/25)*GM80+(1-EXP(-LN(2)/25))/(LN(2)/25)*Calculateur!GH81*Calculateur!GJ81*VLOOKUP('Données projet'!$B$17,Paramètres!$A$1:$I$89,3,0)*0.475*44/12</f>
        <v>0</v>
      </c>
      <c r="GN81" s="21">
        <f>EXP(-LN(2)/2)*GN80+(1-EXP(-LN(2)/2))/(LN(2)/2)*GH81*GK81*VLOOKUP('Données projet'!$B$17,Paramètres!$A$1:$I$89,3,0)*0.475*44/12</f>
        <v>0</v>
      </c>
      <c r="GO81" s="21">
        <f t="shared" si="81"/>
        <v>0</v>
      </c>
      <c r="GP81" s="75">
        <f>('Scénario référence'!$F$8+'Scénario référence'!$F$9+'Scénario référence'!$B$17+'Scénario référence'!$B$9+'Scénario référence'!$B$10)*70+IF((45+25*(1-EXP(-0.0175*A81)))&lt;70,'Scénario référence'!$B$16*(45+25*(1-EXP(-0.0175*A81))),70*'Scénario référence'!$B$16)+IF((32+38*(1-EXP(-0.0175*A81)))&lt;70,'Scénario référence'!$B$18*(32+38*(1-EXP(-0.0175*A81))),70*'Scénario référence'!$B$18)</f>
        <v>70</v>
      </c>
      <c r="GQ81" s="12">
        <f>IF(A81&gt;30,10,('Scénario référence'!$B$16+'Scénario référence'!$B$17+'Scénario référence'!$B$18+'Scénario référence'!$B$9+'Scénario référence'!$B$10)*A81*10/30+('Scénario référence'!$F$8+'Scénario référence'!$F$9)*10)</f>
        <v>10</v>
      </c>
      <c r="GR81" s="12" t="e">
        <f>VLOOKUP(A81,'Données projet'!$A$269:$I$289,2,0)</f>
        <v>#N/A</v>
      </c>
      <c r="GS81" s="12" t="e">
        <f>VLOOKUP(A81,'Données projet'!$A$269:$I$289,9,0)</f>
        <v>#N/A</v>
      </c>
      <c r="GT81" s="12">
        <f t="array" ref="GT81">INDEX(GS:GS,MIN(IF(ISNUMBER(GS81:GS277),ROW(GS81:GS277),"")))</f>
        <v>7.8425925925925934</v>
      </c>
      <c r="GU81" s="12">
        <f>IF('Données projet'!$A$270&gt;35,GU80+GT81-HC80,IF(A81&lt;'Données projet'!$A$270,$GR$205^A81,IF(A81='Données projet'!$A$270,'Données projet'!$B$270,GU80+GT81-HC80)))</f>
        <v>258.32763532763528</v>
      </c>
      <c r="GV81" s="17">
        <f>GU81*VLOOKUP('Données projet'!$B$18,Paramètres!$A$1:$I$89,3,0)*VLOOKUP('Données projet'!$B$18,Paramètres!$A$1:$I$89,5,0)</f>
        <v>278.06386666666663</v>
      </c>
      <c r="GW81" s="13">
        <f t="shared" si="105"/>
        <v>66.557683163007169</v>
      </c>
      <c r="GX81" s="20">
        <f t="shared" si="82"/>
        <v>600.2158659533485</v>
      </c>
      <c r="GY81" s="59">
        <f t="shared" si="83"/>
        <v>893.54919928668187</v>
      </c>
      <c r="GZ81" s="59">
        <f ca="1">AVERAGE(OFFSET($GY$3,0,0,'Données projet'!$E$18+1,1))-AVERAGE(OFFSET($H$3,0,0,'Données projet'!$E$18+1,1))</f>
        <v>286.77702855541287</v>
      </c>
      <c r="HA81" s="59">
        <f t="shared" si="106"/>
        <v>227.12211541860779</v>
      </c>
      <c r="HB81" s="15">
        <f>IF(ISNA(VLOOKUP(A81,'Données projet'!$A$269:$I$289,3,0)),0,VLOOKUP(A81,'Données projet'!$A$269:$I$289,3,0))</f>
        <v>0</v>
      </c>
      <c r="HC81" s="15">
        <f>IF(ISNA(VLOOKUP(A81,'Données projet'!$A$269:$I$289,4,0)),0,VLOOKUP(A81,'Données projet'!$A$269:$I$289,4,0))</f>
        <v>0</v>
      </c>
      <c r="HD81" s="16">
        <f>IF(ISNA(VLOOKUP(A81,'Données projet'!$A$269:$I$289,5,0)),0%,VLOOKUP(A81,'Données projet'!$A$269:$I$289,5,0)*VLOOKUP('Données projet'!$B$18,Paramètres!$A$1:$I$89,7,0))</f>
        <v>0</v>
      </c>
      <c r="HE81" s="16">
        <f>IF(ISNA(VLOOKUP(A81,'Données projet'!$A$269:$I$289,6,0)),0%,VLOOKUP(A81,'Données projet'!$A$269:$I$289,6,0)*VLOOKUP('Données projet'!$B$18,Paramètres!$A$1:$I$89,7,0))</f>
        <v>0</v>
      </c>
      <c r="HF81" s="16">
        <f>IF(ISNA(VLOOKUP(A81,'Données projet'!$A$269:$I$289,7,0)),0%,VLOOKUP(A81,'Données projet'!$A$269:$I$289,7,0))</f>
        <v>0</v>
      </c>
      <c r="HG81" s="21">
        <f>EXP(-LN(2)/35)*HG80+(1-EXP(-LN(2)/35))/(LN(2)/35)*HC81*HD81*VLOOKUP('Données projet'!$B$18,Paramètres!$A$1:$I$89,3,0)*0.475*44/12</f>
        <v>0</v>
      </c>
      <c r="HH81" s="21">
        <f>EXP(-LN(2)/25)*HH80+(1-EXP(-LN(2)/25))/(LN(2)/25)*Calculateur!HC81*Calculateur!HE81*VLOOKUP('Données projet'!$B$18,Paramètres!$A$1:$I$89,3,0)*0.475*44/12</f>
        <v>0</v>
      </c>
      <c r="HI81" s="21">
        <f>EXP(-LN(2)/2)*HI80+(1-EXP(-LN(2)/2))/(LN(2)/2)*HC81*HF81*VLOOKUP('Données projet'!$B$18,Paramètres!$A$1:$I$89,3,0)*0.475*44/12</f>
        <v>0</v>
      </c>
      <c r="HJ81" s="22">
        <f t="shared" si="84"/>
        <v>0</v>
      </c>
    </row>
    <row r="82" spans="1:218" x14ac:dyDescent="0.25">
      <c r="A82" s="10">
        <f t="shared" si="85"/>
        <v>79</v>
      </c>
      <c r="B82" s="73">
        <f>'Scénario référence'!$B$16*5+'Scénario référence'!$B$17*0+'Scénario référence'!$B$18*5</f>
        <v>0</v>
      </c>
      <c r="C82" s="19">
        <f>Calculateur!C81+'Scénario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70.246800000000093</v>
      </c>
      <c r="D82" s="11">
        <f t="shared" si="86"/>
        <v>19.734734149853086</v>
      </c>
      <c r="E8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82" s="11">
        <f>IF(OR('Scénario référence'!$F$8&gt;0,'Scénario référence'!$F$9&gt;0),('Scénario référence'!$F$8+'Scénario référence'!$F$9)*10,0)</f>
        <v>10</v>
      </c>
      <c r="G82" s="11">
        <f>'Scénario référence'!$B$8*B82*44/12+'Scénario référence'!$B$9*(C82+D82)/0.475*44/12+'Scénario référence'!$B$10*(C82+D82)/0.475*44/12+'Scénario référence'!$F$8*(C82+D82)/0.475*44/12+'Scénario référence'!$F$9*(C82+D82)/0.475*44/12</f>
        <v>694.59429870062104</v>
      </c>
      <c r="H82" s="67">
        <f t="shared" si="56"/>
        <v>450.05117197766094</v>
      </c>
      <c r="I82" s="70">
        <f>('Scénario référence'!$F$8+'Scénario référence'!$F$9+'Scénario référence'!$B$17+'Scénario référence'!$B$9+'Scénario référence'!$B$10)*70+IF((45+25*(1-EXP(-0.0175*A82)))&lt;70,'Scénario référence'!$B$16*(45+25*(1-EXP(-0.0175*A82))),70*'Scénario référence'!$B$16)+IF((32+38*(1-EXP(-0.0175*A82)))&lt;70,'Scénario référence'!$B$18*(32+38*(1-EXP(-0.0175*A82))),70*'Scénario référence'!$B$18)</f>
        <v>70</v>
      </c>
      <c r="J82" s="13">
        <f>IF(A82&gt;30,10,('Scénario référence'!$B$16+'Scénario référence'!$B$17+'Scénario référence'!$B$18+'Scénario référence'!$B$9+'Scénario référence'!$B$10)*A82*10/30+('Scénario référence'!$F$8+'Scénario référence'!$F$9)*10)</f>
        <v>10</v>
      </c>
      <c r="K82" s="12" t="e">
        <f>VLOOKUP(A82,'Données projet'!$A$35:$I$55,2,0)</f>
        <v>#N/A</v>
      </c>
      <c r="L82" s="12" t="e">
        <f>VLOOKUP(A82,'Données projet'!$A$35:$I$55,9,0)</f>
        <v>#N/A</v>
      </c>
      <c r="M82" s="12">
        <f t="array" ref="M82">INDEX(L:L,MIN(IF(ISNUMBER(L82:L278),ROW(L82:L278),"")))</f>
        <v>0</v>
      </c>
      <c r="N82" s="13">
        <f>IF('Données projet'!$A$36&gt;35,N81+M82-V81,IF(A82&lt;'Données projet'!$A$36,$K$205^A82,IF(A82='Données projet'!$A$36,'Données projet'!$B$36,N81+M82-V81)))</f>
        <v>-2.2737367544323206E-13</v>
      </c>
      <c r="O82" s="13">
        <f>N82*VLOOKUP('Données projet'!$B$9,Paramètres!$A$1:$I$89,3,0)*VLOOKUP('Données projet'!$B$9,Paramètres!$A$1:$I$89,5,0)</f>
        <v>-1.2710188457276673E-13</v>
      </c>
      <c r="P82" s="13" t="e">
        <f t="shared" si="87"/>
        <v>#NUM!</v>
      </c>
      <c r="Q82" s="20" t="e">
        <f t="shared" si="54"/>
        <v>#NUM!</v>
      </c>
      <c r="R82" s="59" t="e">
        <f t="shared" si="55"/>
        <v>#NUM!</v>
      </c>
      <c r="S82" s="59">
        <f ca="1">AVERAGE(OFFSET($R$3,0,0,'Données projet'!$E$9+1,1))-AVERAGE(OFFSET($H$3,0,0,'Données projet'!$E$9+1,1))</f>
        <v>255.5374979188561</v>
      </c>
      <c r="T82" s="59">
        <f t="shared" si="88"/>
        <v>343.10418468620901</v>
      </c>
      <c r="U82" s="15">
        <f>IF(ISNA(VLOOKUP(A82,'Données projet'!$A$35:$I$55,3,0)),0,VLOOKUP(A82,'Données projet'!$A$35:$I$55,3,0))</f>
        <v>0</v>
      </c>
      <c r="V82" s="15">
        <f>IF(ISNA(VLOOKUP(A82,'Données projet'!$A$35:$I$55,4,0)),0,VLOOKUP(A82,'Données projet'!$A$35:$I$55,4,0))</f>
        <v>0</v>
      </c>
      <c r="W82" s="16">
        <f>IF(ISNA(VLOOKUP(A82,'Données projet'!$A$35:$I$55,5,0)),0%,VLOOKUP(A82,'Données projet'!$A$35:$I$55,5,0)*VLOOKUP('Données projet'!$B$9,Paramètres!$A$1:$I$89,7,0))</f>
        <v>0</v>
      </c>
      <c r="X82" s="16">
        <f>IF(ISNA(VLOOKUP(A82,'Données projet'!$A$35:$I$55,6,0)),0%,VLOOKUP(A82,'Données projet'!$A$35:$I$55,6,0)*VLOOKUP('Données projet'!$B$9,Paramètres!$A$1:$I$89,7,0))</f>
        <v>0</v>
      </c>
      <c r="Y82" s="16">
        <f>IF(ISNA(VLOOKUP(A82,'Données projet'!$A$35:$I$55,7,0)),0%,VLOOKUP(A82,'Données projet'!$A$35:$I$55,7,0))</f>
        <v>0</v>
      </c>
      <c r="Z82" s="21">
        <f>EXP(-LN(2)/35)*Z81+(1-EXP(-LN(2)/35))/(LN(2)/35)*V82*W82*VLOOKUP('Données projet'!$B$9,Paramètres!$A$1:$I$89,3,0)*0.475*44/12</f>
        <v>1.1709065255790843</v>
      </c>
      <c r="AA82" s="21">
        <f>EXP(-LN(2)/25)*AA81+(1-EXP(-LN(2)/25))/(LN(2)/25)*Calculateur!V82*Calculateur!X82*VLOOKUP('Données projet'!$B$9,Paramètres!$A$1:$I$89,3,0)*0.475*44/12</f>
        <v>4.1022407722105694</v>
      </c>
      <c r="AB82" s="21">
        <f>EXP(-LN(2)/2)*AB81+(1-EXP(-LN(2)/2))/(LN(2)/2)*V82*Y82*VLOOKUP('Données projet'!$B$9,Paramètres!$A$1:$I$89,3,0)*0.475*44/12</f>
        <v>7.1339950774400288E-8</v>
      </c>
      <c r="AC82" s="22">
        <f t="shared" si="57"/>
        <v>5.2731473691296049</v>
      </c>
      <c r="AD82" s="13">
        <f>('Scénario référence'!$F$8+'Scénario référence'!$F$9+'Scénario référence'!$B$17+'Scénario référence'!$B$9+'Scénario référence'!$B$10)*70+IF((45+25*(1-EXP(-0.0175*A82)))&lt;70,'Scénario référence'!$B$16*(45+25*(1-EXP(-0.0175*A82))),70*'Scénario référence'!$B$16)+IF((32+38*(1-EXP(-0.0175*A82)))&lt;70,'Scénario référence'!$B$18*(32+38*(1-EXP(-0.0175*A82))),70*'Scénario référence'!$B$18)</f>
        <v>70</v>
      </c>
      <c r="AE82" s="13">
        <f>IF(A82&gt;30,10,('Scénario référence'!$B$16+'Scénario référence'!$B$17+'Scénario référence'!$B$18+'Scénario référence'!$B$9+'Scénario référence'!$B$10)*A82*10/30+('Scénario référence'!$F$8+'Scénario référence'!$F$9)*10)</f>
        <v>10</v>
      </c>
      <c r="AF82" s="12" t="e">
        <f>VLOOKUP(A82,'Données projet'!$A$61:$I$81,2,0)</f>
        <v>#N/A</v>
      </c>
      <c r="AG82" s="12" t="e">
        <f>VLOOKUP(A82,'Données projet'!$A$61:$I$81,9,0)</f>
        <v>#N/A</v>
      </c>
      <c r="AH82" s="12">
        <f t="array" ref="AH82">INDEX(AG:AG,MIN(IF(ISNUMBER(AG82:AG278),ROW(AG82:AG278),"")))</f>
        <v>6</v>
      </c>
      <c r="AI82" s="13">
        <f>IF('Données projet'!$A$62&gt;35,AI81+AH82-AQ81,IF(A82&lt;'Données projet'!$A$62,$AF$205^A82,IF(A82='Données projet'!$A$62,'Données projet'!$B$62,AI81+AH82-AQ81)))</f>
        <v>436</v>
      </c>
      <c r="AJ82" s="13">
        <f>AI82*VLOOKUP('Données projet'!$B$10,Paramètres!$A$1:$I$89,3,0)*VLOOKUP('Données projet'!$B$10,Paramètres!$A$1:$I$89,5,0)</f>
        <v>272.06400000000002</v>
      </c>
      <c r="AK82" s="13">
        <f t="shared" si="89"/>
        <v>65.28710784811372</v>
      </c>
      <c r="AL82" s="20">
        <f t="shared" si="58"/>
        <v>587.55317950213146</v>
      </c>
      <c r="AM82" s="59">
        <f t="shared" si="59"/>
        <v>880.88651283546483</v>
      </c>
      <c r="AN82" s="59">
        <f ca="1">AVERAGE(OFFSET($AM$3,0,0,'Données projet'!$E$10+1,1))-AVERAGE(OFFSET($H$3,0,0,'Données projet'!$E$10+1,1))</f>
        <v>261.78489480911571</v>
      </c>
      <c r="AO82" s="59">
        <f t="shared" si="90"/>
        <v>297.50513563712764</v>
      </c>
      <c r="AP82" s="15">
        <f>IF(ISNA(VLOOKUP(A82,'Données projet'!$A$61:$I$81,3,0)),0,VLOOKUP(A82,'Données projet'!$A$61:$I$81,3,0))</f>
        <v>0</v>
      </c>
      <c r="AQ82" s="15">
        <f>IF(ISNA(VLOOKUP(A82,'Données projet'!$A$61:$I$81,4,0)),0,VLOOKUP(A82,'Données projet'!$A$61:$I$81,4,0))</f>
        <v>0</v>
      </c>
      <c r="AR82" s="16">
        <f>IF(ISNA(VLOOKUP(A82,'Données projet'!$A$61:$I$81,5,0)),0%,VLOOKUP(A82,'Données projet'!$A$61:$I$81,5,0)*VLOOKUP('Données projet'!$B$10,Paramètres!$A$1:$I$89,7,0))</f>
        <v>0</v>
      </c>
      <c r="AS82" s="16">
        <f>IF(ISNA(VLOOKUP(A82,'Données projet'!$A$61:$I$81,6,0)),0%,VLOOKUP(A82,'Données projet'!$A$61:$I$81,6,0)*VLOOKUP('Données projet'!$B$10,Paramètres!$A$1:$I$89,7,0))</f>
        <v>0</v>
      </c>
      <c r="AT82" s="16">
        <f>IF(ISNA(VLOOKUP(A82,'Données projet'!$A$61:$I$81,7,0)),0%,VLOOKUP(A82,'Données projet'!$A$61:$I$81,7,0))</f>
        <v>0</v>
      </c>
      <c r="AU82" s="21">
        <f>EXP(-LN(2)/35)*AU81+(1-EXP(-LN(2)/35))/(LN(2)/35)*AQ82*AR82*VLOOKUP('Données projet'!$B$10,Paramètres!$A$1:$I$89,3,0)*0.475*44/12</f>
        <v>3.1617788083857783</v>
      </c>
      <c r="AV82" s="21">
        <f>EXP(-LN(2)/25)*AV81+(1-EXP(-LN(2)/25))/(LN(2)/25)*Calculateur!AQ82*Calculateur!AS82*VLOOKUP('Données projet'!$B$10,Paramètres!$A$1:$I$89,3,0)*0.475*44/12</f>
        <v>7.1633490848954784</v>
      </c>
      <c r="AW82" s="21">
        <f>EXP(-LN(2)/2)*AW81+(1-EXP(-LN(2)/2))/(LN(2)/2)*AQ82*AT82*VLOOKUP('Données projet'!$B$10,Paramètres!$A$1:$I$89,3,0)*0.475*44/12</f>
        <v>1.0284333063327951E-6</v>
      </c>
      <c r="AX82" s="21">
        <f t="shared" si="60"/>
        <v>10.325128921714564</v>
      </c>
      <c r="AY82" s="74">
        <f>('Scénario référence'!$F$8+'Scénario référence'!$F$9+'Scénario référence'!$B$17+'Scénario référence'!$B$9+'Scénario référence'!$B$10)*70+IF((45+25*(1-EXP(-0.0175*A82)))&lt;70,'Scénario référence'!$B$16*(45+25*(1-EXP(-0.0175*A82))),70*'Scénario référence'!$B$16)+IF((32+38*(1-EXP(-0.0175*A82)))&lt;70,'Scénario référence'!$B$18*(32+38*(1-EXP(-0.0175*A82))),70*'Scénario référence'!$B$18)</f>
        <v>70</v>
      </c>
      <c r="AZ82" s="12">
        <f>IF(A82&gt;30,10,('Scénario référence'!$B$16+'Scénario référence'!$B$17+'Scénario référence'!$B$18+'Scénario référence'!$B$9+'Scénario référence'!$B$10)*A82*10/30+('Scénario référence'!$F$8+'Scénario référence'!$F$9)*10)</f>
        <v>10</v>
      </c>
      <c r="BA82" s="12" t="e">
        <f>VLOOKUP(A82,'Données projet'!$A$87:$I$107,2,0)</f>
        <v>#N/A</v>
      </c>
      <c r="BB82" s="12" t="e">
        <f>VLOOKUP(A82,'Données projet'!$A$87:$I$107,9,0)</f>
        <v>#N/A</v>
      </c>
      <c r="BC82" s="12">
        <f t="array" ref="BC82">INDEX(BB:BB,MIN(IF(ISNUMBER(BB82:BB278),ROW(BB82:BB278),"")))</f>
        <v>14.5</v>
      </c>
      <c r="BD82" s="12">
        <f>IF('Données projet'!$A$88&gt;35,BD81+BC82-BL81,IF(A82&lt;'Données projet'!$A$88,$BA$205^A82,IF(A82='Données projet'!$A$88,'Données projet'!$B$88,BD81+BC82-BL81)))</f>
        <v>591.49999999999955</v>
      </c>
      <c r="BE82" s="13">
        <f>BD82*VLOOKUP('Données projet'!$B$11,Paramètres!$A$1:$I$89,3,0)*VLOOKUP('Données projet'!$B$11,Paramètres!$A$1:$I$89,5,0)</f>
        <v>353.71699999999976</v>
      </c>
      <c r="BF82" s="13">
        <f t="shared" si="91"/>
        <v>82.327408937870302</v>
      </c>
      <c r="BG82" s="20">
        <f t="shared" si="61"/>
        <v>759.4440122334571</v>
      </c>
      <c r="BH82" s="59">
        <f t="shared" si="62"/>
        <v>1052.7773455667905</v>
      </c>
      <c r="BI82" s="59">
        <f ca="1">AVERAGE(OFFSET($BH$3,0,0,'Données projet'!$E$11+1,1))-AVERAGE(OFFSET($H$3,0,0,'Données projet'!$E$11+1,1))</f>
        <v>316.58509520829671</v>
      </c>
      <c r="BJ82" s="59">
        <f t="shared" si="92"/>
        <v>240.71332110643596</v>
      </c>
      <c r="BK82" s="15">
        <f>IF(ISNA(VLOOKUP(A82,'Données projet'!$A$87:$I$107,3,0)),0,VLOOKUP(A82,'Données projet'!$A$87:$I$107,3,0))</f>
        <v>0</v>
      </c>
      <c r="BL82" s="15">
        <f>IF(ISNA(VLOOKUP(A82,'Données projet'!$A$87:$I$107,4,0)),0,VLOOKUP(A82,'Données projet'!$A$87:$I$107,4,0))</f>
        <v>0</v>
      </c>
      <c r="BM82" s="16">
        <f>IF(ISNA(VLOOKUP(A82,'Données projet'!$A$87:$I$107,5,0)),0%,VLOOKUP(A82,'Données projet'!$A$87:$I$107,5,0)*VLOOKUP('Données projet'!$B$11,Paramètres!$A$1:$I$89,7,0))</f>
        <v>0</v>
      </c>
      <c r="BN82" s="16">
        <f>IF(ISNA(VLOOKUP(A82,'Données projet'!$A$87:$I$107,6,0)),0%,VLOOKUP(A82,'Données projet'!$A$87:$I$107,6,0)*VLOOKUP('Données projet'!$B$11,Paramètres!$A$1:$I$89,7,0))</f>
        <v>0</v>
      </c>
      <c r="BO82" s="16">
        <f>IF(ISNA(VLOOKUP(A82,'Données projet'!$A$87:$I$107,7,0)),0%,VLOOKUP(A82,'Données projet'!$A$87:$I$107,7,0))</f>
        <v>0</v>
      </c>
      <c r="BP82" s="21">
        <f>EXP(-LN(2)/35)*BP81+(1-EXP(-LN(2)/35))/(LN(2)/35)*BL82*BM82*VLOOKUP('Données projet'!$B$11,Paramètres!$A$1:$I$89,3,0)*0.475*44/12</f>
        <v>0.96041383818712356</v>
      </c>
      <c r="BQ82" s="21">
        <f>EXP(-LN(2)/25)*BQ81+(1-EXP(-LN(2)/25))/(LN(2)/25)*Calculateur!BL82*Calculateur!BN82*VLOOKUP('Données projet'!$B$11,Paramètres!$A$1:$I$89,3,0)*0.475*44/12</f>
        <v>3.9242916414539732</v>
      </c>
      <c r="BR82" s="21">
        <f>EXP(-LN(2)/2)*BR81+(1-EXP(-LN(2)/2))/(LN(2)/2)*BL82*BO82*VLOOKUP('Données projet'!$B$11,Paramètres!$A$1:$I$89,3,0)*0.475*44/12</f>
        <v>9.2467416880576001E-7</v>
      </c>
      <c r="BS82" s="22">
        <f t="shared" si="63"/>
        <v>4.8847064043152661</v>
      </c>
      <c r="BT82" s="75">
        <f>('Scénario référence'!$F$8+'Scénario référence'!$F$9+'Scénario référence'!$B$17+'Scénario référence'!$B$9+'Scénario référence'!$B$10)*70+IF((45+25*(1-EXP(-0.0175*A82)))&lt;70,'Scénario référence'!$B$16*(45+25*(1-EXP(-0.0175*A82))),70*'Scénario référence'!$B$16)+IF((32+38*(1-EXP(-0.0175*A82)))&lt;70,'Scénario référence'!$B$18*(32+38*(1-EXP(-0.0175*A82))),70*'Scénario référence'!$B$18)</f>
        <v>70</v>
      </c>
      <c r="BU82" s="12">
        <f>IF(A82&gt;30,10,('Scénario référence'!$B$16+'Scénario référence'!$B$17+'Scénario référence'!$B$18+'Scénario référence'!$B$9+'Scénario référence'!$B$10)*A82*10/30+('Scénario référence'!$F$8+'Scénario référence'!$F$9)*10)</f>
        <v>10</v>
      </c>
      <c r="BV82" s="12" t="e">
        <f>VLOOKUP(A82,'Données projet'!$A$113:$I$133,2,0)</f>
        <v>#N/A</v>
      </c>
      <c r="BW82" s="12" t="e">
        <f>VLOOKUP(A82,'Données projet'!$A$113:$I$133,9,0)</f>
        <v>#N/A</v>
      </c>
      <c r="BX82" s="12">
        <f t="array" ref="BX82">INDEX(BW:BW,MIN(IF(ISNUMBER(BW82:BW278),ROW(BW82:BW278),"")))</f>
        <v>5.4</v>
      </c>
      <c r="BY82" s="12">
        <f>IF('Données projet'!$A$114&gt;35,BY81+BX82-CG81,IF(A82&lt;'Données projet'!$A$114,$BV$205^A82,IF(A82='Données projet'!$A$114,'Données projet'!$B$114,BY81+BX82-CG81)))</f>
        <v>348.59999999999968</v>
      </c>
      <c r="BZ82" s="13">
        <f>BY82*VLOOKUP('Données projet'!$B$12,Paramètres!$A$1:$I$89,3,0)*VLOOKUP('Données projet'!$B$12,Paramètres!$A$1:$I$89,5,0)</f>
        <v>199.39919999999984</v>
      </c>
      <c r="CA82" s="13">
        <f t="shared" si="93"/>
        <v>49.612106959430221</v>
      </c>
      <c r="CB82" s="20">
        <f t="shared" si="64"/>
        <v>433.69469295434061</v>
      </c>
      <c r="CC82" s="59">
        <f t="shared" si="65"/>
        <v>727.02802628767392</v>
      </c>
      <c r="CD82" s="59">
        <f ca="1">AVERAGE(OFFSET($CC$3,0,0,'Données projet'!$E$12+1,1))-AVERAGE(OFFSET($H$3,0,0,'Données projet'!$E$12+1,1))</f>
        <v>188.64374818906128</v>
      </c>
      <c r="CE82" s="59">
        <f t="shared" si="94"/>
        <v>211.95157880548652</v>
      </c>
      <c r="CF82" s="15">
        <f>IF(ISNA(VLOOKUP(A82,'Données projet'!$A$113:$I$133,3,0)),0,VLOOKUP(A82,'Données projet'!$A$113:$I$133,3,0))</f>
        <v>0</v>
      </c>
      <c r="CG82" s="15">
        <f>IF(ISNA(VLOOKUP(A82,'Données projet'!$A$113:$I$133,4,0)),0,VLOOKUP(A82,'Données projet'!$A$113:$I$133,4,0))</f>
        <v>0</v>
      </c>
      <c r="CH82" s="16">
        <f>IF(ISNA(VLOOKUP(A82,'Données projet'!$A$113:$I$133,5,0)),0%,VLOOKUP(A82,'Données projet'!$A$113:$I$133,5,0)*VLOOKUP('Données projet'!$B$12,Paramètres!$A$1:$I$89,7,0))</f>
        <v>0</v>
      </c>
      <c r="CI82" s="16">
        <f>IF(ISNA(VLOOKUP(A82,'Données projet'!$A$113:$I$133,6,0)),0%,VLOOKUP(A82,'Données projet'!$A$113:$I$133,6,0)*VLOOKUP('Données projet'!$B$12,Paramètres!$A$1:$I$89,7,0))</f>
        <v>0</v>
      </c>
      <c r="CJ82" s="16">
        <f>IF(ISNA(VLOOKUP(A82,'Données projet'!$A$113:$I$133,7,0)),0%,VLOOKUP(A82,'Données projet'!$A$113:$I$133,7,0))</f>
        <v>0</v>
      </c>
      <c r="CK82" s="21">
        <f>EXP(-LN(2)/35)*CK81+(1-EXP(-LN(2)/35))/(LN(2)/35)*CG82*CH82*VLOOKUP('Données projet'!$B$12,Paramètres!$A$1:$I$89,3,0)*0.475*44/12</f>
        <v>0.93159554175652359</v>
      </c>
      <c r="CL82" s="21">
        <f>EXP(-LN(2)/25)*CL81+(1-EXP(-LN(2)/25))/(LN(2)/25)*Calculateur!CG82*Calculateur!CI82*VLOOKUP('Données projet'!$B$12,Paramètres!$A$1:$I$89,3,0)*0.475*44/12</f>
        <v>3.693632145816689</v>
      </c>
      <c r="CM82" s="21">
        <f>EXP(-LN(2)/2)*CM81+(1-EXP(-LN(2)/2))/(LN(2)/2)*CG82*CJ82*VLOOKUP('Données projet'!$B$12,Paramètres!$A$1:$I$89,3,0)*0.475*44/12</f>
        <v>8.9547458490694609E-7</v>
      </c>
      <c r="CN82" s="22">
        <f t="shared" si="66"/>
        <v>4.6252285830477975</v>
      </c>
      <c r="CO82" s="75">
        <f>('Scénario référence'!$F$8+'Scénario référence'!$F$9+'Scénario référence'!$B$17+'Scénario référence'!$B$9+'Scénario référence'!$B$10)*70+IF((45+25*(1-EXP(-0.0175*A82)))&lt;70,'Scénario référence'!$B$16*(45+25*(1-EXP(-0.0175*A82))),70*'Scénario référence'!$B$16)+IF((32+38*(1-EXP(-0.0175*A82)))&lt;70,'Scénario référence'!$B$18*(32+38*(1-EXP(-0.0175*A82))),70*'Scénario référence'!$B$18)</f>
        <v>70</v>
      </c>
      <c r="CP82" s="12">
        <f>IF(A82&gt;30,10,('Scénario référence'!$B$16+'Scénario référence'!$B$17+'Scénario référence'!$B$18+'Scénario référence'!$B$9+'Scénario référence'!$B$10)*A82*10/30+('Scénario référence'!$F$8+'Scénario référence'!$F$9)*10)</f>
        <v>10</v>
      </c>
      <c r="CQ82" s="12" t="e">
        <f>VLOOKUP(A82,'Données projet'!$A$139:$I$159,2,0)</f>
        <v>#N/A</v>
      </c>
      <c r="CR82" s="12" t="e">
        <f>VLOOKUP(A82,'Données projet'!$A$139:$I$159,9,0)</f>
        <v>#N/A</v>
      </c>
      <c r="CS82" s="12">
        <f t="array" ref="CS82">INDEX(CR:CR,MIN(IF(ISNUMBER(CR82:CR278),ROW(CR82:CR278),"")))</f>
        <v>0</v>
      </c>
      <c r="CT82" s="12">
        <f>IF('Données projet'!$A$140&gt;35,CT81+CS82-DB81,IF(A82&lt;'Données projet'!$A$140,$CQ$205^A82,IF(A82='Données projet'!$A$140,'Données projet'!$B$140,CT81+CS82-DB81)))</f>
        <v>0</v>
      </c>
      <c r="CU82" s="17" t="e">
        <f>CT82*VLOOKUP('Données projet'!$B$13,Paramètres!$A$1:$I$89,3,0)*VLOOKUP('Données projet'!$B$13,Paramètres!$A$1:$I$89,5,0)</f>
        <v>#N/A</v>
      </c>
      <c r="CV82" s="13" t="e">
        <f t="shared" si="95"/>
        <v>#N/A</v>
      </c>
      <c r="CW82" s="20" t="e">
        <f t="shared" si="67"/>
        <v>#N/A</v>
      </c>
      <c r="CX82" s="59" t="e">
        <f t="shared" si="68"/>
        <v>#N/A</v>
      </c>
      <c r="CY82" s="59" t="e">
        <f ca="1">AVERAGE(OFFSET($CX$3,0,0,'Données projet'!$E$13+1,1))-AVERAGE(OFFSET($H$3,0,0,'Données projet'!$E$13+1,1))</f>
        <v>#N/A</v>
      </c>
      <c r="CZ82" s="59" t="e">
        <f t="shared" si="96"/>
        <v>#N/A</v>
      </c>
      <c r="DA82" s="15">
        <f>IF(ISNA(VLOOKUP(A82,'Données projet'!$A$139:$I$159,3,0)),0,VLOOKUP(A82,'Données projet'!$A$139:$I$159,3,0))</f>
        <v>0</v>
      </c>
      <c r="DB82" s="15">
        <f>IF(ISNA(VLOOKUP(A82,'Données projet'!$A$139:$I$159,4,0)),0,VLOOKUP(A82,'Données projet'!$A$139:$I$159,4,0))</f>
        <v>0</v>
      </c>
      <c r="DC82" s="16">
        <f>IF(ISNA(VLOOKUP(A82,'Données projet'!$A$139:$I$159,5,0)),0%,VLOOKUP(A82,'Données projet'!$A$139:$I$159,5,0)*VLOOKUP('Données projet'!$B$13,Paramètres!$A$1:$I$89,7,0))</f>
        <v>0</v>
      </c>
      <c r="DD82" s="16">
        <f>IF(ISNA(VLOOKUP(A82,'Données projet'!$A$139:$I$159,6,0)),0%,VLOOKUP(A82,'Données projet'!$A$139:$I$159,6,0)*VLOOKUP('Données projet'!$B$13,Paramètres!$A$1:$I$89,7,0))</f>
        <v>0</v>
      </c>
      <c r="DE82" s="16">
        <f>IF(ISNA(VLOOKUP(A82,'Données projet'!$A$139:$I$159,7,0)),0%,VLOOKUP(A82,'Données projet'!$A$139:$I$159,7,0))</f>
        <v>0</v>
      </c>
      <c r="DF82" s="21" t="e">
        <f>EXP(-LN(2)/35)*DF81+(1-EXP(-LN(2)/35))/(LN(2)/35)*DB82*DC82*VLOOKUP('Données projet'!$B$13,Paramètres!$A$1:$I$89,3,0)*0.475*44/12</f>
        <v>#N/A</v>
      </c>
      <c r="DG82" s="21" t="e">
        <f>EXP(-LN(2)/25)*DG81+(1-EXP(-LN(2)/25))/(LN(2)/25)*Calculateur!DB82*Calculateur!DD82*VLOOKUP('Données projet'!$B$13,Paramètres!$A$1:$I$89,3,0)*0.475*44/12</f>
        <v>#N/A</v>
      </c>
      <c r="DH82" s="21" t="e">
        <f>EXP(-LN(2)/2)*DH81+(1-EXP(-LN(2)/2))/(LN(2)/2)*DB82*DE82*VLOOKUP('Données projet'!$B$13,Paramètres!$A$1:$I$89,3,0)*0.475*44/12</f>
        <v>#N/A</v>
      </c>
      <c r="DI82" s="22" t="e">
        <f t="shared" si="69"/>
        <v>#N/A</v>
      </c>
      <c r="DJ82" s="75">
        <f>('Scénario référence'!$F$8+'Scénario référence'!$F$9+'Scénario référence'!$B$17+'Scénario référence'!$B$9+'Scénario référence'!$B$10)*70+IF((45+25*(1-EXP(-0.0175*A82)))&lt;70,'Scénario référence'!$B$16*(45+25*(1-EXP(-0.0175*A82))),70*'Scénario référence'!$B$16)+IF((32+38*(1-EXP(-0.0175*A82)))&lt;70,'Scénario référence'!$B$18*(32+38*(1-EXP(-0.0175*A82))),70*'Scénario référence'!$B$18)</f>
        <v>70</v>
      </c>
      <c r="DK82" s="12">
        <f>IF(A82&gt;30,10,('Scénario référence'!$B$16+'Scénario référence'!$B$17+'Scénario référence'!$B$18+'Scénario référence'!$B$9+'Scénario référence'!$B$10)*A82*10/30+('Scénario référence'!$F$8+'Scénario référence'!$F$9)*10)</f>
        <v>10</v>
      </c>
      <c r="DL82" s="12" t="e">
        <f>VLOOKUP(A82,'Données projet'!$A$165:$I$185,2,0)</f>
        <v>#N/A</v>
      </c>
      <c r="DM82" s="12" t="e">
        <f>VLOOKUP(A82,'Données projet'!$A$165:$I$185,9,0)</f>
        <v>#N/A</v>
      </c>
      <c r="DN82" s="12">
        <f t="array" ref="DN82">INDEX(DM:DM,MIN(IF(ISNUMBER(DM82:DM278),ROW(DM82:DM278),"")))</f>
        <v>4.7</v>
      </c>
      <c r="DO82" s="12">
        <f>IF('Données projet'!$A$166&gt;35,DO81+DN82-DW81,IF(A82&lt;'Données projet'!$A$166,$DL$205^A82,IF(A82='Données projet'!$A$166,'Données projet'!$B$166,DO81+DN82-DW81)))</f>
        <v>291.30000000000018</v>
      </c>
      <c r="DP82" s="17">
        <f>DO82*VLOOKUP('Données projet'!$B$14,Paramètres!$A$1:$I$89,3,0)*VLOOKUP('Données projet'!$B$14,Paramètres!$A$1:$I$89,5,0)</f>
        <v>190.85976000000014</v>
      </c>
      <c r="DQ82" s="13">
        <f t="shared" si="97"/>
        <v>47.729983604973754</v>
      </c>
      <c r="DR82" s="20">
        <f t="shared" si="70"/>
        <v>415.5438034453295</v>
      </c>
      <c r="DS82" s="59">
        <f t="shared" si="71"/>
        <v>708.87713677866282</v>
      </c>
      <c r="DT82" s="59">
        <f ca="1">AVERAGE(OFFSET($DS$3,0,0,'Données projet'!$E$14+1,1))-AVERAGE(OFFSET($H$3,0,0,'Données projet'!$E$14+1,1))</f>
        <v>188.68915783955595</v>
      </c>
      <c r="DU82" s="59">
        <f t="shared" si="98"/>
        <v>240.82467772396944</v>
      </c>
      <c r="DV82" s="15">
        <f>IF(ISNA(VLOOKUP(A82,'Données projet'!$A$165:$I$185,3,0)),0,VLOOKUP(A82,'Données projet'!$A$165:$I$185,3,0))</f>
        <v>0</v>
      </c>
      <c r="DW82" s="15">
        <f>IF(ISNA(VLOOKUP(A82,'Données projet'!$A$165:$I$185,4,0)),0,VLOOKUP(A82,'Données projet'!$A$165:$I$185,4,0))</f>
        <v>0</v>
      </c>
      <c r="DX82" s="16">
        <f>IF(ISNA(VLOOKUP(A82,'Données projet'!$A$165:$I$185,5,0)),0%,VLOOKUP(A82,'Données projet'!$A$165:$I$185,5,0)*VLOOKUP('Données projet'!$B$14,Paramètres!$A$1:$I$89,7,0))</f>
        <v>0</v>
      </c>
      <c r="DY82" s="16">
        <f>IF(ISNA(VLOOKUP(A82,'Données projet'!$A$165:$I$185,6,0)),0%,VLOOKUP(A82,'Données projet'!$A$165:$I$185,6,0)*VLOOKUP('Données projet'!$B$14,Paramètres!$A$1:$I$89,7,0))</f>
        <v>0</v>
      </c>
      <c r="DZ82" s="16">
        <f>IF(ISNA(VLOOKUP(A82,'Données projet'!$A$165:$I$185,7,0)),0%,VLOOKUP(A82,'Données projet'!$A$165:$I$185,7,0))</f>
        <v>0</v>
      </c>
      <c r="EA82" s="21">
        <f>EXP(-LN(2)/35)*EA81+(1-EXP(-LN(2)/35))/(LN(2)/35)*DW82*DX82*VLOOKUP('Données projet'!$B$14,Paramètres!$A$1:$I$89,3,0)*0.475*44/12</f>
        <v>0.5900889269122761</v>
      </c>
      <c r="EB82" s="21">
        <f>EXP(-LN(2)/25)*EB81+(1-EXP(-LN(2)/25))/(LN(2)/25)*Calculateur!DW82*Calculateur!DY82*VLOOKUP('Données projet'!$B$14,Paramètres!$A$1:$I$89,3,0)*0.475*44/12</f>
        <v>2.0660022508856657</v>
      </c>
      <c r="EC82" s="21">
        <f>EXP(-LN(2)/2)*EC81+(1-EXP(-LN(2)/2))/(LN(2)/2)*DW82*DZ82*VLOOKUP('Données projet'!$B$14,Paramètres!$A$1:$I$89,3,0)*0.475*44/12</f>
        <v>5.899044870913375E-7</v>
      </c>
      <c r="ED82" s="22">
        <f t="shared" si="72"/>
        <v>2.6560917677024287</v>
      </c>
      <c r="EE82" s="75">
        <f>('Scénario référence'!$F$8+'Scénario référence'!$F$9+'Scénario référence'!$B$17+'Scénario référence'!$B$9+'Scénario référence'!$B$10)*70+IF((45+25*(1-EXP(-0.0175*A82)))&lt;70,'Scénario référence'!$B$16*(45+25*(1-EXP(-0.0175*A82))),70*'Scénario référence'!$B$16)+IF((32+38*(1-EXP(-0.0175*A82)))&lt;70,'Scénario référence'!$B$18*(32+38*(1-EXP(-0.0175*A82))),70*'Scénario référence'!$B$18)</f>
        <v>70</v>
      </c>
      <c r="EF82" s="12">
        <f>IF(A82&gt;30,10,('Scénario référence'!$B$16+'Scénario référence'!$B$17+'Scénario référence'!$B$18+'Scénario référence'!$B$9+'Scénario référence'!$B$10)*A82*10/30+('Scénario référence'!$F$8+'Scénario référence'!$F$9)*10)</f>
        <v>10</v>
      </c>
      <c r="EG82" s="12" t="e">
        <f>VLOOKUP(A82,'Données projet'!$A$191:$I$211,2,0)</f>
        <v>#N/A</v>
      </c>
      <c r="EH82" s="12" t="e">
        <f>VLOOKUP(A82,'Données projet'!$A$191:$I$211,9,0)</f>
        <v>#N/A</v>
      </c>
      <c r="EI82" s="12">
        <f t="array" ref="EI82">INDEX(EH:EH,MIN(IF(ISNUMBER(EH82:EH278),ROW(EH82:EH278),"")))</f>
        <v>5.2</v>
      </c>
      <c r="EJ82" s="12">
        <f>IF('Données projet'!$A$192&gt;35,EJ81+EI82-ER81,IF(A82&lt;'Données projet'!$A$192,$EG$205^A82,IF(A82='Données projet'!$A$192,'Données projet'!$B$192,EJ81+EI82-ER81)))</f>
        <v>287.79999999999984</v>
      </c>
      <c r="EK82" s="17">
        <f>EJ82*VLOOKUP('Données projet'!$B$15,Paramètres!$A$1:$I$89,3,0)*VLOOKUP('Données projet'!$B$15,Paramètres!$A$1:$I$89,5,0)</f>
        <v>233.46335999999988</v>
      </c>
      <c r="EL82" s="13">
        <f t="shared" si="99"/>
        <v>57.030888299157333</v>
      </c>
      <c r="EM82" s="20">
        <f t="shared" si="73"/>
        <v>505.94414912103213</v>
      </c>
      <c r="EN82" s="59">
        <f t="shared" si="74"/>
        <v>799.27748245436544</v>
      </c>
      <c r="EO82" s="59">
        <f ca="1">AVERAGE(OFFSET($EN$3,0,0,'Données projet'!$E$15+1,1))-AVERAGE(OFFSET($H$3,0,0,'Données projet'!$E$15+1,1))</f>
        <v>205.5272583787887</v>
      </c>
      <c r="EP82" s="59">
        <f t="shared" si="100"/>
        <v>180.54762778843178</v>
      </c>
      <c r="EQ82" s="15">
        <f>IF(ISNA(VLOOKUP(A82,'Données projet'!$A$191:$I$211,3,0)),0,VLOOKUP(A82,'Données projet'!$A$191:$I$211,3,0))</f>
        <v>0</v>
      </c>
      <c r="ER82" s="15">
        <f>IF(ISNA(VLOOKUP(A82,'Données projet'!$A$191:$I$211,4,0)),0,VLOOKUP(A82,'Données projet'!$A$191:$I$211,4,0))</f>
        <v>0</v>
      </c>
      <c r="ES82" s="16">
        <f>IF(ISNA(VLOOKUP(A82,'Données projet'!$A$191:$I$211,5,0)),0%,VLOOKUP(A82,'Données projet'!$A$191:$I$211,5,0)*VLOOKUP('Données projet'!$B$15,Paramètres!$A$1:$I$89,7,0))</f>
        <v>0</v>
      </c>
      <c r="ET82" s="16">
        <f>IF(ISNA(VLOOKUP(A82,'Données projet'!$A$191:$I$211,6,0)),0%,VLOOKUP(A82,'Données projet'!$A$191:$I$211,6,0)*VLOOKUP('Données projet'!$B$15,Paramètres!$A$1:$I$89,7,0))</f>
        <v>0</v>
      </c>
      <c r="EU82" s="16">
        <f>IF(ISNA(VLOOKUP(A82,'Données projet'!$A$191:$I$211,7,0)),0%,VLOOKUP(A82,'Données projet'!$A$191:$I$211,7,0))</f>
        <v>0</v>
      </c>
      <c r="EV82" s="21">
        <f>EXP(-LN(2)/35)*EV81+(1-EXP(-LN(2)/35))/(LN(2)/35)*ER82*ES82*VLOOKUP('Données projet'!$B$15,Paramètres!$A$1:$I$89,3,0)*0.475*44/12</f>
        <v>0.37990487104066528</v>
      </c>
      <c r="EW82" s="21">
        <f>EXP(-LN(2)/25)*EW81+(1-EXP(-LN(2)/25))/(LN(2)/25)*Calculateur!ER82*Calculateur!ET82*VLOOKUP('Données projet'!$B$15,Paramètres!$A$1:$I$89,3,0)*0.475*44/12</f>
        <v>1.4917162993111741</v>
      </c>
      <c r="EX82" s="21">
        <f>EXP(-LN(2)/2)*EX81+(1-EXP(-LN(2)/2))/(LN(2)/2)*ER82*EU82*VLOOKUP('Données projet'!$B$15,Paramètres!$A$1:$I$89,3,0)*0.475*44/12</f>
        <v>3.8196359158247779E-7</v>
      </c>
      <c r="EY82" s="22">
        <f t="shared" si="75"/>
        <v>1.8716215523154311</v>
      </c>
      <c r="EZ82" s="75">
        <f>('Scénario référence'!$F$8+'Scénario référence'!$F$9+'Scénario référence'!$B$17+'Scénario référence'!$B$9+'Scénario référence'!$B$10)*70+IF((45+25*(1-EXP(-0.0175*A82)))&lt;70,'Scénario référence'!$B$16*(45+25*(1-EXP(-0.0175*A82))),70*'Scénario référence'!$B$16)+IF((32+38*(1-EXP(-0.0175*A82)))&lt;70,'Scénario référence'!$B$18*(32+38*(1-EXP(-0.0175*A82))),70*'Scénario référence'!$B$18)</f>
        <v>70</v>
      </c>
      <c r="FA82" s="12">
        <f>IF(A82&gt;30,10,('Scénario référence'!$B$16+'Scénario référence'!$B$17+'Scénario référence'!$B$18+'Scénario référence'!$B$9+'Scénario référence'!$B$10)*A82*10/30+('Scénario référence'!$F$8+'Scénario référence'!$F$9)*10)</f>
        <v>10</v>
      </c>
      <c r="FB82" s="12" t="e">
        <f>VLOOKUP(A82,'Données projet'!$A$217:$I$237,2,0)</f>
        <v>#N/A</v>
      </c>
      <c r="FC82" s="12" t="e">
        <f>VLOOKUP(A82,'Données projet'!$A$217:$I$237,9,0)</f>
        <v>#N/A</v>
      </c>
      <c r="FD82" s="12">
        <f t="array" ref="FD82">INDEX(FC:FC,MIN(IF(ISNUMBER(FC82:FC278),ROW(FC82:FC278),"")))</f>
        <v>12.1</v>
      </c>
      <c r="FE82" s="12">
        <f>IF('Données projet'!$A$218&gt;35,FE81+FD82-FM81,IF(A82&lt;'Données projet'!$A$218,$FB$205^A82,IF(A82='Données projet'!$A$218,'Données projet'!$B$218,FE81+FD82-FM81)))</f>
        <v>388.90000000000015</v>
      </c>
      <c r="FF82" s="17">
        <f>FE82*VLOOKUP('Données projet'!$B$16,Paramètres!$A$1:$I$89,3,0)*VLOOKUP('Données projet'!$B$16,Paramètres!$A$1:$I$89,5,0)</f>
        <v>333.67620000000016</v>
      </c>
      <c r="FG82" s="13">
        <f t="shared" si="101"/>
        <v>78.191985109244257</v>
      </c>
      <c r="FH82" s="20">
        <f t="shared" si="76"/>
        <v>717.33708906526738</v>
      </c>
      <c r="FI82" s="59">
        <f t="shared" si="77"/>
        <v>1010.6704223986007</v>
      </c>
      <c r="FJ82" s="59">
        <f ca="1">AVERAGE(OFFSET($FI$3,0,0,'Données projet'!$E$16+1,1))-AVERAGE(OFFSET($H$3,0,0,'Données projet'!$E$16+1,1))</f>
        <v>383.97627237444709</v>
      </c>
      <c r="FK82" s="59">
        <f t="shared" si="102"/>
        <v>203.35476578922339</v>
      </c>
      <c r="FL82" s="15">
        <f>IF(ISNA(VLOOKUP(A82,'Données projet'!$A$217:$I$237,3,0)),0,VLOOKUP(A82,'Données projet'!$A$217:$I$237,3,0))</f>
        <v>0</v>
      </c>
      <c r="FM82" s="15">
        <f>IF(ISNA(VLOOKUP(A82,'Données projet'!$A$217:$I$237,4,0)),0,VLOOKUP(A82,'Données projet'!$A$217:$I$237,4,0))</f>
        <v>0</v>
      </c>
      <c r="FN82" s="16">
        <f>IF(ISNA(VLOOKUP(A82,'Données projet'!$A$217:$I$237,5,0)),0%,VLOOKUP(A82,'Données projet'!$A$217:$I$237,5,0)*VLOOKUP('Données projet'!$B$16,Paramètres!$A$1:$I$89,7,0))</f>
        <v>0</v>
      </c>
      <c r="FO82" s="16">
        <f>IF(ISNA(VLOOKUP(A82,'Données projet'!$A$217:$I$237,6,0)),0%,VLOOKUP(A82,'Données projet'!$A$217:$I$237,6,0)*VLOOKUP('Données projet'!$B$16,Paramètres!$A$1:$I$89,7,0))</f>
        <v>0</v>
      </c>
      <c r="FP82" s="16">
        <f>IF(ISNA(VLOOKUP(A82,'Données projet'!$A$217:$I$237,7,0)),0%,VLOOKUP(A82,'Données projet'!$A$217:$I$237,7,0))</f>
        <v>0</v>
      </c>
      <c r="FQ82" s="21">
        <f>EXP(-LN(2)/35)*FQ81+(1-EXP(-LN(2)/35))/(LN(2)/35)*FM82*FN82*VLOOKUP('Données projet'!$B$16,Paramètres!$A$1:$I$89,3,0)*0.475*44/12</f>
        <v>1.9525049307840749</v>
      </c>
      <c r="FR82" s="21">
        <f>EXP(-LN(2)/25)*FR81+(1-EXP(-LN(2)/25))/(LN(2)/25)*Calculateur!FM82*Calculateur!FO82*VLOOKUP('Données projet'!$B$16,Paramètres!$A$1:$I$89,3,0)*0.475*44/12</f>
        <v>1.5142462273335302</v>
      </c>
      <c r="FS82" s="21">
        <f>EXP(-LN(2)/2)*FS81+(1-EXP(-LN(2)/2))/(LN(2)/2)*FM82*FP82*VLOOKUP('Données projet'!$B$16,Paramètres!$A$1:$I$89,3,0)*0.475*44/12</f>
        <v>7.0158872745852674E-7</v>
      </c>
      <c r="FT82" s="22">
        <f t="shared" si="78"/>
        <v>3.4667518597063327</v>
      </c>
      <c r="FU82" s="75">
        <f>('Scénario référence'!$F$8+'Scénario référence'!$F$9+'Scénario référence'!$B$17+'Scénario référence'!$B$9+'Scénario référence'!$B$10)*70+IF((45+25*(1-EXP(-0.0175*A82)))&lt;70,'Scénario référence'!$B$16*(45+25*(1-EXP(-0.0175*A82))),70*'Scénario référence'!$B$16)+IF((32+38*(1-EXP(-0.0175*A82)))&lt;70,'Scénario référence'!$B$18*(32+38*(1-EXP(-0.0175*A82))),70*'Scénario référence'!$B$18)</f>
        <v>70</v>
      </c>
      <c r="FV82" s="12">
        <f>IF(A82&gt;30,10,('Scénario référence'!$B$16+'Scénario référence'!$B$17+'Scénario référence'!$B$18+'Scénario référence'!$B$9+'Scénario référence'!$B$10)*A82*10/30+('Scénario référence'!$F$8+'Scénario référence'!$F$9)*10)</f>
        <v>10</v>
      </c>
      <c r="FW82" s="12" t="e">
        <f>VLOOKUP(A82,'Données projet'!$A$243:$I$263,2,0)</f>
        <v>#N/A</v>
      </c>
      <c r="FX82" s="12" t="e">
        <f>VLOOKUP(A82,'Données projet'!$A$243:$I$263,9,0)</f>
        <v>#N/A</v>
      </c>
      <c r="FY82" s="12">
        <f t="array" ref="FY82">INDEX(FX:FX,MIN(IF(ISNUMBER(FX82:FX278),ROW(FX82:FX278),"")))</f>
        <v>7.8425925925925934</v>
      </c>
      <c r="FZ82" s="12">
        <f>IF('Données projet'!$A$244&gt;35,FZ81+FY82-GH81,IF(A82&lt;'Données projet'!$A$244,$FW$205^A82,IF(A82='Données projet'!$A$244,'Données projet'!$B$244,FZ81+FY82-GH81)))</f>
        <v>266.17022792022789</v>
      </c>
      <c r="GA82" s="17">
        <f>FZ82*VLOOKUP('Données projet'!$B$17,Paramètres!$A$1:$I$89,3,0)*VLOOKUP('Données projet'!$B$17,Paramètres!$A$1:$I$89,5,0)</f>
        <v>286.50563333333326</v>
      </c>
      <c r="GB82" s="13">
        <f t="shared" si="103"/>
        <v>68.339992999042508</v>
      </c>
      <c r="GC82" s="20">
        <f t="shared" si="79"/>
        <v>618.02279919555451</v>
      </c>
      <c r="GD82" s="59">
        <f t="shared" si="80"/>
        <v>911.35613252888788</v>
      </c>
      <c r="GE82" s="59">
        <f ca="1">AVERAGE(OFFSET($GD$3,0,0,'Données projet'!$E$17+1,1))-AVERAGE(OFFSET($H$3,0,0,'Données projet'!$E$17+1,1))</f>
        <v>286.77702855541287</v>
      </c>
      <c r="GF82" s="59">
        <f t="shared" si="104"/>
        <v>227.12211541860779</v>
      </c>
      <c r="GG82" s="15">
        <f>IF(ISNA(VLOOKUP(A82,'Données projet'!$A$243:$I$263,3,0)),0,VLOOKUP(A82,'Données projet'!$A$243:$I$263,3,0))</f>
        <v>0</v>
      </c>
      <c r="GH82" s="15">
        <f>IF(ISNA(VLOOKUP(A82,'Données projet'!$A$243:$I$263,4,0)),0,VLOOKUP(A82,'Données projet'!$A$243:$I$263,4,0))</f>
        <v>0</v>
      </c>
      <c r="GI82" s="16">
        <f>IF(ISNA(VLOOKUP(A82,'Données projet'!$A$243:$I$263,5,0)),0%,VLOOKUP(A82,'Données projet'!$A$243:$I$263,5,0)*VLOOKUP('Données projet'!$B$17,Paramètres!$A$1:$I$89,7,0))</f>
        <v>0</v>
      </c>
      <c r="GJ82" s="16">
        <f>IF(ISNA(VLOOKUP(A82,'Données projet'!$A$243:$I$263,6,0)),0%,VLOOKUP(A82,'Données projet'!$A$243:$I$263,6,0)*VLOOKUP('Données projet'!$B$17,Paramètres!$A$1:$I$89,7,0))</f>
        <v>0</v>
      </c>
      <c r="GK82" s="16">
        <f>IF(ISNA(VLOOKUP(A82,'Données projet'!$A$243:$I$263,7,0)),0%,VLOOKUP(A82,'Données projet'!$A$243:$I$263,7,0))</f>
        <v>0</v>
      </c>
      <c r="GL82" s="21">
        <f>EXP(-LN(2)/35)*GL81+(1-EXP(-LN(2)/35))/(LN(2)/35)*GH82*GI82*VLOOKUP('Données projet'!$B$17,Paramètres!$A$1:$I$89,3,0)*0.475*44/12</f>
        <v>0</v>
      </c>
      <c r="GM82" s="21">
        <f>EXP(-LN(2)/25)*GM81+(1-EXP(-LN(2)/25))/(LN(2)/25)*Calculateur!GH82*Calculateur!GJ82*VLOOKUP('Données projet'!$B$17,Paramètres!$A$1:$I$89,3,0)*0.475*44/12</f>
        <v>0</v>
      </c>
      <c r="GN82" s="21">
        <f>EXP(-LN(2)/2)*GN81+(1-EXP(-LN(2)/2))/(LN(2)/2)*GH82*GK82*VLOOKUP('Données projet'!$B$17,Paramètres!$A$1:$I$89,3,0)*0.475*44/12</f>
        <v>0</v>
      </c>
      <c r="GO82" s="21">
        <f t="shared" si="81"/>
        <v>0</v>
      </c>
      <c r="GP82" s="75">
        <f>('Scénario référence'!$F$8+'Scénario référence'!$F$9+'Scénario référence'!$B$17+'Scénario référence'!$B$9+'Scénario référence'!$B$10)*70+IF((45+25*(1-EXP(-0.0175*A82)))&lt;70,'Scénario référence'!$B$16*(45+25*(1-EXP(-0.0175*A82))),70*'Scénario référence'!$B$16)+IF((32+38*(1-EXP(-0.0175*A82)))&lt;70,'Scénario référence'!$B$18*(32+38*(1-EXP(-0.0175*A82))),70*'Scénario référence'!$B$18)</f>
        <v>70</v>
      </c>
      <c r="GQ82" s="12">
        <f>IF(A82&gt;30,10,('Scénario référence'!$B$16+'Scénario référence'!$B$17+'Scénario référence'!$B$18+'Scénario référence'!$B$9+'Scénario référence'!$B$10)*A82*10/30+('Scénario référence'!$F$8+'Scénario référence'!$F$9)*10)</f>
        <v>10</v>
      </c>
      <c r="GR82" s="12" t="e">
        <f>VLOOKUP(A82,'Données projet'!$A$269:$I$289,2,0)</f>
        <v>#N/A</v>
      </c>
      <c r="GS82" s="12" t="e">
        <f>VLOOKUP(A82,'Données projet'!$A$269:$I$289,9,0)</f>
        <v>#N/A</v>
      </c>
      <c r="GT82" s="12">
        <f t="array" ref="GT82">INDEX(GS:GS,MIN(IF(ISNUMBER(GS82:GS278),ROW(GS82:GS278),"")))</f>
        <v>7.8425925925925934</v>
      </c>
      <c r="GU82" s="12">
        <f>IF('Données projet'!$A$270&gt;35,GU81+GT82-HC81,IF(A82&lt;'Données projet'!$A$270,$GR$205^A82,IF(A82='Données projet'!$A$270,'Données projet'!$B$270,GU81+GT82-HC81)))</f>
        <v>266.17022792022789</v>
      </c>
      <c r="GV82" s="17">
        <f>GU82*VLOOKUP('Données projet'!$B$18,Paramètres!$A$1:$I$89,3,0)*VLOOKUP('Données projet'!$B$18,Paramètres!$A$1:$I$89,5,0)</f>
        <v>286.50563333333326</v>
      </c>
      <c r="GW82" s="13">
        <f t="shared" si="105"/>
        <v>68.339992999042508</v>
      </c>
      <c r="GX82" s="20">
        <f t="shared" si="82"/>
        <v>618.02279919555451</v>
      </c>
      <c r="GY82" s="59">
        <f t="shared" si="83"/>
        <v>911.35613252888788</v>
      </c>
      <c r="GZ82" s="59">
        <f ca="1">AVERAGE(OFFSET($GY$3,0,0,'Données projet'!$E$18+1,1))-AVERAGE(OFFSET($H$3,0,0,'Données projet'!$E$18+1,1))</f>
        <v>286.77702855541287</v>
      </c>
      <c r="HA82" s="59">
        <f t="shared" si="106"/>
        <v>227.12211541860779</v>
      </c>
      <c r="HB82" s="15">
        <f>IF(ISNA(VLOOKUP(A82,'Données projet'!$A$269:$I$289,3,0)),0,VLOOKUP(A82,'Données projet'!$A$269:$I$289,3,0))</f>
        <v>0</v>
      </c>
      <c r="HC82" s="15">
        <f>IF(ISNA(VLOOKUP(A82,'Données projet'!$A$269:$I$289,4,0)),0,VLOOKUP(A82,'Données projet'!$A$269:$I$289,4,0))</f>
        <v>0</v>
      </c>
      <c r="HD82" s="16">
        <f>IF(ISNA(VLOOKUP(A82,'Données projet'!$A$269:$I$289,5,0)),0%,VLOOKUP(A82,'Données projet'!$A$269:$I$289,5,0)*VLOOKUP('Données projet'!$B$18,Paramètres!$A$1:$I$89,7,0))</f>
        <v>0</v>
      </c>
      <c r="HE82" s="16">
        <f>IF(ISNA(VLOOKUP(A82,'Données projet'!$A$269:$I$289,6,0)),0%,VLOOKUP(A82,'Données projet'!$A$269:$I$289,6,0)*VLOOKUP('Données projet'!$B$18,Paramètres!$A$1:$I$89,7,0))</f>
        <v>0</v>
      </c>
      <c r="HF82" s="16">
        <f>IF(ISNA(VLOOKUP(A82,'Données projet'!$A$269:$I$289,7,0)),0%,VLOOKUP(A82,'Données projet'!$A$269:$I$289,7,0))</f>
        <v>0</v>
      </c>
      <c r="HG82" s="21">
        <f>EXP(-LN(2)/35)*HG81+(1-EXP(-LN(2)/35))/(LN(2)/35)*HC82*HD82*VLOOKUP('Données projet'!$B$18,Paramètres!$A$1:$I$89,3,0)*0.475*44/12</f>
        <v>0</v>
      </c>
      <c r="HH82" s="21">
        <f>EXP(-LN(2)/25)*HH81+(1-EXP(-LN(2)/25))/(LN(2)/25)*Calculateur!HC82*Calculateur!HE82*VLOOKUP('Données projet'!$B$18,Paramètres!$A$1:$I$89,3,0)*0.475*44/12</f>
        <v>0</v>
      </c>
      <c r="HI82" s="21">
        <f>EXP(-LN(2)/2)*HI81+(1-EXP(-LN(2)/2))/(LN(2)/2)*HC82*HF82*VLOOKUP('Données projet'!$B$18,Paramètres!$A$1:$I$89,3,0)*0.475*44/12</f>
        <v>0</v>
      </c>
      <c r="HJ82" s="22">
        <f t="shared" si="84"/>
        <v>0</v>
      </c>
    </row>
    <row r="83" spans="1:218" x14ac:dyDescent="0.25">
      <c r="A83" s="10">
        <f t="shared" si="85"/>
        <v>80</v>
      </c>
      <c r="B83" s="73">
        <f>'Scénario référence'!$B$16*5+'Scénario référence'!$B$17*0+'Scénario référence'!$B$18*5</f>
        <v>0</v>
      </c>
      <c r="C83" s="19">
        <f>Calculateur!C82+'Scénario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71.136000000000095</v>
      </c>
      <c r="D83" s="11">
        <f t="shared" si="86"/>
        <v>19.955301551927505</v>
      </c>
      <c r="E8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83" s="11">
        <f>IF(OR('Scénario référence'!$F$8&gt;0,'Scénario référence'!$F$9&gt;0),('Scénario référence'!$F$8+'Scénario référence'!$F$9)*10,0)</f>
        <v>10</v>
      </c>
      <c r="G83" s="11">
        <f>'Scénario référence'!$B$8*B83*44/12+'Scénario référence'!$B$9*(C83+D83)/0.475*44/12+'Scénario référence'!$B$10*(C83+D83)/0.475*44/12+'Scénario référence'!$F$8*(C83+D83)/0.475*44/12+'Scénario référence'!$F$9*(C83+D83)/0.475*44/12</f>
        <v>703.16092426049374</v>
      </c>
      <c r="H83" s="67">
        <f t="shared" si="56"/>
        <v>451.98401686960722</v>
      </c>
      <c r="I83" s="70">
        <f>('Scénario référence'!$F$8+'Scénario référence'!$F$9+'Scénario référence'!$B$17+'Scénario référence'!$B$9+'Scénario référence'!$B$10)*70+IF((45+25*(1-EXP(-0.0175*A83)))&lt;70,'Scénario référence'!$B$16*(45+25*(1-EXP(-0.0175*A83))),70*'Scénario référence'!$B$16)+IF((32+38*(1-EXP(-0.0175*A83)))&lt;70,'Scénario référence'!$B$18*(32+38*(1-EXP(-0.0175*A83))),70*'Scénario référence'!$B$18)</f>
        <v>70</v>
      </c>
      <c r="J83" s="13">
        <f>IF(A83&gt;30,10,('Scénario référence'!$B$16+'Scénario référence'!$B$17+'Scénario référence'!$B$18+'Scénario référence'!$B$9+'Scénario référence'!$B$10)*A83*10/30+('Scénario référence'!$F$8+'Scénario référence'!$F$9)*10)</f>
        <v>10</v>
      </c>
      <c r="K83" s="12" t="e">
        <f>VLOOKUP(A83,'Données projet'!$A$35:$I$55,2,0)</f>
        <v>#N/A</v>
      </c>
      <c r="L83" s="12" t="e">
        <f>VLOOKUP(A83,'Données projet'!$A$35:$I$55,9,0)</f>
        <v>#N/A</v>
      </c>
      <c r="M83" s="12">
        <f t="array" ref="M83">INDEX(L:L,MIN(IF(ISNUMBER(L83:L279),ROW(L83:L279),"")))</f>
        <v>0</v>
      </c>
      <c r="N83" s="13">
        <f>IF('Données projet'!$A$36&gt;35,N82+M83-V82,IF(A83&lt;'Données projet'!$A$36,$K$205^A83,IF(A83='Données projet'!$A$36,'Données projet'!$B$36,N82+M83-V82)))</f>
        <v>-2.2737367544323206E-13</v>
      </c>
      <c r="O83" s="13">
        <f>N83*VLOOKUP('Données projet'!$B$9,Paramètres!$A$1:$I$89,3,0)*VLOOKUP('Données projet'!$B$9,Paramètres!$A$1:$I$89,5,0)</f>
        <v>-1.2710188457276673E-13</v>
      </c>
      <c r="P83" s="13" t="e">
        <f t="shared" si="87"/>
        <v>#NUM!</v>
      </c>
      <c r="Q83" s="20" t="e">
        <f t="shared" si="54"/>
        <v>#NUM!</v>
      </c>
      <c r="R83" s="59" t="e">
        <f t="shared" si="55"/>
        <v>#NUM!</v>
      </c>
      <c r="S83" s="59">
        <f ca="1">AVERAGE(OFFSET($R$3,0,0,'Données projet'!$E$9+1,1))-AVERAGE(OFFSET($H$3,0,0,'Données projet'!$E$9+1,1))</f>
        <v>255.5374979188561</v>
      </c>
      <c r="T83" s="59">
        <f t="shared" si="88"/>
        <v>343.10418468620901</v>
      </c>
      <c r="U83" s="15">
        <f>IF(ISNA(VLOOKUP(A83,'Données projet'!$A$35:$I$55,3,0)),0,VLOOKUP(A83,'Données projet'!$A$35:$I$55,3,0))</f>
        <v>0</v>
      </c>
      <c r="V83" s="15">
        <f>IF(ISNA(VLOOKUP(A83,'Données projet'!$A$35:$I$55,4,0)),0,VLOOKUP(A83,'Données projet'!$A$35:$I$55,4,0))</f>
        <v>0</v>
      </c>
      <c r="W83" s="16">
        <f>IF(ISNA(VLOOKUP(A83,'Données projet'!$A$35:$I$55,5,0)),0%,VLOOKUP(A83,'Données projet'!$A$35:$I$55,5,0)*VLOOKUP('Données projet'!$B$9,Paramètres!$A$1:$I$89,7,0))</f>
        <v>0</v>
      </c>
      <c r="X83" s="16">
        <f>IF(ISNA(VLOOKUP(A83,'Données projet'!$A$35:$I$55,6,0)),0%,VLOOKUP(A83,'Données projet'!$A$35:$I$55,6,0)*VLOOKUP('Données projet'!$B$9,Paramètres!$A$1:$I$89,7,0))</f>
        <v>0</v>
      </c>
      <c r="Y83" s="16">
        <f>IF(ISNA(VLOOKUP(A83,'Données projet'!$A$35:$I$55,7,0)),0%,VLOOKUP(A83,'Données projet'!$A$35:$I$55,7,0))</f>
        <v>0</v>
      </c>
      <c r="Z83" s="21">
        <f>EXP(-LN(2)/35)*Z82+(1-EXP(-LN(2)/35))/(LN(2)/35)*V83*W83*VLOOKUP('Données projet'!$B$9,Paramètres!$A$1:$I$89,3,0)*0.475*44/12</f>
        <v>1.1479457627949394</v>
      </c>
      <c r="AA83" s="21">
        <f>EXP(-LN(2)/25)*AA82+(1-EXP(-LN(2)/25))/(LN(2)/25)*Calculateur!V83*Calculateur!X83*VLOOKUP('Données projet'!$B$9,Paramètres!$A$1:$I$89,3,0)*0.475*44/12</f>
        <v>3.9900647825670048</v>
      </c>
      <c r="AB83" s="21">
        <f>EXP(-LN(2)/2)*AB82+(1-EXP(-LN(2)/2))/(LN(2)/2)*V83*Y83*VLOOKUP('Données projet'!$B$9,Paramètres!$A$1:$I$89,3,0)*0.475*44/12</f>
        <v>5.0444962962092937E-8</v>
      </c>
      <c r="AC83" s="22">
        <f t="shared" si="57"/>
        <v>5.1380105958069073</v>
      </c>
      <c r="AD83" s="13">
        <f>('Scénario référence'!$F$8+'Scénario référence'!$F$9+'Scénario référence'!$B$17+'Scénario référence'!$B$9+'Scénario référence'!$B$10)*70+IF((45+25*(1-EXP(-0.0175*A83)))&lt;70,'Scénario référence'!$B$16*(45+25*(1-EXP(-0.0175*A83))),70*'Scénario référence'!$B$16)+IF((32+38*(1-EXP(-0.0175*A83)))&lt;70,'Scénario référence'!$B$18*(32+38*(1-EXP(-0.0175*A83))),70*'Scénario référence'!$B$18)</f>
        <v>70</v>
      </c>
      <c r="AE83" s="13">
        <f>IF(A83&gt;30,10,('Scénario référence'!$B$16+'Scénario référence'!$B$17+'Scénario référence'!$B$18+'Scénario référence'!$B$9+'Scénario référence'!$B$10)*A83*10/30+('Scénario référence'!$F$8+'Scénario référence'!$F$9)*10)</f>
        <v>10</v>
      </c>
      <c r="AF83" s="12">
        <f>VLOOKUP(A83,'Données projet'!$A$61:$I$81,2,0)</f>
        <v>442</v>
      </c>
      <c r="AG83" s="12">
        <f>VLOOKUP(A83,'Données projet'!$A$61:$I$81,9,0)</f>
        <v>6</v>
      </c>
      <c r="AH83" s="12">
        <f t="array" ref="AH83">INDEX(AG:AG,MIN(IF(ISNUMBER(AG83:AG279),ROW(AG83:AG279),"")))</f>
        <v>6</v>
      </c>
      <c r="AI83" s="13">
        <f>IF('Données projet'!$A$62&gt;35,AI82+AH83-AQ82,IF(A83&lt;'Données projet'!$A$62,$AF$205^A83,IF(A83='Données projet'!$A$62,'Données projet'!$B$62,AI82+AH83-AQ82)))</f>
        <v>442</v>
      </c>
      <c r="AJ83" s="13">
        <f>AI83*VLOOKUP('Données projet'!$B$10,Paramètres!$A$1:$I$89,3,0)*VLOOKUP('Données projet'!$B$10,Paramètres!$A$1:$I$89,5,0)</f>
        <v>275.80799999999999</v>
      </c>
      <c r="AK83" s="13">
        <f t="shared" si="89"/>
        <v>66.08034253144065</v>
      </c>
      <c r="AL83" s="20">
        <f t="shared" si="58"/>
        <v>595.45552990892566</v>
      </c>
      <c r="AM83" s="59">
        <f t="shared" si="59"/>
        <v>888.78886324225891</v>
      </c>
      <c r="AN83" s="59">
        <f ca="1">AVERAGE(OFFSET($AM$3,0,0,'Données projet'!$E$10+1,1))-AVERAGE(OFFSET($H$3,0,0,'Données projet'!$E$10+1,1))</f>
        <v>261.78489480911571</v>
      </c>
      <c r="AO83" s="59">
        <f t="shared" si="90"/>
        <v>297.50513563712764</v>
      </c>
      <c r="AP83" s="15">
        <f>IF(ISNA(VLOOKUP(A83,'Données projet'!$A$61:$I$81,3,0)),0,VLOOKUP(A83,'Données projet'!$A$61:$I$81,3,0))</f>
        <v>7</v>
      </c>
      <c r="AQ83" s="15">
        <f>IF(ISNA(VLOOKUP(A83,'Données projet'!$A$61:$I$81,4,0)),0,VLOOKUP(A83,'Données projet'!$A$61:$I$81,4,0))</f>
        <v>442</v>
      </c>
      <c r="AR83" s="16">
        <f>IF(ISNA(VLOOKUP(A83,'Données projet'!$A$61:$I$81,5,0)),0%,VLOOKUP(A83,'Données projet'!$A$61:$I$81,5,0)*VLOOKUP('Données projet'!$B$10,Paramètres!$A$1:$I$89,7,0))</f>
        <v>0</v>
      </c>
      <c r="AS83" s="16">
        <f>IF(ISNA(VLOOKUP(A83,'Données projet'!$A$61:$I$81,6,0)),0%,VLOOKUP(A83,'Données projet'!$A$61:$I$81,6,0)*VLOOKUP('Données projet'!$B$10,Paramètres!$A$1:$I$89,7,0))</f>
        <v>0</v>
      </c>
      <c r="AT83" s="16">
        <f>IF(ISNA(VLOOKUP(A83,'Données projet'!$A$61:$I$81,7,0)),0%,VLOOKUP(A83,'Données projet'!$A$61:$I$81,7,0))</f>
        <v>0</v>
      </c>
      <c r="AU83" s="21">
        <f>EXP(-LN(2)/35)*AU82+(1-EXP(-LN(2)/35))/(LN(2)/35)*AQ83*AR83*VLOOKUP('Données projet'!$B$10,Paramètres!$A$1:$I$89,3,0)*0.475*44/12</f>
        <v>3.0997782544479833</v>
      </c>
      <c r="AV83" s="21">
        <f>EXP(-LN(2)/25)*AV82+(1-EXP(-LN(2)/25))/(LN(2)/25)*Calculateur!AQ83*Calculateur!AS83*VLOOKUP('Données projet'!$B$10,Paramètres!$A$1:$I$89,3,0)*0.475*44/12</f>
        <v>6.9674669274648551</v>
      </c>
      <c r="AW83" s="21">
        <f>EXP(-LN(2)/2)*AW82+(1-EXP(-LN(2)/2))/(LN(2)/2)*AQ83*AT83*VLOOKUP('Données projet'!$B$10,Paramètres!$A$1:$I$89,3,0)*0.475*44/12</f>
        <v>7.2721216490602135E-7</v>
      </c>
      <c r="AX83" s="21">
        <f t="shared" si="60"/>
        <v>10.067245909125003</v>
      </c>
      <c r="AY83" s="74">
        <f>('Scénario référence'!$F$8+'Scénario référence'!$F$9+'Scénario référence'!$B$17+'Scénario référence'!$B$9+'Scénario référence'!$B$10)*70+IF((45+25*(1-EXP(-0.0175*A83)))&lt;70,'Scénario référence'!$B$16*(45+25*(1-EXP(-0.0175*A83))),70*'Scénario référence'!$B$16)+IF((32+38*(1-EXP(-0.0175*A83)))&lt;70,'Scénario référence'!$B$18*(32+38*(1-EXP(-0.0175*A83))),70*'Scénario référence'!$B$18)</f>
        <v>70</v>
      </c>
      <c r="AZ83" s="12">
        <f>IF(A83&gt;30,10,('Scénario référence'!$B$16+'Scénario référence'!$B$17+'Scénario référence'!$B$18+'Scénario référence'!$B$9+'Scénario référence'!$B$10)*A83*10/30+('Scénario référence'!$F$8+'Scénario référence'!$F$9)*10)</f>
        <v>10</v>
      </c>
      <c r="BA83" s="12">
        <f>VLOOKUP(A83,'Données projet'!$A$87:$I$107,2,0)</f>
        <v>606</v>
      </c>
      <c r="BB83" s="12">
        <f>VLOOKUP(A83,'Données projet'!$A$87:$I$107,9,0)</f>
        <v>14.5</v>
      </c>
      <c r="BC83" s="12">
        <f t="array" ref="BC83">INDEX(BB:BB,MIN(IF(ISNUMBER(BB83:BB279),ROW(BB83:BB279),"")))</f>
        <v>14.5</v>
      </c>
      <c r="BD83" s="12">
        <f>IF('Données projet'!$A$88&gt;35,BD82+BC83-BL82,IF(A83&lt;'Données projet'!$A$88,$BA$205^A83,IF(A83='Données projet'!$A$88,'Données projet'!$B$88,BD82+BC83-BL82)))</f>
        <v>605.99999999999955</v>
      </c>
      <c r="BE83" s="13">
        <f>BD83*VLOOKUP('Données projet'!$B$11,Paramètres!$A$1:$I$89,3,0)*VLOOKUP('Données projet'!$B$11,Paramètres!$A$1:$I$89,5,0)</f>
        <v>362.38799999999981</v>
      </c>
      <c r="BF83" s="13">
        <f t="shared" si="91"/>
        <v>84.108142484692749</v>
      </c>
      <c r="BG83" s="20">
        <f t="shared" si="61"/>
        <v>777.64744816083942</v>
      </c>
      <c r="BH83" s="59">
        <f t="shared" si="62"/>
        <v>1070.9807814941728</v>
      </c>
      <c r="BI83" s="59">
        <f ca="1">AVERAGE(OFFSET($BH$3,0,0,'Données projet'!$E$11+1,1))-AVERAGE(OFFSET($H$3,0,0,'Données projet'!$E$11+1,1))</f>
        <v>316.58509520829671</v>
      </c>
      <c r="BJ83" s="59">
        <f t="shared" si="92"/>
        <v>240.71332110643596</v>
      </c>
      <c r="BK83" s="15">
        <f>IF(ISNA(VLOOKUP(A83,'Données projet'!$A$87:$I$107,3,0)),0,VLOOKUP(A83,'Données projet'!$A$87:$I$107,3,0))</f>
        <v>7</v>
      </c>
      <c r="BL83" s="21">
        <f>IF(ISNA(VLOOKUP(A83,'Données projet'!$A$87:$I$107,4,0)),0,VLOOKUP(A83,'Données projet'!$A$87:$I$107,4,0))</f>
        <v>94</v>
      </c>
      <c r="BM83" s="16">
        <f>IF(ISNA(VLOOKUP(A83,'Données projet'!$A$87:$I$107,5,0)),0%,VLOOKUP(A83,'Données projet'!$A$87:$I$107,5,0)*VLOOKUP('Données projet'!$B$11,Paramètres!$A$1:$I$89,7,0))</f>
        <v>0</v>
      </c>
      <c r="BN83" s="16">
        <f>IF(ISNA(VLOOKUP(A83,'Données projet'!$A$87:$I$107,6,0)),0%,VLOOKUP(A83,'Données projet'!$A$87:$I$107,6,0)*VLOOKUP('Données projet'!$B$11,Paramètres!$A$1:$I$89,7,0))</f>
        <v>0</v>
      </c>
      <c r="BO83" s="16">
        <f>IF(ISNA(VLOOKUP(A83,'Données projet'!$A$87:$I$107,7,0)),0%,VLOOKUP(A83,'Données projet'!$A$87:$I$107,7,0))</f>
        <v>0</v>
      </c>
      <c r="BP83" s="21">
        <f>EXP(-LN(2)/35)*BP82+(1-EXP(-LN(2)/35))/(LN(2)/35)*BL83*BM83*VLOOKUP('Données projet'!$B$11,Paramètres!$A$1:$I$89,3,0)*0.475*44/12</f>
        <v>0.94158070861487297</v>
      </c>
      <c r="BQ83" s="21">
        <f>EXP(-LN(2)/25)*BQ82+(1-EXP(-LN(2)/25))/(LN(2)/25)*Calculateur!BL83*Calculateur!BN83*VLOOKUP('Données projet'!$B$11,Paramètres!$A$1:$I$89,3,0)*0.475*44/12</f>
        <v>3.8169816801488858</v>
      </c>
      <c r="BR83" s="21">
        <f>EXP(-LN(2)/2)*BR82+(1-EXP(-LN(2)/2))/(LN(2)/2)*BL83*BO83*VLOOKUP('Données projet'!$B$11,Paramètres!$A$1:$I$89,3,0)*0.475*44/12</f>
        <v>6.5384337515058731E-7</v>
      </c>
      <c r="BS83" s="22">
        <f t="shared" si="63"/>
        <v>4.7585630426071335</v>
      </c>
      <c r="BT83" s="75">
        <f>('Scénario référence'!$F$8+'Scénario référence'!$F$9+'Scénario référence'!$B$17+'Scénario référence'!$B$9+'Scénario référence'!$B$10)*70+IF((45+25*(1-EXP(-0.0175*A83)))&lt;70,'Scénario référence'!$B$16*(45+25*(1-EXP(-0.0175*A83))),70*'Scénario référence'!$B$16)+IF((32+38*(1-EXP(-0.0175*A83)))&lt;70,'Scénario référence'!$B$18*(32+38*(1-EXP(-0.0175*A83))),70*'Scénario référence'!$B$18)</f>
        <v>70</v>
      </c>
      <c r="BU83" s="12">
        <f>IF(A83&gt;30,10,('Scénario référence'!$B$16+'Scénario référence'!$B$17+'Scénario référence'!$B$18+'Scénario référence'!$B$9+'Scénario référence'!$B$10)*A83*10/30+('Scénario référence'!$F$8+'Scénario référence'!$F$9)*10)</f>
        <v>10</v>
      </c>
      <c r="BV83" s="12">
        <f>VLOOKUP(A83,'Données projet'!$A$113:$I$133,2,0)</f>
        <v>354</v>
      </c>
      <c r="BW83" s="12">
        <f>VLOOKUP(A83,'Données projet'!$A$113:$I$133,9,0)</f>
        <v>5.4</v>
      </c>
      <c r="BX83" s="12">
        <f t="array" ref="BX83">INDEX(BW:BW,MIN(IF(ISNUMBER(BW83:BW279),ROW(BW83:BW279),"")))</f>
        <v>5.4</v>
      </c>
      <c r="BY83" s="12">
        <f>IF('Données projet'!$A$114&gt;35,BY82+BX83-CG82,IF(A83&lt;'Données projet'!$A$114,$BV$205^A83,IF(A83='Données projet'!$A$114,'Données projet'!$B$114,BY82+BX83-CG82)))</f>
        <v>353.99999999999966</v>
      </c>
      <c r="BZ83" s="13">
        <f>BY83*VLOOKUP('Données projet'!$B$12,Paramètres!$A$1:$I$89,3,0)*VLOOKUP('Données projet'!$B$12,Paramètres!$A$1:$I$89,5,0)</f>
        <v>202.4879999999998</v>
      </c>
      <c r="CA83" s="13">
        <f t="shared" si="93"/>
        <v>50.290560763566845</v>
      </c>
      <c r="CB83" s="20">
        <f t="shared" si="64"/>
        <v>440.25599332987855</v>
      </c>
      <c r="CC83" s="59">
        <f t="shared" si="65"/>
        <v>733.58932666321186</v>
      </c>
      <c r="CD83" s="59">
        <f ca="1">AVERAGE(OFFSET($CC$3,0,0,'Données projet'!$E$12+1,1))-AVERAGE(OFFSET($H$3,0,0,'Données projet'!$E$12+1,1))</f>
        <v>188.64374818906128</v>
      </c>
      <c r="CE83" s="59">
        <f t="shared" si="94"/>
        <v>211.95157880548652</v>
      </c>
      <c r="CF83" s="15">
        <f>IF(ISNA(VLOOKUP(A83,'Données projet'!$A$113:$I$133,3,0)),0,VLOOKUP(A83,'Données projet'!$A$113:$I$133,3,0))</f>
        <v>7</v>
      </c>
      <c r="CG83" s="15">
        <f>IF(ISNA(VLOOKUP(A83,'Données projet'!$A$113:$I$133,4,0)),0,VLOOKUP(A83,'Données projet'!$A$113:$I$133,4,0))</f>
        <v>38</v>
      </c>
      <c r="CH83" s="16">
        <f>IF(ISNA(VLOOKUP(A83,'Données projet'!$A$113:$I$133,5,0)),0%,VLOOKUP(A83,'Données projet'!$A$113:$I$133,5,0)*VLOOKUP('Données projet'!$B$12,Paramètres!$A$1:$I$89,7,0))</f>
        <v>0</v>
      </c>
      <c r="CI83" s="16">
        <f>IF(ISNA(VLOOKUP(A83,'Données projet'!$A$113:$I$133,6,0)),0%,VLOOKUP(A83,'Données projet'!$A$113:$I$133,6,0)*VLOOKUP('Données projet'!$B$12,Paramètres!$A$1:$I$89,7,0))</f>
        <v>0</v>
      </c>
      <c r="CJ83" s="16">
        <f>IF(ISNA(VLOOKUP(A83,'Données projet'!$A$113:$I$133,7,0)),0%,VLOOKUP(A83,'Données projet'!$A$113:$I$133,7,0))</f>
        <v>0</v>
      </c>
      <c r="CK83" s="21">
        <f>EXP(-LN(2)/35)*CK82+(1-EXP(-LN(2)/35))/(LN(2)/35)*CG83*CH83*VLOOKUP('Données projet'!$B$12,Paramètres!$A$1:$I$89,3,0)*0.475*44/12</f>
        <v>0.91332752139985185</v>
      </c>
      <c r="CL83" s="21">
        <f>EXP(-LN(2)/25)*CL82+(1-EXP(-LN(2)/25))/(LN(2)/25)*Calculateur!CG83*Calculateur!CI83*VLOOKUP('Données projet'!$B$12,Paramètres!$A$1:$I$89,3,0)*0.475*44/12</f>
        <v>3.5926295805496591</v>
      </c>
      <c r="CM83" s="21">
        <f>EXP(-LN(2)/2)*CM82+(1-EXP(-LN(2)/2))/(LN(2)/2)*CG83*CJ83*VLOOKUP('Données projet'!$B$12,Paramètres!$A$1:$I$89,3,0)*0.475*44/12</f>
        <v>6.3319615136791039E-7</v>
      </c>
      <c r="CN83" s="22">
        <f t="shared" si="66"/>
        <v>4.5059577351456621</v>
      </c>
      <c r="CO83" s="75">
        <f>('Scénario référence'!$F$8+'Scénario référence'!$F$9+'Scénario référence'!$B$17+'Scénario référence'!$B$9+'Scénario référence'!$B$10)*70+IF((45+25*(1-EXP(-0.0175*A83)))&lt;70,'Scénario référence'!$B$16*(45+25*(1-EXP(-0.0175*A83))),70*'Scénario référence'!$B$16)+IF((32+38*(1-EXP(-0.0175*A83)))&lt;70,'Scénario référence'!$B$18*(32+38*(1-EXP(-0.0175*A83))),70*'Scénario référence'!$B$18)</f>
        <v>70</v>
      </c>
      <c r="CP83" s="12">
        <f>IF(A83&gt;30,10,('Scénario référence'!$B$16+'Scénario référence'!$B$17+'Scénario référence'!$B$18+'Scénario référence'!$B$9+'Scénario référence'!$B$10)*A83*10/30+('Scénario référence'!$F$8+'Scénario référence'!$F$9)*10)</f>
        <v>10</v>
      </c>
      <c r="CQ83" s="12" t="e">
        <f>VLOOKUP(A83,'Données projet'!$A$139:$I$159,2,0)</f>
        <v>#N/A</v>
      </c>
      <c r="CR83" s="12" t="e">
        <f>VLOOKUP(A83,'Données projet'!$A$139:$I$159,9,0)</f>
        <v>#N/A</v>
      </c>
      <c r="CS83" s="12">
        <f t="array" ref="CS83">INDEX(CR:CR,MIN(IF(ISNUMBER(CR83:CR279),ROW(CR83:CR279),"")))</f>
        <v>0</v>
      </c>
      <c r="CT83" s="12">
        <f>IF('Données projet'!$A$140&gt;35,CT82+CS83-DB82,IF(A83&lt;'Données projet'!$A$140,$CQ$205^A83,IF(A83='Données projet'!$A$140,'Données projet'!$B$140,CT82+CS83-DB82)))</f>
        <v>0</v>
      </c>
      <c r="CU83" s="17" t="e">
        <f>CT83*VLOOKUP('Données projet'!$B$13,Paramètres!$A$1:$I$89,3,0)*VLOOKUP('Données projet'!$B$13,Paramètres!$A$1:$I$89,5,0)</f>
        <v>#N/A</v>
      </c>
      <c r="CV83" s="13" t="e">
        <f t="shared" si="95"/>
        <v>#N/A</v>
      </c>
      <c r="CW83" s="20" t="e">
        <f t="shared" si="67"/>
        <v>#N/A</v>
      </c>
      <c r="CX83" s="59" t="e">
        <f t="shared" si="68"/>
        <v>#N/A</v>
      </c>
      <c r="CY83" s="59" t="e">
        <f ca="1">AVERAGE(OFFSET($CX$3,0,0,'Données projet'!$E$13+1,1))-AVERAGE(OFFSET($H$3,0,0,'Données projet'!$E$13+1,1))</f>
        <v>#N/A</v>
      </c>
      <c r="CZ83" s="59" t="e">
        <f t="shared" si="96"/>
        <v>#N/A</v>
      </c>
      <c r="DA83" s="15">
        <f>IF(ISNA(VLOOKUP(A83,'Données projet'!$A$139:$I$159,3,0)),0,VLOOKUP(A83,'Données projet'!$A$139:$I$159,3,0))</f>
        <v>0</v>
      </c>
      <c r="DB83" s="15">
        <f>IF(ISNA(VLOOKUP(A83,'Données projet'!$A$139:$I$159,4,0)),0,VLOOKUP(A83,'Données projet'!$A$139:$I$159,4,0))</f>
        <v>0</v>
      </c>
      <c r="DC83" s="16">
        <f>IF(ISNA(VLOOKUP(A83,'Données projet'!$A$139:$I$159,5,0)),0%,VLOOKUP(A83,'Données projet'!$A$139:$I$159,5,0)*VLOOKUP('Données projet'!$B$13,Paramètres!$A$1:$I$89,7,0))</f>
        <v>0</v>
      </c>
      <c r="DD83" s="16">
        <f>IF(ISNA(VLOOKUP(A83,'Données projet'!$A$139:$I$159,6,0)),0%,VLOOKUP(A83,'Données projet'!$A$139:$I$159,6,0)*VLOOKUP('Données projet'!$B$13,Paramètres!$A$1:$I$89,7,0))</f>
        <v>0</v>
      </c>
      <c r="DE83" s="16">
        <f>IF(ISNA(VLOOKUP(A83,'Données projet'!$A$139:$I$159,7,0)),0%,VLOOKUP(A83,'Données projet'!$A$139:$I$159,7,0))</f>
        <v>0</v>
      </c>
      <c r="DF83" s="21" t="e">
        <f>EXP(-LN(2)/35)*DF82+(1-EXP(-LN(2)/35))/(LN(2)/35)*DB83*DC83*VLOOKUP('Données projet'!$B$13,Paramètres!$A$1:$I$89,3,0)*0.475*44/12</f>
        <v>#N/A</v>
      </c>
      <c r="DG83" s="21" t="e">
        <f>EXP(-LN(2)/25)*DG82+(1-EXP(-LN(2)/25))/(LN(2)/25)*Calculateur!DB83*Calculateur!DD83*VLOOKUP('Données projet'!$B$13,Paramètres!$A$1:$I$89,3,0)*0.475*44/12</f>
        <v>#N/A</v>
      </c>
      <c r="DH83" s="21" t="e">
        <f>EXP(-LN(2)/2)*DH82+(1-EXP(-LN(2)/2))/(LN(2)/2)*DB83*DE83*VLOOKUP('Données projet'!$B$13,Paramètres!$A$1:$I$89,3,0)*0.475*44/12</f>
        <v>#N/A</v>
      </c>
      <c r="DI83" s="22" t="e">
        <f t="shared" si="69"/>
        <v>#N/A</v>
      </c>
      <c r="DJ83" s="75">
        <f>('Scénario référence'!$F$8+'Scénario référence'!$F$9+'Scénario référence'!$B$17+'Scénario référence'!$B$9+'Scénario référence'!$B$10)*70+IF((45+25*(1-EXP(-0.0175*A83)))&lt;70,'Scénario référence'!$B$16*(45+25*(1-EXP(-0.0175*A83))),70*'Scénario référence'!$B$16)+IF((32+38*(1-EXP(-0.0175*A83)))&lt;70,'Scénario référence'!$B$18*(32+38*(1-EXP(-0.0175*A83))),70*'Scénario référence'!$B$18)</f>
        <v>70</v>
      </c>
      <c r="DK83" s="12">
        <f>IF(A83&gt;30,10,('Scénario référence'!$B$16+'Scénario référence'!$B$17+'Scénario référence'!$B$18+'Scénario référence'!$B$9+'Scénario référence'!$B$10)*A83*10/30+('Scénario référence'!$F$8+'Scénario référence'!$F$9)*10)</f>
        <v>10</v>
      </c>
      <c r="DL83" s="12">
        <f>VLOOKUP(A83,'Données projet'!$A$165:$I$185,2,0)</f>
        <v>296</v>
      </c>
      <c r="DM83" s="12">
        <f>VLOOKUP(A83,'Données projet'!$A$165:$I$185,9,0)</f>
        <v>4.7</v>
      </c>
      <c r="DN83" s="12">
        <f t="array" ref="DN83">INDEX(DM:DM,MIN(IF(ISNUMBER(DM83:DM279),ROW(DM83:DM279),"")))</f>
        <v>4.7</v>
      </c>
      <c r="DO83" s="12">
        <f>IF('Données projet'!$A$166&gt;35,DO82+DN83-DW82,IF(A83&lt;'Données projet'!$A$166,$DL$205^A83,IF(A83='Données projet'!$A$166,'Données projet'!$B$166,DO82+DN83-DW82)))</f>
        <v>296.00000000000017</v>
      </c>
      <c r="DP83" s="17">
        <f>DO83*VLOOKUP('Données projet'!$B$14,Paramètres!$A$1:$I$89,3,0)*VLOOKUP('Données projet'!$B$14,Paramètres!$A$1:$I$89,5,0)</f>
        <v>193.93920000000011</v>
      </c>
      <c r="DQ83" s="13">
        <f t="shared" si="97"/>
        <v>48.409811198069384</v>
      </c>
      <c r="DR83" s="20">
        <f t="shared" si="70"/>
        <v>422.09119450330428</v>
      </c>
      <c r="DS83" s="59">
        <f t="shared" si="71"/>
        <v>715.42452783663759</v>
      </c>
      <c r="DT83" s="59">
        <f ca="1">AVERAGE(OFFSET($DS$3,0,0,'Données projet'!$E$14+1,1))-AVERAGE(OFFSET($H$3,0,0,'Données projet'!$E$14+1,1))</f>
        <v>188.68915783955595</v>
      </c>
      <c r="DU83" s="59">
        <f t="shared" si="98"/>
        <v>240.82467772396944</v>
      </c>
      <c r="DV83" s="15">
        <f>IF(ISNA(VLOOKUP(A83,'Données projet'!$A$165:$I$185,3,0)),0,VLOOKUP(A83,'Données projet'!$A$165:$I$185,3,0))</f>
        <v>7</v>
      </c>
      <c r="DW83" s="15">
        <f>IF(ISNA(VLOOKUP(A83,'Données projet'!$A$165:$I$185,4,0)),0,VLOOKUP(A83,'Données projet'!$A$165:$I$185,4,0))</f>
        <v>37</v>
      </c>
      <c r="DX83" s="16">
        <f>IF(ISNA(VLOOKUP(A83,'Données projet'!$A$165:$I$185,5,0)),0%,VLOOKUP(A83,'Données projet'!$A$165:$I$185,5,0)*VLOOKUP('Données projet'!$B$14,Paramètres!$A$1:$I$89,7,0))</f>
        <v>0</v>
      </c>
      <c r="DY83" s="16">
        <f>IF(ISNA(VLOOKUP(A83,'Données projet'!$A$165:$I$185,6,0)),0%,VLOOKUP(A83,'Données projet'!$A$165:$I$185,6,0)*VLOOKUP('Données projet'!$B$14,Paramètres!$A$1:$I$89,7,0))</f>
        <v>0</v>
      </c>
      <c r="DZ83" s="16">
        <f>IF(ISNA(VLOOKUP(A83,'Données projet'!$A$165:$I$185,7,0)),0%,VLOOKUP(A83,'Données projet'!$A$165:$I$185,7,0))</f>
        <v>0</v>
      </c>
      <c r="EA83" s="21">
        <f>EXP(-LN(2)/35)*EA82+(1-EXP(-LN(2)/35))/(LN(2)/35)*DW83*DX83*VLOOKUP('Données projet'!$B$14,Paramètres!$A$1:$I$89,3,0)*0.475*44/12</f>
        <v>0.5785176429742328</v>
      </c>
      <c r="EB83" s="21">
        <f>EXP(-LN(2)/25)*EB82+(1-EXP(-LN(2)/25))/(LN(2)/25)*Calculateur!DW83*Calculateur!DY83*VLOOKUP('Données projet'!$B$14,Paramètres!$A$1:$I$89,3,0)*0.475*44/12</f>
        <v>2.0095073106888606</v>
      </c>
      <c r="EC83" s="21">
        <f>EXP(-LN(2)/2)*EC82+(1-EXP(-LN(2)/2))/(LN(2)/2)*DW83*DZ83*VLOOKUP('Données projet'!$B$14,Paramètres!$A$1:$I$89,3,0)*0.475*44/12</f>
        <v>4.1712546307465694E-7</v>
      </c>
      <c r="ED83" s="22">
        <f t="shared" si="72"/>
        <v>2.5880253707885563</v>
      </c>
      <c r="EE83" s="75">
        <f>('Scénario référence'!$F$8+'Scénario référence'!$F$9+'Scénario référence'!$B$17+'Scénario référence'!$B$9+'Scénario référence'!$B$10)*70+IF((45+25*(1-EXP(-0.0175*A83)))&lt;70,'Scénario référence'!$B$16*(45+25*(1-EXP(-0.0175*A83))),70*'Scénario référence'!$B$16)+IF((32+38*(1-EXP(-0.0175*A83)))&lt;70,'Scénario référence'!$B$18*(32+38*(1-EXP(-0.0175*A83))),70*'Scénario référence'!$B$18)</f>
        <v>70</v>
      </c>
      <c r="EF83" s="12">
        <f>IF(A83&gt;30,10,('Scénario référence'!$B$16+'Scénario référence'!$B$17+'Scénario référence'!$B$18+'Scénario référence'!$B$9+'Scénario référence'!$B$10)*A83*10/30+('Scénario référence'!$F$8+'Scénario référence'!$F$9)*10)</f>
        <v>10</v>
      </c>
      <c r="EG83" s="12">
        <f>VLOOKUP(A83,'Données projet'!$A$191:$I$211,2,0)</f>
        <v>293</v>
      </c>
      <c r="EH83" s="12">
        <f>VLOOKUP(A83,'Données projet'!$A$191:$I$211,9,0)</f>
        <v>5.2</v>
      </c>
      <c r="EI83" s="12">
        <f t="array" ref="EI83">INDEX(EH:EH,MIN(IF(ISNUMBER(EH83:EH279),ROW(EH83:EH279),"")))</f>
        <v>5.2</v>
      </c>
      <c r="EJ83" s="12">
        <f>IF('Données projet'!$A$192&gt;35,EJ82+EI83-ER82,IF(A83&lt;'Données projet'!$A$192,$EG$205^A83,IF(A83='Données projet'!$A$192,'Données projet'!$B$192,EJ82+EI83-ER82)))</f>
        <v>292.99999999999983</v>
      </c>
      <c r="EK83" s="17">
        <f>EJ83*VLOOKUP('Données projet'!$B$15,Paramètres!$A$1:$I$89,3,0)*VLOOKUP('Données projet'!$B$15,Paramètres!$A$1:$I$89,5,0)</f>
        <v>237.68159999999989</v>
      </c>
      <c r="EL83" s="13">
        <f t="shared" si="99"/>
        <v>57.940433975259054</v>
      </c>
      <c r="EM83" s="20">
        <f t="shared" si="73"/>
        <v>514.87504250690938</v>
      </c>
      <c r="EN83" s="59">
        <f t="shared" si="74"/>
        <v>808.20837584024275</v>
      </c>
      <c r="EO83" s="59">
        <f ca="1">AVERAGE(OFFSET($EN$3,0,0,'Données projet'!$E$15+1,1))-AVERAGE(OFFSET($H$3,0,0,'Données projet'!$E$15+1,1))</f>
        <v>205.5272583787887</v>
      </c>
      <c r="EP83" s="59">
        <f t="shared" si="100"/>
        <v>180.54762778843178</v>
      </c>
      <c r="EQ83" s="15">
        <f>IF(ISNA(VLOOKUP(A83,'Données projet'!$A$191:$I$211,3,0)),0,VLOOKUP(A83,'Données projet'!$A$191:$I$211,3,0))</f>
        <v>7</v>
      </c>
      <c r="ER83" s="15">
        <f>IF(ISNA(VLOOKUP(A83,'Données projet'!$A$191:$I$211,4,0)),0,VLOOKUP(A83,'Données projet'!$A$191:$I$211,4,0))</f>
        <v>33</v>
      </c>
      <c r="ES83" s="16">
        <f>IF(ISNA(VLOOKUP(A83,'Données projet'!$A$191:$I$211,5,0)),0%,VLOOKUP(A83,'Données projet'!$A$191:$I$211,5,0)*VLOOKUP('Données projet'!$B$15,Paramètres!$A$1:$I$89,7,0))</f>
        <v>0</v>
      </c>
      <c r="ET83" s="16">
        <f>IF(ISNA(VLOOKUP(A83,'Données projet'!$A$191:$I$211,6,0)),0%,VLOOKUP(A83,'Données projet'!$A$191:$I$211,6,0)*VLOOKUP('Données projet'!$B$15,Paramètres!$A$1:$I$89,7,0))</f>
        <v>0</v>
      </c>
      <c r="EU83" s="16">
        <f>IF(ISNA(VLOOKUP(A83,'Données projet'!$A$191:$I$211,7,0)),0%,VLOOKUP(A83,'Données projet'!$A$191:$I$211,7,0))</f>
        <v>0</v>
      </c>
      <c r="EV83" s="21">
        <f>EXP(-LN(2)/35)*EV82+(1-EXP(-LN(2)/35))/(LN(2)/35)*ER83*ES83*VLOOKUP('Données projet'!$B$15,Paramètres!$A$1:$I$89,3,0)*0.475*44/12</f>
        <v>0.37245516823864883</v>
      </c>
      <c r="EW83" s="21">
        <f>EXP(-LN(2)/25)*EW82+(1-EXP(-LN(2)/25))/(LN(2)/25)*Calculateur!ER83*Calculateur!ET83*VLOOKUP('Données projet'!$B$15,Paramètres!$A$1:$I$89,3,0)*0.475*44/12</f>
        <v>1.4509252386605593</v>
      </c>
      <c r="EX83" s="21">
        <f>EXP(-LN(2)/2)*EX82+(1-EXP(-LN(2)/2))/(LN(2)/2)*ER83*EU83*VLOOKUP('Données projet'!$B$15,Paramètres!$A$1:$I$89,3,0)*0.475*44/12</f>
        <v>2.7008904577433892E-7</v>
      </c>
      <c r="EY83" s="22">
        <f t="shared" si="75"/>
        <v>1.8233806769882539</v>
      </c>
      <c r="EZ83" s="75">
        <f>('Scénario référence'!$F$8+'Scénario référence'!$F$9+'Scénario référence'!$B$17+'Scénario référence'!$B$9+'Scénario référence'!$B$10)*70+IF((45+25*(1-EXP(-0.0175*A83)))&lt;70,'Scénario référence'!$B$16*(45+25*(1-EXP(-0.0175*A83))),70*'Scénario référence'!$B$16)+IF((32+38*(1-EXP(-0.0175*A83)))&lt;70,'Scénario référence'!$B$18*(32+38*(1-EXP(-0.0175*A83))),70*'Scénario référence'!$B$18)</f>
        <v>70</v>
      </c>
      <c r="FA83" s="12">
        <f>IF(A83&gt;30,10,('Scénario référence'!$B$16+'Scénario référence'!$B$17+'Scénario référence'!$B$18+'Scénario référence'!$B$9+'Scénario référence'!$B$10)*A83*10/30+('Scénario référence'!$F$8+'Scénario référence'!$F$9)*10)</f>
        <v>10</v>
      </c>
      <c r="FB83" s="12">
        <f>VLOOKUP(A83,'Données projet'!$A$217:$I$237,2,0)</f>
        <v>401</v>
      </c>
      <c r="FC83" s="12">
        <f>VLOOKUP(A83,'Données projet'!$A$217:$I$237,9,0)</f>
        <v>12.1</v>
      </c>
      <c r="FD83" s="12">
        <f t="array" ref="FD83">INDEX(FC:FC,MIN(IF(ISNUMBER(FC83:FC279),ROW(FC83:FC279),"")))</f>
        <v>12.1</v>
      </c>
      <c r="FE83" s="12">
        <f>IF('Données projet'!$A$218&gt;35,FE82+FD83-FM82,IF(A83&lt;'Données projet'!$A$218,$FB$205^A83,IF(A83='Données projet'!$A$218,'Données projet'!$B$218,FE82+FD83-FM82)))</f>
        <v>401.00000000000017</v>
      </c>
      <c r="FF83" s="17">
        <f>FE83*VLOOKUP('Données projet'!$B$16,Paramètres!$A$1:$I$89,3,0)*VLOOKUP('Données projet'!$B$16,Paramètres!$A$1:$I$89,5,0)</f>
        <v>344.05800000000022</v>
      </c>
      <c r="FG83" s="13">
        <f t="shared" si="101"/>
        <v>80.337775097732234</v>
      </c>
      <c r="FH83" s="20">
        <f t="shared" si="76"/>
        <v>739.155974961884</v>
      </c>
      <c r="FI83" s="59">
        <f t="shared" si="77"/>
        <v>1032.4893082952174</v>
      </c>
      <c r="FJ83" s="59">
        <f ca="1">AVERAGE(OFFSET($FI$3,0,0,'Données projet'!$E$16+1,1))-AVERAGE(OFFSET($H$3,0,0,'Données projet'!$E$16+1,1))</f>
        <v>383.97627237444709</v>
      </c>
      <c r="FK83" s="59">
        <f t="shared" si="102"/>
        <v>203.35476578922339</v>
      </c>
      <c r="FL83" s="15">
        <f>IF(ISNA(VLOOKUP(A83,'Données projet'!$A$217:$I$237,3,0)),0,VLOOKUP(A83,'Données projet'!$A$217:$I$237,3,0))</f>
        <v>7</v>
      </c>
      <c r="FM83" s="15">
        <f>IF(ISNA(VLOOKUP(A83,'Données projet'!$A$217:$I$237,4,0)),0,VLOOKUP(A83,'Données projet'!$A$217:$I$237,4,0))</f>
        <v>89</v>
      </c>
      <c r="FN83" s="16">
        <f>IF(ISNA(VLOOKUP(A83,'Données projet'!$A$217:$I$237,5,0)),0%,VLOOKUP(A83,'Données projet'!$A$217:$I$237,5,0)*VLOOKUP('Données projet'!$B$16,Paramètres!$A$1:$I$89,7,0))</f>
        <v>0</v>
      </c>
      <c r="FO83" s="16">
        <f>IF(ISNA(VLOOKUP(A83,'Données projet'!$A$217:$I$237,6,0)),0%,VLOOKUP(A83,'Données projet'!$A$217:$I$237,6,0)*VLOOKUP('Données projet'!$B$16,Paramètres!$A$1:$I$89,7,0))</f>
        <v>0</v>
      </c>
      <c r="FP83" s="16">
        <f>IF(ISNA(VLOOKUP(A83,'Données projet'!$A$217:$I$237,7,0)),0%,VLOOKUP(A83,'Données projet'!$A$217:$I$237,7,0))</f>
        <v>0</v>
      </c>
      <c r="FQ83" s="21">
        <f>EXP(-LN(2)/35)*FQ82+(1-EXP(-LN(2)/35))/(LN(2)/35)*FM83*FN83*VLOOKUP('Données projet'!$B$16,Paramètres!$A$1:$I$89,3,0)*0.475*44/12</f>
        <v>1.9142175000018145</v>
      </c>
      <c r="FR83" s="21">
        <f>EXP(-LN(2)/25)*FR82+(1-EXP(-LN(2)/25))/(LN(2)/25)*Calculateur!FM83*Calculateur!FO83*VLOOKUP('Données projet'!$B$16,Paramètres!$A$1:$I$89,3,0)*0.475*44/12</f>
        <v>1.4728390846163466</v>
      </c>
      <c r="FS83" s="21">
        <f>EXP(-LN(2)/2)*FS82+(1-EXP(-LN(2)/2))/(LN(2)/2)*FM83*FP83*VLOOKUP('Données projet'!$B$16,Paramètres!$A$1:$I$89,3,0)*0.475*44/12</f>
        <v>4.9609814678996479E-7</v>
      </c>
      <c r="FT83" s="22">
        <f t="shared" si="78"/>
        <v>3.3870570807163083</v>
      </c>
      <c r="FU83" s="75">
        <f>('Scénario référence'!$F$8+'Scénario référence'!$F$9+'Scénario référence'!$B$17+'Scénario référence'!$B$9+'Scénario référence'!$B$10)*70+IF((45+25*(1-EXP(-0.0175*A83)))&lt;70,'Scénario référence'!$B$16*(45+25*(1-EXP(-0.0175*A83))),70*'Scénario référence'!$B$16)+IF((32+38*(1-EXP(-0.0175*A83)))&lt;70,'Scénario référence'!$B$18*(32+38*(1-EXP(-0.0175*A83))),70*'Scénario référence'!$B$18)</f>
        <v>70</v>
      </c>
      <c r="FV83" s="12">
        <f>IF(A83&gt;30,10,('Scénario référence'!$B$16+'Scénario référence'!$B$17+'Scénario référence'!$B$18+'Scénario référence'!$B$9+'Scénario référence'!$B$10)*A83*10/30+('Scénario référence'!$F$8+'Scénario référence'!$F$9)*10)</f>
        <v>10</v>
      </c>
      <c r="FW83" s="12">
        <f>VLOOKUP(A83,'Données projet'!$A$243:$I$263,2,0)</f>
        <v>274.0128205128205</v>
      </c>
      <c r="FX83" s="12">
        <f>VLOOKUP(A83,'Données projet'!$A$243:$I$263,9,0)</f>
        <v>7.8425925925925934</v>
      </c>
      <c r="FY83" s="12">
        <f t="array" ref="FY83">INDEX(FX:FX,MIN(IF(ISNUMBER(FX83:FX279),ROW(FX83:FX279),"")))</f>
        <v>7.8425925925925934</v>
      </c>
      <c r="FZ83" s="12">
        <f>IF('Données projet'!$A$244&gt;35,FZ82+FY83-GH82,IF(A83&lt;'Données projet'!$A$244,$FW$205^A83,IF(A83='Données projet'!$A$244,'Données projet'!$B$244,FZ82+FY83-GH82)))</f>
        <v>274.0128205128205</v>
      </c>
      <c r="GA83" s="17">
        <f>FZ83*VLOOKUP('Données projet'!$B$17,Paramètres!$A$1:$I$89,3,0)*VLOOKUP('Données projet'!$B$17,Paramètres!$A$1:$I$89,5,0)</f>
        <v>294.94739999999996</v>
      </c>
      <c r="GB83" s="13">
        <f t="shared" si="103"/>
        <v>70.116199626215334</v>
      </c>
      <c r="GC83" s="20">
        <f t="shared" si="79"/>
        <v>635.81910268232502</v>
      </c>
      <c r="GD83" s="59">
        <f t="shared" si="80"/>
        <v>929.1524360156584</v>
      </c>
      <c r="GE83" s="59">
        <f ca="1">AVERAGE(OFFSET($GD$3,0,0,'Données projet'!$E$17+1,1))-AVERAGE(OFFSET($H$3,0,0,'Données projet'!$E$17+1,1))</f>
        <v>286.77702855541287</v>
      </c>
      <c r="GF83" s="59">
        <f t="shared" si="104"/>
        <v>227.12211541860779</v>
      </c>
      <c r="GG83" s="15">
        <f>IF(ISNA(VLOOKUP(A83,'Données projet'!$A$243:$I$263,3,0)),0,VLOOKUP(A83,'Données projet'!$A$243:$I$263,3,0))</f>
        <v>7</v>
      </c>
      <c r="GH83" s="15">
        <f>IF(ISNA(VLOOKUP(A83,'Données projet'!$A$243:$I$263,4,0)),0,VLOOKUP(A83,'Données projet'!$A$243:$I$263,4,0))</f>
        <v>45.608974358974358</v>
      </c>
      <c r="GI83" s="16">
        <f>IF(ISNA(VLOOKUP(A83,'Données projet'!$A$243:$I$263,5,0)),0%,VLOOKUP(A83,'Données projet'!$A$243:$I$263,5,0)*VLOOKUP('Données projet'!$B$17,Paramètres!$A$1:$I$89,7,0))</f>
        <v>0</v>
      </c>
      <c r="GJ83" s="16">
        <f>IF(ISNA(VLOOKUP(A83,'Données projet'!$A$243:$I$263,6,0)),0%,VLOOKUP(A83,'Données projet'!$A$243:$I$263,6,0)*VLOOKUP('Données projet'!$B$17,Paramètres!$A$1:$I$89,7,0))</f>
        <v>0</v>
      </c>
      <c r="GK83" s="16">
        <f>IF(ISNA(VLOOKUP(A83,'Données projet'!$A$243:$I$263,7,0)),0%,VLOOKUP(A83,'Données projet'!$A$243:$I$263,7,0))</f>
        <v>0</v>
      </c>
      <c r="GL83" s="21">
        <f>EXP(-LN(2)/35)*GL82+(1-EXP(-LN(2)/35))/(LN(2)/35)*GH83*GI83*VLOOKUP('Données projet'!$B$17,Paramètres!$A$1:$I$89,3,0)*0.475*44/12</f>
        <v>0</v>
      </c>
      <c r="GM83" s="21">
        <f>EXP(-LN(2)/25)*GM82+(1-EXP(-LN(2)/25))/(LN(2)/25)*Calculateur!GH83*Calculateur!GJ83*VLOOKUP('Données projet'!$B$17,Paramètres!$A$1:$I$89,3,0)*0.475*44/12</f>
        <v>0</v>
      </c>
      <c r="GN83" s="21">
        <f>EXP(-LN(2)/2)*GN82+(1-EXP(-LN(2)/2))/(LN(2)/2)*GH83*GK83*VLOOKUP('Données projet'!$B$17,Paramètres!$A$1:$I$89,3,0)*0.475*44/12</f>
        <v>0</v>
      </c>
      <c r="GO83" s="21">
        <f t="shared" si="81"/>
        <v>0</v>
      </c>
      <c r="GP83" s="75">
        <f>('Scénario référence'!$F$8+'Scénario référence'!$F$9+'Scénario référence'!$B$17+'Scénario référence'!$B$9+'Scénario référence'!$B$10)*70+IF((45+25*(1-EXP(-0.0175*A83)))&lt;70,'Scénario référence'!$B$16*(45+25*(1-EXP(-0.0175*A83))),70*'Scénario référence'!$B$16)+IF((32+38*(1-EXP(-0.0175*A83)))&lt;70,'Scénario référence'!$B$18*(32+38*(1-EXP(-0.0175*A83))),70*'Scénario référence'!$B$18)</f>
        <v>70</v>
      </c>
      <c r="GQ83" s="12">
        <f>IF(A83&gt;30,10,('Scénario référence'!$B$16+'Scénario référence'!$B$17+'Scénario référence'!$B$18+'Scénario référence'!$B$9+'Scénario référence'!$B$10)*A83*10/30+('Scénario référence'!$F$8+'Scénario référence'!$F$9)*10)</f>
        <v>10</v>
      </c>
      <c r="GR83" s="12">
        <f>VLOOKUP(A83,'Données projet'!$A$269:$I$289,2,0)</f>
        <v>274.0128205128205</v>
      </c>
      <c r="GS83" s="12">
        <f>VLOOKUP(A83,'Données projet'!$A$269:$I$289,9,0)</f>
        <v>7.8425925925925934</v>
      </c>
      <c r="GT83" s="12">
        <f t="array" ref="GT83">INDEX(GS:GS,MIN(IF(ISNUMBER(GS83:GS279),ROW(GS83:GS279),"")))</f>
        <v>7.8425925925925934</v>
      </c>
      <c r="GU83" s="12">
        <f>IF('Données projet'!$A$270&gt;35,GU82+GT83-HC82,IF(A83&lt;'Données projet'!$A$270,$GR$205^A83,IF(A83='Données projet'!$A$270,'Données projet'!$B$270,GU82+GT83-HC82)))</f>
        <v>274.0128205128205</v>
      </c>
      <c r="GV83" s="17">
        <f>GU83*VLOOKUP('Données projet'!$B$18,Paramètres!$A$1:$I$89,3,0)*VLOOKUP('Données projet'!$B$18,Paramètres!$A$1:$I$89,5,0)</f>
        <v>294.94739999999996</v>
      </c>
      <c r="GW83" s="13">
        <f t="shared" si="105"/>
        <v>70.116199626215334</v>
      </c>
      <c r="GX83" s="20">
        <f t="shared" si="82"/>
        <v>635.81910268232502</v>
      </c>
      <c r="GY83" s="59">
        <f t="shared" si="83"/>
        <v>929.1524360156584</v>
      </c>
      <c r="GZ83" s="59">
        <f ca="1">AVERAGE(OFFSET($GY$3,0,0,'Données projet'!$E$18+1,1))-AVERAGE(OFFSET($H$3,0,0,'Données projet'!$E$18+1,1))</f>
        <v>286.77702855541287</v>
      </c>
      <c r="HA83" s="59">
        <f t="shared" si="106"/>
        <v>227.12211541860779</v>
      </c>
      <c r="HB83" s="15">
        <f>IF(ISNA(VLOOKUP(A83,'Données projet'!$A$269:$I$289,3,0)),0,VLOOKUP(A83,'Données projet'!$A$269:$I$289,3,0))</f>
        <v>7</v>
      </c>
      <c r="HC83" s="15">
        <f>IF(ISNA(VLOOKUP(A83,'Données projet'!$A$269:$I$289,4,0)),0,VLOOKUP(A83,'Données projet'!$A$269:$I$289,4,0))</f>
        <v>45.608974358974358</v>
      </c>
      <c r="HD83" s="16">
        <f>IF(ISNA(VLOOKUP(A83,'Données projet'!$A$269:$I$289,5,0)),0%,VLOOKUP(A83,'Données projet'!$A$269:$I$289,5,0)*VLOOKUP('Données projet'!$B$18,Paramètres!$A$1:$I$89,7,0))</f>
        <v>0</v>
      </c>
      <c r="HE83" s="16">
        <f>IF(ISNA(VLOOKUP(A83,'Données projet'!$A$269:$I$289,6,0)),0%,VLOOKUP(A83,'Données projet'!$A$269:$I$289,6,0)*VLOOKUP('Données projet'!$B$18,Paramètres!$A$1:$I$89,7,0))</f>
        <v>0</v>
      </c>
      <c r="HF83" s="16">
        <f>IF(ISNA(VLOOKUP(A83,'Données projet'!$A$269:$I$289,7,0)),0%,VLOOKUP(A83,'Données projet'!$A$269:$I$289,7,0))</f>
        <v>0</v>
      </c>
      <c r="HG83" s="21">
        <f>EXP(-LN(2)/35)*HG82+(1-EXP(-LN(2)/35))/(LN(2)/35)*HC83*HD83*VLOOKUP('Données projet'!$B$18,Paramètres!$A$1:$I$89,3,0)*0.475*44/12</f>
        <v>0</v>
      </c>
      <c r="HH83" s="21">
        <f>EXP(-LN(2)/25)*HH82+(1-EXP(-LN(2)/25))/(LN(2)/25)*Calculateur!HC83*Calculateur!HE83*VLOOKUP('Données projet'!$B$18,Paramètres!$A$1:$I$89,3,0)*0.475*44/12</f>
        <v>0</v>
      </c>
      <c r="HI83" s="21">
        <f>EXP(-LN(2)/2)*HI82+(1-EXP(-LN(2)/2))/(LN(2)/2)*HC83*HF83*VLOOKUP('Données projet'!$B$18,Paramètres!$A$1:$I$89,3,0)*0.475*44/12</f>
        <v>0</v>
      </c>
      <c r="HJ83" s="22">
        <f t="shared" si="84"/>
        <v>0</v>
      </c>
    </row>
    <row r="84" spans="1:218" x14ac:dyDescent="0.25">
      <c r="A84" s="10">
        <f t="shared" si="85"/>
        <v>81</v>
      </c>
      <c r="B84" s="73">
        <f>'Scénario référence'!$B$16*5+'Scénario référence'!$B$17*0+'Scénario référence'!$B$18*5</f>
        <v>0</v>
      </c>
      <c r="C84" s="19">
        <f>Calculateur!C83+'Scénario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72.025200000000098</v>
      </c>
      <c r="D84" s="11">
        <f t="shared" si="86"/>
        <v>20.175548252960489</v>
      </c>
      <c r="E8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84" s="11">
        <f>IF(OR('Scénario référence'!$F$8&gt;0,'Scénario référence'!$F$9&gt;0),('Scénario référence'!$F$8+'Scénario référence'!$F$9)*10,0)</f>
        <v>10</v>
      </c>
      <c r="G84" s="11">
        <f>'Scénario référence'!$B$8*B84*44/12+'Scénario référence'!$B$9*(C84+D84)/0.475*44/12+'Scénario référence'!$B$10*(C84+D84)/0.475*44/12+'Scénario référence'!$F$8*(C84+D84)/0.475*44/12+'Scénario référence'!$F$9*(C84+D84)/0.475*44/12</f>
        <v>711.72507423337993</v>
      </c>
      <c r="H84" s="67">
        <f t="shared" si="56"/>
        <v>453.91630320723971</v>
      </c>
      <c r="I84" s="70">
        <f>('Scénario référence'!$F$8+'Scénario référence'!$F$9+'Scénario référence'!$B$17+'Scénario référence'!$B$9+'Scénario référence'!$B$10)*70+IF((45+25*(1-EXP(-0.0175*A84)))&lt;70,'Scénario référence'!$B$16*(45+25*(1-EXP(-0.0175*A84))),70*'Scénario référence'!$B$16)+IF((32+38*(1-EXP(-0.0175*A84)))&lt;70,'Scénario référence'!$B$18*(32+38*(1-EXP(-0.0175*A84))),70*'Scénario référence'!$B$18)</f>
        <v>70</v>
      </c>
      <c r="J84" s="13">
        <f>IF(A84&gt;30,10,('Scénario référence'!$B$16+'Scénario référence'!$B$17+'Scénario référence'!$B$18+'Scénario référence'!$B$9+'Scénario référence'!$B$10)*A84*10/30+('Scénario référence'!$F$8+'Scénario référence'!$F$9)*10)</f>
        <v>10</v>
      </c>
      <c r="K84" s="12" t="e">
        <f>VLOOKUP(A84,'Données projet'!$A$35:$I$55,2,0)</f>
        <v>#N/A</v>
      </c>
      <c r="L84" s="12" t="e">
        <f>VLOOKUP(A84,'Données projet'!$A$35:$I$55,9,0)</f>
        <v>#N/A</v>
      </c>
      <c r="M84" s="12">
        <f t="array" ref="M84">INDEX(L:L,MIN(IF(ISNUMBER(L84:L280),ROW(L84:L280),"")))</f>
        <v>0</v>
      </c>
      <c r="N84" s="13">
        <f>IF('Données projet'!$A$36&gt;35,N83+M84-V83,IF(A84&lt;'Données projet'!$A$36,$K$205^A84,IF(A84='Données projet'!$A$36,'Données projet'!$B$36,N83+M84-V83)))</f>
        <v>-2.2737367544323206E-13</v>
      </c>
      <c r="O84" s="13">
        <f>N84*VLOOKUP('Données projet'!$B$9,Paramètres!$A$1:$I$89,3,0)*VLOOKUP('Données projet'!$B$9,Paramètres!$A$1:$I$89,5,0)</f>
        <v>-1.2710188457276673E-13</v>
      </c>
      <c r="P84" s="13" t="e">
        <f t="shared" si="87"/>
        <v>#NUM!</v>
      </c>
      <c r="Q84" s="20" t="e">
        <f t="shared" si="54"/>
        <v>#NUM!</v>
      </c>
      <c r="R84" s="59" t="e">
        <f t="shared" si="55"/>
        <v>#NUM!</v>
      </c>
      <c r="S84" s="59">
        <f ca="1">AVERAGE(OFFSET($R$3,0,0,'Données projet'!$E$9+1,1))-AVERAGE(OFFSET($H$3,0,0,'Données projet'!$E$9+1,1))</f>
        <v>255.5374979188561</v>
      </c>
      <c r="T84" s="59">
        <f t="shared" si="88"/>
        <v>343.10418468620901</v>
      </c>
      <c r="U84" s="15">
        <f>IF(ISNA(VLOOKUP(A84,'Données projet'!$A$35:$I$55,3,0)),0,VLOOKUP(A84,'Données projet'!$A$35:$I$55,3,0))</f>
        <v>0</v>
      </c>
      <c r="V84" s="15">
        <f>IF(ISNA(VLOOKUP(A84,'Données projet'!$A$35:$I$55,4,0)),0,VLOOKUP(A84,'Données projet'!$A$35:$I$55,4,0))</f>
        <v>0</v>
      </c>
      <c r="W84" s="16">
        <f>IF(ISNA(VLOOKUP(A84,'Données projet'!$A$35:$I$55,5,0)),0%,VLOOKUP(A84,'Données projet'!$A$35:$I$55,5,0)*VLOOKUP('Données projet'!$B$9,Paramètres!$A$1:$I$89,7,0))</f>
        <v>0</v>
      </c>
      <c r="X84" s="16">
        <f>IF(ISNA(VLOOKUP(A84,'Données projet'!$A$35:$I$55,6,0)),0%,VLOOKUP(A84,'Données projet'!$A$35:$I$55,6,0)*VLOOKUP('Données projet'!$B$9,Paramètres!$A$1:$I$89,7,0))</f>
        <v>0</v>
      </c>
      <c r="Y84" s="16">
        <f>IF(ISNA(VLOOKUP(A84,'Données projet'!$A$35:$I$55,7,0)),0%,VLOOKUP(A84,'Données projet'!$A$35:$I$55,7,0))</f>
        <v>0</v>
      </c>
      <c r="Z84" s="21">
        <f>EXP(-LN(2)/35)*Z83+(1-EXP(-LN(2)/35))/(LN(2)/35)*V84*W84*VLOOKUP('Données projet'!$B$9,Paramètres!$A$1:$I$89,3,0)*0.475*44/12</f>
        <v>1.1254352465643092</v>
      </c>
      <c r="AA84" s="21">
        <f>EXP(-LN(2)/25)*AA83+(1-EXP(-LN(2)/25))/(LN(2)/25)*Calculateur!V84*Calculateur!X84*VLOOKUP('Données projet'!$B$9,Paramètres!$A$1:$I$89,3,0)*0.475*44/12</f>
        <v>3.8809562512593225</v>
      </c>
      <c r="AB84" s="21">
        <f>EXP(-LN(2)/2)*AB83+(1-EXP(-LN(2)/2))/(LN(2)/2)*V84*Y84*VLOOKUP('Données projet'!$B$9,Paramètres!$A$1:$I$89,3,0)*0.475*44/12</f>
        <v>3.5669975387200144E-8</v>
      </c>
      <c r="AC84" s="22">
        <f t="shared" si="57"/>
        <v>5.0063915334936073</v>
      </c>
      <c r="AD84" s="13">
        <f>('Scénario référence'!$F$8+'Scénario référence'!$F$9+'Scénario référence'!$B$17+'Scénario référence'!$B$9+'Scénario référence'!$B$10)*70+IF((45+25*(1-EXP(-0.0175*A84)))&lt;70,'Scénario référence'!$B$16*(45+25*(1-EXP(-0.0175*A84))),70*'Scénario référence'!$B$16)+IF((32+38*(1-EXP(-0.0175*A84)))&lt;70,'Scénario référence'!$B$18*(32+38*(1-EXP(-0.0175*A84))),70*'Scénario référence'!$B$18)</f>
        <v>70</v>
      </c>
      <c r="AE84" s="13">
        <f>IF(A84&gt;30,10,('Scénario référence'!$B$16+'Scénario référence'!$B$17+'Scénario référence'!$B$18+'Scénario référence'!$B$9+'Scénario référence'!$B$10)*A84*10/30+('Scénario référence'!$F$8+'Scénario référence'!$F$9)*10)</f>
        <v>10</v>
      </c>
      <c r="AF84" s="12" t="e">
        <f>VLOOKUP(A84,'Données projet'!$A$61:$I$81,2,0)</f>
        <v>#N/A</v>
      </c>
      <c r="AG84" s="12" t="e">
        <f>VLOOKUP(A84,'Données projet'!$A$61:$I$81,9,0)</f>
        <v>#N/A</v>
      </c>
      <c r="AH84" s="12">
        <f t="array" ref="AH84">INDEX(AG:AG,MIN(IF(ISNUMBER(AG84:AG280),ROW(AG84:AG280),"")))</f>
        <v>0</v>
      </c>
      <c r="AI84" s="13">
        <f>IF('Données projet'!$A$62&gt;35,AI83+AH84-AQ83,IF(A84&lt;'Données projet'!$A$62,$AF$205^A84,IF(A84='Données projet'!$A$62,'Données projet'!$B$62,AI83+AH84-AQ83)))</f>
        <v>0</v>
      </c>
      <c r="AJ84" s="13">
        <f>AI84*VLOOKUP('Données projet'!$B$10,Paramètres!$A$1:$I$89,3,0)*VLOOKUP('Données projet'!$B$10,Paramètres!$A$1:$I$89,5,0)</f>
        <v>0</v>
      </c>
      <c r="AK84" s="13" t="e">
        <f t="shared" si="89"/>
        <v>#NUM!</v>
      </c>
      <c r="AL84" s="20" t="e">
        <f t="shared" si="58"/>
        <v>#NUM!</v>
      </c>
      <c r="AM84" s="59" t="e">
        <f t="shared" si="59"/>
        <v>#NUM!</v>
      </c>
      <c r="AN84" s="59">
        <f ca="1">AVERAGE(OFFSET($AM$3,0,0,'Données projet'!$E$10+1,1))-AVERAGE(OFFSET($H$3,0,0,'Données projet'!$E$10+1,1))</f>
        <v>261.78489480911571</v>
      </c>
      <c r="AO84" s="59">
        <f t="shared" si="90"/>
        <v>297.50513563712764</v>
      </c>
      <c r="AP84" s="15">
        <f>IF(ISNA(VLOOKUP(A84,'Données projet'!$A$61:$I$81,3,0)),0,VLOOKUP(A84,'Données projet'!$A$61:$I$81,3,0))</f>
        <v>0</v>
      </c>
      <c r="AQ84" s="15">
        <f>IF(ISNA(VLOOKUP(A84,'Données projet'!$A$61:$I$81,4,0)),0,VLOOKUP(A84,'Données projet'!$A$61:$I$81,4,0))</f>
        <v>0</v>
      </c>
      <c r="AR84" s="16">
        <f>IF(ISNA(VLOOKUP(A84,'Données projet'!$A$61:$I$81,5,0)),0%,VLOOKUP(A84,'Données projet'!$A$61:$I$81,5,0)*VLOOKUP('Données projet'!$B$10,Paramètres!$A$1:$I$89,7,0))</f>
        <v>0</v>
      </c>
      <c r="AS84" s="16">
        <f>IF(ISNA(VLOOKUP(A84,'Données projet'!$A$61:$I$81,6,0)),0%,VLOOKUP(A84,'Données projet'!$A$61:$I$81,6,0)*VLOOKUP('Données projet'!$B$10,Paramètres!$A$1:$I$89,7,0))</f>
        <v>0</v>
      </c>
      <c r="AT84" s="16">
        <f>IF(ISNA(VLOOKUP(A84,'Données projet'!$A$61:$I$81,7,0)),0%,VLOOKUP(A84,'Données projet'!$A$61:$I$81,7,0))</f>
        <v>0</v>
      </c>
      <c r="AU84" s="21">
        <f>EXP(-LN(2)/35)*AU83+(1-EXP(-LN(2)/35))/(LN(2)/35)*AQ84*AR84*VLOOKUP('Données projet'!$B$10,Paramètres!$A$1:$I$89,3,0)*0.475*44/12</f>
        <v>3.0389934935563048</v>
      </c>
      <c r="AV84" s="21">
        <f>EXP(-LN(2)/25)*AV83+(1-EXP(-LN(2)/25))/(LN(2)/25)*Calculateur!AQ84*Calculateur!AS84*VLOOKUP('Données projet'!$B$10,Paramètres!$A$1:$I$89,3,0)*0.475*44/12</f>
        <v>6.7769411779301674</v>
      </c>
      <c r="AW84" s="21">
        <f>EXP(-LN(2)/2)*AW83+(1-EXP(-LN(2)/2))/(LN(2)/2)*AQ84*AT84*VLOOKUP('Données projet'!$B$10,Paramètres!$A$1:$I$89,3,0)*0.475*44/12</f>
        <v>5.1421665316639755E-7</v>
      </c>
      <c r="AX84" s="21">
        <f t="shared" si="60"/>
        <v>9.8159351857031254</v>
      </c>
      <c r="AY84" s="74">
        <f>('Scénario référence'!$F$8+'Scénario référence'!$F$9+'Scénario référence'!$B$17+'Scénario référence'!$B$9+'Scénario référence'!$B$10)*70+IF((45+25*(1-EXP(-0.0175*A84)))&lt;70,'Scénario référence'!$B$16*(45+25*(1-EXP(-0.0175*A84))),70*'Scénario référence'!$B$16)+IF((32+38*(1-EXP(-0.0175*A84)))&lt;70,'Scénario référence'!$B$18*(32+38*(1-EXP(-0.0175*A84))),70*'Scénario référence'!$B$18)</f>
        <v>70</v>
      </c>
      <c r="AZ84" s="12">
        <f>IF(A84&gt;30,10,('Scénario référence'!$B$16+'Scénario référence'!$B$17+'Scénario référence'!$B$18+'Scénario référence'!$B$9+'Scénario référence'!$B$10)*A84*10/30+('Scénario référence'!$F$8+'Scénario référence'!$F$9)*10)</f>
        <v>10</v>
      </c>
      <c r="BA84" s="12" t="e">
        <f>VLOOKUP(A84,'Données projet'!$A$87:$I$107,2,0)</f>
        <v>#N/A</v>
      </c>
      <c r="BB84" s="12" t="e">
        <f>VLOOKUP(A84,'Données projet'!$A$87:$I$107,9,0)</f>
        <v>#N/A</v>
      </c>
      <c r="BC84" s="12">
        <f t="array" ref="BC84">INDEX(BB:BB,MIN(IF(ISNUMBER(BB84:BB280),ROW(BB84:BB280),"")))</f>
        <v>12.5</v>
      </c>
      <c r="BD84" s="12">
        <f>IF('Données projet'!$A$88&gt;35,BD83+BC84-BL83,IF(A84&lt;'Données projet'!$A$88,$BA$205^A84,IF(A84='Données projet'!$A$88,'Données projet'!$B$88,BD83+BC84-BL83)))</f>
        <v>524.49999999999955</v>
      </c>
      <c r="BE84" s="13">
        <f>BD84*VLOOKUP('Données projet'!$B$11,Paramètres!$A$1:$I$89,3,0)*VLOOKUP('Données projet'!$B$11,Paramètres!$A$1:$I$89,5,0)</f>
        <v>313.65099999999978</v>
      </c>
      <c r="BF84" s="13">
        <f t="shared" si="91"/>
        <v>74.030783927316818</v>
      </c>
      <c r="BG84" s="20">
        <f t="shared" si="61"/>
        <v>675.21244034007634</v>
      </c>
      <c r="BH84" s="59">
        <f t="shared" si="62"/>
        <v>968.54577367340971</v>
      </c>
      <c r="BI84" s="59">
        <f ca="1">AVERAGE(OFFSET($BH$3,0,0,'Données projet'!$E$11+1,1))-AVERAGE(OFFSET($H$3,0,0,'Données projet'!$E$11+1,1))</f>
        <v>316.58509520829671</v>
      </c>
      <c r="BJ84" s="59">
        <f t="shared" si="92"/>
        <v>240.71332110643596</v>
      </c>
      <c r="BK84" s="15">
        <f>IF(ISNA(VLOOKUP(A84,'Données projet'!$A$87:$I$107,3,0)),0,VLOOKUP(A84,'Données projet'!$A$87:$I$107,3,0))</f>
        <v>0</v>
      </c>
      <c r="BL84" s="15">
        <f>IF(ISNA(VLOOKUP(A84,'Données projet'!$A$87:$I$107,4,0)),0,VLOOKUP(A84,'Données projet'!$A$87:$I$107,4,0))</f>
        <v>0</v>
      </c>
      <c r="BM84" s="16">
        <f>IF(ISNA(VLOOKUP(A84,'Données projet'!$A$87:$I$107,5,0)),0%,VLOOKUP(A84,'Données projet'!$A$87:$I$107,5,0)*VLOOKUP('Données projet'!$B$11,Paramètres!$A$1:$I$89,7,0))</f>
        <v>0</v>
      </c>
      <c r="BN84" s="16">
        <f>IF(ISNA(VLOOKUP(A84,'Données projet'!$A$87:$I$107,6,0)),0%,VLOOKUP(A84,'Données projet'!$A$87:$I$107,6,0)*VLOOKUP('Données projet'!$B$11,Paramètres!$A$1:$I$89,7,0))</f>
        <v>0</v>
      </c>
      <c r="BO84" s="16">
        <f>IF(ISNA(VLOOKUP(A84,'Données projet'!$A$87:$I$107,7,0)),0%,VLOOKUP(A84,'Données projet'!$A$87:$I$107,7,0))</f>
        <v>0</v>
      </c>
      <c r="BP84" s="21">
        <f>EXP(-LN(2)/35)*BP83+(1-EXP(-LN(2)/35))/(LN(2)/35)*BL84*BM84*VLOOKUP('Données projet'!$B$11,Paramètres!$A$1:$I$89,3,0)*0.475*44/12</f>
        <v>0.9231168852264594</v>
      </c>
      <c r="BQ84" s="21">
        <f>EXP(-LN(2)/25)*BQ83+(1-EXP(-LN(2)/25))/(LN(2)/25)*Calculateur!BL84*Calculateur!BN84*VLOOKUP('Données projet'!$B$11,Paramètres!$A$1:$I$89,3,0)*0.475*44/12</f>
        <v>3.7126061153788719</v>
      </c>
      <c r="BR84" s="21">
        <f>EXP(-LN(2)/2)*BR83+(1-EXP(-LN(2)/2))/(LN(2)/2)*BL84*BO84*VLOOKUP('Données projet'!$B$11,Paramètres!$A$1:$I$89,3,0)*0.475*44/12</f>
        <v>4.6233708440288006E-7</v>
      </c>
      <c r="BS84" s="22">
        <f t="shared" si="63"/>
        <v>4.6357234629424156</v>
      </c>
      <c r="BT84" s="75">
        <f>('Scénario référence'!$F$8+'Scénario référence'!$F$9+'Scénario référence'!$B$17+'Scénario référence'!$B$9+'Scénario référence'!$B$10)*70+IF((45+25*(1-EXP(-0.0175*A84)))&lt;70,'Scénario référence'!$B$16*(45+25*(1-EXP(-0.0175*A84))),70*'Scénario référence'!$B$16)+IF((32+38*(1-EXP(-0.0175*A84)))&lt;70,'Scénario référence'!$B$18*(32+38*(1-EXP(-0.0175*A84))),70*'Scénario référence'!$B$18)</f>
        <v>70</v>
      </c>
      <c r="BU84" s="12">
        <f>IF(A84&gt;30,10,('Scénario référence'!$B$16+'Scénario référence'!$B$17+'Scénario référence'!$B$18+'Scénario référence'!$B$9+'Scénario référence'!$B$10)*A84*10/30+('Scénario référence'!$F$8+'Scénario référence'!$F$9)*10)</f>
        <v>10</v>
      </c>
      <c r="BV84" s="12" t="e">
        <f>VLOOKUP(A84,'Données projet'!$A$113:$I$133,2,0)</f>
        <v>#N/A</v>
      </c>
      <c r="BW84" s="12" t="e">
        <f>VLOOKUP(A84,'Données projet'!$A$113:$I$133,9,0)</f>
        <v>#N/A</v>
      </c>
      <c r="BX84" s="12">
        <f t="array" ref="BX84">INDEX(BW:BW,MIN(IF(ISNUMBER(BW84:BW280),ROW(BW84:BW280),"")))</f>
        <v>3.8</v>
      </c>
      <c r="BY84" s="12">
        <f>IF('Données projet'!$A$114&gt;35,BY83+BX84-CG83,IF(A84&lt;'Données projet'!$A$114,$BV$205^A84,IF(A84='Données projet'!$A$114,'Données projet'!$B$114,BY83+BX84-CG83)))</f>
        <v>319.79999999999967</v>
      </c>
      <c r="BZ84" s="13">
        <f>BY84*VLOOKUP('Données projet'!$B$12,Paramètres!$A$1:$I$89,3,0)*VLOOKUP('Données projet'!$B$12,Paramètres!$A$1:$I$89,5,0)</f>
        <v>182.9255999999998</v>
      </c>
      <c r="CA84" s="13">
        <f t="shared" si="93"/>
        <v>45.972466250451397</v>
      </c>
      <c r="CB84" s="20">
        <f t="shared" si="64"/>
        <v>398.66413205286909</v>
      </c>
      <c r="CC84" s="59">
        <f t="shared" si="65"/>
        <v>691.99746538620241</v>
      </c>
      <c r="CD84" s="59">
        <f ca="1">AVERAGE(OFFSET($CC$3,0,0,'Données projet'!$E$12+1,1))-AVERAGE(OFFSET($H$3,0,0,'Données projet'!$E$12+1,1))</f>
        <v>188.64374818906128</v>
      </c>
      <c r="CE84" s="59">
        <f t="shared" si="94"/>
        <v>211.95157880548652</v>
      </c>
      <c r="CF84" s="15">
        <f>IF(ISNA(VLOOKUP(A84,'Données projet'!$A$113:$I$133,3,0)),0,VLOOKUP(A84,'Données projet'!$A$113:$I$133,3,0))</f>
        <v>0</v>
      </c>
      <c r="CG84" s="15">
        <f>IF(ISNA(VLOOKUP(A84,'Données projet'!$A$113:$I$133,4,0)),0,VLOOKUP(A84,'Données projet'!$A$113:$I$133,4,0))</f>
        <v>0</v>
      </c>
      <c r="CH84" s="16">
        <f>IF(ISNA(VLOOKUP(A84,'Données projet'!$A$113:$I$133,5,0)),0%,VLOOKUP(A84,'Données projet'!$A$113:$I$133,5,0)*VLOOKUP('Données projet'!$B$12,Paramètres!$A$1:$I$89,7,0))</f>
        <v>0</v>
      </c>
      <c r="CI84" s="16">
        <f>IF(ISNA(VLOOKUP(A84,'Données projet'!$A$113:$I$133,6,0)),0%,VLOOKUP(A84,'Données projet'!$A$113:$I$133,6,0)*VLOOKUP('Données projet'!$B$12,Paramètres!$A$1:$I$89,7,0))</f>
        <v>0</v>
      </c>
      <c r="CJ84" s="16">
        <f>IF(ISNA(VLOOKUP(A84,'Données projet'!$A$113:$I$133,7,0)),0%,VLOOKUP(A84,'Données projet'!$A$113:$I$133,7,0))</f>
        <v>0</v>
      </c>
      <c r="CK84" s="21">
        <f>EXP(-LN(2)/35)*CK83+(1-EXP(-LN(2)/35))/(LN(2)/35)*CG84*CH84*VLOOKUP('Données projet'!$B$12,Paramètres!$A$1:$I$89,3,0)*0.475*44/12</f>
        <v>0.89541772577998224</v>
      </c>
      <c r="CL84" s="21">
        <f>EXP(-LN(2)/25)*CL83+(1-EXP(-LN(2)/25))/(LN(2)/25)*Calculateur!CG84*Calculateur!CI84*VLOOKUP('Données projet'!$B$12,Paramètres!$A$1:$I$89,3,0)*0.475*44/12</f>
        <v>3.49438893574135</v>
      </c>
      <c r="CM84" s="21">
        <f>EXP(-LN(2)/2)*CM83+(1-EXP(-LN(2)/2))/(LN(2)/2)*CG84*CJ84*VLOOKUP('Données projet'!$B$12,Paramètres!$A$1:$I$89,3,0)*0.475*44/12</f>
        <v>4.4773729245347305E-7</v>
      </c>
      <c r="CN84" s="22">
        <f t="shared" si="66"/>
        <v>4.3898071092586246</v>
      </c>
      <c r="CO84" s="75">
        <f>('Scénario référence'!$F$8+'Scénario référence'!$F$9+'Scénario référence'!$B$17+'Scénario référence'!$B$9+'Scénario référence'!$B$10)*70+IF((45+25*(1-EXP(-0.0175*A84)))&lt;70,'Scénario référence'!$B$16*(45+25*(1-EXP(-0.0175*A84))),70*'Scénario référence'!$B$16)+IF((32+38*(1-EXP(-0.0175*A84)))&lt;70,'Scénario référence'!$B$18*(32+38*(1-EXP(-0.0175*A84))),70*'Scénario référence'!$B$18)</f>
        <v>70</v>
      </c>
      <c r="CP84" s="12">
        <f>IF(A84&gt;30,10,('Scénario référence'!$B$16+'Scénario référence'!$B$17+'Scénario référence'!$B$18+'Scénario référence'!$B$9+'Scénario référence'!$B$10)*A84*10/30+('Scénario référence'!$F$8+'Scénario référence'!$F$9)*10)</f>
        <v>10</v>
      </c>
      <c r="CQ84" s="12" t="e">
        <f>VLOOKUP(A84,'Données projet'!$A$139:$I$159,2,0)</f>
        <v>#N/A</v>
      </c>
      <c r="CR84" s="12" t="e">
        <f>VLOOKUP(A84,'Données projet'!$A$139:$I$159,9,0)</f>
        <v>#N/A</v>
      </c>
      <c r="CS84" s="12">
        <f t="array" ref="CS84">INDEX(CR:CR,MIN(IF(ISNUMBER(CR84:CR280),ROW(CR84:CR280),"")))</f>
        <v>0</v>
      </c>
      <c r="CT84" s="12">
        <f>IF('Données projet'!$A$140&gt;35,CT83+CS84-DB83,IF(A84&lt;'Données projet'!$A$140,$CQ$205^A84,IF(A84='Données projet'!$A$140,'Données projet'!$B$140,CT83+CS84-DB83)))</f>
        <v>0</v>
      </c>
      <c r="CU84" s="17" t="e">
        <f>CT84*VLOOKUP('Données projet'!$B$13,Paramètres!$A$1:$I$89,3,0)*VLOOKUP('Données projet'!$B$13,Paramètres!$A$1:$I$89,5,0)</f>
        <v>#N/A</v>
      </c>
      <c r="CV84" s="13" t="e">
        <f t="shared" si="95"/>
        <v>#N/A</v>
      </c>
      <c r="CW84" s="20" t="e">
        <f t="shared" si="67"/>
        <v>#N/A</v>
      </c>
      <c r="CX84" s="59" t="e">
        <f t="shared" si="68"/>
        <v>#N/A</v>
      </c>
      <c r="CY84" s="59" t="e">
        <f ca="1">AVERAGE(OFFSET($CX$3,0,0,'Données projet'!$E$13+1,1))-AVERAGE(OFFSET($H$3,0,0,'Données projet'!$E$13+1,1))</f>
        <v>#N/A</v>
      </c>
      <c r="CZ84" s="59" t="e">
        <f t="shared" si="96"/>
        <v>#N/A</v>
      </c>
      <c r="DA84" s="15">
        <f>IF(ISNA(VLOOKUP(A84,'Données projet'!$A$139:$I$159,3,0)),0,VLOOKUP(A84,'Données projet'!$A$139:$I$159,3,0))</f>
        <v>0</v>
      </c>
      <c r="DB84" s="15">
        <f>IF(ISNA(VLOOKUP(A84,'Données projet'!$A$139:$I$159,4,0)),0,VLOOKUP(A84,'Données projet'!$A$139:$I$159,4,0))</f>
        <v>0</v>
      </c>
      <c r="DC84" s="16">
        <f>IF(ISNA(VLOOKUP(A84,'Données projet'!$A$139:$I$159,5,0)),0%,VLOOKUP(A84,'Données projet'!$A$139:$I$159,5,0)*VLOOKUP('Données projet'!$B$13,Paramètres!$A$1:$I$89,7,0))</f>
        <v>0</v>
      </c>
      <c r="DD84" s="16">
        <f>IF(ISNA(VLOOKUP(A84,'Données projet'!$A$139:$I$159,6,0)),0%,VLOOKUP(A84,'Données projet'!$A$139:$I$159,6,0)*VLOOKUP('Données projet'!$B$13,Paramètres!$A$1:$I$89,7,0))</f>
        <v>0</v>
      </c>
      <c r="DE84" s="16">
        <f>IF(ISNA(VLOOKUP(A84,'Données projet'!$A$139:$I$159,7,0)),0%,VLOOKUP(A84,'Données projet'!$A$139:$I$159,7,0))</f>
        <v>0</v>
      </c>
      <c r="DF84" s="21" t="e">
        <f>EXP(-LN(2)/35)*DF83+(1-EXP(-LN(2)/35))/(LN(2)/35)*DB84*DC84*VLOOKUP('Données projet'!$B$13,Paramètres!$A$1:$I$89,3,0)*0.475*44/12</f>
        <v>#N/A</v>
      </c>
      <c r="DG84" s="21" t="e">
        <f>EXP(-LN(2)/25)*DG83+(1-EXP(-LN(2)/25))/(LN(2)/25)*Calculateur!DB84*Calculateur!DD84*VLOOKUP('Données projet'!$B$13,Paramètres!$A$1:$I$89,3,0)*0.475*44/12</f>
        <v>#N/A</v>
      </c>
      <c r="DH84" s="21" t="e">
        <f>EXP(-LN(2)/2)*DH83+(1-EXP(-LN(2)/2))/(LN(2)/2)*DB84*DE84*VLOOKUP('Données projet'!$B$13,Paramètres!$A$1:$I$89,3,0)*0.475*44/12</f>
        <v>#N/A</v>
      </c>
      <c r="DI84" s="22" t="e">
        <f t="shared" si="69"/>
        <v>#N/A</v>
      </c>
      <c r="DJ84" s="75">
        <f>('Scénario référence'!$F$8+'Scénario référence'!$F$9+'Scénario référence'!$B$17+'Scénario référence'!$B$9+'Scénario référence'!$B$10)*70+IF((45+25*(1-EXP(-0.0175*A84)))&lt;70,'Scénario référence'!$B$16*(45+25*(1-EXP(-0.0175*A84))),70*'Scénario référence'!$B$16)+IF((32+38*(1-EXP(-0.0175*A84)))&lt;70,'Scénario référence'!$B$18*(32+38*(1-EXP(-0.0175*A84))),70*'Scénario référence'!$B$18)</f>
        <v>70</v>
      </c>
      <c r="DK84" s="12">
        <f>IF(A84&gt;30,10,('Scénario référence'!$B$16+'Scénario référence'!$B$17+'Scénario référence'!$B$18+'Scénario référence'!$B$9+'Scénario référence'!$B$10)*A84*10/30+('Scénario référence'!$F$8+'Scénario référence'!$F$9)*10)</f>
        <v>10</v>
      </c>
      <c r="DL84" s="12" t="e">
        <f>VLOOKUP(A84,'Données projet'!$A$165:$I$185,2,0)</f>
        <v>#N/A</v>
      </c>
      <c r="DM84" s="12" t="e">
        <f>VLOOKUP(A84,'Données projet'!$A$165:$I$185,9,0)</f>
        <v>#N/A</v>
      </c>
      <c r="DN84" s="12">
        <f t="array" ref="DN84">INDEX(DM:DM,MIN(IF(ISNUMBER(DM84:DM280),ROW(DM84:DM280),"")))</f>
        <v>4</v>
      </c>
      <c r="DO84" s="12">
        <f>IF('Données projet'!$A$166&gt;35,DO83+DN84-DW83,IF(A84&lt;'Données projet'!$A$166,$DL$205^A84,IF(A84='Données projet'!$A$166,'Données projet'!$B$166,DO83+DN84-DW83)))</f>
        <v>263.00000000000017</v>
      </c>
      <c r="DP84" s="17">
        <f>DO84*VLOOKUP('Données projet'!$B$14,Paramètres!$A$1:$I$89,3,0)*VLOOKUP('Données projet'!$B$14,Paramètres!$A$1:$I$89,5,0)</f>
        <v>172.31760000000011</v>
      </c>
      <c r="DQ84" s="13">
        <f t="shared" si="97"/>
        <v>43.608679117600296</v>
      </c>
      <c r="DR84" s="20">
        <f t="shared" si="70"/>
        <v>376.07160279648741</v>
      </c>
      <c r="DS84" s="59">
        <f t="shared" si="71"/>
        <v>669.40493612982073</v>
      </c>
      <c r="DT84" s="59">
        <f ca="1">AVERAGE(OFFSET($DS$3,0,0,'Données projet'!$E$14+1,1))-AVERAGE(OFFSET($H$3,0,0,'Données projet'!$E$14+1,1))</f>
        <v>188.68915783955595</v>
      </c>
      <c r="DU84" s="59">
        <f t="shared" si="98"/>
        <v>240.82467772396944</v>
      </c>
      <c r="DV84" s="15">
        <f>IF(ISNA(VLOOKUP(A84,'Données projet'!$A$165:$I$185,3,0)),0,VLOOKUP(A84,'Données projet'!$A$165:$I$185,3,0))</f>
        <v>0</v>
      </c>
      <c r="DW84" s="15">
        <f>IF(ISNA(VLOOKUP(A84,'Données projet'!$A$165:$I$185,4,0)),0,VLOOKUP(A84,'Données projet'!$A$165:$I$185,4,0))</f>
        <v>0</v>
      </c>
      <c r="DX84" s="16">
        <f>IF(ISNA(VLOOKUP(A84,'Données projet'!$A$165:$I$185,5,0)),0%,VLOOKUP(A84,'Données projet'!$A$165:$I$185,5,0)*VLOOKUP('Données projet'!$B$14,Paramètres!$A$1:$I$89,7,0))</f>
        <v>0</v>
      </c>
      <c r="DY84" s="16">
        <f>IF(ISNA(VLOOKUP(A84,'Données projet'!$A$165:$I$185,6,0)),0%,VLOOKUP(A84,'Données projet'!$A$165:$I$185,6,0)*VLOOKUP('Données projet'!$B$14,Paramètres!$A$1:$I$89,7,0))</f>
        <v>0</v>
      </c>
      <c r="DZ84" s="16">
        <f>IF(ISNA(VLOOKUP(A84,'Données projet'!$A$165:$I$185,7,0)),0%,VLOOKUP(A84,'Données projet'!$A$165:$I$185,7,0))</f>
        <v>0</v>
      </c>
      <c r="EA84" s="21">
        <f>EXP(-LN(2)/35)*EA83+(1-EXP(-LN(2)/35))/(LN(2)/35)*DW84*DX84*VLOOKUP('Données projet'!$B$14,Paramètres!$A$1:$I$89,3,0)*0.475*44/12</f>
        <v>0.56717326485642816</v>
      </c>
      <c r="EB84" s="21">
        <f>EXP(-LN(2)/25)*EB83+(1-EXP(-LN(2)/25))/(LN(2)/25)*Calculateur!DW84*Calculateur!DY84*VLOOKUP('Données projet'!$B$14,Paramètres!$A$1:$I$89,3,0)*0.475*44/12</f>
        <v>1.954557227602677</v>
      </c>
      <c r="EC84" s="21">
        <f>EXP(-LN(2)/2)*EC83+(1-EXP(-LN(2)/2))/(LN(2)/2)*DW84*DZ84*VLOOKUP('Données projet'!$B$14,Paramètres!$A$1:$I$89,3,0)*0.475*44/12</f>
        <v>2.9495224354566875E-7</v>
      </c>
      <c r="ED84" s="22">
        <f t="shared" si="72"/>
        <v>2.5217307874113488</v>
      </c>
      <c r="EE84" s="75">
        <f>('Scénario référence'!$F$8+'Scénario référence'!$F$9+'Scénario référence'!$B$17+'Scénario référence'!$B$9+'Scénario référence'!$B$10)*70+IF((45+25*(1-EXP(-0.0175*A84)))&lt;70,'Scénario référence'!$B$16*(45+25*(1-EXP(-0.0175*A84))),70*'Scénario référence'!$B$16)+IF((32+38*(1-EXP(-0.0175*A84)))&lt;70,'Scénario référence'!$B$18*(32+38*(1-EXP(-0.0175*A84))),70*'Scénario référence'!$B$18)</f>
        <v>70</v>
      </c>
      <c r="EF84" s="12">
        <f>IF(A84&gt;30,10,('Scénario référence'!$B$16+'Scénario référence'!$B$17+'Scénario référence'!$B$18+'Scénario référence'!$B$9+'Scénario référence'!$B$10)*A84*10/30+('Scénario référence'!$F$8+'Scénario référence'!$F$9)*10)</f>
        <v>10</v>
      </c>
      <c r="EG84" s="12" t="e">
        <f>VLOOKUP(A84,'Données projet'!$A$191:$I$211,2,0)</f>
        <v>#N/A</v>
      </c>
      <c r="EH84" s="12" t="e">
        <f>VLOOKUP(A84,'Données projet'!$A$191:$I$211,9,0)</f>
        <v>#N/A</v>
      </c>
      <c r="EI84" s="12">
        <f t="array" ref="EI84">INDEX(EH:EH,MIN(IF(ISNUMBER(EH84:EH280),ROW(EH84:EH280),"")))</f>
        <v>4.7</v>
      </c>
      <c r="EJ84" s="12">
        <f>IF('Données projet'!$A$192&gt;35,EJ83+EI84-ER83,IF(A84&lt;'Données projet'!$A$192,$EG$205^A84,IF(A84='Données projet'!$A$192,'Données projet'!$B$192,EJ83+EI84-ER83)))</f>
        <v>264.69999999999982</v>
      </c>
      <c r="EK84" s="17">
        <f>EJ84*VLOOKUP('Données projet'!$B$15,Paramètres!$A$1:$I$89,3,0)*VLOOKUP('Données projet'!$B$15,Paramètres!$A$1:$I$89,5,0)</f>
        <v>214.72463999999988</v>
      </c>
      <c r="EL84" s="13">
        <f t="shared" si="99"/>
        <v>52.96669770036759</v>
      </c>
      <c r="EM84" s="20">
        <f t="shared" si="73"/>
        <v>466.22907982813996</v>
      </c>
      <c r="EN84" s="59">
        <f t="shared" si="74"/>
        <v>759.56241316147327</v>
      </c>
      <c r="EO84" s="59">
        <f ca="1">AVERAGE(OFFSET($EN$3,0,0,'Données projet'!$E$15+1,1))-AVERAGE(OFFSET($H$3,0,0,'Données projet'!$E$15+1,1))</f>
        <v>205.5272583787887</v>
      </c>
      <c r="EP84" s="59">
        <f t="shared" si="100"/>
        <v>180.54762778843178</v>
      </c>
      <c r="EQ84" s="15">
        <f>IF(ISNA(VLOOKUP(A84,'Données projet'!$A$191:$I$211,3,0)),0,VLOOKUP(A84,'Données projet'!$A$191:$I$211,3,0))</f>
        <v>0</v>
      </c>
      <c r="ER84" s="15">
        <f>IF(ISNA(VLOOKUP(A84,'Données projet'!$A$191:$I$211,4,0)),0,VLOOKUP(A84,'Données projet'!$A$191:$I$211,4,0))</f>
        <v>0</v>
      </c>
      <c r="ES84" s="16">
        <f>IF(ISNA(VLOOKUP(A84,'Données projet'!$A$191:$I$211,5,0)),0%,VLOOKUP(A84,'Données projet'!$A$191:$I$211,5,0)*VLOOKUP('Données projet'!$B$15,Paramètres!$A$1:$I$89,7,0))</f>
        <v>0</v>
      </c>
      <c r="ET84" s="16">
        <f>IF(ISNA(VLOOKUP(A84,'Données projet'!$A$191:$I$211,6,0)),0%,VLOOKUP(A84,'Données projet'!$A$191:$I$211,6,0)*VLOOKUP('Données projet'!$B$15,Paramètres!$A$1:$I$89,7,0))</f>
        <v>0</v>
      </c>
      <c r="EU84" s="16">
        <f>IF(ISNA(VLOOKUP(A84,'Données projet'!$A$191:$I$211,7,0)),0%,VLOOKUP(A84,'Données projet'!$A$191:$I$211,7,0))</f>
        <v>0</v>
      </c>
      <c r="EV84" s="21">
        <f>EXP(-LN(2)/35)*EV83+(1-EXP(-LN(2)/35))/(LN(2)/35)*ER84*ES84*VLOOKUP('Données projet'!$B$15,Paramètres!$A$1:$I$89,3,0)*0.475*44/12</f>
        <v>0.36515154956470985</v>
      </c>
      <c r="EW84" s="21">
        <f>EXP(-LN(2)/25)*EW83+(1-EXP(-LN(2)/25))/(LN(2)/25)*Calculateur!ER84*Calculateur!ET84*VLOOKUP('Données projet'!$B$15,Paramètres!$A$1:$I$89,3,0)*0.475*44/12</f>
        <v>1.4112496117085442</v>
      </c>
      <c r="EX84" s="21">
        <f>EXP(-LN(2)/2)*EX83+(1-EXP(-LN(2)/2))/(LN(2)/2)*ER84*EU84*VLOOKUP('Données projet'!$B$15,Paramètres!$A$1:$I$89,3,0)*0.475*44/12</f>
        <v>1.9098179579123889E-7</v>
      </c>
      <c r="EY84" s="22">
        <f t="shared" si="75"/>
        <v>1.7764013522550499</v>
      </c>
      <c r="EZ84" s="75">
        <f>('Scénario référence'!$F$8+'Scénario référence'!$F$9+'Scénario référence'!$B$17+'Scénario référence'!$B$9+'Scénario référence'!$B$10)*70+IF((45+25*(1-EXP(-0.0175*A84)))&lt;70,'Scénario référence'!$B$16*(45+25*(1-EXP(-0.0175*A84))),70*'Scénario référence'!$B$16)+IF((32+38*(1-EXP(-0.0175*A84)))&lt;70,'Scénario référence'!$B$18*(32+38*(1-EXP(-0.0175*A84))),70*'Scénario référence'!$B$18)</f>
        <v>70</v>
      </c>
      <c r="FA84" s="12">
        <f>IF(A84&gt;30,10,('Scénario référence'!$B$16+'Scénario référence'!$B$17+'Scénario référence'!$B$18+'Scénario référence'!$B$9+'Scénario référence'!$B$10)*A84*10/30+('Scénario référence'!$F$8+'Scénario référence'!$F$9)*10)</f>
        <v>10</v>
      </c>
      <c r="FB84" s="12" t="e">
        <f>VLOOKUP(A84,'Données projet'!$A$217:$I$237,2,0)</f>
        <v>#N/A</v>
      </c>
      <c r="FC84" s="12" t="e">
        <f>VLOOKUP(A84,'Données projet'!$A$217:$I$237,9,0)</f>
        <v>#N/A</v>
      </c>
      <c r="FD84" s="12">
        <f t="array" ref="FD84">INDEX(FC:FC,MIN(IF(ISNUMBER(FC84:FC280),ROW(FC84:FC280),"")))</f>
        <v>10.9</v>
      </c>
      <c r="FE84" s="12">
        <f>IF('Données projet'!$A$218&gt;35,FE83+FD84-FM83,IF(A84&lt;'Données projet'!$A$218,$FB$205^A84,IF(A84='Données projet'!$A$218,'Données projet'!$B$218,FE83+FD84-FM83)))</f>
        <v>322.90000000000015</v>
      </c>
      <c r="FF84" s="17">
        <f>FE84*VLOOKUP('Données projet'!$B$16,Paramètres!$A$1:$I$89,3,0)*VLOOKUP('Données projet'!$B$16,Paramètres!$A$1:$I$89,5,0)</f>
        <v>277.04820000000012</v>
      </c>
      <c r="FG84" s="13">
        <f t="shared" si="101"/>
        <v>66.342824442669809</v>
      </c>
      <c r="FH84" s="20">
        <f t="shared" si="76"/>
        <v>598.07270090431678</v>
      </c>
      <c r="FI84" s="59">
        <f t="shared" si="77"/>
        <v>891.40603423765015</v>
      </c>
      <c r="FJ84" s="59">
        <f ca="1">AVERAGE(OFFSET($FI$3,0,0,'Données projet'!$E$16+1,1))-AVERAGE(OFFSET($H$3,0,0,'Données projet'!$E$16+1,1))</f>
        <v>383.97627237444709</v>
      </c>
      <c r="FK84" s="59">
        <f t="shared" si="102"/>
        <v>203.35476578922339</v>
      </c>
      <c r="FL84" s="15">
        <f>IF(ISNA(VLOOKUP(A84,'Données projet'!$A$217:$I$237,3,0)),0,VLOOKUP(A84,'Données projet'!$A$217:$I$237,3,0))</f>
        <v>0</v>
      </c>
      <c r="FM84" s="15">
        <f>IF(ISNA(VLOOKUP(A84,'Données projet'!$A$217:$I$237,4,0)),0,VLOOKUP(A84,'Données projet'!$A$217:$I$237,4,0))</f>
        <v>0</v>
      </c>
      <c r="FN84" s="16">
        <f>IF(ISNA(VLOOKUP(A84,'Données projet'!$A$217:$I$237,5,0)),0%,VLOOKUP(A84,'Données projet'!$A$217:$I$237,5,0)*VLOOKUP('Données projet'!$B$16,Paramètres!$A$1:$I$89,7,0))</f>
        <v>0</v>
      </c>
      <c r="FO84" s="16">
        <f>IF(ISNA(VLOOKUP(A84,'Données projet'!$A$217:$I$237,6,0)),0%,VLOOKUP(A84,'Données projet'!$A$217:$I$237,6,0)*VLOOKUP('Données projet'!$B$16,Paramètres!$A$1:$I$89,7,0))</f>
        <v>0</v>
      </c>
      <c r="FP84" s="16">
        <f>IF(ISNA(VLOOKUP(A84,'Données projet'!$A$217:$I$237,7,0)),0%,VLOOKUP(A84,'Données projet'!$A$217:$I$237,7,0))</f>
        <v>0</v>
      </c>
      <c r="FQ84" s="21">
        <f>EXP(-LN(2)/35)*FQ83+(1-EXP(-LN(2)/35))/(LN(2)/35)*FM84*FN84*VLOOKUP('Données projet'!$B$16,Paramètres!$A$1:$I$89,3,0)*0.475*44/12</f>
        <v>1.8766808623841671</v>
      </c>
      <c r="FR84" s="21">
        <f>EXP(-LN(2)/25)*FR83+(1-EXP(-LN(2)/25))/(LN(2)/25)*Calculateur!FM84*Calculateur!FO84*VLOOKUP('Données projet'!$B$16,Paramètres!$A$1:$I$89,3,0)*0.475*44/12</f>
        <v>1.4325642223942714</v>
      </c>
      <c r="FS84" s="21">
        <f>EXP(-LN(2)/2)*FS83+(1-EXP(-LN(2)/2))/(LN(2)/2)*FM84*FP84*VLOOKUP('Données projet'!$B$16,Paramètres!$A$1:$I$89,3,0)*0.475*44/12</f>
        <v>3.5079436372926337E-7</v>
      </c>
      <c r="FT84" s="22">
        <f t="shared" si="78"/>
        <v>3.309245435572802</v>
      </c>
      <c r="FU84" s="75">
        <f>('Scénario référence'!$F$8+'Scénario référence'!$F$9+'Scénario référence'!$B$17+'Scénario référence'!$B$9+'Scénario référence'!$B$10)*70+IF((45+25*(1-EXP(-0.0175*A84)))&lt;70,'Scénario référence'!$B$16*(45+25*(1-EXP(-0.0175*A84))),70*'Scénario référence'!$B$16)+IF((32+38*(1-EXP(-0.0175*A84)))&lt;70,'Scénario référence'!$B$18*(32+38*(1-EXP(-0.0175*A84))),70*'Scénario référence'!$B$18)</f>
        <v>70</v>
      </c>
      <c r="FV84" s="12">
        <f>IF(A84&gt;30,10,('Scénario référence'!$B$16+'Scénario référence'!$B$17+'Scénario référence'!$B$18+'Scénario référence'!$B$9+'Scénario référence'!$B$10)*A84*10/30+('Scénario référence'!$F$8+'Scénario référence'!$F$9)*10)</f>
        <v>10</v>
      </c>
      <c r="FW84" s="12" t="e">
        <f>VLOOKUP(A84,'Données projet'!$A$243:$I$263,2,0)</f>
        <v>#N/A</v>
      </c>
      <c r="FX84" s="12" t="e">
        <f>VLOOKUP(A84,'Données projet'!$A$243:$I$263,9,0)</f>
        <v>#N/A</v>
      </c>
      <c r="FY84" s="12">
        <f t="array" ref="FY84">INDEX(FX:FX,MIN(IF(ISNUMBER(FX84:FX280),ROW(FX84:FX280),"")))</f>
        <v>7.4950142450142483</v>
      </c>
      <c r="FZ84" s="12">
        <f>IF('Données projet'!$A$244&gt;35,FZ83+FY84-GH83,IF(A84&lt;'Données projet'!$A$244,$FW$205^A84,IF(A84='Données projet'!$A$244,'Données projet'!$B$244,FZ83+FY84-GH83)))</f>
        <v>235.89886039886039</v>
      </c>
      <c r="GA84" s="17">
        <f>FZ84*VLOOKUP('Données projet'!$B$17,Paramètres!$A$1:$I$89,3,0)*VLOOKUP('Données projet'!$B$17,Paramètres!$A$1:$I$89,5,0)</f>
        <v>253.92153333333331</v>
      </c>
      <c r="GB84" s="13">
        <f t="shared" si="103"/>
        <v>61.424916008407251</v>
      </c>
      <c r="GC84" s="20">
        <f t="shared" si="79"/>
        <v>549.22839927019811</v>
      </c>
      <c r="GD84" s="59">
        <f t="shared" si="80"/>
        <v>842.56173260353148</v>
      </c>
      <c r="GE84" s="59">
        <f ca="1">AVERAGE(OFFSET($GD$3,0,0,'Données projet'!$E$17+1,1))-AVERAGE(OFFSET($H$3,0,0,'Données projet'!$E$17+1,1))</f>
        <v>286.77702855541287</v>
      </c>
      <c r="GF84" s="59">
        <f t="shared" si="104"/>
        <v>227.12211541860779</v>
      </c>
      <c r="GG84" s="15">
        <f>IF(ISNA(VLOOKUP(A84,'Données projet'!$A$243:$I$263,3,0)),0,VLOOKUP(A84,'Données projet'!$A$243:$I$263,3,0))</f>
        <v>0</v>
      </c>
      <c r="GH84" s="15">
        <f>IF(ISNA(VLOOKUP(A84,'Données projet'!$A$243:$I$263,4,0)),0,VLOOKUP(A84,'Données projet'!$A$243:$I$263,4,0))</f>
        <v>0</v>
      </c>
      <c r="GI84" s="16">
        <f>IF(ISNA(VLOOKUP(A84,'Données projet'!$A$243:$I$263,5,0)),0%,VLOOKUP(A84,'Données projet'!$A$243:$I$263,5,0)*VLOOKUP('Données projet'!$B$17,Paramètres!$A$1:$I$89,7,0))</f>
        <v>0</v>
      </c>
      <c r="GJ84" s="16">
        <f>IF(ISNA(VLOOKUP(A84,'Données projet'!$A$243:$I$263,6,0)),0%,VLOOKUP(A84,'Données projet'!$A$243:$I$263,6,0)*VLOOKUP('Données projet'!$B$17,Paramètres!$A$1:$I$89,7,0))</f>
        <v>0</v>
      </c>
      <c r="GK84" s="16">
        <f>IF(ISNA(VLOOKUP(A84,'Données projet'!$A$243:$I$263,7,0)),0%,VLOOKUP(A84,'Données projet'!$A$243:$I$263,7,0))</f>
        <v>0</v>
      </c>
      <c r="GL84" s="21">
        <f>EXP(-LN(2)/35)*GL83+(1-EXP(-LN(2)/35))/(LN(2)/35)*GH84*GI84*VLOOKUP('Données projet'!$B$17,Paramètres!$A$1:$I$89,3,0)*0.475*44/12</f>
        <v>0</v>
      </c>
      <c r="GM84" s="21">
        <f>EXP(-LN(2)/25)*GM83+(1-EXP(-LN(2)/25))/(LN(2)/25)*Calculateur!GH84*Calculateur!GJ84*VLOOKUP('Données projet'!$B$17,Paramètres!$A$1:$I$89,3,0)*0.475*44/12</f>
        <v>0</v>
      </c>
      <c r="GN84" s="21">
        <f>EXP(-LN(2)/2)*GN83+(1-EXP(-LN(2)/2))/(LN(2)/2)*GH84*GK84*VLOOKUP('Données projet'!$B$17,Paramètres!$A$1:$I$89,3,0)*0.475*44/12</f>
        <v>0</v>
      </c>
      <c r="GO84" s="21">
        <f t="shared" si="81"/>
        <v>0</v>
      </c>
      <c r="GP84" s="75">
        <f>('Scénario référence'!$F$8+'Scénario référence'!$F$9+'Scénario référence'!$B$17+'Scénario référence'!$B$9+'Scénario référence'!$B$10)*70+IF((45+25*(1-EXP(-0.0175*A84)))&lt;70,'Scénario référence'!$B$16*(45+25*(1-EXP(-0.0175*A84))),70*'Scénario référence'!$B$16)+IF((32+38*(1-EXP(-0.0175*A84)))&lt;70,'Scénario référence'!$B$18*(32+38*(1-EXP(-0.0175*A84))),70*'Scénario référence'!$B$18)</f>
        <v>70</v>
      </c>
      <c r="GQ84" s="12">
        <f>IF(A84&gt;30,10,('Scénario référence'!$B$16+'Scénario référence'!$B$17+'Scénario référence'!$B$18+'Scénario référence'!$B$9+'Scénario référence'!$B$10)*A84*10/30+('Scénario référence'!$F$8+'Scénario référence'!$F$9)*10)</f>
        <v>10</v>
      </c>
      <c r="GR84" s="12" t="e">
        <f>VLOOKUP(A84,'Données projet'!$A$269:$I$289,2,0)</f>
        <v>#N/A</v>
      </c>
      <c r="GS84" s="12" t="e">
        <f>VLOOKUP(A84,'Données projet'!$A$269:$I$289,9,0)</f>
        <v>#N/A</v>
      </c>
      <c r="GT84" s="12">
        <f t="array" ref="GT84">INDEX(GS:GS,MIN(IF(ISNUMBER(GS84:GS280),ROW(GS84:GS280),"")))</f>
        <v>7.4950142450142483</v>
      </c>
      <c r="GU84" s="12">
        <f>IF('Données projet'!$A$270&gt;35,GU83+GT84-HC83,IF(A84&lt;'Données projet'!$A$270,$GR$205^A84,IF(A84='Données projet'!$A$270,'Données projet'!$B$270,GU83+GT84-HC83)))</f>
        <v>235.89886039886039</v>
      </c>
      <c r="GV84" s="17">
        <f>GU84*VLOOKUP('Données projet'!$B$18,Paramètres!$A$1:$I$89,3,0)*VLOOKUP('Données projet'!$B$18,Paramètres!$A$1:$I$89,5,0)</f>
        <v>253.92153333333331</v>
      </c>
      <c r="GW84" s="13">
        <f t="shared" si="105"/>
        <v>61.424916008407251</v>
      </c>
      <c r="GX84" s="20">
        <f t="shared" si="82"/>
        <v>549.22839927019811</v>
      </c>
      <c r="GY84" s="59">
        <f t="shared" si="83"/>
        <v>842.56173260353148</v>
      </c>
      <c r="GZ84" s="59">
        <f ca="1">AVERAGE(OFFSET($GY$3,0,0,'Données projet'!$E$18+1,1))-AVERAGE(OFFSET($H$3,0,0,'Données projet'!$E$18+1,1))</f>
        <v>286.77702855541287</v>
      </c>
      <c r="HA84" s="59">
        <f t="shared" si="106"/>
        <v>227.12211541860779</v>
      </c>
      <c r="HB84" s="15">
        <f>IF(ISNA(VLOOKUP(A84,'Données projet'!$A$269:$I$289,3,0)),0,VLOOKUP(A84,'Données projet'!$A$269:$I$289,3,0))</f>
        <v>0</v>
      </c>
      <c r="HC84" s="15">
        <f>IF(ISNA(VLOOKUP(A84,'Données projet'!$A$269:$I$289,4,0)),0,VLOOKUP(A84,'Données projet'!$A$269:$I$289,4,0))</f>
        <v>0</v>
      </c>
      <c r="HD84" s="16">
        <f>IF(ISNA(VLOOKUP(A84,'Données projet'!$A$269:$I$289,5,0)),0%,VLOOKUP(A84,'Données projet'!$A$269:$I$289,5,0)*VLOOKUP('Données projet'!$B$18,Paramètres!$A$1:$I$89,7,0))</f>
        <v>0</v>
      </c>
      <c r="HE84" s="16">
        <f>IF(ISNA(VLOOKUP(A84,'Données projet'!$A$269:$I$289,6,0)),0%,VLOOKUP(A84,'Données projet'!$A$269:$I$289,6,0)*VLOOKUP('Données projet'!$B$18,Paramètres!$A$1:$I$89,7,0))</f>
        <v>0</v>
      </c>
      <c r="HF84" s="16">
        <f>IF(ISNA(VLOOKUP(A84,'Données projet'!$A$269:$I$289,7,0)),0%,VLOOKUP(A84,'Données projet'!$A$269:$I$289,7,0))</f>
        <v>0</v>
      </c>
      <c r="HG84" s="21">
        <f>EXP(-LN(2)/35)*HG83+(1-EXP(-LN(2)/35))/(LN(2)/35)*HC84*HD84*VLOOKUP('Données projet'!$B$18,Paramètres!$A$1:$I$89,3,0)*0.475*44/12</f>
        <v>0</v>
      </c>
      <c r="HH84" s="21">
        <f>EXP(-LN(2)/25)*HH83+(1-EXP(-LN(2)/25))/(LN(2)/25)*Calculateur!HC84*Calculateur!HE84*VLOOKUP('Données projet'!$B$18,Paramètres!$A$1:$I$89,3,0)*0.475*44/12</f>
        <v>0</v>
      </c>
      <c r="HI84" s="21">
        <f>EXP(-LN(2)/2)*HI83+(1-EXP(-LN(2)/2))/(LN(2)/2)*HC84*HF84*VLOOKUP('Données projet'!$B$18,Paramètres!$A$1:$I$89,3,0)*0.475*44/12</f>
        <v>0</v>
      </c>
      <c r="HJ84" s="22">
        <f t="shared" si="84"/>
        <v>0</v>
      </c>
    </row>
    <row r="85" spans="1:218" x14ac:dyDescent="0.25">
      <c r="A85" s="10">
        <f t="shared" si="85"/>
        <v>82</v>
      </c>
      <c r="B85" s="73">
        <f>'Scénario référence'!$B$16*5+'Scénario référence'!$B$17*0+'Scénario référence'!$B$18*5</f>
        <v>0</v>
      </c>
      <c r="C85" s="19">
        <f>Calculateur!C84+'Scénario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72.9144000000001</v>
      </c>
      <c r="D85" s="11">
        <f t="shared" si="86"/>
        <v>20.395478670134686</v>
      </c>
      <c r="E8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85" s="11">
        <f>IF(OR('Scénario référence'!$F$8&gt;0,'Scénario référence'!$F$9&gt;0),('Scénario référence'!$F$8+'Scénario référence'!$F$9)*10,0)</f>
        <v>10</v>
      </c>
      <c r="G85" s="11">
        <f>'Scénario référence'!$B$8*B85*44/12+'Scénario référence'!$B$9*(C85+D85)/0.475*44/12+'Scénario référence'!$B$10*(C85+D85)/0.475*44/12+'Scénario référence'!$F$8*(C85+D85)/0.475*44/12+'Scénario référence'!$F$9*(C85+D85)/0.475*44/12</f>
        <v>720.28678271683009</v>
      </c>
      <c r="H85" s="67">
        <f t="shared" si="56"/>
        <v>455.84803868381812</v>
      </c>
      <c r="I85" s="70">
        <f>('Scénario référence'!$F$8+'Scénario référence'!$F$9+'Scénario référence'!$B$17+'Scénario référence'!$B$9+'Scénario référence'!$B$10)*70+IF((45+25*(1-EXP(-0.0175*A85)))&lt;70,'Scénario référence'!$B$16*(45+25*(1-EXP(-0.0175*A85))),70*'Scénario référence'!$B$16)+IF((32+38*(1-EXP(-0.0175*A85)))&lt;70,'Scénario référence'!$B$18*(32+38*(1-EXP(-0.0175*A85))),70*'Scénario référence'!$B$18)</f>
        <v>70</v>
      </c>
      <c r="J85" s="13">
        <f>IF(A85&gt;30,10,('Scénario référence'!$B$16+'Scénario référence'!$B$17+'Scénario référence'!$B$18+'Scénario référence'!$B$9+'Scénario référence'!$B$10)*A85*10/30+('Scénario référence'!$F$8+'Scénario référence'!$F$9)*10)</f>
        <v>10</v>
      </c>
      <c r="K85" s="12" t="e">
        <f>VLOOKUP(A85,'Données projet'!$A$35:$I$55,2,0)</f>
        <v>#N/A</v>
      </c>
      <c r="L85" s="12" t="e">
        <f>VLOOKUP(A85,'Données projet'!$A$35:$I$55,9,0)</f>
        <v>#N/A</v>
      </c>
      <c r="M85" s="12">
        <f t="array" ref="M85">INDEX(L:L,MIN(IF(ISNUMBER(L85:L281),ROW(L85:L281),"")))</f>
        <v>0</v>
      </c>
      <c r="N85" s="13">
        <f>IF('Données projet'!$A$36&gt;35,N84+M85-V84,IF(A85&lt;'Données projet'!$A$36,$K$205^A85,IF(A85='Données projet'!$A$36,'Données projet'!$B$36,N84+M85-V84)))</f>
        <v>-2.2737367544323206E-13</v>
      </c>
      <c r="O85" s="13">
        <f>N85*VLOOKUP('Données projet'!$B$9,Paramètres!$A$1:$I$89,3,0)*VLOOKUP('Données projet'!$B$9,Paramètres!$A$1:$I$89,5,0)</f>
        <v>-1.2710188457276673E-13</v>
      </c>
      <c r="P85" s="13" t="e">
        <f t="shared" si="87"/>
        <v>#NUM!</v>
      </c>
      <c r="Q85" s="20" t="e">
        <f t="shared" si="54"/>
        <v>#NUM!</v>
      </c>
      <c r="R85" s="59" t="e">
        <f t="shared" si="55"/>
        <v>#NUM!</v>
      </c>
      <c r="S85" s="59">
        <f ca="1">AVERAGE(OFFSET($R$3,0,0,'Données projet'!$E$9+1,1))-AVERAGE(OFFSET($H$3,0,0,'Données projet'!$E$9+1,1))</f>
        <v>255.5374979188561</v>
      </c>
      <c r="T85" s="59">
        <f t="shared" si="88"/>
        <v>343.10418468620901</v>
      </c>
      <c r="U85" s="15">
        <f>IF(ISNA(VLOOKUP(A85,'Données projet'!$A$35:$I$55,3,0)),0,VLOOKUP(A85,'Données projet'!$A$35:$I$55,3,0))</f>
        <v>0</v>
      </c>
      <c r="V85" s="15">
        <f>IF(ISNA(VLOOKUP(A85,'Données projet'!$A$35:$I$55,4,0)),0,VLOOKUP(A85,'Données projet'!$A$35:$I$55,4,0))</f>
        <v>0</v>
      </c>
      <c r="W85" s="16">
        <f>IF(ISNA(VLOOKUP(A85,'Données projet'!$A$35:$I$55,5,0)),0%,VLOOKUP(A85,'Données projet'!$A$35:$I$55,5,0)*VLOOKUP('Données projet'!$B$9,Paramètres!$A$1:$I$89,7,0))</f>
        <v>0</v>
      </c>
      <c r="X85" s="16">
        <f>IF(ISNA(VLOOKUP(A85,'Données projet'!$A$35:$I$55,6,0)),0%,VLOOKUP(A85,'Données projet'!$A$35:$I$55,6,0)*VLOOKUP('Données projet'!$B$9,Paramètres!$A$1:$I$89,7,0))</f>
        <v>0</v>
      </c>
      <c r="Y85" s="16">
        <f>IF(ISNA(VLOOKUP(A85,'Données projet'!$A$35:$I$55,7,0)),0%,VLOOKUP(A85,'Données projet'!$A$35:$I$55,7,0))</f>
        <v>0</v>
      </c>
      <c r="Z85" s="21">
        <f>EXP(-LN(2)/35)*Z84+(1-EXP(-LN(2)/35))/(LN(2)/35)*V85*W85*VLOOKUP('Données projet'!$B$9,Paramètres!$A$1:$I$89,3,0)*0.475*44/12</f>
        <v>1.1033661478269023</v>
      </c>
      <c r="AA85" s="21">
        <f>EXP(-LN(2)/25)*AA84+(1-EXP(-LN(2)/25))/(LN(2)/25)*Calculateur!V85*Calculateur!X85*VLOOKUP('Données projet'!$B$9,Paramètres!$A$1:$I$89,3,0)*0.475*44/12</f>
        <v>3.7748312984780172</v>
      </c>
      <c r="AB85" s="21">
        <f>EXP(-LN(2)/2)*AB84+(1-EXP(-LN(2)/2))/(LN(2)/2)*V85*Y85*VLOOKUP('Données projet'!$B$9,Paramètres!$A$1:$I$89,3,0)*0.475*44/12</f>
        <v>2.5222481481046469E-8</v>
      </c>
      <c r="AC85" s="22">
        <f t="shared" si="57"/>
        <v>4.8781974715274012</v>
      </c>
      <c r="AD85" s="13">
        <f>('Scénario référence'!$F$8+'Scénario référence'!$F$9+'Scénario référence'!$B$17+'Scénario référence'!$B$9+'Scénario référence'!$B$10)*70+IF((45+25*(1-EXP(-0.0175*A85)))&lt;70,'Scénario référence'!$B$16*(45+25*(1-EXP(-0.0175*A85))),70*'Scénario référence'!$B$16)+IF((32+38*(1-EXP(-0.0175*A85)))&lt;70,'Scénario référence'!$B$18*(32+38*(1-EXP(-0.0175*A85))),70*'Scénario référence'!$B$18)</f>
        <v>70</v>
      </c>
      <c r="AE85" s="13">
        <f>IF(A85&gt;30,10,('Scénario référence'!$B$16+'Scénario référence'!$B$17+'Scénario référence'!$B$18+'Scénario référence'!$B$9+'Scénario référence'!$B$10)*A85*10/30+('Scénario référence'!$F$8+'Scénario référence'!$F$9)*10)</f>
        <v>10</v>
      </c>
      <c r="AF85" s="12" t="e">
        <f>VLOOKUP(A85,'Données projet'!$A$61:$I$81,2,0)</f>
        <v>#N/A</v>
      </c>
      <c r="AG85" s="12" t="e">
        <f>VLOOKUP(A85,'Données projet'!$A$61:$I$81,9,0)</f>
        <v>#N/A</v>
      </c>
      <c r="AH85" s="12">
        <f t="array" ref="AH85">INDEX(AG:AG,MIN(IF(ISNUMBER(AG85:AG281),ROW(AG85:AG281),"")))</f>
        <v>0</v>
      </c>
      <c r="AI85" s="13">
        <f>IF('Données projet'!$A$62&gt;35,AI84+AH85-AQ84,IF(A85&lt;'Données projet'!$A$62,$AF$205^A85,IF(A85='Données projet'!$A$62,'Données projet'!$B$62,AI84+AH85-AQ84)))</f>
        <v>0</v>
      </c>
      <c r="AJ85" s="13">
        <f>AI85*VLOOKUP('Données projet'!$B$10,Paramètres!$A$1:$I$89,3,0)*VLOOKUP('Données projet'!$B$10,Paramètres!$A$1:$I$89,5,0)</f>
        <v>0</v>
      </c>
      <c r="AK85" s="13" t="e">
        <f t="shared" si="89"/>
        <v>#NUM!</v>
      </c>
      <c r="AL85" s="20" t="e">
        <f t="shared" si="58"/>
        <v>#NUM!</v>
      </c>
      <c r="AM85" s="59" t="e">
        <f t="shared" si="59"/>
        <v>#NUM!</v>
      </c>
      <c r="AN85" s="59">
        <f ca="1">AVERAGE(OFFSET($AM$3,0,0,'Données projet'!$E$10+1,1))-AVERAGE(OFFSET($H$3,0,0,'Données projet'!$E$10+1,1))</f>
        <v>261.78489480911571</v>
      </c>
      <c r="AO85" s="59">
        <f t="shared" si="90"/>
        <v>297.50513563712764</v>
      </c>
      <c r="AP85" s="15">
        <f>IF(ISNA(VLOOKUP(A85,'Données projet'!$A$61:$I$81,3,0)),0,VLOOKUP(A85,'Données projet'!$A$61:$I$81,3,0))</f>
        <v>0</v>
      </c>
      <c r="AQ85" s="15">
        <f>IF(ISNA(VLOOKUP(A85,'Données projet'!$A$61:$I$81,4,0)),0,VLOOKUP(A85,'Données projet'!$A$61:$I$81,4,0))</f>
        <v>0</v>
      </c>
      <c r="AR85" s="16">
        <f>IF(ISNA(VLOOKUP(A85,'Données projet'!$A$61:$I$81,5,0)),0%,VLOOKUP(A85,'Données projet'!$A$61:$I$81,5,0)*VLOOKUP('Données projet'!$B$10,Paramètres!$A$1:$I$89,7,0))</f>
        <v>0</v>
      </c>
      <c r="AS85" s="16">
        <f>IF(ISNA(VLOOKUP(A85,'Données projet'!$A$61:$I$81,6,0)),0%,VLOOKUP(A85,'Données projet'!$A$61:$I$81,6,0)*VLOOKUP('Données projet'!$B$10,Paramètres!$A$1:$I$89,7,0))</f>
        <v>0</v>
      </c>
      <c r="AT85" s="16">
        <f>IF(ISNA(VLOOKUP(A85,'Données projet'!$A$61:$I$81,7,0)),0%,VLOOKUP(A85,'Données projet'!$A$61:$I$81,7,0))</f>
        <v>0</v>
      </c>
      <c r="AU85" s="21">
        <f>EXP(-LN(2)/35)*AU84+(1-EXP(-LN(2)/35))/(LN(2)/35)*AQ85*AR85*VLOOKUP('Données projet'!$B$10,Paramètres!$A$1:$I$89,3,0)*0.475*44/12</f>
        <v>2.9794006847506687</v>
      </c>
      <c r="AV85" s="21">
        <f>EXP(-LN(2)/25)*AV84+(1-EXP(-LN(2)/25))/(LN(2)/25)*Calculateur!AQ85*Calculateur!AS85*VLOOKUP('Données projet'!$B$10,Paramètres!$A$1:$I$89,3,0)*0.475*44/12</f>
        <v>6.591625365035819</v>
      </c>
      <c r="AW85" s="21">
        <f>EXP(-LN(2)/2)*AW84+(1-EXP(-LN(2)/2))/(LN(2)/2)*AQ85*AT85*VLOOKUP('Données projet'!$B$10,Paramètres!$A$1:$I$89,3,0)*0.475*44/12</f>
        <v>3.6360608245301068E-7</v>
      </c>
      <c r="AX85" s="21">
        <f t="shared" si="60"/>
        <v>9.5710264133925698</v>
      </c>
      <c r="AY85" s="74">
        <f>('Scénario référence'!$F$8+'Scénario référence'!$F$9+'Scénario référence'!$B$17+'Scénario référence'!$B$9+'Scénario référence'!$B$10)*70+IF((45+25*(1-EXP(-0.0175*A85)))&lt;70,'Scénario référence'!$B$16*(45+25*(1-EXP(-0.0175*A85))),70*'Scénario référence'!$B$16)+IF((32+38*(1-EXP(-0.0175*A85)))&lt;70,'Scénario référence'!$B$18*(32+38*(1-EXP(-0.0175*A85))),70*'Scénario référence'!$B$18)</f>
        <v>70</v>
      </c>
      <c r="AZ85" s="12">
        <f>IF(A85&gt;30,10,('Scénario référence'!$B$16+'Scénario référence'!$B$17+'Scénario référence'!$B$18+'Scénario référence'!$B$9+'Scénario référence'!$B$10)*A85*10/30+('Scénario référence'!$F$8+'Scénario référence'!$F$9)*10)</f>
        <v>10</v>
      </c>
      <c r="BA85" s="12" t="e">
        <f>VLOOKUP(A85,'Données projet'!$A$87:$I$107,2,0)</f>
        <v>#N/A</v>
      </c>
      <c r="BB85" s="12" t="e">
        <f>VLOOKUP(A85,'Données projet'!$A$87:$I$107,9,0)</f>
        <v>#N/A</v>
      </c>
      <c r="BC85" s="12">
        <f t="array" ref="BC85">INDEX(BB:BB,MIN(IF(ISNUMBER(BB85:BB281),ROW(BB85:BB281),"")))</f>
        <v>12.5</v>
      </c>
      <c r="BD85" s="12">
        <f>IF('Données projet'!$A$88&gt;35,BD84+BC85-BL84,IF(A85&lt;'Données projet'!$A$88,$BA$205^A85,IF(A85='Données projet'!$A$88,'Données projet'!$B$88,BD84+BC85-BL84)))</f>
        <v>536.99999999999955</v>
      </c>
      <c r="BE85" s="13">
        <f>BD85*VLOOKUP('Données projet'!$B$11,Paramètres!$A$1:$I$89,3,0)*VLOOKUP('Données projet'!$B$11,Paramètres!$A$1:$I$89,5,0)</f>
        <v>321.12599999999975</v>
      </c>
      <c r="BF85" s="13">
        <f t="shared" si="91"/>
        <v>75.587591944000252</v>
      </c>
      <c r="BG85" s="20">
        <f t="shared" si="61"/>
        <v>690.94283930246672</v>
      </c>
      <c r="BH85" s="59">
        <f t="shared" si="62"/>
        <v>984.27617263580009</v>
      </c>
      <c r="BI85" s="59">
        <f ca="1">AVERAGE(OFFSET($BH$3,0,0,'Données projet'!$E$11+1,1))-AVERAGE(OFFSET($H$3,0,0,'Données projet'!$E$11+1,1))</f>
        <v>316.58509520829671</v>
      </c>
      <c r="BJ85" s="59">
        <f t="shared" si="92"/>
        <v>240.71332110643596</v>
      </c>
      <c r="BK85" s="15">
        <f>IF(ISNA(VLOOKUP(A85,'Données projet'!$A$87:$I$107,3,0)),0,VLOOKUP(A85,'Données projet'!$A$87:$I$107,3,0))</f>
        <v>0</v>
      </c>
      <c r="BL85" s="15">
        <f>IF(ISNA(VLOOKUP(A85,'Données projet'!$A$87:$I$107,4,0)),0,VLOOKUP(A85,'Données projet'!$A$87:$I$107,4,0))</f>
        <v>0</v>
      </c>
      <c r="BM85" s="16">
        <f>IF(ISNA(VLOOKUP(A85,'Données projet'!$A$87:$I$107,5,0)),0%,VLOOKUP(A85,'Données projet'!$A$87:$I$107,5,0)*VLOOKUP('Données projet'!$B$11,Paramètres!$A$1:$I$89,7,0))</f>
        <v>0</v>
      </c>
      <c r="BN85" s="16">
        <f>IF(ISNA(VLOOKUP(A85,'Données projet'!$A$87:$I$107,6,0)),0%,VLOOKUP(A85,'Données projet'!$A$87:$I$107,6,0)*VLOOKUP('Données projet'!$B$11,Paramètres!$A$1:$I$89,7,0))</f>
        <v>0</v>
      </c>
      <c r="BO85" s="16">
        <f>IF(ISNA(VLOOKUP(A85,'Données projet'!$A$87:$I$107,7,0)),0%,VLOOKUP(A85,'Données projet'!$A$87:$I$107,7,0))</f>
        <v>0</v>
      </c>
      <c r="BP85" s="21">
        <f>EXP(-LN(2)/35)*BP84+(1-EXP(-LN(2)/35))/(LN(2)/35)*BL85*BM85*VLOOKUP('Données projet'!$B$11,Paramètres!$A$1:$I$89,3,0)*0.475*44/12</f>
        <v>0.90501512615287238</v>
      </c>
      <c r="BQ85" s="21">
        <f>EXP(-LN(2)/25)*BQ84+(1-EXP(-LN(2)/25))/(LN(2)/25)*Calculateur!BL85*Calculateur!BN85*VLOOKUP('Données projet'!$B$11,Paramètres!$A$1:$I$89,3,0)*0.475*44/12</f>
        <v>3.6110847059163662</v>
      </c>
      <c r="BR85" s="21">
        <f>EXP(-LN(2)/2)*BR84+(1-EXP(-LN(2)/2))/(LN(2)/2)*BL85*BO85*VLOOKUP('Données projet'!$B$11,Paramètres!$A$1:$I$89,3,0)*0.475*44/12</f>
        <v>3.2692168757529371E-7</v>
      </c>
      <c r="BS85" s="22">
        <f t="shared" si="63"/>
        <v>4.5161001589909269</v>
      </c>
      <c r="BT85" s="75">
        <f>('Scénario référence'!$F$8+'Scénario référence'!$F$9+'Scénario référence'!$B$17+'Scénario référence'!$B$9+'Scénario référence'!$B$10)*70+IF((45+25*(1-EXP(-0.0175*A85)))&lt;70,'Scénario référence'!$B$16*(45+25*(1-EXP(-0.0175*A85))),70*'Scénario référence'!$B$16)+IF((32+38*(1-EXP(-0.0175*A85)))&lt;70,'Scénario référence'!$B$18*(32+38*(1-EXP(-0.0175*A85))),70*'Scénario référence'!$B$18)</f>
        <v>70</v>
      </c>
      <c r="BU85" s="12">
        <f>IF(A85&gt;30,10,('Scénario référence'!$B$16+'Scénario référence'!$B$17+'Scénario référence'!$B$18+'Scénario référence'!$B$9+'Scénario référence'!$B$10)*A85*10/30+('Scénario référence'!$F$8+'Scénario référence'!$F$9)*10)</f>
        <v>10</v>
      </c>
      <c r="BV85" s="12" t="e">
        <f>VLOOKUP(A85,'Données projet'!$A$113:$I$133,2,0)</f>
        <v>#N/A</v>
      </c>
      <c r="BW85" s="12" t="e">
        <f>VLOOKUP(A85,'Données projet'!$A$113:$I$133,9,0)</f>
        <v>#N/A</v>
      </c>
      <c r="BX85" s="12">
        <f t="array" ref="BX85">INDEX(BW:BW,MIN(IF(ISNUMBER(BW85:BW281),ROW(BW85:BW281),"")))</f>
        <v>3.8</v>
      </c>
      <c r="BY85" s="12">
        <f>IF('Données projet'!$A$114&gt;35,BY84+BX85-CG84,IF(A85&lt;'Données projet'!$A$114,$BV$205^A85,IF(A85='Données projet'!$A$114,'Données projet'!$B$114,BY84+BX85-CG84)))</f>
        <v>323.59999999999968</v>
      </c>
      <c r="BZ85" s="13">
        <f>BY85*VLOOKUP('Données projet'!$B$12,Paramètres!$A$1:$I$89,3,0)*VLOOKUP('Données projet'!$B$12,Paramètres!$A$1:$I$89,5,0)</f>
        <v>185.09919999999985</v>
      </c>
      <c r="CA85" s="13">
        <f t="shared" si="93"/>
        <v>46.454813186711384</v>
      </c>
      <c r="CB85" s="20">
        <f t="shared" si="64"/>
        <v>403.28990630018876</v>
      </c>
      <c r="CC85" s="59">
        <f t="shared" si="65"/>
        <v>696.62323963352208</v>
      </c>
      <c r="CD85" s="59">
        <f ca="1">AVERAGE(OFFSET($CC$3,0,0,'Données projet'!$E$12+1,1))-AVERAGE(OFFSET($H$3,0,0,'Données projet'!$E$12+1,1))</f>
        <v>188.64374818906128</v>
      </c>
      <c r="CE85" s="59">
        <f t="shared" si="94"/>
        <v>211.95157880548652</v>
      </c>
      <c r="CF85" s="15">
        <f>IF(ISNA(VLOOKUP(A85,'Données projet'!$A$113:$I$133,3,0)),0,VLOOKUP(A85,'Données projet'!$A$113:$I$133,3,0))</f>
        <v>0</v>
      </c>
      <c r="CG85" s="15">
        <f>IF(ISNA(VLOOKUP(A85,'Données projet'!$A$113:$I$133,4,0)),0,VLOOKUP(A85,'Données projet'!$A$113:$I$133,4,0))</f>
        <v>0</v>
      </c>
      <c r="CH85" s="16">
        <f>IF(ISNA(VLOOKUP(A85,'Données projet'!$A$113:$I$133,5,0)),0%,VLOOKUP(A85,'Données projet'!$A$113:$I$133,5,0)*VLOOKUP('Données projet'!$B$12,Paramètres!$A$1:$I$89,7,0))</f>
        <v>0</v>
      </c>
      <c r="CI85" s="16">
        <f>IF(ISNA(VLOOKUP(A85,'Données projet'!$A$113:$I$133,6,0)),0%,VLOOKUP(A85,'Données projet'!$A$113:$I$133,6,0)*VLOOKUP('Données projet'!$B$12,Paramètres!$A$1:$I$89,7,0))</f>
        <v>0</v>
      </c>
      <c r="CJ85" s="16">
        <f>IF(ISNA(VLOOKUP(A85,'Données projet'!$A$113:$I$133,7,0)),0%,VLOOKUP(A85,'Données projet'!$A$113:$I$133,7,0))</f>
        <v>0</v>
      </c>
      <c r="CK85" s="21">
        <f>EXP(-LN(2)/35)*CK84+(1-EXP(-LN(2)/35))/(LN(2)/35)*CG85*CH85*VLOOKUP('Données projet'!$B$12,Paramètres!$A$1:$I$89,3,0)*0.475*44/12</f>
        <v>0.87785913032832164</v>
      </c>
      <c r="CL85" s="21">
        <f>EXP(-LN(2)/25)*CL84+(1-EXP(-LN(2)/25))/(LN(2)/25)*Calculateur!CG85*Calculateur!CI85*VLOOKUP('Données projet'!$B$12,Paramètres!$A$1:$I$89,3,0)*0.475*44/12</f>
        <v>3.3988346865315751</v>
      </c>
      <c r="CM85" s="21">
        <f>EXP(-LN(2)/2)*CM84+(1-EXP(-LN(2)/2))/(LN(2)/2)*CG85*CJ85*VLOOKUP('Données projet'!$B$12,Paramètres!$A$1:$I$89,3,0)*0.475*44/12</f>
        <v>3.165980756839552E-7</v>
      </c>
      <c r="CN85" s="22">
        <f t="shared" si="66"/>
        <v>4.2766941334579727</v>
      </c>
      <c r="CO85" s="75">
        <f>('Scénario référence'!$F$8+'Scénario référence'!$F$9+'Scénario référence'!$B$17+'Scénario référence'!$B$9+'Scénario référence'!$B$10)*70+IF((45+25*(1-EXP(-0.0175*A85)))&lt;70,'Scénario référence'!$B$16*(45+25*(1-EXP(-0.0175*A85))),70*'Scénario référence'!$B$16)+IF((32+38*(1-EXP(-0.0175*A85)))&lt;70,'Scénario référence'!$B$18*(32+38*(1-EXP(-0.0175*A85))),70*'Scénario référence'!$B$18)</f>
        <v>70</v>
      </c>
      <c r="CP85" s="12">
        <f>IF(A85&gt;30,10,('Scénario référence'!$B$16+'Scénario référence'!$B$17+'Scénario référence'!$B$18+'Scénario référence'!$B$9+'Scénario référence'!$B$10)*A85*10/30+('Scénario référence'!$F$8+'Scénario référence'!$F$9)*10)</f>
        <v>10</v>
      </c>
      <c r="CQ85" s="12" t="e">
        <f>VLOOKUP(A85,'Données projet'!$A$139:$I$159,2,0)</f>
        <v>#N/A</v>
      </c>
      <c r="CR85" s="12" t="e">
        <f>VLOOKUP(A85,'Données projet'!$A$139:$I$159,9,0)</f>
        <v>#N/A</v>
      </c>
      <c r="CS85" s="12">
        <f t="array" ref="CS85">INDEX(CR:CR,MIN(IF(ISNUMBER(CR85:CR281),ROW(CR85:CR281),"")))</f>
        <v>0</v>
      </c>
      <c r="CT85" s="12">
        <f>IF('Données projet'!$A$140&gt;35,CT84+CS85-DB84,IF(A85&lt;'Données projet'!$A$140,$CQ$205^A85,IF(A85='Données projet'!$A$140,'Données projet'!$B$140,CT84+CS85-DB84)))</f>
        <v>0</v>
      </c>
      <c r="CU85" s="17" t="e">
        <f>CT85*VLOOKUP('Données projet'!$B$13,Paramètres!$A$1:$I$89,3,0)*VLOOKUP('Données projet'!$B$13,Paramètres!$A$1:$I$89,5,0)</f>
        <v>#N/A</v>
      </c>
      <c r="CV85" s="13" t="e">
        <f t="shared" si="95"/>
        <v>#N/A</v>
      </c>
      <c r="CW85" s="20" t="e">
        <f t="shared" si="67"/>
        <v>#N/A</v>
      </c>
      <c r="CX85" s="59" t="e">
        <f t="shared" si="68"/>
        <v>#N/A</v>
      </c>
      <c r="CY85" s="59" t="e">
        <f ca="1">AVERAGE(OFFSET($CX$3,0,0,'Données projet'!$E$13+1,1))-AVERAGE(OFFSET($H$3,0,0,'Données projet'!$E$13+1,1))</f>
        <v>#N/A</v>
      </c>
      <c r="CZ85" s="59" t="e">
        <f t="shared" si="96"/>
        <v>#N/A</v>
      </c>
      <c r="DA85" s="15">
        <f>IF(ISNA(VLOOKUP(A85,'Données projet'!$A$139:$I$159,3,0)),0,VLOOKUP(A85,'Données projet'!$A$139:$I$159,3,0))</f>
        <v>0</v>
      </c>
      <c r="DB85" s="15">
        <f>IF(ISNA(VLOOKUP(A85,'Données projet'!$A$139:$I$159,4,0)),0,VLOOKUP(A85,'Données projet'!$A$139:$I$159,4,0))</f>
        <v>0</v>
      </c>
      <c r="DC85" s="16">
        <f>IF(ISNA(VLOOKUP(A85,'Données projet'!$A$139:$I$159,5,0)),0%,VLOOKUP(A85,'Données projet'!$A$139:$I$159,5,0)*VLOOKUP('Données projet'!$B$13,Paramètres!$A$1:$I$89,7,0))</f>
        <v>0</v>
      </c>
      <c r="DD85" s="16">
        <f>IF(ISNA(VLOOKUP(A85,'Données projet'!$A$139:$I$159,6,0)),0%,VLOOKUP(A85,'Données projet'!$A$139:$I$159,6,0)*VLOOKUP('Données projet'!$B$13,Paramètres!$A$1:$I$89,7,0))</f>
        <v>0</v>
      </c>
      <c r="DE85" s="16">
        <f>IF(ISNA(VLOOKUP(A85,'Données projet'!$A$139:$I$159,7,0)),0%,VLOOKUP(A85,'Données projet'!$A$139:$I$159,7,0))</f>
        <v>0</v>
      </c>
      <c r="DF85" s="21" t="e">
        <f>EXP(-LN(2)/35)*DF84+(1-EXP(-LN(2)/35))/(LN(2)/35)*DB85*DC85*VLOOKUP('Données projet'!$B$13,Paramètres!$A$1:$I$89,3,0)*0.475*44/12</f>
        <v>#N/A</v>
      </c>
      <c r="DG85" s="21" t="e">
        <f>EXP(-LN(2)/25)*DG84+(1-EXP(-LN(2)/25))/(LN(2)/25)*Calculateur!DB85*Calculateur!DD85*VLOOKUP('Données projet'!$B$13,Paramètres!$A$1:$I$89,3,0)*0.475*44/12</f>
        <v>#N/A</v>
      </c>
      <c r="DH85" s="21" t="e">
        <f>EXP(-LN(2)/2)*DH84+(1-EXP(-LN(2)/2))/(LN(2)/2)*DB85*DE85*VLOOKUP('Données projet'!$B$13,Paramètres!$A$1:$I$89,3,0)*0.475*44/12</f>
        <v>#N/A</v>
      </c>
      <c r="DI85" s="22" t="e">
        <f t="shared" si="69"/>
        <v>#N/A</v>
      </c>
      <c r="DJ85" s="75">
        <f>('Scénario référence'!$F$8+'Scénario référence'!$F$9+'Scénario référence'!$B$17+'Scénario référence'!$B$9+'Scénario référence'!$B$10)*70+IF((45+25*(1-EXP(-0.0175*A85)))&lt;70,'Scénario référence'!$B$16*(45+25*(1-EXP(-0.0175*A85))),70*'Scénario référence'!$B$16)+IF((32+38*(1-EXP(-0.0175*A85)))&lt;70,'Scénario référence'!$B$18*(32+38*(1-EXP(-0.0175*A85))),70*'Scénario référence'!$B$18)</f>
        <v>70</v>
      </c>
      <c r="DK85" s="12">
        <f>IF(A85&gt;30,10,('Scénario référence'!$B$16+'Scénario référence'!$B$17+'Scénario référence'!$B$18+'Scénario référence'!$B$9+'Scénario référence'!$B$10)*A85*10/30+('Scénario référence'!$F$8+'Scénario référence'!$F$9)*10)</f>
        <v>10</v>
      </c>
      <c r="DL85" s="12" t="e">
        <f>VLOOKUP(A85,'Données projet'!$A$165:$I$185,2,0)</f>
        <v>#N/A</v>
      </c>
      <c r="DM85" s="12" t="e">
        <f>VLOOKUP(A85,'Données projet'!$A$165:$I$185,9,0)</f>
        <v>#N/A</v>
      </c>
      <c r="DN85" s="12">
        <f t="array" ref="DN85">INDEX(DM:DM,MIN(IF(ISNUMBER(DM85:DM281),ROW(DM85:DM281),"")))</f>
        <v>4</v>
      </c>
      <c r="DO85" s="12">
        <f>IF('Données projet'!$A$166&gt;35,DO84+DN85-DW84,IF(A85&lt;'Données projet'!$A$166,$DL$205^A85,IF(A85='Données projet'!$A$166,'Données projet'!$B$166,DO84+DN85-DW84)))</f>
        <v>267.00000000000017</v>
      </c>
      <c r="DP85" s="17">
        <f>DO85*VLOOKUP('Données projet'!$B$14,Paramètres!$A$1:$I$89,3,0)*VLOOKUP('Données projet'!$B$14,Paramètres!$A$1:$I$89,5,0)</f>
        <v>174.93840000000012</v>
      </c>
      <c r="DQ85" s="13">
        <f t="shared" si="97"/>
        <v>44.194210865203253</v>
      </c>
      <c r="DR85" s="20">
        <f t="shared" si="70"/>
        <v>381.65596392356247</v>
      </c>
      <c r="DS85" s="59">
        <f t="shared" si="71"/>
        <v>674.98929725689572</v>
      </c>
      <c r="DT85" s="59">
        <f ca="1">AVERAGE(OFFSET($DS$3,0,0,'Données projet'!$E$14+1,1))-AVERAGE(OFFSET($H$3,0,0,'Données projet'!$E$14+1,1))</f>
        <v>188.68915783955595</v>
      </c>
      <c r="DU85" s="59">
        <f t="shared" si="98"/>
        <v>240.82467772396944</v>
      </c>
      <c r="DV85" s="15">
        <f>IF(ISNA(VLOOKUP(A85,'Données projet'!$A$165:$I$185,3,0)),0,VLOOKUP(A85,'Données projet'!$A$165:$I$185,3,0))</f>
        <v>0</v>
      </c>
      <c r="DW85" s="15">
        <f>IF(ISNA(VLOOKUP(A85,'Données projet'!$A$165:$I$185,4,0)),0,VLOOKUP(A85,'Données projet'!$A$165:$I$185,4,0))</f>
        <v>0</v>
      </c>
      <c r="DX85" s="16">
        <f>IF(ISNA(VLOOKUP(A85,'Données projet'!$A$165:$I$185,5,0)),0%,VLOOKUP(A85,'Données projet'!$A$165:$I$185,5,0)*VLOOKUP('Données projet'!$B$14,Paramètres!$A$1:$I$89,7,0))</f>
        <v>0</v>
      </c>
      <c r="DY85" s="16">
        <f>IF(ISNA(VLOOKUP(A85,'Données projet'!$A$165:$I$185,6,0)),0%,VLOOKUP(A85,'Données projet'!$A$165:$I$185,6,0)*VLOOKUP('Données projet'!$B$14,Paramètres!$A$1:$I$89,7,0))</f>
        <v>0</v>
      </c>
      <c r="DZ85" s="16">
        <f>IF(ISNA(VLOOKUP(A85,'Données projet'!$A$165:$I$185,7,0)),0%,VLOOKUP(A85,'Données projet'!$A$165:$I$185,7,0))</f>
        <v>0</v>
      </c>
      <c r="EA85" s="21">
        <f>EXP(-LN(2)/35)*EA84+(1-EXP(-LN(2)/35))/(LN(2)/35)*DW85*DX85*VLOOKUP('Données projet'!$B$14,Paramètres!$A$1:$I$89,3,0)*0.475*44/12</f>
        <v>0.55605134307412629</v>
      </c>
      <c r="EB85" s="21">
        <f>EXP(-LN(2)/25)*EB84+(1-EXP(-LN(2)/25))/(LN(2)/25)*Calculateur!DW85*Calculateur!DY85*VLOOKUP('Données projet'!$B$14,Paramètres!$A$1:$I$89,3,0)*0.475*44/12</f>
        <v>1.9011097574281843</v>
      </c>
      <c r="EC85" s="21">
        <f>EXP(-LN(2)/2)*EC84+(1-EXP(-LN(2)/2))/(LN(2)/2)*DW85*DZ85*VLOOKUP('Données projet'!$B$14,Paramètres!$A$1:$I$89,3,0)*0.475*44/12</f>
        <v>2.0856273153732847E-7</v>
      </c>
      <c r="ED85" s="22">
        <f t="shared" si="72"/>
        <v>2.4571613090650422</v>
      </c>
      <c r="EE85" s="75">
        <f>('Scénario référence'!$F$8+'Scénario référence'!$F$9+'Scénario référence'!$B$17+'Scénario référence'!$B$9+'Scénario référence'!$B$10)*70+IF((45+25*(1-EXP(-0.0175*A85)))&lt;70,'Scénario référence'!$B$16*(45+25*(1-EXP(-0.0175*A85))),70*'Scénario référence'!$B$16)+IF((32+38*(1-EXP(-0.0175*A85)))&lt;70,'Scénario référence'!$B$18*(32+38*(1-EXP(-0.0175*A85))),70*'Scénario référence'!$B$18)</f>
        <v>70</v>
      </c>
      <c r="EF85" s="12">
        <f>IF(A85&gt;30,10,('Scénario référence'!$B$16+'Scénario référence'!$B$17+'Scénario référence'!$B$18+'Scénario référence'!$B$9+'Scénario référence'!$B$10)*A85*10/30+('Scénario référence'!$F$8+'Scénario référence'!$F$9)*10)</f>
        <v>10</v>
      </c>
      <c r="EG85" s="12" t="e">
        <f>VLOOKUP(A85,'Données projet'!$A$191:$I$211,2,0)</f>
        <v>#N/A</v>
      </c>
      <c r="EH85" s="12" t="e">
        <f>VLOOKUP(A85,'Données projet'!$A$191:$I$211,9,0)</f>
        <v>#N/A</v>
      </c>
      <c r="EI85" s="12">
        <f t="array" ref="EI85">INDEX(EH:EH,MIN(IF(ISNUMBER(EH85:EH281),ROW(EH85:EH281),"")))</f>
        <v>4.7</v>
      </c>
      <c r="EJ85" s="12">
        <f>IF('Données projet'!$A$192&gt;35,EJ84+EI85-ER84,IF(A85&lt;'Données projet'!$A$192,$EG$205^A85,IF(A85='Données projet'!$A$192,'Données projet'!$B$192,EJ84+EI85-ER84)))</f>
        <v>269.39999999999981</v>
      </c>
      <c r="EK85" s="17">
        <f>EJ85*VLOOKUP('Données projet'!$B$15,Paramètres!$A$1:$I$89,3,0)*VLOOKUP('Données projet'!$B$15,Paramètres!$A$1:$I$89,5,0)</f>
        <v>218.53727999999987</v>
      </c>
      <c r="EL85" s="13">
        <f t="shared" si="99"/>
        <v>53.796847431080771</v>
      </c>
      <c r="EM85" s="20">
        <f t="shared" si="73"/>
        <v>474.31527194246542</v>
      </c>
      <c r="EN85" s="59">
        <f t="shared" si="74"/>
        <v>767.64860527579867</v>
      </c>
      <c r="EO85" s="59">
        <f ca="1">AVERAGE(OFFSET($EN$3,0,0,'Données projet'!$E$15+1,1))-AVERAGE(OFFSET($H$3,0,0,'Données projet'!$E$15+1,1))</f>
        <v>205.5272583787887</v>
      </c>
      <c r="EP85" s="59">
        <f t="shared" si="100"/>
        <v>180.54762778843178</v>
      </c>
      <c r="EQ85" s="15">
        <f>IF(ISNA(VLOOKUP(A85,'Données projet'!$A$191:$I$211,3,0)),0,VLOOKUP(A85,'Données projet'!$A$191:$I$211,3,0))</f>
        <v>0</v>
      </c>
      <c r="ER85" s="15">
        <f>IF(ISNA(VLOOKUP(A85,'Données projet'!$A$191:$I$211,4,0)),0,VLOOKUP(A85,'Données projet'!$A$191:$I$211,4,0))</f>
        <v>0</v>
      </c>
      <c r="ES85" s="16">
        <f>IF(ISNA(VLOOKUP(A85,'Données projet'!$A$191:$I$211,5,0)),0%,VLOOKUP(A85,'Données projet'!$A$191:$I$211,5,0)*VLOOKUP('Données projet'!$B$15,Paramètres!$A$1:$I$89,7,0))</f>
        <v>0</v>
      </c>
      <c r="ET85" s="16">
        <f>IF(ISNA(VLOOKUP(A85,'Données projet'!$A$191:$I$211,6,0)),0%,VLOOKUP(A85,'Données projet'!$A$191:$I$211,6,0)*VLOOKUP('Données projet'!$B$15,Paramètres!$A$1:$I$89,7,0))</f>
        <v>0</v>
      </c>
      <c r="EU85" s="16">
        <f>IF(ISNA(VLOOKUP(A85,'Données projet'!$A$191:$I$211,7,0)),0%,VLOOKUP(A85,'Données projet'!$A$191:$I$211,7,0))</f>
        <v>0</v>
      </c>
      <c r="EV85" s="21">
        <f>EXP(-LN(2)/35)*EV84+(1-EXP(-LN(2)/35))/(LN(2)/35)*ER85*ES85*VLOOKUP('Données projet'!$B$15,Paramètres!$A$1:$I$89,3,0)*0.475*44/12</f>
        <v>0.35799115039819929</v>
      </c>
      <c r="EW85" s="21">
        <f>EXP(-LN(2)/25)*EW84+(1-EXP(-LN(2)/25))/(LN(2)/25)*Calculateur!ER85*Calculateur!ET85*VLOOKUP('Données projet'!$B$15,Paramètres!$A$1:$I$89,3,0)*0.475*44/12</f>
        <v>1.3726589168619825</v>
      </c>
      <c r="EX85" s="21">
        <f>EXP(-LN(2)/2)*EX84+(1-EXP(-LN(2)/2))/(LN(2)/2)*ER85*EU85*VLOOKUP('Données projet'!$B$15,Paramètres!$A$1:$I$89,3,0)*0.475*44/12</f>
        <v>1.3504452288716946E-7</v>
      </c>
      <c r="EY85" s="22">
        <f t="shared" si="75"/>
        <v>1.7306502023047046</v>
      </c>
      <c r="EZ85" s="75">
        <f>('Scénario référence'!$F$8+'Scénario référence'!$F$9+'Scénario référence'!$B$17+'Scénario référence'!$B$9+'Scénario référence'!$B$10)*70+IF((45+25*(1-EXP(-0.0175*A85)))&lt;70,'Scénario référence'!$B$16*(45+25*(1-EXP(-0.0175*A85))),70*'Scénario référence'!$B$16)+IF((32+38*(1-EXP(-0.0175*A85)))&lt;70,'Scénario référence'!$B$18*(32+38*(1-EXP(-0.0175*A85))),70*'Scénario référence'!$B$18)</f>
        <v>70</v>
      </c>
      <c r="FA85" s="12">
        <f>IF(A85&gt;30,10,('Scénario référence'!$B$16+'Scénario référence'!$B$17+'Scénario référence'!$B$18+'Scénario référence'!$B$9+'Scénario référence'!$B$10)*A85*10/30+('Scénario référence'!$F$8+'Scénario référence'!$F$9)*10)</f>
        <v>10</v>
      </c>
      <c r="FB85" s="12" t="e">
        <f>VLOOKUP(A85,'Données projet'!$A$217:$I$237,2,0)</f>
        <v>#N/A</v>
      </c>
      <c r="FC85" s="12" t="e">
        <f>VLOOKUP(A85,'Données projet'!$A$217:$I$237,9,0)</f>
        <v>#N/A</v>
      </c>
      <c r="FD85" s="12">
        <f t="array" ref="FD85">INDEX(FC:FC,MIN(IF(ISNUMBER(FC85:FC281),ROW(FC85:FC281),"")))</f>
        <v>10.9</v>
      </c>
      <c r="FE85" s="12">
        <f>IF('Données projet'!$A$218&gt;35,FE84+FD85-FM84,IF(A85&lt;'Données projet'!$A$218,$FB$205^A85,IF(A85='Données projet'!$A$218,'Données projet'!$B$218,FE84+FD85-FM84)))</f>
        <v>333.80000000000013</v>
      </c>
      <c r="FF85" s="17">
        <f>FE85*VLOOKUP('Données projet'!$B$16,Paramètres!$A$1:$I$89,3,0)*VLOOKUP('Données projet'!$B$16,Paramètres!$A$1:$I$89,5,0)</f>
        <v>286.40040000000016</v>
      </c>
      <c r="FG85" s="13">
        <f t="shared" si="101"/>
        <v>68.317813073506471</v>
      </c>
      <c r="FH85" s="20">
        <f t="shared" si="76"/>
        <v>617.80088776969069</v>
      </c>
      <c r="FI85" s="59">
        <f t="shared" si="77"/>
        <v>911.13422110302395</v>
      </c>
      <c r="FJ85" s="59">
        <f ca="1">AVERAGE(OFFSET($FI$3,0,0,'Données projet'!$E$16+1,1))-AVERAGE(OFFSET($H$3,0,0,'Données projet'!$E$16+1,1))</f>
        <v>383.97627237444709</v>
      </c>
      <c r="FK85" s="59">
        <f t="shared" si="102"/>
        <v>203.35476578922339</v>
      </c>
      <c r="FL85" s="15">
        <f>IF(ISNA(VLOOKUP(A85,'Données projet'!$A$217:$I$237,3,0)),0,VLOOKUP(A85,'Données projet'!$A$217:$I$237,3,0))</f>
        <v>0</v>
      </c>
      <c r="FM85" s="15">
        <f>IF(ISNA(VLOOKUP(A85,'Données projet'!$A$217:$I$237,4,0)),0,VLOOKUP(A85,'Données projet'!$A$217:$I$237,4,0))</f>
        <v>0</v>
      </c>
      <c r="FN85" s="16">
        <f>IF(ISNA(VLOOKUP(A85,'Données projet'!$A$217:$I$237,5,0)),0%,VLOOKUP(A85,'Données projet'!$A$217:$I$237,5,0)*VLOOKUP('Données projet'!$B$16,Paramètres!$A$1:$I$89,7,0))</f>
        <v>0</v>
      </c>
      <c r="FO85" s="16">
        <f>IF(ISNA(VLOOKUP(A85,'Données projet'!$A$217:$I$237,6,0)),0%,VLOOKUP(A85,'Données projet'!$A$217:$I$237,6,0)*VLOOKUP('Données projet'!$B$16,Paramètres!$A$1:$I$89,7,0))</f>
        <v>0</v>
      </c>
      <c r="FP85" s="16">
        <f>IF(ISNA(VLOOKUP(A85,'Données projet'!$A$217:$I$237,7,0)),0%,VLOOKUP(A85,'Données projet'!$A$217:$I$237,7,0))</f>
        <v>0</v>
      </c>
      <c r="FQ85" s="21">
        <f>EXP(-LN(2)/35)*FQ84+(1-EXP(-LN(2)/35))/(LN(2)/35)*FM85*FN85*VLOOKUP('Données projet'!$B$16,Paramètres!$A$1:$I$89,3,0)*0.475*44/12</f>
        <v>1.8398802953351137</v>
      </c>
      <c r="FR85" s="21">
        <f>EXP(-LN(2)/25)*FR84+(1-EXP(-LN(2)/25))/(LN(2)/25)*Calculateur!FM85*Calculateur!FO85*VLOOKUP('Données projet'!$B$16,Paramètres!$A$1:$I$89,3,0)*0.475*44/12</f>
        <v>1.3933906783976218</v>
      </c>
      <c r="FS85" s="21">
        <f>EXP(-LN(2)/2)*FS84+(1-EXP(-LN(2)/2))/(LN(2)/2)*FM85*FP85*VLOOKUP('Données projet'!$B$16,Paramètres!$A$1:$I$89,3,0)*0.475*44/12</f>
        <v>2.480490733949824E-7</v>
      </c>
      <c r="FT85" s="22">
        <f t="shared" si="78"/>
        <v>3.2332712217818087</v>
      </c>
      <c r="FU85" s="75">
        <f>('Scénario référence'!$F$8+'Scénario référence'!$F$9+'Scénario référence'!$B$17+'Scénario référence'!$B$9+'Scénario référence'!$B$10)*70+IF((45+25*(1-EXP(-0.0175*A85)))&lt;70,'Scénario référence'!$B$16*(45+25*(1-EXP(-0.0175*A85))),70*'Scénario référence'!$B$16)+IF((32+38*(1-EXP(-0.0175*A85)))&lt;70,'Scénario référence'!$B$18*(32+38*(1-EXP(-0.0175*A85))),70*'Scénario référence'!$B$18)</f>
        <v>70</v>
      </c>
      <c r="FV85" s="12">
        <f>IF(A85&gt;30,10,('Scénario référence'!$B$16+'Scénario référence'!$B$17+'Scénario référence'!$B$18+'Scénario référence'!$B$9+'Scénario référence'!$B$10)*A85*10/30+('Scénario référence'!$F$8+'Scénario référence'!$F$9)*10)</f>
        <v>10</v>
      </c>
      <c r="FW85" s="12" t="e">
        <f>VLOOKUP(A85,'Données projet'!$A$243:$I$263,2,0)</f>
        <v>#N/A</v>
      </c>
      <c r="FX85" s="12" t="e">
        <f>VLOOKUP(A85,'Données projet'!$A$243:$I$263,9,0)</f>
        <v>#N/A</v>
      </c>
      <c r="FY85" s="12">
        <f t="array" ref="FY85">INDEX(FX:FX,MIN(IF(ISNUMBER(FX85:FX281),ROW(FX85:FX281),"")))</f>
        <v>7.4950142450142483</v>
      </c>
      <c r="FZ85" s="12">
        <f>IF('Données projet'!$A$244&gt;35,FZ84+FY85-GH84,IF(A85&lt;'Données projet'!$A$244,$FW$205^A85,IF(A85='Données projet'!$A$244,'Données projet'!$B$244,FZ84+FY85-GH84)))</f>
        <v>243.39387464387465</v>
      </c>
      <c r="GA85" s="17">
        <f>FZ85*VLOOKUP('Données projet'!$B$17,Paramètres!$A$1:$I$89,3,0)*VLOOKUP('Données projet'!$B$17,Paramètres!$A$1:$I$89,5,0)</f>
        <v>261.98916666666668</v>
      </c>
      <c r="GB85" s="13">
        <f t="shared" si="103"/>
        <v>63.146199643034862</v>
      </c>
      <c r="GC85" s="20">
        <f t="shared" si="79"/>
        <v>566.27742965606353</v>
      </c>
      <c r="GD85" s="59">
        <f t="shared" si="80"/>
        <v>859.61076298939679</v>
      </c>
      <c r="GE85" s="59">
        <f ca="1">AVERAGE(OFFSET($GD$3,0,0,'Données projet'!$E$17+1,1))-AVERAGE(OFFSET($H$3,0,0,'Données projet'!$E$17+1,1))</f>
        <v>286.77702855541287</v>
      </c>
      <c r="GF85" s="59">
        <f t="shared" si="104"/>
        <v>227.12211541860779</v>
      </c>
      <c r="GG85" s="15">
        <f>IF(ISNA(VLOOKUP(A85,'Données projet'!$A$243:$I$263,3,0)),0,VLOOKUP(A85,'Données projet'!$A$243:$I$263,3,0))</f>
        <v>0</v>
      </c>
      <c r="GH85" s="15">
        <f>IF(ISNA(VLOOKUP(A85,'Données projet'!$A$243:$I$263,4,0)),0,VLOOKUP(A85,'Données projet'!$A$243:$I$263,4,0))</f>
        <v>0</v>
      </c>
      <c r="GI85" s="16">
        <f>IF(ISNA(VLOOKUP(A85,'Données projet'!$A$243:$I$263,5,0)),0%,VLOOKUP(A85,'Données projet'!$A$243:$I$263,5,0)*VLOOKUP('Données projet'!$B$17,Paramètres!$A$1:$I$89,7,0))</f>
        <v>0</v>
      </c>
      <c r="GJ85" s="16">
        <f>IF(ISNA(VLOOKUP(A85,'Données projet'!$A$243:$I$263,6,0)),0%,VLOOKUP(A85,'Données projet'!$A$243:$I$263,6,0)*VLOOKUP('Données projet'!$B$17,Paramètres!$A$1:$I$89,7,0))</f>
        <v>0</v>
      </c>
      <c r="GK85" s="16">
        <f>IF(ISNA(VLOOKUP(A85,'Données projet'!$A$243:$I$263,7,0)),0%,VLOOKUP(A85,'Données projet'!$A$243:$I$263,7,0))</f>
        <v>0</v>
      </c>
      <c r="GL85" s="21">
        <f>EXP(-LN(2)/35)*GL84+(1-EXP(-LN(2)/35))/(LN(2)/35)*GH85*GI85*VLOOKUP('Données projet'!$B$17,Paramètres!$A$1:$I$89,3,0)*0.475*44/12</f>
        <v>0</v>
      </c>
      <c r="GM85" s="21">
        <f>EXP(-LN(2)/25)*GM84+(1-EXP(-LN(2)/25))/(LN(2)/25)*Calculateur!GH85*Calculateur!GJ85*VLOOKUP('Données projet'!$B$17,Paramètres!$A$1:$I$89,3,0)*0.475*44/12</f>
        <v>0</v>
      </c>
      <c r="GN85" s="21">
        <f>EXP(-LN(2)/2)*GN84+(1-EXP(-LN(2)/2))/(LN(2)/2)*GH85*GK85*VLOOKUP('Données projet'!$B$17,Paramètres!$A$1:$I$89,3,0)*0.475*44/12</f>
        <v>0</v>
      </c>
      <c r="GO85" s="21">
        <f t="shared" si="81"/>
        <v>0</v>
      </c>
      <c r="GP85" s="75">
        <f>('Scénario référence'!$F$8+'Scénario référence'!$F$9+'Scénario référence'!$B$17+'Scénario référence'!$B$9+'Scénario référence'!$B$10)*70+IF((45+25*(1-EXP(-0.0175*A85)))&lt;70,'Scénario référence'!$B$16*(45+25*(1-EXP(-0.0175*A85))),70*'Scénario référence'!$B$16)+IF((32+38*(1-EXP(-0.0175*A85)))&lt;70,'Scénario référence'!$B$18*(32+38*(1-EXP(-0.0175*A85))),70*'Scénario référence'!$B$18)</f>
        <v>70</v>
      </c>
      <c r="GQ85" s="12">
        <f>IF(A85&gt;30,10,('Scénario référence'!$B$16+'Scénario référence'!$B$17+'Scénario référence'!$B$18+'Scénario référence'!$B$9+'Scénario référence'!$B$10)*A85*10/30+('Scénario référence'!$F$8+'Scénario référence'!$F$9)*10)</f>
        <v>10</v>
      </c>
      <c r="GR85" s="12" t="e">
        <f>VLOOKUP(A85,'Données projet'!$A$269:$I$289,2,0)</f>
        <v>#N/A</v>
      </c>
      <c r="GS85" s="12" t="e">
        <f>VLOOKUP(A85,'Données projet'!$A$269:$I$289,9,0)</f>
        <v>#N/A</v>
      </c>
      <c r="GT85" s="12">
        <f t="array" ref="GT85">INDEX(GS:GS,MIN(IF(ISNUMBER(GS85:GS281),ROW(GS85:GS281),"")))</f>
        <v>7.4950142450142483</v>
      </c>
      <c r="GU85" s="12">
        <f>IF('Données projet'!$A$270&gt;35,GU84+GT85-HC84,IF(A85&lt;'Données projet'!$A$270,$GR$205^A85,IF(A85='Données projet'!$A$270,'Données projet'!$B$270,GU84+GT85-HC84)))</f>
        <v>243.39387464387465</v>
      </c>
      <c r="GV85" s="17">
        <f>GU85*VLOOKUP('Données projet'!$B$18,Paramètres!$A$1:$I$89,3,0)*VLOOKUP('Données projet'!$B$18,Paramètres!$A$1:$I$89,5,0)</f>
        <v>261.98916666666668</v>
      </c>
      <c r="GW85" s="13">
        <f t="shared" si="105"/>
        <v>63.146199643034862</v>
      </c>
      <c r="GX85" s="20">
        <f t="shared" si="82"/>
        <v>566.27742965606353</v>
      </c>
      <c r="GY85" s="59">
        <f t="shared" si="83"/>
        <v>859.61076298939679</v>
      </c>
      <c r="GZ85" s="59">
        <f ca="1">AVERAGE(OFFSET($GY$3,0,0,'Données projet'!$E$18+1,1))-AVERAGE(OFFSET($H$3,0,0,'Données projet'!$E$18+1,1))</f>
        <v>286.77702855541287</v>
      </c>
      <c r="HA85" s="59">
        <f t="shared" si="106"/>
        <v>227.12211541860779</v>
      </c>
      <c r="HB85" s="15">
        <f>IF(ISNA(VLOOKUP(A85,'Données projet'!$A$269:$I$289,3,0)),0,VLOOKUP(A85,'Données projet'!$A$269:$I$289,3,0))</f>
        <v>0</v>
      </c>
      <c r="HC85" s="15">
        <f>IF(ISNA(VLOOKUP(A85,'Données projet'!$A$269:$I$289,4,0)),0,VLOOKUP(A85,'Données projet'!$A$269:$I$289,4,0))</f>
        <v>0</v>
      </c>
      <c r="HD85" s="16">
        <f>IF(ISNA(VLOOKUP(A85,'Données projet'!$A$269:$I$289,5,0)),0%,VLOOKUP(A85,'Données projet'!$A$269:$I$289,5,0)*VLOOKUP('Données projet'!$B$18,Paramètres!$A$1:$I$89,7,0))</f>
        <v>0</v>
      </c>
      <c r="HE85" s="16">
        <f>IF(ISNA(VLOOKUP(A85,'Données projet'!$A$269:$I$289,6,0)),0%,VLOOKUP(A85,'Données projet'!$A$269:$I$289,6,0)*VLOOKUP('Données projet'!$B$18,Paramètres!$A$1:$I$89,7,0))</f>
        <v>0</v>
      </c>
      <c r="HF85" s="16">
        <f>IF(ISNA(VLOOKUP(A85,'Données projet'!$A$269:$I$289,7,0)),0%,VLOOKUP(A85,'Données projet'!$A$269:$I$289,7,0))</f>
        <v>0</v>
      </c>
      <c r="HG85" s="21">
        <f>EXP(-LN(2)/35)*HG84+(1-EXP(-LN(2)/35))/(LN(2)/35)*HC85*HD85*VLOOKUP('Données projet'!$B$18,Paramètres!$A$1:$I$89,3,0)*0.475*44/12</f>
        <v>0</v>
      </c>
      <c r="HH85" s="21">
        <f>EXP(-LN(2)/25)*HH84+(1-EXP(-LN(2)/25))/(LN(2)/25)*Calculateur!HC85*Calculateur!HE85*VLOOKUP('Données projet'!$B$18,Paramètres!$A$1:$I$89,3,0)*0.475*44/12</f>
        <v>0</v>
      </c>
      <c r="HI85" s="21">
        <f>EXP(-LN(2)/2)*HI84+(1-EXP(-LN(2)/2))/(LN(2)/2)*HC85*HF85*VLOOKUP('Données projet'!$B$18,Paramètres!$A$1:$I$89,3,0)*0.475*44/12</f>
        <v>0</v>
      </c>
      <c r="HJ85" s="22">
        <f t="shared" si="84"/>
        <v>0</v>
      </c>
    </row>
    <row r="86" spans="1:218" x14ac:dyDescent="0.25">
      <c r="A86" s="10">
        <f t="shared" si="85"/>
        <v>83</v>
      </c>
      <c r="B86" s="73">
        <f>'Scénario référence'!$B$16*5+'Scénario référence'!$B$17*0+'Scénario référence'!$B$18*5</f>
        <v>0</v>
      </c>
      <c r="C86" s="19">
        <f>Calculateur!C85+'Scénario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73.803600000000102</v>
      </c>
      <c r="D86" s="11">
        <f t="shared" si="86"/>
        <v>20.615097106698798</v>
      </c>
      <c r="E8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86" s="11">
        <f>IF(OR('Scénario référence'!$F$8&gt;0,'Scénario référence'!$F$9&gt;0),('Scénario référence'!$F$8+'Scénario référence'!$F$9)*10,0)</f>
        <v>10</v>
      </c>
      <c r="G86" s="11">
        <f>'Scénario référence'!$B$8*B86*44/12+'Scénario référence'!$B$9*(C86+D86)/0.475*44/12+'Scénario référence'!$B$10*(C86+D86)/0.475*44/12+'Scénario référence'!$F$8*(C86+D86)/0.475*44/12+'Scénario référence'!$F$9*(C86+D86)/0.475*44/12</f>
        <v>728.8460829289038</v>
      </c>
      <c r="H86" s="67">
        <f t="shared" si="56"/>
        <v>457.77923079416723</v>
      </c>
      <c r="I86" s="70">
        <f>('Scénario référence'!$F$8+'Scénario référence'!$F$9+'Scénario référence'!$B$17+'Scénario référence'!$B$9+'Scénario référence'!$B$10)*70+IF((45+25*(1-EXP(-0.0175*A86)))&lt;70,'Scénario référence'!$B$16*(45+25*(1-EXP(-0.0175*A86))),70*'Scénario référence'!$B$16)+IF((32+38*(1-EXP(-0.0175*A86)))&lt;70,'Scénario référence'!$B$18*(32+38*(1-EXP(-0.0175*A86))),70*'Scénario référence'!$B$18)</f>
        <v>70</v>
      </c>
      <c r="J86" s="13">
        <f>IF(A86&gt;30,10,('Scénario référence'!$B$16+'Scénario référence'!$B$17+'Scénario référence'!$B$18+'Scénario référence'!$B$9+'Scénario référence'!$B$10)*A86*10/30+('Scénario référence'!$F$8+'Scénario référence'!$F$9)*10)</f>
        <v>10</v>
      </c>
      <c r="K86" s="12" t="e">
        <f>VLOOKUP(A86,'Données projet'!$A$35:$I$55,2,0)</f>
        <v>#N/A</v>
      </c>
      <c r="L86" s="12" t="e">
        <f>VLOOKUP(A86,'Données projet'!$A$35:$I$55,9,0)</f>
        <v>#N/A</v>
      </c>
      <c r="M86" s="12">
        <f t="array" ref="M86">INDEX(L:L,MIN(IF(ISNUMBER(L86:L282),ROW(L86:L282),"")))</f>
        <v>0</v>
      </c>
      <c r="N86" s="13">
        <f>IF('Données projet'!$A$36&gt;35,N85+M86-V85,IF(A86&lt;'Données projet'!$A$36,$K$205^A86,IF(A86='Données projet'!$A$36,'Données projet'!$B$36,N85+M86-V85)))</f>
        <v>-2.2737367544323206E-13</v>
      </c>
      <c r="O86" s="13">
        <f>N86*VLOOKUP('Données projet'!$B$9,Paramètres!$A$1:$I$89,3,0)*VLOOKUP('Données projet'!$B$9,Paramètres!$A$1:$I$89,5,0)</f>
        <v>-1.2710188457276673E-13</v>
      </c>
      <c r="P86" s="13" t="e">
        <f t="shared" si="87"/>
        <v>#NUM!</v>
      </c>
      <c r="Q86" s="20" t="e">
        <f t="shared" si="54"/>
        <v>#NUM!</v>
      </c>
      <c r="R86" s="59" t="e">
        <f t="shared" si="55"/>
        <v>#NUM!</v>
      </c>
      <c r="S86" s="59">
        <f ca="1">AVERAGE(OFFSET($R$3,0,0,'Données projet'!$E$9+1,1))-AVERAGE(OFFSET($H$3,0,0,'Données projet'!$E$9+1,1))</f>
        <v>255.5374979188561</v>
      </c>
      <c r="T86" s="59">
        <f t="shared" si="88"/>
        <v>343.10418468620901</v>
      </c>
      <c r="U86" s="15">
        <f>IF(ISNA(VLOOKUP(A86,'Données projet'!$A$35:$I$55,3,0)),0,VLOOKUP(A86,'Données projet'!$A$35:$I$55,3,0))</f>
        <v>0</v>
      </c>
      <c r="V86" s="15">
        <f>IF(ISNA(VLOOKUP(A86,'Données projet'!$A$35:$I$55,4,0)),0,VLOOKUP(A86,'Données projet'!$A$35:$I$55,4,0))</f>
        <v>0</v>
      </c>
      <c r="W86" s="16">
        <f>IF(ISNA(VLOOKUP(A86,'Données projet'!$A$35:$I$55,5,0)),0%,VLOOKUP(A86,'Données projet'!$A$35:$I$55,5,0)*VLOOKUP('Données projet'!$B$9,Paramètres!$A$1:$I$89,7,0))</f>
        <v>0</v>
      </c>
      <c r="X86" s="16">
        <f>IF(ISNA(VLOOKUP(A86,'Données projet'!$A$35:$I$55,6,0)),0%,VLOOKUP(A86,'Données projet'!$A$35:$I$55,6,0)*VLOOKUP('Données projet'!$B$9,Paramètres!$A$1:$I$89,7,0))</f>
        <v>0</v>
      </c>
      <c r="Y86" s="16">
        <f>IF(ISNA(VLOOKUP(A86,'Données projet'!$A$35:$I$55,7,0)),0%,VLOOKUP(A86,'Données projet'!$A$35:$I$55,7,0))</f>
        <v>0</v>
      </c>
      <c r="Z86" s="21">
        <f>EXP(-LN(2)/35)*Z85+(1-EXP(-LN(2)/35))/(LN(2)/35)*V86*W86*VLOOKUP('Données projet'!$B$9,Paramètres!$A$1:$I$89,3,0)*0.475*44/12</f>
        <v>1.0817298106549151</v>
      </c>
      <c r="AA86" s="21">
        <f>EXP(-LN(2)/25)*AA85+(1-EXP(-LN(2)/25))/(LN(2)/25)*Calculateur!V86*Calculateur!X86*VLOOKUP('Données projet'!$B$9,Paramètres!$A$1:$I$89,3,0)*0.475*44/12</f>
        <v>3.6716083381113855</v>
      </c>
      <c r="AB86" s="21">
        <f>EXP(-LN(2)/2)*AB85+(1-EXP(-LN(2)/2))/(LN(2)/2)*V86*Y86*VLOOKUP('Données projet'!$B$9,Paramètres!$A$1:$I$89,3,0)*0.475*44/12</f>
        <v>1.7834987693600072E-8</v>
      </c>
      <c r="AC86" s="22">
        <f t="shared" si="57"/>
        <v>4.7533381666012886</v>
      </c>
      <c r="AD86" s="13">
        <f>('Scénario référence'!$F$8+'Scénario référence'!$F$9+'Scénario référence'!$B$17+'Scénario référence'!$B$9+'Scénario référence'!$B$10)*70+IF((45+25*(1-EXP(-0.0175*A86)))&lt;70,'Scénario référence'!$B$16*(45+25*(1-EXP(-0.0175*A86))),70*'Scénario référence'!$B$16)+IF((32+38*(1-EXP(-0.0175*A86)))&lt;70,'Scénario référence'!$B$18*(32+38*(1-EXP(-0.0175*A86))),70*'Scénario référence'!$B$18)</f>
        <v>70</v>
      </c>
      <c r="AE86" s="13">
        <f>IF(A86&gt;30,10,('Scénario référence'!$B$16+'Scénario référence'!$B$17+'Scénario référence'!$B$18+'Scénario référence'!$B$9+'Scénario référence'!$B$10)*A86*10/30+('Scénario référence'!$F$8+'Scénario référence'!$F$9)*10)</f>
        <v>10</v>
      </c>
      <c r="AF86" s="12" t="e">
        <f>VLOOKUP(A86,'Données projet'!$A$61:$I$81,2,0)</f>
        <v>#N/A</v>
      </c>
      <c r="AG86" s="12" t="e">
        <f>VLOOKUP(A86,'Données projet'!$A$61:$I$81,9,0)</f>
        <v>#N/A</v>
      </c>
      <c r="AH86" s="12">
        <f t="array" ref="AH86">INDEX(AG:AG,MIN(IF(ISNUMBER(AG86:AG282),ROW(AG86:AG282),"")))</f>
        <v>0</v>
      </c>
      <c r="AI86" s="13">
        <f>IF('Données projet'!$A$62&gt;35,AI85+AH86-AQ85,IF(A86&lt;'Données projet'!$A$62,$AF$205^A86,IF(A86='Données projet'!$A$62,'Données projet'!$B$62,AI85+AH86-AQ85)))</f>
        <v>0</v>
      </c>
      <c r="AJ86" s="13">
        <f>AI86*VLOOKUP('Données projet'!$B$10,Paramètres!$A$1:$I$89,3,0)*VLOOKUP('Données projet'!$B$10,Paramètres!$A$1:$I$89,5,0)</f>
        <v>0</v>
      </c>
      <c r="AK86" s="13" t="e">
        <f t="shared" si="89"/>
        <v>#NUM!</v>
      </c>
      <c r="AL86" s="20" t="e">
        <f t="shared" si="58"/>
        <v>#NUM!</v>
      </c>
      <c r="AM86" s="59" t="e">
        <f t="shared" si="59"/>
        <v>#NUM!</v>
      </c>
      <c r="AN86" s="59">
        <f ca="1">AVERAGE(OFFSET($AM$3,0,0,'Données projet'!$E$10+1,1))-AVERAGE(OFFSET($H$3,0,0,'Données projet'!$E$10+1,1))</f>
        <v>261.78489480911571</v>
      </c>
      <c r="AO86" s="59">
        <f t="shared" si="90"/>
        <v>297.50513563712764</v>
      </c>
      <c r="AP86" s="15">
        <f>IF(ISNA(VLOOKUP(A86,'Données projet'!$A$61:$I$81,3,0)),0,VLOOKUP(A86,'Données projet'!$A$61:$I$81,3,0))</f>
        <v>0</v>
      </c>
      <c r="AQ86" s="15">
        <f>IF(ISNA(VLOOKUP(A86,'Données projet'!$A$61:$I$81,4,0)),0,VLOOKUP(A86,'Données projet'!$A$61:$I$81,4,0))</f>
        <v>0</v>
      </c>
      <c r="AR86" s="16">
        <f>IF(ISNA(VLOOKUP(A86,'Données projet'!$A$61:$I$81,5,0)),0%,VLOOKUP(A86,'Données projet'!$A$61:$I$81,5,0)*VLOOKUP('Données projet'!$B$10,Paramètres!$A$1:$I$89,7,0))</f>
        <v>0</v>
      </c>
      <c r="AS86" s="16">
        <f>IF(ISNA(VLOOKUP(A86,'Données projet'!$A$61:$I$81,6,0)),0%,VLOOKUP(A86,'Données projet'!$A$61:$I$81,6,0)*VLOOKUP('Données projet'!$B$10,Paramètres!$A$1:$I$89,7,0))</f>
        <v>0</v>
      </c>
      <c r="AT86" s="16">
        <f>IF(ISNA(VLOOKUP(A86,'Données projet'!$A$61:$I$81,7,0)),0%,VLOOKUP(A86,'Données projet'!$A$61:$I$81,7,0))</f>
        <v>0</v>
      </c>
      <c r="AU86" s="21">
        <f>EXP(-LN(2)/35)*AU85+(1-EXP(-LN(2)/35))/(LN(2)/35)*AQ86*AR86*VLOOKUP('Données projet'!$B$10,Paramètres!$A$1:$I$89,3,0)*0.475*44/12</f>
        <v>2.9209764545776866</v>
      </c>
      <c r="AV86" s="21">
        <f>EXP(-LN(2)/25)*AV85+(1-EXP(-LN(2)/25))/(LN(2)/25)*Calculateur!AQ86*Calculateur!AS86*VLOOKUP('Données projet'!$B$10,Paramètres!$A$1:$I$89,3,0)*0.475*44/12</f>
        <v>6.4113770227904023</v>
      </c>
      <c r="AW86" s="21">
        <f>EXP(-LN(2)/2)*AW85+(1-EXP(-LN(2)/2))/(LN(2)/2)*AQ86*AT86*VLOOKUP('Données projet'!$B$10,Paramètres!$A$1:$I$89,3,0)*0.475*44/12</f>
        <v>2.5710832658319877E-7</v>
      </c>
      <c r="AX86" s="21">
        <f t="shared" si="60"/>
        <v>9.3323537344764151</v>
      </c>
      <c r="AY86" s="74">
        <f>('Scénario référence'!$F$8+'Scénario référence'!$F$9+'Scénario référence'!$B$17+'Scénario référence'!$B$9+'Scénario référence'!$B$10)*70+IF((45+25*(1-EXP(-0.0175*A86)))&lt;70,'Scénario référence'!$B$16*(45+25*(1-EXP(-0.0175*A86))),70*'Scénario référence'!$B$16)+IF((32+38*(1-EXP(-0.0175*A86)))&lt;70,'Scénario référence'!$B$18*(32+38*(1-EXP(-0.0175*A86))),70*'Scénario référence'!$B$18)</f>
        <v>70</v>
      </c>
      <c r="AZ86" s="12">
        <f>IF(A86&gt;30,10,('Scénario référence'!$B$16+'Scénario référence'!$B$17+'Scénario référence'!$B$18+'Scénario référence'!$B$9+'Scénario référence'!$B$10)*A86*10/30+('Scénario référence'!$F$8+'Scénario référence'!$F$9)*10)</f>
        <v>10</v>
      </c>
      <c r="BA86" s="12" t="e">
        <f>VLOOKUP(A86,'Données projet'!$A$87:$I$107,2,0)</f>
        <v>#N/A</v>
      </c>
      <c r="BB86" s="12" t="e">
        <f>VLOOKUP(A86,'Données projet'!$A$87:$I$107,9,0)</f>
        <v>#N/A</v>
      </c>
      <c r="BC86" s="12">
        <f t="array" ref="BC86">INDEX(BB:BB,MIN(IF(ISNUMBER(BB86:BB282),ROW(BB86:BB282),"")))</f>
        <v>12.5</v>
      </c>
      <c r="BD86" s="12">
        <f>IF('Données projet'!$A$88&gt;35,BD85+BC86-BL85,IF(A86&lt;'Données projet'!$A$88,$BA$205^A86,IF(A86='Données projet'!$A$88,'Données projet'!$B$88,BD85+BC86-BL85)))</f>
        <v>549.49999999999955</v>
      </c>
      <c r="BE86" s="13">
        <f>BD86*VLOOKUP('Données projet'!$B$11,Paramètres!$A$1:$I$89,3,0)*VLOOKUP('Données projet'!$B$11,Paramètres!$A$1:$I$89,5,0)</f>
        <v>328.60099999999977</v>
      </c>
      <c r="BF86" s="13">
        <f t="shared" si="91"/>
        <v>77.140187101009843</v>
      </c>
      <c r="BG86" s="20">
        <f t="shared" si="61"/>
        <v>706.66590086759163</v>
      </c>
      <c r="BH86" s="59">
        <f t="shared" si="62"/>
        <v>999.999234200925</v>
      </c>
      <c r="BI86" s="59">
        <f ca="1">AVERAGE(OFFSET($BH$3,0,0,'Données projet'!$E$11+1,1))-AVERAGE(OFFSET($H$3,0,0,'Données projet'!$E$11+1,1))</f>
        <v>316.58509520829671</v>
      </c>
      <c r="BJ86" s="59">
        <f t="shared" si="92"/>
        <v>240.71332110643596</v>
      </c>
      <c r="BK86" s="15">
        <f>IF(ISNA(VLOOKUP(A86,'Données projet'!$A$87:$I$107,3,0)),0,VLOOKUP(A86,'Données projet'!$A$87:$I$107,3,0))</f>
        <v>0</v>
      </c>
      <c r="BL86" s="15">
        <f>IF(ISNA(VLOOKUP(A86,'Données projet'!$A$87:$I$107,4,0)),0,VLOOKUP(A86,'Données projet'!$A$87:$I$107,4,0))</f>
        <v>0</v>
      </c>
      <c r="BM86" s="16">
        <f>IF(ISNA(VLOOKUP(A86,'Données projet'!$A$87:$I$107,5,0)),0%,VLOOKUP(A86,'Données projet'!$A$87:$I$107,5,0)*VLOOKUP('Données projet'!$B$11,Paramètres!$A$1:$I$89,7,0))</f>
        <v>0</v>
      </c>
      <c r="BN86" s="16">
        <f>IF(ISNA(VLOOKUP(A86,'Données projet'!$A$87:$I$107,6,0)),0%,VLOOKUP(A86,'Données projet'!$A$87:$I$107,6,0)*VLOOKUP('Données projet'!$B$11,Paramètres!$A$1:$I$89,7,0))</f>
        <v>0</v>
      </c>
      <c r="BO86" s="16">
        <f>IF(ISNA(VLOOKUP(A86,'Données projet'!$A$87:$I$107,7,0)),0%,VLOOKUP(A86,'Données projet'!$A$87:$I$107,7,0))</f>
        <v>0</v>
      </c>
      <c r="BP86" s="21">
        <f>EXP(-LN(2)/35)*BP85+(1-EXP(-LN(2)/35))/(LN(2)/35)*BL86*BM86*VLOOKUP('Données projet'!$B$11,Paramètres!$A$1:$I$89,3,0)*0.475*44/12</f>
        <v>0.88726833153373552</v>
      </c>
      <c r="BQ86" s="21">
        <f>EXP(-LN(2)/25)*BQ85+(1-EXP(-LN(2)/25))/(LN(2)/25)*Calculateur!BL86*Calculateur!BN86*VLOOKUP('Données projet'!$B$11,Paramètres!$A$1:$I$89,3,0)*0.475*44/12</f>
        <v>3.5123394047343917</v>
      </c>
      <c r="BR86" s="21">
        <f>EXP(-LN(2)/2)*BR85+(1-EXP(-LN(2)/2))/(LN(2)/2)*BL86*BO86*VLOOKUP('Données projet'!$B$11,Paramètres!$A$1:$I$89,3,0)*0.475*44/12</f>
        <v>2.3116854220144008E-7</v>
      </c>
      <c r="BS86" s="22">
        <f t="shared" si="63"/>
        <v>4.399607967436669</v>
      </c>
      <c r="BT86" s="75">
        <f>('Scénario référence'!$F$8+'Scénario référence'!$F$9+'Scénario référence'!$B$17+'Scénario référence'!$B$9+'Scénario référence'!$B$10)*70+IF((45+25*(1-EXP(-0.0175*A86)))&lt;70,'Scénario référence'!$B$16*(45+25*(1-EXP(-0.0175*A86))),70*'Scénario référence'!$B$16)+IF((32+38*(1-EXP(-0.0175*A86)))&lt;70,'Scénario référence'!$B$18*(32+38*(1-EXP(-0.0175*A86))),70*'Scénario référence'!$B$18)</f>
        <v>70</v>
      </c>
      <c r="BU86" s="12">
        <f>IF(A86&gt;30,10,('Scénario référence'!$B$16+'Scénario référence'!$B$17+'Scénario référence'!$B$18+'Scénario référence'!$B$9+'Scénario référence'!$B$10)*A86*10/30+('Scénario référence'!$F$8+'Scénario référence'!$F$9)*10)</f>
        <v>10</v>
      </c>
      <c r="BV86" s="12" t="e">
        <f>VLOOKUP(A86,'Données projet'!$A$113:$I$133,2,0)</f>
        <v>#N/A</v>
      </c>
      <c r="BW86" s="12" t="e">
        <f>VLOOKUP(A86,'Données projet'!$A$113:$I$133,9,0)</f>
        <v>#N/A</v>
      </c>
      <c r="BX86" s="12">
        <f t="array" ref="BX86">INDEX(BW:BW,MIN(IF(ISNUMBER(BW86:BW282),ROW(BW86:BW282),"")))</f>
        <v>3.8</v>
      </c>
      <c r="BY86" s="12">
        <f>IF('Données projet'!$A$114&gt;35,BY85+BX86-CG85,IF(A86&lt;'Données projet'!$A$114,$BV$205^A86,IF(A86='Données projet'!$A$114,'Données projet'!$B$114,BY85+BX86-CG85)))</f>
        <v>327.39999999999969</v>
      </c>
      <c r="BZ86" s="13">
        <f>BY86*VLOOKUP('Données projet'!$B$12,Paramètres!$A$1:$I$89,3,0)*VLOOKUP('Données projet'!$B$12,Paramètres!$A$1:$I$89,5,0)</f>
        <v>187.27279999999985</v>
      </c>
      <c r="CA86" s="13">
        <f t="shared" si="93"/>
        <v>46.936501250496327</v>
      </c>
      <c r="CB86" s="20">
        <f t="shared" si="64"/>
        <v>407.91453301128081</v>
      </c>
      <c r="CC86" s="59">
        <f t="shared" si="65"/>
        <v>701.24786634461407</v>
      </c>
      <c r="CD86" s="59">
        <f ca="1">AVERAGE(OFFSET($CC$3,0,0,'Données projet'!$E$12+1,1))-AVERAGE(OFFSET($H$3,0,0,'Données projet'!$E$12+1,1))</f>
        <v>188.64374818906128</v>
      </c>
      <c r="CE86" s="59">
        <f t="shared" si="94"/>
        <v>211.95157880548652</v>
      </c>
      <c r="CF86" s="15">
        <f>IF(ISNA(VLOOKUP(A86,'Données projet'!$A$113:$I$133,3,0)),0,VLOOKUP(A86,'Données projet'!$A$113:$I$133,3,0))</f>
        <v>0</v>
      </c>
      <c r="CG86" s="15">
        <f>IF(ISNA(VLOOKUP(A86,'Données projet'!$A$113:$I$133,4,0)),0,VLOOKUP(A86,'Données projet'!$A$113:$I$133,4,0))</f>
        <v>0</v>
      </c>
      <c r="CH86" s="16">
        <f>IF(ISNA(VLOOKUP(A86,'Données projet'!$A$113:$I$133,5,0)),0%,VLOOKUP(A86,'Données projet'!$A$113:$I$133,5,0)*VLOOKUP('Données projet'!$B$12,Paramètres!$A$1:$I$89,7,0))</f>
        <v>0</v>
      </c>
      <c r="CI86" s="16">
        <f>IF(ISNA(VLOOKUP(A86,'Données projet'!$A$113:$I$133,6,0)),0%,VLOOKUP(A86,'Données projet'!$A$113:$I$133,6,0)*VLOOKUP('Données projet'!$B$12,Paramètres!$A$1:$I$89,7,0))</f>
        <v>0</v>
      </c>
      <c r="CJ86" s="16">
        <f>IF(ISNA(VLOOKUP(A86,'Données projet'!$A$113:$I$133,7,0)),0%,VLOOKUP(A86,'Données projet'!$A$113:$I$133,7,0))</f>
        <v>0</v>
      </c>
      <c r="CK86" s="21">
        <f>EXP(-LN(2)/35)*CK85+(1-EXP(-LN(2)/35))/(LN(2)/35)*CG86*CH86*VLOOKUP('Données projet'!$B$12,Paramètres!$A$1:$I$89,3,0)*0.475*44/12</f>
        <v>0.86064484822378229</v>
      </c>
      <c r="CL86" s="21">
        <f>EXP(-LN(2)/25)*CL85+(1-EXP(-LN(2)/25))/(LN(2)/25)*Calculateur!CG86*Calculateur!CI86*VLOOKUP('Données projet'!$B$12,Paramètres!$A$1:$I$89,3,0)*0.475*44/12</f>
        <v>3.3058933732914211</v>
      </c>
      <c r="CM86" s="21">
        <f>EXP(-LN(2)/2)*CM85+(1-EXP(-LN(2)/2))/(LN(2)/2)*CG86*CJ86*VLOOKUP('Données projet'!$B$12,Paramètres!$A$1:$I$89,3,0)*0.475*44/12</f>
        <v>2.2386864622673652E-7</v>
      </c>
      <c r="CN86" s="22">
        <f t="shared" si="66"/>
        <v>4.1665384453838499</v>
      </c>
      <c r="CO86" s="75">
        <f>('Scénario référence'!$F$8+'Scénario référence'!$F$9+'Scénario référence'!$B$17+'Scénario référence'!$B$9+'Scénario référence'!$B$10)*70+IF((45+25*(1-EXP(-0.0175*A86)))&lt;70,'Scénario référence'!$B$16*(45+25*(1-EXP(-0.0175*A86))),70*'Scénario référence'!$B$16)+IF((32+38*(1-EXP(-0.0175*A86)))&lt;70,'Scénario référence'!$B$18*(32+38*(1-EXP(-0.0175*A86))),70*'Scénario référence'!$B$18)</f>
        <v>70</v>
      </c>
      <c r="CP86" s="12">
        <f>IF(A86&gt;30,10,('Scénario référence'!$B$16+'Scénario référence'!$B$17+'Scénario référence'!$B$18+'Scénario référence'!$B$9+'Scénario référence'!$B$10)*A86*10/30+('Scénario référence'!$F$8+'Scénario référence'!$F$9)*10)</f>
        <v>10</v>
      </c>
      <c r="CQ86" s="12" t="e">
        <f>VLOOKUP(A86,'Données projet'!$A$139:$I$159,2,0)</f>
        <v>#N/A</v>
      </c>
      <c r="CR86" s="12" t="e">
        <f>VLOOKUP(A86,'Données projet'!$A$139:$I$159,9,0)</f>
        <v>#N/A</v>
      </c>
      <c r="CS86" s="12">
        <f t="array" ref="CS86">INDEX(CR:CR,MIN(IF(ISNUMBER(CR86:CR282),ROW(CR86:CR282),"")))</f>
        <v>0</v>
      </c>
      <c r="CT86" s="12">
        <f>IF('Données projet'!$A$140&gt;35,CT85+CS86-DB85,IF(A86&lt;'Données projet'!$A$140,$CQ$205^A86,IF(A86='Données projet'!$A$140,'Données projet'!$B$140,CT85+CS86-DB85)))</f>
        <v>0</v>
      </c>
      <c r="CU86" s="17" t="e">
        <f>CT86*VLOOKUP('Données projet'!$B$13,Paramètres!$A$1:$I$89,3,0)*VLOOKUP('Données projet'!$B$13,Paramètres!$A$1:$I$89,5,0)</f>
        <v>#N/A</v>
      </c>
      <c r="CV86" s="13" t="e">
        <f t="shared" si="95"/>
        <v>#N/A</v>
      </c>
      <c r="CW86" s="20" t="e">
        <f t="shared" si="67"/>
        <v>#N/A</v>
      </c>
      <c r="CX86" s="59" t="e">
        <f t="shared" si="68"/>
        <v>#N/A</v>
      </c>
      <c r="CY86" s="59" t="e">
        <f ca="1">AVERAGE(OFFSET($CX$3,0,0,'Données projet'!$E$13+1,1))-AVERAGE(OFFSET($H$3,0,0,'Données projet'!$E$13+1,1))</f>
        <v>#N/A</v>
      </c>
      <c r="CZ86" s="59" t="e">
        <f t="shared" si="96"/>
        <v>#N/A</v>
      </c>
      <c r="DA86" s="15">
        <f>IF(ISNA(VLOOKUP(A86,'Données projet'!$A$139:$I$159,3,0)),0,VLOOKUP(A86,'Données projet'!$A$139:$I$159,3,0))</f>
        <v>0</v>
      </c>
      <c r="DB86" s="15">
        <f>IF(ISNA(VLOOKUP(A86,'Données projet'!$A$139:$I$159,4,0)),0,VLOOKUP(A86,'Données projet'!$A$139:$I$159,4,0))</f>
        <v>0</v>
      </c>
      <c r="DC86" s="16">
        <f>IF(ISNA(VLOOKUP(A86,'Données projet'!$A$139:$I$159,5,0)),0%,VLOOKUP(A86,'Données projet'!$A$139:$I$159,5,0)*VLOOKUP('Données projet'!$B$13,Paramètres!$A$1:$I$89,7,0))</f>
        <v>0</v>
      </c>
      <c r="DD86" s="16">
        <f>IF(ISNA(VLOOKUP(A86,'Données projet'!$A$139:$I$159,6,0)),0%,VLOOKUP(A86,'Données projet'!$A$139:$I$159,6,0)*VLOOKUP('Données projet'!$B$13,Paramètres!$A$1:$I$89,7,0))</f>
        <v>0</v>
      </c>
      <c r="DE86" s="16">
        <f>IF(ISNA(VLOOKUP(A86,'Données projet'!$A$139:$I$159,7,0)),0%,VLOOKUP(A86,'Données projet'!$A$139:$I$159,7,0))</f>
        <v>0</v>
      </c>
      <c r="DF86" s="21" t="e">
        <f>EXP(-LN(2)/35)*DF85+(1-EXP(-LN(2)/35))/(LN(2)/35)*DB86*DC86*VLOOKUP('Données projet'!$B$13,Paramètres!$A$1:$I$89,3,0)*0.475*44/12</f>
        <v>#N/A</v>
      </c>
      <c r="DG86" s="21" t="e">
        <f>EXP(-LN(2)/25)*DG85+(1-EXP(-LN(2)/25))/(LN(2)/25)*Calculateur!DB86*Calculateur!DD86*VLOOKUP('Données projet'!$B$13,Paramètres!$A$1:$I$89,3,0)*0.475*44/12</f>
        <v>#N/A</v>
      </c>
      <c r="DH86" s="21" t="e">
        <f>EXP(-LN(2)/2)*DH85+(1-EXP(-LN(2)/2))/(LN(2)/2)*DB86*DE86*VLOOKUP('Données projet'!$B$13,Paramètres!$A$1:$I$89,3,0)*0.475*44/12</f>
        <v>#N/A</v>
      </c>
      <c r="DI86" s="22" t="e">
        <f t="shared" si="69"/>
        <v>#N/A</v>
      </c>
      <c r="DJ86" s="75">
        <f>('Scénario référence'!$F$8+'Scénario référence'!$F$9+'Scénario référence'!$B$17+'Scénario référence'!$B$9+'Scénario référence'!$B$10)*70+IF((45+25*(1-EXP(-0.0175*A86)))&lt;70,'Scénario référence'!$B$16*(45+25*(1-EXP(-0.0175*A86))),70*'Scénario référence'!$B$16)+IF((32+38*(1-EXP(-0.0175*A86)))&lt;70,'Scénario référence'!$B$18*(32+38*(1-EXP(-0.0175*A86))),70*'Scénario référence'!$B$18)</f>
        <v>70</v>
      </c>
      <c r="DK86" s="12">
        <f>IF(A86&gt;30,10,('Scénario référence'!$B$16+'Scénario référence'!$B$17+'Scénario référence'!$B$18+'Scénario référence'!$B$9+'Scénario référence'!$B$10)*A86*10/30+('Scénario référence'!$F$8+'Scénario référence'!$F$9)*10)</f>
        <v>10</v>
      </c>
      <c r="DL86" s="12" t="e">
        <f>VLOOKUP(A86,'Données projet'!$A$165:$I$185,2,0)</f>
        <v>#N/A</v>
      </c>
      <c r="DM86" s="12" t="e">
        <f>VLOOKUP(A86,'Données projet'!$A$165:$I$185,9,0)</f>
        <v>#N/A</v>
      </c>
      <c r="DN86" s="12">
        <f t="array" ref="DN86">INDEX(DM:DM,MIN(IF(ISNUMBER(DM86:DM282),ROW(DM86:DM282),"")))</f>
        <v>4</v>
      </c>
      <c r="DO86" s="12">
        <f>IF('Données projet'!$A$166&gt;35,DO85+DN86-DW85,IF(A86&lt;'Données projet'!$A$166,$DL$205^A86,IF(A86='Données projet'!$A$166,'Données projet'!$B$166,DO85+DN86-DW85)))</f>
        <v>271.00000000000017</v>
      </c>
      <c r="DP86" s="17">
        <f>DO86*VLOOKUP('Données projet'!$B$14,Paramètres!$A$1:$I$89,3,0)*VLOOKUP('Données projet'!$B$14,Paramètres!$A$1:$I$89,5,0)</f>
        <v>177.55920000000012</v>
      </c>
      <c r="DQ86" s="13">
        <f t="shared" si="97"/>
        <v>44.778722400109068</v>
      </c>
      <c r="DR86" s="20">
        <f t="shared" si="70"/>
        <v>387.23854818019021</v>
      </c>
      <c r="DS86" s="59">
        <f t="shared" si="71"/>
        <v>680.57188151352352</v>
      </c>
      <c r="DT86" s="59">
        <f ca="1">AVERAGE(OFFSET($DS$3,0,0,'Données projet'!$E$14+1,1))-AVERAGE(OFFSET($H$3,0,0,'Données projet'!$E$14+1,1))</f>
        <v>188.68915783955595</v>
      </c>
      <c r="DU86" s="59">
        <f t="shared" si="98"/>
        <v>240.82467772396944</v>
      </c>
      <c r="DV86" s="15">
        <f>IF(ISNA(VLOOKUP(A86,'Données projet'!$A$165:$I$185,3,0)),0,VLOOKUP(A86,'Données projet'!$A$165:$I$185,3,0))</f>
        <v>0</v>
      </c>
      <c r="DW86" s="15">
        <f>IF(ISNA(VLOOKUP(A86,'Données projet'!$A$165:$I$185,4,0)),0,VLOOKUP(A86,'Données projet'!$A$165:$I$185,4,0))</f>
        <v>0</v>
      </c>
      <c r="DX86" s="16">
        <f>IF(ISNA(VLOOKUP(A86,'Données projet'!$A$165:$I$185,5,0)),0%,VLOOKUP(A86,'Données projet'!$A$165:$I$185,5,0)*VLOOKUP('Données projet'!$B$14,Paramètres!$A$1:$I$89,7,0))</f>
        <v>0</v>
      </c>
      <c r="DY86" s="16">
        <f>IF(ISNA(VLOOKUP(A86,'Données projet'!$A$165:$I$185,6,0)),0%,VLOOKUP(A86,'Données projet'!$A$165:$I$185,6,0)*VLOOKUP('Données projet'!$B$14,Paramètres!$A$1:$I$89,7,0))</f>
        <v>0</v>
      </c>
      <c r="DZ86" s="16">
        <f>IF(ISNA(VLOOKUP(A86,'Données projet'!$A$165:$I$185,7,0)),0%,VLOOKUP(A86,'Données projet'!$A$165:$I$185,7,0))</f>
        <v>0</v>
      </c>
      <c r="EA86" s="21">
        <f>EXP(-LN(2)/35)*EA85+(1-EXP(-LN(2)/35))/(LN(2)/35)*DW86*DX86*VLOOKUP('Données projet'!$B$14,Paramètres!$A$1:$I$89,3,0)*0.475*44/12</f>
        <v>0.54514751539427286</v>
      </c>
      <c r="EB86" s="21">
        <f>EXP(-LN(2)/25)*EB85+(1-EXP(-LN(2)/25))/(LN(2)/25)*Calculateur!DW86*Calculateur!DY86*VLOOKUP('Données projet'!$B$14,Paramètres!$A$1:$I$89,3,0)*0.475*44/12</f>
        <v>1.8491238111362935</v>
      </c>
      <c r="EC86" s="21">
        <f>EXP(-LN(2)/2)*EC85+(1-EXP(-LN(2)/2))/(LN(2)/2)*DW86*DZ86*VLOOKUP('Données projet'!$B$14,Paramètres!$A$1:$I$89,3,0)*0.475*44/12</f>
        <v>1.4747612177283438E-7</v>
      </c>
      <c r="ED86" s="22">
        <f t="shared" si="72"/>
        <v>2.3942714740066884</v>
      </c>
      <c r="EE86" s="75">
        <f>('Scénario référence'!$F$8+'Scénario référence'!$F$9+'Scénario référence'!$B$17+'Scénario référence'!$B$9+'Scénario référence'!$B$10)*70+IF((45+25*(1-EXP(-0.0175*A86)))&lt;70,'Scénario référence'!$B$16*(45+25*(1-EXP(-0.0175*A86))),70*'Scénario référence'!$B$16)+IF((32+38*(1-EXP(-0.0175*A86)))&lt;70,'Scénario référence'!$B$18*(32+38*(1-EXP(-0.0175*A86))),70*'Scénario référence'!$B$18)</f>
        <v>70</v>
      </c>
      <c r="EF86" s="12">
        <f>IF(A86&gt;30,10,('Scénario référence'!$B$16+'Scénario référence'!$B$17+'Scénario référence'!$B$18+'Scénario référence'!$B$9+'Scénario référence'!$B$10)*A86*10/30+('Scénario référence'!$F$8+'Scénario référence'!$F$9)*10)</f>
        <v>10</v>
      </c>
      <c r="EG86" s="12" t="e">
        <f>VLOOKUP(A86,'Données projet'!$A$191:$I$211,2,0)</f>
        <v>#N/A</v>
      </c>
      <c r="EH86" s="12" t="e">
        <f>VLOOKUP(A86,'Données projet'!$A$191:$I$211,9,0)</f>
        <v>#N/A</v>
      </c>
      <c r="EI86" s="12">
        <f t="array" ref="EI86">INDEX(EH:EH,MIN(IF(ISNUMBER(EH86:EH282),ROW(EH86:EH282),"")))</f>
        <v>4.7</v>
      </c>
      <c r="EJ86" s="12">
        <f>IF('Données projet'!$A$192&gt;35,EJ85+EI86-ER85,IF(A86&lt;'Données projet'!$A$192,$EG$205^A86,IF(A86='Données projet'!$A$192,'Données projet'!$B$192,EJ85+EI86-ER85)))</f>
        <v>274.0999999999998</v>
      </c>
      <c r="EK86" s="17">
        <f>EJ86*VLOOKUP('Données projet'!$B$15,Paramètres!$A$1:$I$89,3,0)*VLOOKUP('Données projet'!$B$15,Paramètres!$A$1:$I$89,5,0)</f>
        <v>222.34991999999986</v>
      </c>
      <c r="EL86" s="13">
        <f t="shared" si="99"/>
        <v>54.625312967947693</v>
      </c>
      <c r="EM86" s="20">
        <f t="shared" si="73"/>
        <v>482.39853075250858</v>
      </c>
      <c r="EN86" s="59">
        <f t="shared" si="74"/>
        <v>775.73186408584183</v>
      </c>
      <c r="EO86" s="59">
        <f ca="1">AVERAGE(OFFSET($EN$3,0,0,'Données projet'!$E$15+1,1))-AVERAGE(OFFSET($H$3,0,0,'Données projet'!$E$15+1,1))</f>
        <v>205.5272583787887</v>
      </c>
      <c r="EP86" s="59">
        <f t="shared" si="100"/>
        <v>180.54762778843178</v>
      </c>
      <c r="EQ86" s="15">
        <f>IF(ISNA(VLOOKUP(A86,'Données projet'!$A$191:$I$211,3,0)),0,VLOOKUP(A86,'Données projet'!$A$191:$I$211,3,0))</f>
        <v>0</v>
      </c>
      <c r="ER86" s="15">
        <f>IF(ISNA(VLOOKUP(A86,'Données projet'!$A$191:$I$211,4,0)),0,VLOOKUP(A86,'Données projet'!$A$191:$I$211,4,0))</f>
        <v>0</v>
      </c>
      <c r="ES86" s="16">
        <f>IF(ISNA(VLOOKUP(A86,'Données projet'!$A$191:$I$211,5,0)),0%,VLOOKUP(A86,'Données projet'!$A$191:$I$211,5,0)*VLOOKUP('Données projet'!$B$15,Paramètres!$A$1:$I$89,7,0))</f>
        <v>0</v>
      </c>
      <c r="ET86" s="16">
        <f>IF(ISNA(VLOOKUP(A86,'Données projet'!$A$191:$I$211,6,0)),0%,VLOOKUP(A86,'Données projet'!$A$191:$I$211,6,0)*VLOOKUP('Données projet'!$B$15,Paramètres!$A$1:$I$89,7,0))</f>
        <v>0</v>
      </c>
      <c r="EU86" s="16">
        <f>IF(ISNA(VLOOKUP(A86,'Données projet'!$A$191:$I$211,7,0)),0%,VLOOKUP(A86,'Données projet'!$A$191:$I$211,7,0))</f>
        <v>0</v>
      </c>
      <c r="EV86" s="21">
        <f>EXP(-LN(2)/35)*EV85+(1-EXP(-LN(2)/35))/(LN(2)/35)*ER86*ES86*VLOOKUP('Données projet'!$B$15,Paramètres!$A$1:$I$89,3,0)*0.475*44/12</f>
        <v>0.35097116229193176</v>
      </c>
      <c r="EW86" s="21">
        <f>EXP(-LN(2)/25)*EW85+(1-EXP(-LN(2)/25))/(LN(2)/25)*Calculateur!ER86*Calculateur!ET86*VLOOKUP('Données projet'!$B$15,Paramètres!$A$1:$I$89,3,0)*0.475*44/12</f>
        <v>1.3351234865953965</v>
      </c>
      <c r="EX86" s="21">
        <f>EXP(-LN(2)/2)*EX85+(1-EXP(-LN(2)/2))/(LN(2)/2)*ER86*EU86*VLOOKUP('Données projet'!$B$15,Paramètres!$A$1:$I$89,3,0)*0.475*44/12</f>
        <v>9.5490897895619447E-8</v>
      </c>
      <c r="EY86" s="22">
        <f t="shared" si="75"/>
        <v>1.6860947443782262</v>
      </c>
      <c r="EZ86" s="75">
        <f>('Scénario référence'!$F$8+'Scénario référence'!$F$9+'Scénario référence'!$B$17+'Scénario référence'!$B$9+'Scénario référence'!$B$10)*70+IF((45+25*(1-EXP(-0.0175*A86)))&lt;70,'Scénario référence'!$B$16*(45+25*(1-EXP(-0.0175*A86))),70*'Scénario référence'!$B$16)+IF((32+38*(1-EXP(-0.0175*A86)))&lt;70,'Scénario référence'!$B$18*(32+38*(1-EXP(-0.0175*A86))),70*'Scénario référence'!$B$18)</f>
        <v>70</v>
      </c>
      <c r="FA86" s="12">
        <f>IF(A86&gt;30,10,('Scénario référence'!$B$16+'Scénario référence'!$B$17+'Scénario référence'!$B$18+'Scénario référence'!$B$9+'Scénario référence'!$B$10)*A86*10/30+('Scénario référence'!$F$8+'Scénario référence'!$F$9)*10)</f>
        <v>10</v>
      </c>
      <c r="FB86" s="12" t="e">
        <f>VLOOKUP(A86,'Données projet'!$A$217:$I$237,2,0)</f>
        <v>#N/A</v>
      </c>
      <c r="FC86" s="12" t="e">
        <f>VLOOKUP(A86,'Données projet'!$A$217:$I$237,9,0)</f>
        <v>#N/A</v>
      </c>
      <c r="FD86" s="12">
        <f t="array" ref="FD86">INDEX(FC:FC,MIN(IF(ISNUMBER(FC86:FC282),ROW(FC86:FC282),"")))</f>
        <v>10.9</v>
      </c>
      <c r="FE86" s="12">
        <f>IF('Données projet'!$A$218&gt;35,FE85+FD86-FM85,IF(A86&lt;'Données projet'!$A$218,$FB$205^A86,IF(A86='Données projet'!$A$218,'Données projet'!$B$218,FE85+FD86-FM85)))</f>
        <v>344.7000000000001</v>
      </c>
      <c r="FF86" s="17">
        <f>FE86*VLOOKUP('Données projet'!$B$16,Paramètres!$A$1:$I$89,3,0)*VLOOKUP('Données projet'!$B$16,Paramètres!$A$1:$I$89,5,0)</f>
        <v>295.75260000000009</v>
      </c>
      <c r="FG86" s="13">
        <f t="shared" si="101"/>
        <v>70.28530769575093</v>
      </c>
      <c r="FH86" s="20">
        <f t="shared" si="76"/>
        <v>637.51602257009972</v>
      </c>
      <c r="FI86" s="59">
        <f t="shared" si="77"/>
        <v>930.84935590343298</v>
      </c>
      <c r="FJ86" s="59">
        <f ca="1">AVERAGE(OFFSET($FI$3,0,0,'Données projet'!$E$16+1,1))-AVERAGE(OFFSET($H$3,0,0,'Données projet'!$E$16+1,1))</f>
        <v>383.97627237444709</v>
      </c>
      <c r="FK86" s="59">
        <f t="shared" si="102"/>
        <v>203.35476578922339</v>
      </c>
      <c r="FL86" s="15">
        <f>IF(ISNA(VLOOKUP(A86,'Données projet'!$A$217:$I$237,3,0)),0,VLOOKUP(A86,'Données projet'!$A$217:$I$237,3,0))</f>
        <v>0</v>
      </c>
      <c r="FM86" s="15">
        <f>IF(ISNA(VLOOKUP(A86,'Données projet'!$A$217:$I$237,4,0)),0,VLOOKUP(A86,'Données projet'!$A$217:$I$237,4,0))</f>
        <v>0</v>
      </c>
      <c r="FN86" s="16">
        <f>IF(ISNA(VLOOKUP(A86,'Données projet'!$A$217:$I$237,5,0)),0%,VLOOKUP(A86,'Données projet'!$A$217:$I$237,5,0)*VLOOKUP('Données projet'!$B$16,Paramètres!$A$1:$I$89,7,0))</f>
        <v>0</v>
      </c>
      <c r="FO86" s="16">
        <f>IF(ISNA(VLOOKUP(A86,'Données projet'!$A$217:$I$237,6,0)),0%,VLOOKUP(A86,'Données projet'!$A$217:$I$237,6,0)*VLOOKUP('Données projet'!$B$16,Paramètres!$A$1:$I$89,7,0))</f>
        <v>0</v>
      </c>
      <c r="FP86" s="16">
        <f>IF(ISNA(VLOOKUP(A86,'Données projet'!$A$217:$I$237,7,0)),0%,VLOOKUP(A86,'Données projet'!$A$217:$I$237,7,0))</f>
        <v>0</v>
      </c>
      <c r="FQ86" s="21">
        <f>EXP(-LN(2)/35)*FQ85+(1-EXP(-LN(2)/35))/(LN(2)/35)*FM86*FN86*VLOOKUP('Données projet'!$B$16,Paramètres!$A$1:$I$89,3,0)*0.475*44/12</f>
        <v>1.8038013649597626</v>
      </c>
      <c r="FR86" s="21">
        <f>EXP(-LN(2)/25)*FR85+(1-EXP(-LN(2)/25))/(LN(2)/25)*Calculateur!FM86*Calculateur!FO86*VLOOKUP('Données projet'!$B$16,Paramètres!$A$1:$I$89,3,0)*0.475*44/12</f>
        <v>1.3552883370216076</v>
      </c>
      <c r="FS86" s="21">
        <f>EXP(-LN(2)/2)*FS85+(1-EXP(-LN(2)/2))/(LN(2)/2)*FM86*FP86*VLOOKUP('Données projet'!$B$16,Paramètres!$A$1:$I$89,3,0)*0.475*44/12</f>
        <v>1.7539718186463168E-7</v>
      </c>
      <c r="FT86" s="22">
        <f t="shared" si="78"/>
        <v>3.1590898773785518</v>
      </c>
      <c r="FU86" s="75">
        <f>('Scénario référence'!$F$8+'Scénario référence'!$F$9+'Scénario référence'!$B$17+'Scénario référence'!$B$9+'Scénario référence'!$B$10)*70+IF((45+25*(1-EXP(-0.0175*A86)))&lt;70,'Scénario référence'!$B$16*(45+25*(1-EXP(-0.0175*A86))),70*'Scénario référence'!$B$16)+IF((32+38*(1-EXP(-0.0175*A86)))&lt;70,'Scénario référence'!$B$18*(32+38*(1-EXP(-0.0175*A86))),70*'Scénario référence'!$B$18)</f>
        <v>70</v>
      </c>
      <c r="FV86" s="12">
        <f>IF(A86&gt;30,10,('Scénario référence'!$B$16+'Scénario référence'!$B$17+'Scénario référence'!$B$18+'Scénario référence'!$B$9+'Scénario référence'!$B$10)*A86*10/30+('Scénario référence'!$F$8+'Scénario référence'!$F$9)*10)</f>
        <v>10</v>
      </c>
      <c r="FW86" s="12" t="e">
        <f>VLOOKUP(A86,'Données projet'!$A$243:$I$263,2,0)</f>
        <v>#N/A</v>
      </c>
      <c r="FX86" s="12" t="e">
        <f>VLOOKUP(A86,'Données projet'!$A$243:$I$263,9,0)</f>
        <v>#N/A</v>
      </c>
      <c r="FY86" s="12">
        <f t="array" ref="FY86">INDEX(FX:FX,MIN(IF(ISNUMBER(FX86:FX282),ROW(FX86:FX282),"")))</f>
        <v>7.4950142450142483</v>
      </c>
      <c r="FZ86" s="12">
        <f>IF('Données projet'!$A$244&gt;35,FZ85+FY86-GH85,IF(A86&lt;'Données projet'!$A$244,$FW$205^A86,IF(A86='Données projet'!$A$244,'Données projet'!$B$244,FZ85+FY86-GH85)))</f>
        <v>250.88888888888891</v>
      </c>
      <c r="GA86" s="17">
        <f>FZ86*VLOOKUP('Données projet'!$B$17,Paramètres!$A$1:$I$89,3,0)*VLOOKUP('Données projet'!$B$17,Paramètres!$A$1:$I$89,5,0)</f>
        <v>270.05680000000001</v>
      </c>
      <c r="GB86" s="13">
        <f t="shared" si="103"/>
        <v>64.861323533797474</v>
      </c>
      <c r="GC86" s="20">
        <f t="shared" si="79"/>
        <v>583.3157318213639</v>
      </c>
      <c r="GD86" s="59">
        <f t="shared" si="80"/>
        <v>876.64906515469715</v>
      </c>
      <c r="GE86" s="59">
        <f ca="1">AVERAGE(OFFSET($GD$3,0,0,'Données projet'!$E$17+1,1))-AVERAGE(OFFSET($H$3,0,0,'Données projet'!$E$17+1,1))</f>
        <v>286.77702855541287</v>
      </c>
      <c r="GF86" s="59">
        <f t="shared" si="104"/>
        <v>227.12211541860779</v>
      </c>
      <c r="GG86" s="15">
        <f>IF(ISNA(VLOOKUP(A86,'Données projet'!$A$243:$I$263,3,0)),0,VLOOKUP(A86,'Données projet'!$A$243:$I$263,3,0))</f>
        <v>0</v>
      </c>
      <c r="GH86" s="15">
        <f>IF(ISNA(VLOOKUP(A86,'Données projet'!$A$243:$I$263,4,0)),0,VLOOKUP(A86,'Données projet'!$A$243:$I$263,4,0))</f>
        <v>0</v>
      </c>
      <c r="GI86" s="16">
        <f>IF(ISNA(VLOOKUP(A86,'Données projet'!$A$243:$I$263,5,0)),0%,VLOOKUP(A86,'Données projet'!$A$243:$I$263,5,0)*VLOOKUP('Données projet'!$B$17,Paramètres!$A$1:$I$89,7,0))</f>
        <v>0</v>
      </c>
      <c r="GJ86" s="16">
        <f>IF(ISNA(VLOOKUP(A86,'Données projet'!$A$243:$I$263,6,0)),0%,VLOOKUP(A86,'Données projet'!$A$243:$I$263,6,0)*VLOOKUP('Données projet'!$B$17,Paramètres!$A$1:$I$89,7,0))</f>
        <v>0</v>
      </c>
      <c r="GK86" s="16">
        <f>IF(ISNA(VLOOKUP(A86,'Données projet'!$A$243:$I$263,7,0)),0%,VLOOKUP(A86,'Données projet'!$A$243:$I$263,7,0))</f>
        <v>0</v>
      </c>
      <c r="GL86" s="21">
        <f>EXP(-LN(2)/35)*GL85+(1-EXP(-LN(2)/35))/(LN(2)/35)*GH86*GI86*VLOOKUP('Données projet'!$B$17,Paramètres!$A$1:$I$89,3,0)*0.475*44/12</f>
        <v>0</v>
      </c>
      <c r="GM86" s="21">
        <f>EXP(-LN(2)/25)*GM85+(1-EXP(-LN(2)/25))/(LN(2)/25)*Calculateur!GH86*Calculateur!GJ86*VLOOKUP('Données projet'!$B$17,Paramètres!$A$1:$I$89,3,0)*0.475*44/12</f>
        <v>0</v>
      </c>
      <c r="GN86" s="21">
        <f>EXP(-LN(2)/2)*GN85+(1-EXP(-LN(2)/2))/(LN(2)/2)*GH86*GK86*VLOOKUP('Données projet'!$B$17,Paramètres!$A$1:$I$89,3,0)*0.475*44/12</f>
        <v>0</v>
      </c>
      <c r="GO86" s="21">
        <f t="shared" si="81"/>
        <v>0</v>
      </c>
      <c r="GP86" s="75">
        <f>('Scénario référence'!$F$8+'Scénario référence'!$F$9+'Scénario référence'!$B$17+'Scénario référence'!$B$9+'Scénario référence'!$B$10)*70+IF((45+25*(1-EXP(-0.0175*A86)))&lt;70,'Scénario référence'!$B$16*(45+25*(1-EXP(-0.0175*A86))),70*'Scénario référence'!$B$16)+IF((32+38*(1-EXP(-0.0175*A86)))&lt;70,'Scénario référence'!$B$18*(32+38*(1-EXP(-0.0175*A86))),70*'Scénario référence'!$B$18)</f>
        <v>70</v>
      </c>
      <c r="GQ86" s="12">
        <f>IF(A86&gt;30,10,('Scénario référence'!$B$16+'Scénario référence'!$B$17+'Scénario référence'!$B$18+'Scénario référence'!$B$9+'Scénario référence'!$B$10)*A86*10/30+('Scénario référence'!$F$8+'Scénario référence'!$F$9)*10)</f>
        <v>10</v>
      </c>
      <c r="GR86" s="12" t="e">
        <f>VLOOKUP(A86,'Données projet'!$A$269:$I$289,2,0)</f>
        <v>#N/A</v>
      </c>
      <c r="GS86" s="12" t="e">
        <f>VLOOKUP(A86,'Données projet'!$A$269:$I$289,9,0)</f>
        <v>#N/A</v>
      </c>
      <c r="GT86" s="12">
        <f t="array" ref="GT86">INDEX(GS:GS,MIN(IF(ISNUMBER(GS86:GS282),ROW(GS86:GS282),"")))</f>
        <v>7.4950142450142483</v>
      </c>
      <c r="GU86" s="12">
        <f>IF('Données projet'!$A$270&gt;35,GU85+GT86-HC85,IF(A86&lt;'Données projet'!$A$270,$GR$205^A86,IF(A86='Données projet'!$A$270,'Données projet'!$B$270,GU85+GT86-HC85)))</f>
        <v>250.88888888888891</v>
      </c>
      <c r="GV86" s="17">
        <f>GU86*VLOOKUP('Données projet'!$B$18,Paramètres!$A$1:$I$89,3,0)*VLOOKUP('Données projet'!$B$18,Paramètres!$A$1:$I$89,5,0)</f>
        <v>270.05680000000001</v>
      </c>
      <c r="GW86" s="13">
        <f t="shared" si="105"/>
        <v>64.861323533797474</v>
      </c>
      <c r="GX86" s="20">
        <f t="shared" si="82"/>
        <v>583.3157318213639</v>
      </c>
      <c r="GY86" s="59">
        <f t="shared" si="83"/>
        <v>876.64906515469715</v>
      </c>
      <c r="GZ86" s="59">
        <f ca="1">AVERAGE(OFFSET($GY$3,0,0,'Données projet'!$E$18+1,1))-AVERAGE(OFFSET($H$3,0,0,'Données projet'!$E$18+1,1))</f>
        <v>286.77702855541287</v>
      </c>
      <c r="HA86" s="59">
        <f t="shared" si="106"/>
        <v>227.12211541860779</v>
      </c>
      <c r="HB86" s="15">
        <f>IF(ISNA(VLOOKUP(A86,'Données projet'!$A$269:$I$289,3,0)),0,VLOOKUP(A86,'Données projet'!$A$269:$I$289,3,0))</f>
        <v>0</v>
      </c>
      <c r="HC86" s="15">
        <f>IF(ISNA(VLOOKUP(A86,'Données projet'!$A$269:$I$289,4,0)),0,VLOOKUP(A86,'Données projet'!$A$269:$I$289,4,0))</f>
        <v>0</v>
      </c>
      <c r="HD86" s="16">
        <f>IF(ISNA(VLOOKUP(A86,'Données projet'!$A$269:$I$289,5,0)),0%,VLOOKUP(A86,'Données projet'!$A$269:$I$289,5,0)*VLOOKUP('Données projet'!$B$18,Paramètres!$A$1:$I$89,7,0))</f>
        <v>0</v>
      </c>
      <c r="HE86" s="16">
        <f>IF(ISNA(VLOOKUP(A86,'Données projet'!$A$269:$I$289,6,0)),0%,VLOOKUP(A86,'Données projet'!$A$269:$I$289,6,0)*VLOOKUP('Données projet'!$B$18,Paramètres!$A$1:$I$89,7,0))</f>
        <v>0</v>
      </c>
      <c r="HF86" s="16">
        <f>IF(ISNA(VLOOKUP(A86,'Données projet'!$A$269:$I$289,7,0)),0%,VLOOKUP(A86,'Données projet'!$A$269:$I$289,7,0))</f>
        <v>0</v>
      </c>
      <c r="HG86" s="21">
        <f>EXP(-LN(2)/35)*HG85+(1-EXP(-LN(2)/35))/(LN(2)/35)*HC86*HD86*VLOOKUP('Données projet'!$B$18,Paramètres!$A$1:$I$89,3,0)*0.475*44/12</f>
        <v>0</v>
      </c>
      <c r="HH86" s="21">
        <f>EXP(-LN(2)/25)*HH85+(1-EXP(-LN(2)/25))/(LN(2)/25)*Calculateur!HC86*Calculateur!HE86*VLOOKUP('Données projet'!$B$18,Paramètres!$A$1:$I$89,3,0)*0.475*44/12</f>
        <v>0</v>
      </c>
      <c r="HI86" s="21">
        <f>EXP(-LN(2)/2)*HI85+(1-EXP(-LN(2)/2))/(LN(2)/2)*HC86*HF86*VLOOKUP('Données projet'!$B$18,Paramètres!$A$1:$I$89,3,0)*0.475*44/12</f>
        <v>0</v>
      </c>
      <c r="HJ86" s="22">
        <f t="shared" si="84"/>
        <v>0</v>
      </c>
    </row>
    <row r="87" spans="1:218" x14ac:dyDescent="0.25">
      <c r="A87" s="10">
        <f t="shared" si="85"/>
        <v>84</v>
      </c>
      <c r="B87" s="73">
        <f>'Scénario référence'!$B$16*5+'Scénario référence'!$B$17*0+'Scénario référence'!$B$18*5</f>
        <v>0</v>
      </c>
      <c r="C87" s="19">
        <f>Calculateur!C86+'Scénario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74.692800000000105</v>
      </c>
      <c r="D87" s="11">
        <f t="shared" si="86"/>
        <v>20.834407756242857</v>
      </c>
      <c r="E8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87" s="11">
        <f>IF(OR('Scénario référence'!$F$8&gt;0,'Scénario référence'!$F$9&gt;0),('Scénario référence'!$F$8+'Scénario référence'!$F$9)*10,0)</f>
        <v>10</v>
      </c>
      <c r="G87" s="11">
        <f>'Scénario référence'!$B$8*B87*44/12+'Scénario référence'!$B$9*(C87+D87)/0.475*44/12+'Scénario référence'!$B$10*(C87+D87)/0.475*44/12+'Scénario référence'!$F$8*(C87+D87)/0.475*44/12+'Scénario référence'!$F$9*(C87+D87)/0.475*44/12</f>
        <v>737.40300724117378</v>
      </c>
      <c r="H87" s="67">
        <f t="shared" si="56"/>
        <v>459.70988684212313</v>
      </c>
      <c r="I87" s="70">
        <f>('Scénario référence'!$F$8+'Scénario référence'!$F$9+'Scénario référence'!$B$17+'Scénario référence'!$B$9+'Scénario référence'!$B$10)*70+IF((45+25*(1-EXP(-0.0175*A87)))&lt;70,'Scénario référence'!$B$16*(45+25*(1-EXP(-0.0175*A87))),70*'Scénario référence'!$B$16)+IF((32+38*(1-EXP(-0.0175*A87)))&lt;70,'Scénario référence'!$B$18*(32+38*(1-EXP(-0.0175*A87))),70*'Scénario référence'!$B$18)</f>
        <v>70</v>
      </c>
      <c r="J87" s="13">
        <f>IF(A87&gt;30,10,('Scénario référence'!$B$16+'Scénario référence'!$B$17+'Scénario référence'!$B$18+'Scénario référence'!$B$9+'Scénario référence'!$B$10)*A87*10/30+('Scénario référence'!$F$8+'Scénario référence'!$F$9)*10)</f>
        <v>10</v>
      </c>
      <c r="K87" s="12" t="e">
        <f>VLOOKUP(A87,'Données projet'!$A$35:$I$55,2,0)</f>
        <v>#N/A</v>
      </c>
      <c r="L87" s="12" t="e">
        <f>VLOOKUP(A87,'Données projet'!$A$35:$I$55,9,0)</f>
        <v>#N/A</v>
      </c>
      <c r="M87" s="12">
        <f t="array" ref="M87">INDEX(L:L,MIN(IF(ISNUMBER(L87:L283),ROW(L87:L283),"")))</f>
        <v>0</v>
      </c>
      <c r="N87" s="13">
        <f>IF('Données projet'!$A$36&gt;35,N86+M87-V86,IF(A87&lt;'Données projet'!$A$36,$K$205^A87,IF(A87='Données projet'!$A$36,'Données projet'!$B$36,N86+M87-V86)))</f>
        <v>-2.2737367544323206E-13</v>
      </c>
      <c r="O87" s="13">
        <f>N87*VLOOKUP('Données projet'!$B$9,Paramètres!$A$1:$I$89,3,0)*VLOOKUP('Données projet'!$B$9,Paramètres!$A$1:$I$89,5,0)</f>
        <v>-1.2710188457276673E-13</v>
      </c>
      <c r="P87" s="13" t="e">
        <f t="shared" si="87"/>
        <v>#NUM!</v>
      </c>
      <c r="Q87" s="20" t="e">
        <f t="shared" si="54"/>
        <v>#NUM!</v>
      </c>
      <c r="R87" s="59" t="e">
        <f t="shared" si="55"/>
        <v>#NUM!</v>
      </c>
      <c r="S87" s="59">
        <f ca="1">AVERAGE(OFFSET($R$3,0,0,'Données projet'!$E$9+1,1))-AVERAGE(OFFSET($H$3,0,0,'Données projet'!$E$9+1,1))</f>
        <v>255.5374979188561</v>
      </c>
      <c r="T87" s="59">
        <f t="shared" si="88"/>
        <v>343.10418468620901</v>
      </c>
      <c r="U87" s="15">
        <f>IF(ISNA(VLOOKUP(A87,'Données projet'!$A$35:$I$55,3,0)),0,VLOOKUP(A87,'Données projet'!$A$35:$I$55,3,0))</f>
        <v>0</v>
      </c>
      <c r="V87" s="15">
        <f>IF(ISNA(VLOOKUP(A87,'Données projet'!$A$35:$I$55,4,0)),0,VLOOKUP(A87,'Données projet'!$A$35:$I$55,4,0))</f>
        <v>0</v>
      </c>
      <c r="W87" s="16">
        <f>IF(ISNA(VLOOKUP(A87,'Données projet'!$A$35:$I$55,5,0)),0%,VLOOKUP(A87,'Données projet'!$A$35:$I$55,5,0)*VLOOKUP('Données projet'!$B$9,Paramètres!$A$1:$I$89,7,0))</f>
        <v>0</v>
      </c>
      <c r="X87" s="16">
        <f>IF(ISNA(VLOOKUP(A87,'Données projet'!$A$35:$I$55,6,0)),0%,VLOOKUP(A87,'Données projet'!$A$35:$I$55,6,0)*VLOOKUP('Données projet'!$B$9,Paramètres!$A$1:$I$89,7,0))</f>
        <v>0</v>
      </c>
      <c r="Y87" s="16">
        <f>IF(ISNA(VLOOKUP(A87,'Données projet'!$A$35:$I$55,7,0)),0%,VLOOKUP(A87,'Données projet'!$A$35:$I$55,7,0))</f>
        <v>0</v>
      </c>
      <c r="Z87" s="21">
        <f>EXP(-LN(2)/35)*Z86+(1-EXP(-LN(2)/35))/(LN(2)/35)*V87*W87*VLOOKUP('Données projet'!$B$9,Paramètres!$A$1:$I$89,3,0)*0.475*44/12</f>
        <v>1.060517748858008</v>
      </c>
      <c r="AA87" s="21">
        <f>EXP(-LN(2)/25)*AA86+(1-EXP(-LN(2)/25))/(LN(2)/25)*Calculateur!V87*Calculateur!X87*VLOOKUP('Données projet'!$B$9,Paramètres!$A$1:$I$89,3,0)*0.475*44/12</f>
        <v>3.5712080150242387</v>
      </c>
      <c r="AB87" s="21">
        <f>EXP(-LN(2)/2)*AB86+(1-EXP(-LN(2)/2))/(LN(2)/2)*V87*Y87*VLOOKUP('Données projet'!$B$9,Paramètres!$A$1:$I$89,3,0)*0.475*44/12</f>
        <v>1.2611240740523234E-8</v>
      </c>
      <c r="AC87" s="22">
        <f t="shared" si="57"/>
        <v>4.6317257764934876</v>
      </c>
      <c r="AD87" s="13">
        <f>('Scénario référence'!$F$8+'Scénario référence'!$F$9+'Scénario référence'!$B$17+'Scénario référence'!$B$9+'Scénario référence'!$B$10)*70+IF((45+25*(1-EXP(-0.0175*A87)))&lt;70,'Scénario référence'!$B$16*(45+25*(1-EXP(-0.0175*A87))),70*'Scénario référence'!$B$16)+IF((32+38*(1-EXP(-0.0175*A87)))&lt;70,'Scénario référence'!$B$18*(32+38*(1-EXP(-0.0175*A87))),70*'Scénario référence'!$B$18)</f>
        <v>70</v>
      </c>
      <c r="AE87" s="13">
        <f>IF(A87&gt;30,10,('Scénario référence'!$B$16+'Scénario référence'!$B$17+'Scénario référence'!$B$18+'Scénario référence'!$B$9+'Scénario référence'!$B$10)*A87*10/30+('Scénario référence'!$F$8+'Scénario référence'!$F$9)*10)</f>
        <v>10</v>
      </c>
      <c r="AF87" s="12" t="e">
        <f>VLOOKUP(A87,'Données projet'!$A$61:$I$81,2,0)</f>
        <v>#N/A</v>
      </c>
      <c r="AG87" s="12" t="e">
        <f>VLOOKUP(A87,'Données projet'!$A$61:$I$81,9,0)</f>
        <v>#N/A</v>
      </c>
      <c r="AH87" s="12">
        <f t="array" ref="AH87">INDEX(AG:AG,MIN(IF(ISNUMBER(AG87:AG283),ROW(AG87:AG283),"")))</f>
        <v>0</v>
      </c>
      <c r="AI87" s="13">
        <f>IF('Données projet'!$A$62&gt;35,AI86+AH87-AQ86,IF(A87&lt;'Données projet'!$A$62,$AF$205^A87,IF(A87='Données projet'!$A$62,'Données projet'!$B$62,AI86+AH87-AQ86)))</f>
        <v>0</v>
      </c>
      <c r="AJ87" s="13">
        <f>AI87*VLOOKUP('Données projet'!$B$10,Paramètres!$A$1:$I$89,3,0)*VLOOKUP('Données projet'!$B$10,Paramètres!$A$1:$I$89,5,0)</f>
        <v>0</v>
      </c>
      <c r="AK87" s="13" t="e">
        <f t="shared" si="89"/>
        <v>#NUM!</v>
      </c>
      <c r="AL87" s="20" t="e">
        <f t="shared" si="58"/>
        <v>#NUM!</v>
      </c>
      <c r="AM87" s="59" t="e">
        <f t="shared" si="59"/>
        <v>#NUM!</v>
      </c>
      <c r="AN87" s="59">
        <f ca="1">AVERAGE(OFFSET($AM$3,0,0,'Données projet'!$E$10+1,1))-AVERAGE(OFFSET($H$3,0,0,'Données projet'!$E$10+1,1))</f>
        <v>261.78489480911571</v>
      </c>
      <c r="AO87" s="59">
        <f t="shared" si="90"/>
        <v>297.50513563712764</v>
      </c>
      <c r="AP87" s="15">
        <f>IF(ISNA(VLOOKUP(A87,'Données projet'!$A$61:$I$81,3,0)),0,VLOOKUP(A87,'Données projet'!$A$61:$I$81,3,0))</f>
        <v>0</v>
      </c>
      <c r="AQ87" s="15">
        <f>IF(ISNA(VLOOKUP(A87,'Données projet'!$A$61:$I$81,4,0)),0,VLOOKUP(A87,'Données projet'!$A$61:$I$81,4,0))</f>
        <v>0</v>
      </c>
      <c r="AR87" s="16">
        <f>IF(ISNA(VLOOKUP(A87,'Données projet'!$A$61:$I$81,5,0)),0%,VLOOKUP(A87,'Données projet'!$A$61:$I$81,5,0)*VLOOKUP('Données projet'!$B$10,Paramètres!$A$1:$I$89,7,0))</f>
        <v>0</v>
      </c>
      <c r="AS87" s="16">
        <f>IF(ISNA(VLOOKUP(A87,'Données projet'!$A$61:$I$81,6,0)),0%,VLOOKUP(A87,'Données projet'!$A$61:$I$81,6,0)*VLOOKUP('Données projet'!$B$10,Paramètres!$A$1:$I$89,7,0))</f>
        <v>0</v>
      </c>
      <c r="AT87" s="16">
        <f>IF(ISNA(VLOOKUP(A87,'Données projet'!$A$61:$I$81,7,0)),0%,VLOOKUP(A87,'Données projet'!$A$61:$I$81,7,0))</f>
        <v>0</v>
      </c>
      <c r="AU87" s="21">
        <f>EXP(-LN(2)/35)*AU86+(1-EXP(-LN(2)/35))/(LN(2)/35)*AQ87*AR87*VLOOKUP('Données projet'!$B$10,Paramètres!$A$1:$I$89,3,0)*0.475*44/12</f>
        <v>2.8636978879231352</v>
      </c>
      <c r="AV87" s="21">
        <f>EXP(-LN(2)/25)*AV86+(1-EXP(-LN(2)/25))/(LN(2)/25)*Calculateur!AQ87*Calculateur!AS87*VLOOKUP('Données projet'!$B$10,Paramètres!$A$1:$I$89,3,0)*0.475*44/12</f>
        <v>6.2360575809425347</v>
      </c>
      <c r="AW87" s="21">
        <f>EXP(-LN(2)/2)*AW86+(1-EXP(-LN(2)/2))/(LN(2)/2)*AQ87*AT87*VLOOKUP('Données projet'!$B$10,Paramètres!$A$1:$I$89,3,0)*0.475*44/12</f>
        <v>1.8180304122650534E-7</v>
      </c>
      <c r="AX87" s="21">
        <f t="shared" si="60"/>
        <v>9.0997556506687118</v>
      </c>
      <c r="AY87" s="74">
        <f>('Scénario référence'!$F$8+'Scénario référence'!$F$9+'Scénario référence'!$B$17+'Scénario référence'!$B$9+'Scénario référence'!$B$10)*70+IF((45+25*(1-EXP(-0.0175*A87)))&lt;70,'Scénario référence'!$B$16*(45+25*(1-EXP(-0.0175*A87))),70*'Scénario référence'!$B$16)+IF((32+38*(1-EXP(-0.0175*A87)))&lt;70,'Scénario référence'!$B$18*(32+38*(1-EXP(-0.0175*A87))),70*'Scénario référence'!$B$18)</f>
        <v>70</v>
      </c>
      <c r="AZ87" s="12">
        <f>IF(A87&gt;30,10,('Scénario référence'!$B$16+'Scénario référence'!$B$17+'Scénario référence'!$B$18+'Scénario référence'!$B$9+'Scénario référence'!$B$10)*A87*10/30+('Scénario référence'!$F$8+'Scénario référence'!$F$9)*10)</f>
        <v>10</v>
      </c>
      <c r="BA87" s="12" t="e">
        <f>VLOOKUP(A87,'Données projet'!$A$87:$I$107,2,0)</f>
        <v>#N/A</v>
      </c>
      <c r="BB87" s="12" t="e">
        <f>VLOOKUP(A87,'Données projet'!$A$87:$I$107,9,0)</f>
        <v>#N/A</v>
      </c>
      <c r="BC87" s="12">
        <f t="array" ref="BC87">INDEX(BB:BB,MIN(IF(ISNUMBER(BB87:BB283),ROW(BB87:BB283),"")))</f>
        <v>12.5</v>
      </c>
      <c r="BD87" s="12">
        <f>IF('Données projet'!$A$88&gt;35,BD86+BC87-BL86,IF(A87&lt;'Données projet'!$A$88,$BA$205^A87,IF(A87='Données projet'!$A$88,'Données projet'!$B$88,BD86+BC87-BL86)))</f>
        <v>561.99999999999955</v>
      </c>
      <c r="BE87" s="13">
        <f>BD87*VLOOKUP('Données projet'!$B$11,Paramètres!$A$1:$I$89,3,0)*VLOOKUP('Données projet'!$B$11,Paramètres!$A$1:$I$89,5,0)</f>
        <v>336.07599999999979</v>
      </c>
      <c r="BF87" s="13">
        <f t="shared" si="91"/>
        <v>78.688676264452241</v>
      </c>
      <c r="BG87" s="20">
        <f t="shared" si="61"/>
        <v>722.38181116058729</v>
      </c>
      <c r="BH87" s="59">
        <f t="shared" si="62"/>
        <v>1015.7151444939207</v>
      </c>
      <c r="BI87" s="59">
        <f ca="1">AVERAGE(OFFSET($BH$3,0,0,'Données projet'!$E$11+1,1))-AVERAGE(OFFSET($H$3,0,0,'Données projet'!$E$11+1,1))</f>
        <v>316.58509520829671</v>
      </c>
      <c r="BJ87" s="59">
        <f t="shared" si="92"/>
        <v>240.71332110643596</v>
      </c>
      <c r="BK87" s="15">
        <f>IF(ISNA(VLOOKUP(A87,'Données projet'!$A$87:$I$107,3,0)),0,VLOOKUP(A87,'Données projet'!$A$87:$I$107,3,0))</f>
        <v>0</v>
      </c>
      <c r="BL87" s="15">
        <f>IF(ISNA(VLOOKUP(A87,'Données projet'!$A$87:$I$107,4,0)),0,VLOOKUP(A87,'Données projet'!$A$87:$I$107,4,0))</f>
        <v>0</v>
      </c>
      <c r="BM87" s="16">
        <f>IF(ISNA(VLOOKUP(A87,'Données projet'!$A$87:$I$107,5,0)),0%,VLOOKUP(A87,'Données projet'!$A$87:$I$107,5,0)*VLOOKUP('Données projet'!$B$11,Paramètres!$A$1:$I$89,7,0))</f>
        <v>0</v>
      </c>
      <c r="BN87" s="16">
        <f>IF(ISNA(VLOOKUP(A87,'Données projet'!$A$87:$I$107,6,0)),0%,VLOOKUP(A87,'Données projet'!$A$87:$I$107,6,0)*VLOOKUP('Données projet'!$B$11,Paramètres!$A$1:$I$89,7,0))</f>
        <v>0</v>
      </c>
      <c r="BO87" s="16">
        <f>IF(ISNA(VLOOKUP(A87,'Données projet'!$A$87:$I$107,7,0)),0%,VLOOKUP(A87,'Données projet'!$A$87:$I$107,7,0))</f>
        <v>0</v>
      </c>
      <c r="BP87" s="21">
        <f>EXP(-LN(2)/35)*BP86+(1-EXP(-LN(2)/35))/(LN(2)/35)*BL87*BM87*VLOOKUP('Données projet'!$B$11,Paramètres!$A$1:$I$89,3,0)*0.475*44/12</f>
        <v>0.86986954073260414</v>
      </c>
      <c r="BQ87" s="21">
        <f>EXP(-LN(2)/25)*BQ86+(1-EXP(-LN(2)/25))/(LN(2)/25)*Calculateur!BL87*Calculateur!BN87*VLOOKUP('Données projet'!$B$11,Paramètres!$A$1:$I$89,3,0)*0.475*44/12</f>
        <v>3.4162942990060281</v>
      </c>
      <c r="BR87" s="21">
        <f>EXP(-LN(2)/2)*BR86+(1-EXP(-LN(2)/2))/(LN(2)/2)*BL87*BO87*VLOOKUP('Données projet'!$B$11,Paramètres!$A$1:$I$89,3,0)*0.475*44/12</f>
        <v>1.6346084378764688E-7</v>
      </c>
      <c r="BS87" s="22">
        <f t="shared" si="63"/>
        <v>4.2861640031994765</v>
      </c>
      <c r="BT87" s="75">
        <f>('Scénario référence'!$F$8+'Scénario référence'!$F$9+'Scénario référence'!$B$17+'Scénario référence'!$B$9+'Scénario référence'!$B$10)*70+IF((45+25*(1-EXP(-0.0175*A87)))&lt;70,'Scénario référence'!$B$16*(45+25*(1-EXP(-0.0175*A87))),70*'Scénario référence'!$B$16)+IF((32+38*(1-EXP(-0.0175*A87)))&lt;70,'Scénario référence'!$B$18*(32+38*(1-EXP(-0.0175*A87))),70*'Scénario référence'!$B$18)</f>
        <v>70</v>
      </c>
      <c r="BU87" s="12">
        <f>IF(A87&gt;30,10,('Scénario référence'!$B$16+'Scénario référence'!$B$17+'Scénario référence'!$B$18+'Scénario référence'!$B$9+'Scénario référence'!$B$10)*A87*10/30+('Scénario référence'!$F$8+'Scénario référence'!$F$9)*10)</f>
        <v>10</v>
      </c>
      <c r="BV87" s="12" t="e">
        <f>VLOOKUP(A87,'Données projet'!$A$113:$I$133,2,0)</f>
        <v>#N/A</v>
      </c>
      <c r="BW87" s="12" t="e">
        <f>VLOOKUP(A87,'Données projet'!$A$113:$I$133,9,0)</f>
        <v>#N/A</v>
      </c>
      <c r="BX87" s="12">
        <f t="array" ref="BX87">INDEX(BW:BW,MIN(IF(ISNUMBER(BW87:BW283),ROW(BW87:BW283),"")))</f>
        <v>3.8</v>
      </c>
      <c r="BY87" s="12">
        <f>IF('Données projet'!$A$114&gt;35,BY86+BX87-CG86,IF(A87&lt;'Données projet'!$A$114,$BV$205^A87,IF(A87='Données projet'!$A$114,'Données projet'!$B$114,BY86+BX87-CG86)))</f>
        <v>331.1999999999997</v>
      </c>
      <c r="BZ87" s="13">
        <f>BY87*VLOOKUP('Données projet'!$B$12,Paramètres!$A$1:$I$89,3,0)*VLOOKUP('Données projet'!$B$12,Paramètres!$A$1:$I$89,5,0)</f>
        <v>189.44639999999984</v>
      </c>
      <c r="CA87" s="13">
        <f t="shared" si="93"/>
        <v>47.417538973836471</v>
      </c>
      <c r="CB87" s="20">
        <f t="shared" si="64"/>
        <v>412.53802704609819</v>
      </c>
      <c r="CC87" s="59">
        <f t="shared" si="65"/>
        <v>705.87136037943151</v>
      </c>
      <c r="CD87" s="59">
        <f ca="1">AVERAGE(OFFSET($CC$3,0,0,'Données projet'!$E$12+1,1))-AVERAGE(OFFSET($H$3,0,0,'Données projet'!$E$12+1,1))</f>
        <v>188.64374818906128</v>
      </c>
      <c r="CE87" s="59">
        <f t="shared" si="94"/>
        <v>211.95157880548652</v>
      </c>
      <c r="CF87" s="15">
        <f>IF(ISNA(VLOOKUP(A87,'Données projet'!$A$113:$I$133,3,0)),0,VLOOKUP(A87,'Données projet'!$A$113:$I$133,3,0))</f>
        <v>0</v>
      </c>
      <c r="CG87" s="15">
        <f>IF(ISNA(VLOOKUP(A87,'Données projet'!$A$113:$I$133,4,0)),0,VLOOKUP(A87,'Données projet'!$A$113:$I$133,4,0))</f>
        <v>0</v>
      </c>
      <c r="CH87" s="16">
        <f>IF(ISNA(VLOOKUP(A87,'Données projet'!$A$113:$I$133,5,0)),0%,VLOOKUP(A87,'Données projet'!$A$113:$I$133,5,0)*VLOOKUP('Données projet'!$B$12,Paramètres!$A$1:$I$89,7,0))</f>
        <v>0</v>
      </c>
      <c r="CI87" s="16">
        <f>IF(ISNA(VLOOKUP(A87,'Données projet'!$A$113:$I$133,6,0)),0%,VLOOKUP(A87,'Données projet'!$A$113:$I$133,6,0)*VLOOKUP('Données projet'!$B$12,Paramètres!$A$1:$I$89,7,0))</f>
        <v>0</v>
      </c>
      <c r="CJ87" s="16">
        <f>IF(ISNA(VLOOKUP(A87,'Données projet'!$A$113:$I$133,7,0)),0%,VLOOKUP(A87,'Données projet'!$A$113:$I$133,7,0))</f>
        <v>0</v>
      </c>
      <c r="CK87" s="21">
        <f>EXP(-LN(2)/35)*CK86+(1-EXP(-LN(2)/35))/(LN(2)/35)*CG87*CH87*VLOOKUP('Données projet'!$B$12,Paramètres!$A$1:$I$89,3,0)*0.475*44/12</f>
        <v>0.84376812769163767</v>
      </c>
      <c r="CL87" s="21">
        <f>EXP(-LN(2)/25)*CL86+(1-EXP(-LN(2)/25))/(LN(2)/25)*Calculateur!CG87*Calculateur!CI87*VLOOKUP('Données projet'!$B$12,Paramètres!$A$1:$I$89,3,0)*0.475*44/12</f>
        <v>3.2154935451493905</v>
      </c>
      <c r="CM87" s="21">
        <f>EXP(-LN(2)/2)*CM86+(1-EXP(-LN(2)/2))/(LN(2)/2)*CG87*CJ87*VLOOKUP('Données projet'!$B$12,Paramètres!$A$1:$I$89,3,0)*0.475*44/12</f>
        <v>1.582990378419776E-7</v>
      </c>
      <c r="CN87" s="22">
        <f t="shared" si="66"/>
        <v>4.0592618311400663</v>
      </c>
      <c r="CO87" s="75">
        <f>('Scénario référence'!$F$8+'Scénario référence'!$F$9+'Scénario référence'!$B$17+'Scénario référence'!$B$9+'Scénario référence'!$B$10)*70+IF((45+25*(1-EXP(-0.0175*A87)))&lt;70,'Scénario référence'!$B$16*(45+25*(1-EXP(-0.0175*A87))),70*'Scénario référence'!$B$16)+IF((32+38*(1-EXP(-0.0175*A87)))&lt;70,'Scénario référence'!$B$18*(32+38*(1-EXP(-0.0175*A87))),70*'Scénario référence'!$B$18)</f>
        <v>70</v>
      </c>
      <c r="CP87" s="12">
        <f>IF(A87&gt;30,10,('Scénario référence'!$B$16+'Scénario référence'!$B$17+'Scénario référence'!$B$18+'Scénario référence'!$B$9+'Scénario référence'!$B$10)*A87*10/30+('Scénario référence'!$F$8+'Scénario référence'!$F$9)*10)</f>
        <v>10</v>
      </c>
      <c r="CQ87" s="12" t="e">
        <f>VLOOKUP(A87,'Données projet'!$A$139:$I$159,2,0)</f>
        <v>#N/A</v>
      </c>
      <c r="CR87" s="12" t="e">
        <f>VLOOKUP(A87,'Données projet'!$A$139:$I$159,9,0)</f>
        <v>#N/A</v>
      </c>
      <c r="CS87" s="12">
        <f t="array" ref="CS87">INDEX(CR:CR,MIN(IF(ISNUMBER(CR87:CR283),ROW(CR87:CR283),"")))</f>
        <v>0</v>
      </c>
      <c r="CT87" s="12">
        <f>IF('Données projet'!$A$140&gt;35,CT86+CS87-DB86,IF(A87&lt;'Données projet'!$A$140,$CQ$205^A87,IF(A87='Données projet'!$A$140,'Données projet'!$B$140,CT86+CS87-DB86)))</f>
        <v>0</v>
      </c>
      <c r="CU87" s="17" t="e">
        <f>CT87*VLOOKUP('Données projet'!$B$13,Paramètres!$A$1:$I$89,3,0)*VLOOKUP('Données projet'!$B$13,Paramètres!$A$1:$I$89,5,0)</f>
        <v>#N/A</v>
      </c>
      <c r="CV87" s="13" t="e">
        <f t="shared" si="95"/>
        <v>#N/A</v>
      </c>
      <c r="CW87" s="20" t="e">
        <f t="shared" si="67"/>
        <v>#N/A</v>
      </c>
      <c r="CX87" s="59" t="e">
        <f t="shared" si="68"/>
        <v>#N/A</v>
      </c>
      <c r="CY87" s="59" t="e">
        <f ca="1">AVERAGE(OFFSET($CX$3,0,0,'Données projet'!$E$13+1,1))-AVERAGE(OFFSET($H$3,0,0,'Données projet'!$E$13+1,1))</f>
        <v>#N/A</v>
      </c>
      <c r="CZ87" s="59" t="e">
        <f t="shared" si="96"/>
        <v>#N/A</v>
      </c>
      <c r="DA87" s="15">
        <f>IF(ISNA(VLOOKUP(A87,'Données projet'!$A$139:$I$159,3,0)),0,VLOOKUP(A87,'Données projet'!$A$139:$I$159,3,0))</f>
        <v>0</v>
      </c>
      <c r="DB87" s="15">
        <f>IF(ISNA(VLOOKUP(A87,'Données projet'!$A$139:$I$159,4,0)),0,VLOOKUP(A87,'Données projet'!$A$139:$I$159,4,0))</f>
        <v>0</v>
      </c>
      <c r="DC87" s="16">
        <f>IF(ISNA(VLOOKUP(A87,'Données projet'!$A$139:$I$159,5,0)),0%,VLOOKUP(A87,'Données projet'!$A$139:$I$159,5,0)*VLOOKUP('Données projet'!$B$13,Paramètres!$A$1:$I$89,7,0))</f>
        <v>0</v>
      </c>
      <c r="DD87" s="16">
        <f>IF(ISNA(VLOOKUP(A87,'Données projet'!$A$139:$I$159,6,0)),0%,VLOOKUP(A87,'Données projet'!$A$139:$I$159,6,0)*VLOOKUP('Données projet'!$B$13,Paramètres!$A$1:$I$89,7,0))</f>
        <v>0</v>
      </c>
      <c r="DE87" s="16">
        <f>IF(ISNA(VLOOKUP(A87,'Données projet'!$A$139:$I$159,7,0)),0%,VLOOKUP(A87,'Données projet'!$A$139:$I$159,7,0))</f>
        <v>0</v>
      </c>
      <c r="DF87" s="21" t="e">
        <f>EXP(-LN(2)/35)*DF86+(1-EXP(-LN(2)/35))/(LN(2)/35)*DB87*DC87*VLOOKUP('Données projet'!$B$13,Paramètres!$A$1:$I$89,3,0)*0.475*44/12</f>
        <v>#N/A</v>
      </c>
      <c r="DG87" s="21" t="e">
        <f>EXP(-LN(2)/25)*DG86+(1-EXP(-LN(2)/25))/(LN(2)/25)*Calculateur!DB87*Calculateur!DD87*VLOOKUP('Données projet'!$B$13,Paramètres!$A$1:$I$89,3,0)*0.475*44/12</f>
        <v>#N/A</v>
      </c>
      <c r="DH87" s="21" t="e">
        <f>EXP(-LN(2)/2)*DH86+(1-EXP(-LN(2)/2))/(LN(2)/2)*DB87*DE87*VLOOKUP('Données projet'!$B$13,Paramètres!$A$1:$I$89,3,0)*0.475*44/12</f>
        <v>#N/A</v>
      </c>
      <c r="DI87" s="22" t="e">
        <f t="shared" si="69"/>
        <v>#N/A</v>
      </c>
      <c r="DJ87" s="75">
        <f>('Scénario référence'!$F$8+'Scénario référence'!$F$9+'Scénario référence'!$B$17+'Scénario référence'!$B$9+'Scénario référence'!$B$10)*70+IF((45+25*(1-EXP(-0.0175*A87)))&lt;70,'Scénario référence'!$B$16*(45+25*(1-EXP(-0.0175*A87))),70*'Scénario référence'!$B$16)+IF((32+38*(1-EXP(-0.0175*A87)))&lt;70,'Scénario référence'!$B$18*(32+38*(1-EXP(-0.0175*A87))),70*'Scénario référence'!$B$18)</f>
        <v>70</v>
      </c>
      <c r="DK87" s="12">
        <f>IF(A87&gt;30,10,('Scénario référence'!$B$16+'Scénario référence'!$B$17+'Scénario référence'!$B$18+'Scénario référence'!$B$9+'Scénario référence'!$B$10)*A87*10/30+('Scénario référence'!$F$8+'Scénario référence'!$F$9)*10)</f>
        <v>10</v>
      </c>
      <c r="DL87" s="12" t="e">
        <f>VLOOKUP(A87,'Données projet'!$A$165:$I$185,2,0)</f>
        <v>#N/A</v>
      </c>
      <c r="DM87" s="12" t="e">
        <f>VLOOKUP(A87,'Données projet'!$A$165:$I$185,9,0)</f>
        <v>#N/A</v>
      </c>
      <c r="DN87" s="12">
        <f t="array" ref="DN87">INDEX(DM:DM,MIN(IF(ISNUMBER(DM87:DM283),ROW(DM87:DM283),"")))</f>
        <v>4</v>
      </c>
      <c r="DO87" s="12">
        <f>IF('Données projet'!$A$166&gt;35,DO86+DN87-DW86,IF(A87&lt;'Données projet'!$A$166,$DL$205^A87,IF(A87='Données projet'!$A$166,'Données projet'!$B$166,DO86+DN87-DW86)))</f>
        <v>275.00000000000017</v>
      </c>
      <c r="DP87" s="17">
        <f>DO87*VLOOKUP('Données projet'!$B$14,Paramètres!$A$1:$I$89,3,0)*VLOOKUP('Données projet'!$B$14,Paramètres!$A$1:$I$89,5,0)</f>
        <v>180.18000000000012</v>
      </c>
      <c r="DQ87" s="13">
        <f t="shared" si="97"/>
        <v>45.362230520410726</v>
      </c>
      <c r="DR87" s="20">
        <f t="shared" si="70"/>
        <v>392.81938482304889</v>
      </c>
      <c r="DS87" s="59">
        <f t="shared" si="71"/>
        <v>686.15271815638221</v>
      </c>
      <c r="DT87" s="59">
        <f ca="1">AVERAGE(OFFSET($DS$3,0,0,'Données projet'!$E$14+1,1))-AVERAGE(OFFSET($H$3,0,0,'Données projet'!$E$14+1,1))</f>
        <v>188.68915783955595</v>
      </c>
      <c r="DU87" s="59">
        <f t="shared" si="98"/>
        <v>240.82467772396944</v>
      </c>
      <c r="DV87" s="15">
        <f>IF(ISNA(VLOOKUP(A87,'Données projet'!$A$165:$I$185,3,0)),0,VLOOKUP(A87,'Données projet'!$A$165:$I$185,3,0))</f>
        <v>0</v>
      </c>
      <c r="DW87" s="15">
        <f>IF(ISNA(VLOOKUP(A87,'Données projet'!$A$165:$I$185,4,0)),0,VLOOKUP(A87,'Données projet'!$A$165:$I$185,4,0))</f>
        <v>0</v>
      </c>
      <c r="DX87" s="16">
        <f>IF(ISNA(VLOOKUP(A87,'Données projet'!$A$165:$I$185,5,0)),0%,VLOOKUP(A87,'Données projet'!$A$165:$I$185,5,0)*VLOOKUP('Données projet'!$B$14,Paramètres!$A$1:$I$89,7,0))</f>
        <v>0</v>
      </c>
      <c r="DY87" s="16">
        <f>IF(ISNA(VLOOKUP(A87,'Données projet'!$A$165:$I$185,6,0)),0%,VLOOKUP(A87,'Données projet'!$A$165:$I$185,6,0)*VLOOKUP('Données projet'!$B$14,Paramètres!$A$1:$I$89,7,0))</f>
        <v>0</v>
      </c>
      <c r="DZ87" s="16">
        <f>IF(ISNA(VLOOKUP(A87,'Données projet'!$A$165:$I$185,7,0)),0%,VLOOKUP(A87,'Données projet'!$A$165:$I$185,7,0))</f>
        <v>0</v>
      </c>
      <c r="EA87" s="21">
        <f>EXP(-LN(2)/35)*EA86+(1-EXP(-LN(2)/35))/(LN(2)/35)*DW87*DX87*VLOOKUP('Données projet'!$B$14,Paramètres!$A$1:$I$89,3,0)*0.475*44/12</f>
        <v>0.53445750512454326</v>
      </c>
      <c r="EB87" s="21">
        <f>EXP(-LN(2)/25)*EB86+(1-EXP(-LN(2)/25))/(LN(2)/25)*Calculateur!DW87*Calculateur!DY87*VLOOKUP('Données projet'!$B$14,Paramètres!$A$1:$I$89,3,0)*0.475*44/12</f>
        <v>1.7985594232795765</v>
      </c>
      <c r="EC87" s="21">
        <f>EXP(-LN(2)/2)*EC86+(1-EXP(-LN(2)/2))/(LN(2)/2)*DW87*DZ87*VLOOKUP('Données projet'!$B$14,Paramètres!$A$1:$I$89,3,0)*0.475*44/12</f>
        <v>1.0428136576866423E-7</v>
      </c>
      <c r="ED87" s="22">
        <f t="shared" si="72"/>
        <v>2.3330170326854853</v>
      </c>
      <c r="EE87" s="75">
        <f>('Scénario référence'!$F$8+'Scénario référence'!$F$9+'Scénario référence'!$B$17+'Scénario référence'!$B$9+'Scénario référence'!$B$10)*70+IF((45+25*(1-EXP(-0.0175*A87)))&lt;70,'Scénario référence'!$B$16*(45+25*(1-EXP(-0.0175*A87))),70*'Scénario référence'!$B$16)+IF((32+38*(1-EXP(-0.0175*A87)))&lt;70,'Scénario référence'!$B$18*(32+38*(1-EXP(-0.0175*A87))),70*'Scénario référence'!$B$18)</f>
        <v>70</v>
      </c>
      <c r="EF87" s="12">
        <f>IF(A87&gt;30,10,('Scénario référence'!$B$16+'Scénario référence'!$B$17+'Scénario référence'!$B$18+'Scénario référence'!$B$9+'Scénario référence'!$B$10)*A87*10/30+('Scénario référence'!$F$8+'Scénario référence'!$F$9)*10)</f>
        <v>10</v>
      </c>
      <c r="EG87" s="12" t="e">
        <f>VLOOKUP(A87,'Données projet'!$A$191:$I$211,2,0)</f>
        <v>#N/A</v>
      </c>
      <c r="EH87" s="12" t="e">
        <f>VLOOKUP(A87,'Données projet'!$A$191:$I$211,9,0)</f>
        <v>#N/A</v>
      </c>
      <c r="EI87" s="12">
        <f t="array" ref="EI87">INDEX(EH:EH,MIN(IF(ISNUMBER(EH87:EH283),ROW(EH87:EH283),"")))</f>
        <v>4.7</v>
      </c>
      <c r="EJ87" s="12">
        <f>IF('Données projet'!$A$192&gt;35,EJ86+EI87-ER86,IF(A87&lt;'Données projet'!$A$192,$EG$205^A87,IF(A87='Données projet'!$A$192,'Données projet'!$B$192,EJ86+EI87-ER86)))</f>
        <v>278.79999999999978</v>
      </c>
      <c r="EK87" s="17">
        <f>EJ87*VLOOKUP('Données projet'!$B$15,Paramètres!$A$1:$I$89,3,0)*VLOOKUP('Données projet'!$B$15,Paramètres!$A$1:$I$89,5,0)</f>
        <v>226.16255999999984</v>
      </c>
      <c r="EL87" s="13">
        <f t="shared" si="99"/>
        <v>55.452126522419213</v>
      </c>
      <c r="EM87" s="20">
        <f t="shared" si="73"/>
        <v>490.47891235987981</v>
      </c>
      <c r="EN87" s="59">
        <f t="shared" si="74"/>
        <v>783.81224569321307</v>
      </c>
      <c r="EO87" s="59">
        <f ca="1">AVERAGE(OFFSET($EN$3,0,0,'Données projet'!$E$15+1,1))-AVERAGE(OFFSET($H$3,0,0,'Données projet'!$E$15+1,1))</f>
        <v>205.5272583787887</v>
      </c>
      <c r="EP87" s="59">
        <f t="shared" si="100"/>
        <v>180.54762778843178</v>
      </c>
      <c r="EQ87" s="15">
        <f>IF(ISNA(VLOOKUP(A87,'Données projet'!$A$191:$I$211,3,0)),0,VLOOKUP(A87,'Données projet'!$A$191:$I$211,3,0))</f>
        <v>0</v>
      </c>
      <c r="ER87" s="15">
        <f>IF(ISNA(VLOOKUP(A87,'Données projet'!$A$191:$I$211,4,0)),0,VLOOKUP(A87,'Données projet'!$A$191:$I$211,4,0))</f>
        <v>0</v>
      </c>
      <c r="ES87" s="16">
        <f>IF(ISNA(VLOOKUP(A87,'Données projet'!$A$191:$I$211,5,0)),0%,VLOOKUP(A87,'Données projet'!$A$191:$I$211,5,0)*VLOOKUP('Données projet'!$B$15,Paramètres!$A$1:$I$89,7,0))</f>
        <v>0</v>
      </c>
      <c r="ET87" s="16">
        <f>IF(ISNA(VLOOKUP(A87,'Données projet'!$A$191:$I$211,6,0)),0%,VLOOKUP(A87,'Données projet'!$A$191:$I$211,6,0)*VLOOKUP('Données projet'!$B$15,Paramètres!$A$1:$I$89,7,0))</f>
        <v>0</v>
      </c>
      <c r="EU87" s="16">
        <f>IF(ISNA(VLOOKUP(A87,'Données projet'!$A$191:$I$211,7,0)),0%,VLOOKUP(A87,'Données projet'!$A$191:$I$211,7,0))</f>
        <v>0</v>
      </c>
      <c r="EV87" s="21">
        <f>EXP(-LN(2)/35)*EV86+(1-EXP(-LN(2)/35))/(LN(2)/35)*ER87*ES87*VLOOKUP('Données projet'!$B$15,Paramètres!$A$1:$I$89,3,0)*0.475*44/12</f>
        <v>0.3440888318706582</v>
      </c>
      <c r="EW87" s="21">
        <f>EXP(-LN(2)/25)*EW86+(1-EXP(-LN(2)/25))/(LN(2)/25)*Calculateur!ER87*Calculateur!ET87*VLOOKUP('Données projet'!$B$15,Paramètres!$A$1:$I$89,3,0)*0.475*44/12</f>
        <v>1.2986144646433526</v>
      </c>
      <c r="EX87" s="21">
        <f>EXP(-LN(2)/2)*EX86+(1-EXP(-LN(2)/2))/(LN(2)/2)*ER87*EU87*VLOOKUP('Données projet'!$B$15,Paramètres!$A$1:$I$89,3,0)*0.475*44/12</f>
        <v>6.752226144358473E-8</v>
      </c>
      <c r="EY87" s="22">
        <f t="shared" si="75"/>
        <v>1.642703364036272</v>
      </c>
      <c r="EZ87" s="75">
        <f>('Scénario référence'!$F$8+'Scénario référence'!$F$9+'Scénario référence'!$B$17+'Scénario référence'!$B$9+'Scénario référence'!$B$10)*70+IF((45+25*(1-EXP(-0.0175*A87)))&lt;70,'Scénario référence'!$B$16*(45+25*(1-EXP(-0.0175*A87))),70*'Scénario référence'!$B$16)+IF((32+38*(1-EXP(-0.0175*A87)))&lt;70,'Scénario référence'!$B$18*(32+38*(1-EXP(-0.0175*A87))),70*'Scénario référence'!$B$18)</f>
        <v>70</v>
      </c>
      <c r="FA87" s="12">
        <f>IF(A87&gt;30,10,('Scénario référence'!$B$16+'Scénario référence'!$B$17+'Scénario référence'!$B$18+'Scénario référence'!$B$9+'Scénario référence'!$B$10)*A87*10/30+('Scénario référence'!$F$8+'Scénario référence'!$F$9)*10)</f>
        <v>10</v>
      </c>
      <c r="FB87" s="12" t="e">
        <f>VLOOKUP(A87,'Données projet'!$A$217:$I$237,2,0)</f>
        <v>#N/A</v>
      </c>
      <c r="FC87" s="12" t="e">
        <f>VLOOKUP(A87,'Données projet'!$A$217:$I$237,9,0)</f>
        <v>#N/A</v>
      </c>
      <c r="FD87" s="12">
        <f t="array" ref="FD87">INDEX(FC:FC,MIN(IF(ISNUMBER(FC87:FC283),ROW(FC87:FC283),"")))</f>
        <v>10.9</v>
      </c>
      <c r="FE87" s="12">
        <f>IF('Données projet'!$A$218&gt;35,FE86+FD87-FM86,IF(A87&lt;'Données projet'!$A$218,$FB$205^A87,IF(A87='Données projet'!$A$218,'Données projet'!$B$218,FE86+FD87-FM86)))</f>
        <v>355.60000000000008</v>
      </c>
      <c r="FF87" s="17">
        <f>FE87*VLOOKUP('Données projet'!$B$16,Paramètres!$A$1:$I$89,3,0)*VLOOKUP('Données projet'!$B$16,Paramètres!$A$1:$I$89,5,0)</f>
        <v>305.10480000000013</v>
      </c>
      <c r="FG87" s="13">
        <f t="shared" si="101"/>
        <v>72.245572469441441</v>
      </c>
      <c r="FH87" s="20">
        <f t="shared" si="76"/>
        <v>657.21856538427744</v>
      </c>
      <c r="FI87" s="59">
        <f t="shared" si="77"/>
        <v>950.55189871761081</v>
      </c>
      <c r="FJ87" s="59">
        <f ca="1">AVERAGE(OFFSET($FI$3,0,0,'Données projet'!$E$16+1,1))-AVERAGE(OFFSET($H$3,0,0,'Données projet'!$E$16+1,1))</f>
        <v>383.97627237444709</v>
      </c>
      <c r="FK87" s="59">
        <f t="shared" si="102"/>
        <v>203.35476578922339</v>
      </c>
      <c r="FL87" s="15">
        <f>IF(ISNA(VLOOKUP(A87,'Données projet'!$A$217:$I$237,3,0)),0,VLOOKUP(A87,'Données projet'!$A$217:$I$237,3,0))</f>
        <v>0</v>
      </c>
      <c r="FM87" s="15">
        <f>IF(ISNA(VLOOKUP(A87,'Données projet'!$A$217:$I$237,4,0)),0,VLOOKUP(A87,'Données projet'!$A$217:$I$237,4,0))</f>
        <v>0</v>
      </c>
      <c r="FN87" s="16">
        <f>IF(ISNA(VLOOKUP(A87,'Données projet'!$A$217:$I$237,5,0)),0%,VLOOKUP(A87,'Données projet'!$A$217:$I$237,5,0)*VLOOKUP('Données projet'!$B$16,Paramètres!$A$1:$I$89,7,0))</f>
        <v>0</v>
      </c>
      <c r="FO87" s="16">
        <f>IF(ISNA(VLOOKUP(A87,'Données projet'!$A$217:$I$237,6,0)),0%,VLOOKUP(A87,'Données projet'!$A$217:$I$237,6,0)*VLOOKUP('Données projet'!$B$16,Paramètres!$A$1:$I$89,7,0))</f>
        <v>0</v>
      </c>
      <c r="FP87" s="16">
        <f>IF(ISNA(VLOOKUP(A87,'Données projet'!$A$217:$I$237,7,0)),0%,VLOOKUP(A87,'Données projet'!$A$217:$I$237,7,0))</f>
        <v>0</v>
      </c>
      <c r="FQ87" s="21">
        <f>EXP(-LN(2)/35)*FQ86+(1-EXP(-LN(2)/35))/(LN(2)/35)*FM87*FN87*VLOOKUP('Données projet'!$B$16,Paramètres!$A$1:$I$89,3,0)*0.475*44/12</f>
        <v>1.7684299204030975</v>
      </c>
      <c r="FR87" s="21">
        <f>EXP(-LN(2)/25)*FR86+(1-EXP(-LN(2)/25))/(LN(2)/25)*Calculateur!FM87*Calculateur!FO87*VLOOKUP('Données projet'!$B$16,Paramètres!$A$1:$I$89,3,0)*0.475*44/12</f>
        <v>1.3182279061742357</v>
      </c>
      <c r="FS87" s="21">
        <f>EXP(-LN(2)/2)*FS86+(1-EXP(-LN(2)/2))/(LN(2)/2)*FM87*FP87*VLOOKUP('Données projet'!$B$16,Paramètres!$A$1:$I$89,3,0)*0.475*44/12</f>
        <v>1.240245366974912E-7</v>
      </c>
      <c r="FT87" s="22">
        <f t="shared" si="78"/>
        <v>3.0866579506018703</v>
      </c>
      <c r="FU87" s="75">
        <f>('Scénario référence'!$F$8+'Scénario référence'!$F$9+'Scénario référence'!$B$17+'Scénario référence'!$B$9+'Scénario référence'!$B$10)*70+IF((45+25*(1-EXP(-0.0175*A87)))&lt;70,'Scénario référence'!$B$16*(45+25*(1-EXP(-0.0175*A87))),70*'Scénario référence'!$B$16)+IF((32+38*(1-EXP(-0.0175*A87)))&lt;70,'Scénario référence'!$B$18*(32+38*(1-EXP(-0.0175*A87))),70*'Scénario référence'!$B$18)</f>
        <v>70</v>
      </c>
      <c r="FV87" s="12">
        <f>IF(A87&gt;30,10,('Scénario référence'!$B$16+'Scénario référence'!$B$17+'Scénario référence'!$B$18+'Scénario référence'!$B$9+'Scénario référence'!$B$10)*A87*10/30+('Scénario référence'!$F$8+'Scénario référence'!$F$9)*10)</f>
        <v>10</v>
      </c>
      <c r="FW87" s="12" t="e">
        <f>VLOOKUP(A87,'Données projet'!$A$243:$I$263,2,0)</f>
        <v>#N/A</v>
      </c>
      <c r="FX87" s="12" t="e">
        <f>VLOOKUP(A87,'Données projet'!$A$243:$I$263,9,0)</f>
        <v>#N/A</v>
      </c>
      <c r="FY87" s="12">
        <f t="array" ref="FY87">INDEX(FX:FX,MIN(IF(ISNUMBER(FX87:FX283),ROW(FX87:FX283),"")))</f>
        <v>7.4950142450142483</v>
      </c>
      <c r="FZ87" s="12">
        <f>IF('Données projet'!$A$244&gt;35,FZ86+FY87-GH86,IF(A87&lt;'Données projet'!$A$244,$FW$205^A87,IF(A87='Données projet'!$A$244,'Données projet'!$B$244,FZ86+FY87-GH86)))</f>
        <v>258.38390313390317</v>
      </c>
      <c r="GA87" s="17">
        <f>FZ87*VLOOKUP('Données projet'!$B$17,Paramètres!$A$1:$I$89,3,0)*VLOOKUP('Données projet'!$B$17,Paramètres!$A$1:$I$89,5,0)</f>
        <v>278.1244333333334</v>
      </c>
      <c r="GB87" s="13">
        <f t="shared" si="103"/>
        <v>66.570492820364919</v>
      </c>
      <c r="GC87" s="20">
        <f t="shared" si="79"/>
        <v>600.34366305102446</v>
      </c>
      <c r="GD87" s="59">
        <f t="shared" si="80"/>
        <v>893.67699638435784</v>
      </c>
      <c r="GE87" s="59">
        <f ca="1">AVERAGE(OFFSET($GD$3,0,0,'Données projet'!$E$17+1,1))-AVERAGE(OFFSET($H$3,0,0,'Données projet'!$E$17+1,1))</f>
        <v>286.77702855541287</v>
      </c>
      <c r="GF87" s="59">
        <f t="shared" si="104"/>
        <v>227.12211541860779</v>
      </c>
      <c r="GG87" s="15">
        <f>IF(ISNA(VLOOKUP(A87,'Données projet'!$A$243:$I$263,3,0)),0,VLOOKUP(A87,'Données projet'!$A$243:$I$263,3,0))</f>
        <v>0</v>
      </c>
      <c r="GH87" s="15">
        <f>IF(ISNA(VLOOKUP(A87,'Données projet'!$A$243:$I$263,4,0)),0,VLOOKUP(A87,'Données projet'!$A$243:$I$263,4,0))</f>
        <v>0</v>
      </c>
      <c r="GI87" s="16">
        <f>IF(ISNA(VLOOKUP(A87,'Données projet'!$A$243:$I$263,5,0)),0%,VLOOKUP(A87,'Données projet'!$A$243:$I$263,5,0)*VLOOKUP('Données projet'!$B$17,Paramètres!$A$1:$I$89,7,0))</f>
        <v>0</v>
      </c>
      <c r="GJ87" s="16">
        <f>IF(ISNA(VLOOKUP(A87,'Données projet'!$A$243:$I$263,6,0)),0%,VLOOKUP(A87,'Données projet'!$A$243:$I$263,6,0)*VLOOKUP('Données projet'!$B$17,Paramètres!$A$1:$I$89,7,0))</f>
        <v>0</v>
      </c>
      <c r="GK87" s="16">
        <f>IF(ISNA(VLOOKUP(A87,'Données projet'!$A$243:$I$263,7,0)),0%,VLOOKUP(A87,'Données projet'!$A$243:$I$263,7,0))</f>
        <v>0</v>
      </c>
      <c r="GL87" s="21">
        <f>EXP(-LN(2)/35)*GL86+(1-EXP(-LN(2)/35))/(LN(2)/35)*GH87*GI87*VLOOKUP('Données projet'!$B$17,Paramètres!$A$1:$I$89,3,0)*0.475*44/12</f>
        <v>0</v>
      </c>
      <c r="GM87" s="21">
        <f>EXP(-LN(2)/25)*GM86+(1-EXP(-LN(2)/25))/(LN(2)/25)*Calculateur!GH87*Calculateur!GJ87*VLOOKUP('Données projet'!$B$17,Paramètres!$A$1:$I$89,3,0)*0.475*44/12</f>
        <v>0</v>
      </c>
      <c r="GN87" s="21">
        <f>EXP(-LN(2)/2)*GN86+(1-EXP(-LN(2)/2))/(LN(2)/2)*GH87*GK87*VLOOKUP('Données projet'!$B$17,Paramètres!$A$1:$I$89,3,0)*0.475*44/12</f>
        <v>0</v>
      </c>
      <c r="GO87" s="21">
        <f t="shared" si="81"/>
        <v>0</v>
      </c>
      <c r="GP87" s="75">
        <f>('Scénario référence'!$F$8+'Scénario référence'!$F$9+'Scénario référence'!$B$17+'Scénario référence'!$B$9+'Scénario référence'!$B$10)*70+IF((45+25*(1-EXP(-0.0175*A87)))&lt;70,'Scénario référence'!$B$16*(45+25*(1-EXP(-0.0175*A87))),70*'Scénario référence'!$B$16)+IF((32+38*(1-EXP(-0.0175*A87)))&lt;70,'Scénario référence'!$B$18*(32+38*(1-EXP(-0.0175*A87))),70*'Scénario référence'!$B$18)</f>
        <v>70</v>
      </c>
      <c r="GQ87" s="12">
        <f>IF(A87&gt;30,10,('Scénario référence'!$B$16+'Scénario référence'!$B$17+'Scénario référence'!$B$18+'Scénario référence'!$B$9+'Scénario référence'!$B$10)*A87*10/30+('Scénario référence'!$F$8+'Scénario référence'!$F$9)*10)</f>
        <v>10</v>
      </c>
      <c r="GR87" s="12" t="e">
        <f>VLOOKUP(A87,'Données projet'!$A$269:$I$289,2,0)</f>
        <v>#N/A</v>
      </c>
      <c r="GS87" s="12" t="e">
        <f>VLOOKUP(A87,'Données projet'!$A$269:$I$289,9,0)</f>
        <v>#N/A</v>
      </c>
      <c r="GT87" s="12">
        <f t="array" ref="GT87">INDEX(GS:GS,MIN(IF(ISNUMBER(GS87:GS283),ROW(GS87:GS283),"")))</f>
        <v>7.4950142450142483</v>
      </c>
      <c r="GU87" s="12">
        <f>IF('Données projet'!$A$270&gt;35,GU86+GT87-HC86,IF(A87&lt;'Données projet'!$A$270,$GR$205^A87,IF(A87='Données projet'!$A$270,'Données projet'!$B$270,GU86+GT87-HC86)))</f>
        <v>258.38390313390317</v>
      </c>
      <c r="GV87" s="17">
        <f>GU87*VLOOKUP('Données projet'!$B$18,Paramètres!$A$1:$I$89,3,0)*VLOOKUP('Données projet'!$B$18,Paramètres!$A$1:$I$89,5,0)</f>
        <v>278.1244333333334</v>
      </c>
      <c r="GW87" s="13">
        <f t="shared" si="105"/>
        <v>66.570492820364919</v>
      </c>
      <c r="GX87" s="20">
        <f t="shared" si="82"/>
        <v>600.34366305102446</v>
      </c>
      <c r="GY87" s="59">
        <f t="shared" si="83"/>
        <v>893.67699638435784</v>
      </c>
      <c r="GZ87" s="59">
        <f ca="1">AVERAGE(OFFSET($GY$3,0,0,'Données projet'!$E$18+1,1))-AVERAGE(OFFSET($H$3,0,0,'Données projet'!$E$18+1,1))</f>
        <v>286.77702855541287</v>
      </c>
      <c r="HA87" s="59">
        <f t="shared" si="106"/>
        <v>227.12211541860779</v>
      </c>
      <c r="HB87" s="15">
        <f>IF(ISNA(VLOOKUP(A87,'Données projet'!$A$269:$I$289,3,0)),0,VLOOKUP(A87,'Données projet'!$A$269:$I$289,3,0))</f>
        <v>0</v>
      </c>
      <c r="HC87" s="15">
        <f>IF(ISNA(VLOOKUP(A87,'Données projet'!$A$269:$I$289,4,0)),0,VLOOKUP(A87,'Données projet'!$A$269:$I$289,4,0))</f>
        <v>0</v>
      </c>
      <c r="HD87" s="16">
        <f>IF(ISNA(VLOOKUP(A87,'Données projet'!$A$269:$I$289,5,0)),0%,VLOOKUP(A87,'Données projet'!$A$269:$I$289,5,0)*VLOOKUP('Données projet'!$B$18,Paramètres!$A$1:$I$89,7,0))</f>
        <v>0</v>
      </c>
      <c r="HE87" s="16">
        <f>IF(ISNA(VLOOKUP(A87,'Données projet'!$A$269:$I$289,6,0)),0%,VLOOKUP(A87,'Données projet'!$A$269:$I$289,6,0)*VLOOKUP('Données projet'!$B$18,Paramètres!$A$1:$I$89,7,0))</f>
        <v>0</v>
      </c>
      <c r="HF87" s="16">
        <f>IF(ISNA(VLOOKUP(A87,'Données projet'!$A$269:$I$289,7,0)),0%,VLOOKUP(A87,'Données projet'!$A$269:$I$289,7,0))</f>
        <v>0</v>
      </c>
      <c r="HG87" s="21">
        <f>EXP(-LN(2)/35)*HG86+(1-EXP(-LN(2)/35))/(LN(2)/35)*HC87*HD87*VLOOKUP('Données projet'!$B$18,Paramètres!$A$1:$I$89,3,0)*0.475*44/12</f>
        <v>0</v>
      </c>
      <c r="HH87" s="21">
        <f>EXP(-LN(2)/25)*HH86+(1-EXP(-LN(2)/25))/(LN(2)/25)*Calculateur!HC87*Calculateur!HE87*VLOOKUP('Données projet'!$B$18,Paramètres!$A$1:$I$89,3,0)*0.475*44/12</f>
        <v>0</v>
      </c>
      <c r="HI87" s="21">
        <f>EXP(-LN(2)/2)*HI86+(1-EXP(-LN(2)/2))/(LN(2)/2)*HC87*HF87*VLOOKUP('Données projet'!$B$18,Paramètres!$A$1:$I$89,3,0)*0.475*44/12</f>
        <v>0</v>
      </c>
      <c r="HJ87" s="22">
        <f t="shared" si="84"/>
        <v>0</v>
      </c>
    </row>
    <row r="88" spans="1:218" x14ac:dyDescent="0.25">
      <c r="A88" s="10">
        <f t="shared" si="85"/>
        <v>85</v>
      </c>
      <c r="B88" s="73">
        <f>'Scénario référence'!$B$16*5+'Scénario référence'!$B$17*0+'Scénario référence'!$B$18*5</f>
        <v>0</v>
      </c>
      <c r="C88" s="19">
        <f>Calculateur!C87+'Scénario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75.582000000000107</v>
      </c>
      <c r="D88" s="11">
        <f t="shared" si="86"/>
        <v>21.053414706764155</v>
      </c>
      <c r="E8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88" s="11">
        <f>IF(OR('Scénario référence'!$F$8&gt;0,'Scénario référence'!$F$9&gt;0),('Scénario référence'!$F$8+'Scénario référence'!$F$9)*10,0)</f>
        <v>10</v>
      </c>
      <c r="G88" s="11">
        <f>'Scénario référence'!$B$8*B88*44/12+'Scénario référence'!$B$9*(C88+D88)/0.475*44/12+'Scénario référence'!$B$10*(C88+D88)/0.475*44/12+'Scénario référence'!$F$8*(C88+D88)/0.475*44/12+'Scénario référence'!$F$9*(C88+D88)/0.475*44/12</f>
        <v>745.95758721011009</v>
      </c>
      <c r="H88" s="67">
        <f t="shared" si="56"/>
        <v>461.64001394761442</v>
      </c>
      <c r="I88" s="70">
        <f>('Scénario référence'!$F$8+'Scénario référence'!$F$9+'Scénario référence'!$B$17+'Scénario référence'!$B$9+'Scénario référence'!$B$10)*70+IF((45+25*(1-EXP(-0.0175*A88)))&lt;70,'Scénario référence'!$B$16*(45+25*(1-EXP(-0.0175*A88))),70*'Scénario référence'!$B$16)+IF((32+38*(1-EXP(-0.0175*A88)))&lt;70,'Scénario référence'!$B$18*(32+38*(1-EXP(-0.0175*A88))),70*'Scénario référence'!$B$18)</f>
        <v>70</v>
      </c>
      <c r="J88" s="13">
        <f>IF(A88&gt;30,10,('Scénario référence'!$B$16+'Scénario référence'!$B$17+'Scénario référence'!$B$18+'Scénario référence'!$B$9+'Scénario référence'!$B$10)*A88*10/30+('Scénario référence'!$F$8+'Scénario référence'!$F$9)*10)</f>
        <v>10</v>
      </c>
      <c r="K88" s="12" t="e">
        <f>VLOOKUP(A88,'Données projet'!$A$35:$I$55,2,0)</f>
        <v>#N/A</v>
      </c>
      <c r="L88" s="12" t="e">
        <f>VLOOKUP(A88,'Données projet'!$A$35:$I$55,9,0)</f>
        <v>#N/A</v>
      </c>
      <c r="M88" s="12">
        <f t="array" ref="M88">INDEX(L:L,MIN(IF(ISNUMBER(L88:L284),ROW(L88:L284),"")))</f>
        <v>0</v>
      </c>
      <c r="N88" s="13">
        <f>IF('Données projet'!$A$36&gt;35,N87+M88-V87,IF(A88&lt;'Données projet'!$A$36,$K$205^A88,IF(A88='Données projet'!$A$36,'Données projet'!$B$36,N87+M88-V87)))</f>
        <v>-2.2737367544323206E-13</v>
      </c>
      <c r="O88" s="13">
        <f>N88*VLOOKUP('Données projet'!$B$9,Paramètres!$A$1:$I$89,3,0)*VLOOKUP('Données projet'!$B$9,Paramètres!$A$1:$I$89,5,0)</f>
        <v>-1.2710188457276673E-13</v>
      </c>
      <c r="P88" s="13" t="e">
        <f t="shared" si="87"/>
        <v>#NUM!</v>
      </c>
      <c r="Q88" s="20" t="e">
        <f t="shared" si="54"/>
        <v>#NUM!</v>
      </c>
      <c r="R88" s="59" t="e">
        <f t="shared" si="55"/>
        <v>#NUM!</v>
      </c>
      <c r="S88" s="59">
        <f ca="1">AVERAGE(OFFSET($R$3,0,0,'Données projet'!$E$9+1,1))-AVERAGE(OFFSET($H$3,0,0,'Données projet'!$E$9+1,1))</f>
        <v>255.5374979188561</v>
      </c>
      <c r="T88" s="59">
        <f t="shared" si="88"/>
        <v>343.10418468620901</v>
      </c>
      <c r="U88" s="15">
        <f>IF(ISNA(VLOOKUP(A88,'Données projet'!$A$35:$I$55,3,0)),0,VLOOKUP(A88,'Données projet'!$A$35:$I$55,3,0))</f>
        <v>0</v>
      </c>
      <c r="V88" s="15">
        <f>IF(ISNA(VLOOKUP(A88,'Données projet'!$A$35:$I$55,4,0)),0,VLOOKUP(A88,'Données projet'!$A$35:$I$55,4,0))</f>
        <v>0</v>
      </c>
      <c r="W88" s="16">
        <f>IF(ISNA(VLOOKUP(A88,'Données projet'!$A$35:$I$55,5,0)),0%,VLOOKUP(A88,'Données projet'!$A$35:$I$55,5,0)*VLOOKUP('Données projet'!$B$9,Paramètres!$A$1:$I$89,7,0))</f>
        <v>0</v>
      </c>
      <c r="X88" s="16">
        <f>IF(ISNA(VLOOKUP(A88,'Données projet'!$A$35:$I$55,6,0)),0%,VLOOKUP(A88,'Données projet'!$A$35:$I$55,6,0)*VLOOKUP('Données projet'!$B$9,Paramètres!$A$1:$I$89,7,0))</f>
        <v>0</v>
      </c>
      <c r="Y88" s="16">
        <f>IF(ISNA(VLOOKUP(A88,'Données projet'!$A$35:$I$55,7,0)),0%,VLOOKUP(A88,'Données projet'!$A$35:$I$55,7,0))</f>
        <v>0</v>
      </c>
      <c r="Z88" s="21">
        <f>EXP(-LN(2)/35)*Z87+(1-EXP(-LN(2)/35))/(LN(2)/35)*V88*W88*VLOOKUP('Données projet'!$B$9,Paramètres!$A$1:$I$89,3,0)*0.475*44/12</f>
        <v>1.0397216426548579</v>
      </c>
      <c r="AA88" s="21">
        <f>EXP(-LN(2)/25)*AA87+(1-EXP(-LN(2)/25))/(LN(2)/25)*Calculateur!V88*Calculateur!X88*VLOOKUP('Données projet'!$B$9,Paramètres!$A$1:$I$89,3,0)*0.475*44/12</f>
        <v>3.4735531440517335</v>
      </c>
      <c r="AB88" s="21">
        <f>EXP(-LN(2)/2)*AB87+(1-EXP(-LN(2)/2))/(LN(2)/2)*V88*Y88*VLOOKUP('Données projet'!$B$9,Paramètres!$A$1:$I$89,3,0)*0.475*44/12</f>
        <v>8.9174938468000361E-9</v>
      </c>
      <c r="AC88" s="22">
        <f t="shared" si="57"/>
        <v>4.5132747956240848</v>
      </c>
      <c r="AD88" s="13">
        <f>('Scénario référence'!$F$8+'Scénario référence'!$F$9+'Scénario référence'!$B$17+'Scénario référence'!$B$9+'Scénario référence'!$B$10)*70+IF((45+25*(1-EXP(-0.0175*A88)))&lt;70,'Scénario référence'!$B$16*(45+25*(1-EXP(-0.0175*A88))),70*'Scénario référence'!$B$16)+IF((32+38*(1-EXP(-0.0175*A88)))&lt;70,'Scénario référence'!$B$18*(32+38*(1-EXP(-0.0175*A88))),70*'Scénario référence'!$B$18)</f>
        <v>70</v>
      </c>
      <c r="AE88" s="13">
        <f>IF(A88&gt;30,10,('Scénario référence'!$B$16+'Scénario référence'!$B$17+'Scénario référence'!$B$18+'Scénario référence'!$B$9+'Scénario référence'!$B$10)*A88*10/30+('Scénario référence'!$F$8+'Scénario référence'!$F$9)*10)</f>
        <v>10</v>
      </c>
      <c r="AF88" s="12" t="e">
        <f>VLOOKUP(A88,'Données projet'!$A$61:$I$81,2,0)</f>
        <v>#N/A</v>
      </c>
      <c r="AG88" s="12" t="e">
        <f>VLOOKUP(A88,'Données projet'!$A$61:$I$81,9,0)</f>
        <v>#N/A</v>
      </c>
      <c r="AH88" s="12">
        <f t="array" ref="AH88">INDEX(AG:AG,MIN(IF(ISNUMBER(AG88:AG284),ROW(AG88:AG284),"")))</f>
        <v>0</v>
      </c>
      <c r="AI88" s="13">
        <f>IF('Données projet'!$A$62&gt;35,AI87+AH88-AQ87,IF(A88&lt;'Données projet'!$A$62,$AF$205^A88,IF(A88='Données projet'!$A$62,'Données projet'!$B$62,AI87+AH88-AQ87)))</f>
        <v>0</v>
      </c>
      <c r="AJ88" s="13">
        <f>AI88*VLOOKUP('Données projet'!$B$10,Paramètres!$A$1:$I$89,3,0)*VLOOKUP('Données projet'!$B$10,Paramètres!$A$1:$I$89,5,0)</f>
        <v>0</v>
      </c>
      <c r="AK88" s="13" t="e">
        <f t="shared" si="89"/>
        <v>#NUM!</v>
      </c>
      <c r="AL88" s="20" t="e">
        <f t="shared" si="58"/>
        <v>#NUM!</v>
      </c>
      <c r="AM88" s="59" t="e">
        <f t="shared" si="59"/>
        <v>#NUM!</v>
      </c>
      <c r="AN88" s="59">
        <f ca="1">AVERAGE(OFFSET($AM$3,0,0,'Données projet'!$E$10+1,1))-AVERAGE(OFFSET($H$3,0,0,'Données projet'!$E$10+1,1))</f>
        <v>261.78489480911571</v>
      </c>
      <c r="AO88" s="59">
        <f t="shared" si="90"/>
        <v>297.50513563712764</v>
      </c>
      <c r="AP88" s="15">
        <f>IF(ISNA(VLOOKUP(A88,'Données projet'!$A$61:$I$81,3,0)),0,VLOOKUP(A88,'Données projet'!$A$61:$I$81,3,0))</f>
        <v>0</v>
      </c>
      <c r="AQ88" s="15">
        <f>IF(ISNA(VLOOKUP(A88,'Données projet'!$A$61:$I$81,4,0)),0,VLOOKUP(A88,'Données projet'!$A$61:$I$81,4,0))</f>
        <v>0</v>
      </c>
      <c r="AR88" s="16">
        <f>IF(ISNA(VLOOKUP(A88,'Données projet'!$A$61:$I$81,5,0)),0%,VLOOKUP(A88,'Données projet'!$A$61:$I$81,5,0)*VLOOKUP('Données projet'!$B$10,Paramètres!$A$1:$I$89,7,0))</f>
        <v>0</v>
      </c>
      <c r="AS88" s="16">
        <f>IF(ISNA(VLOOKUP(A88,'Données projet'!$A$61:$I$81,6,0)),0%,VLOOKUP(A88,'Données projet'!$A$61:$I$81,6,0)*VLOOKUP('Données projet'!$B$10,Paramètres!$A$1:$I$89,7,0))</f>
        <v>0</v>
      </c>
      <c r="AT88" s="16">
        <f>IF(ISNA(VLOOKUP(A88,'Données projet'!$A$61:$I$81,7,0)),0%,VLOOKUP(A88,'Données projet'!$A$61:$I$81,7,0))</f>
        <v>0</v>
      </c>
      <c r="AU88" s="21">
        <f>EXP(-LN(2)/35)*AU87+(1-EXP(-LN(2)/35))/(LN(2)/35)*AQ88*AR88*VLOOKUP('Données projet'!$B$10,Paramètres!$A$1:$I$89,3,0)*0.475*44/12</f>
        <v>2.8075425190242034</v>
      </c>
      <c r="AV88" s="21">
        <f>EXP(-LN(2)/25)*AV87+(1-EXP(-LN(2)/25))/(LN(2)/25)*Calculateur!AQ88*Calculateur!AS88*VLOOKUP('Données projet'!$B$10,Paramètres!$A$1:$I$89,3,0)*0.475*44/12</f>
        <v>6.065532258451646</v>
      </c>
      <c r="AW88" s="21">
        <f>EXP(-LN(2)/2)*AW87+(1-EXP(-LN(2)/2))/(LN(2)/2)*AQ88*AT88*VLOOKUP('Données projet'!$B$10,Paramètres!$A$1:$I$89,3,0)*0.475*44/12</f>
        <v>1.2855416329159939E-7</v>
      </c>
      <c r="AX88" s="21">
        <f t="shared" si="60"/>
        <v>8.8730749060300127</v>
      </c>
      <c r="AY88" s="74">
        <f>('Scénario référence'!$F$8+'Scénario référence'!$F$9+'Scénario référence'!$B$17+'Scénario référence'!$B$9+'Scénario référence'!$B$10)*70+IF((45+25*(1-EXP(-0.0175*A88)))&lt;70,'Scénario référence'!$B$16*(45+25*(1-EXP(-0.0175*A88))),70*'Scénario référence'!$B$16)+IF((32+38*(1-EXP(-0.0175*A88)))&lt;70,'Scénario référence'!$B$18*(32+38*(1-EXP(-0.0175*A88))),70*'Scénario référence'!$B$18)</f>
        <v>70</v>
      </c>
      <c r="AZ88" s="12">
        <f>IF(A88&gt;30,10,('Scénario référence'!$B$16+'Scénario référence'!$B$17+'Scénario référence'!$B$18+'Scénario référence'!$B$9+'Scénario référence'!$B$10)*A88*10/30+('Scénario référence'!$F$8+'Scénario référence'!$F$9)*10)</f>
        <v>10</v>
      </c>
      <c r="BA88" s="12" t="e">
        <f>VLOOKUP(A88,'Données projet'!$A$87:$I$107,2,0)</f>
        <v>#N/A</v>
      </c>
      <c r="BB88" s="12" t="e">
        <f>VLOOKUP(A88,'Données projet'!$A$87:$I$107,9,0)</f>
        <v>#N/A</v>
      </c>
      <c r="BC88" s="12">
        <f t="array" ref="BC88">INDEX(BB:BB,MIN(IF(ISNUMBER(BB88:BB284),ROW(BB88:BB284),"")))</f>
        <v>12.5</v>
      </c>
      <c r="BD88" s="12">
        <f>IF('Données projet'!$A$88&gt;35,BD87+BC88-BL87,IF(A88&lt;'Données projet'!$A$88,$BA$205^A88,IF(A88='Données projet'!$A$88,'Données projet'!$B$88,BD87+BC88-BL87)))</f>
        <v>574.49999999999955</v>
      </c>
      <c r="BE88" s="13">
        <f>BD88*VLOOKUP('Données projet'!$B$11,Paramètres!$A$1:$I$89,3,0)*VLOOKUP('Données projet'!$B$11,Paramètres!$A$1:$I$89,5,0)</f>
        <v>343.55099999999976</v>
      </c>
      <c r="BF88" s="13">
        <f t="shared" si="91"/>
        <v>80.233161275191421</v>
      </c>
      <c r="BG88" s="20">
        <f t="shared" si="61"/>
        <v>738.09074755429128</v>
      </c>
      <c r="BH88" s="59">
        <f t="shared" si="62"/>
        <v>1031.4240808876245</v>
      </c>
      <c r="BI88" s="59">
        <f ca="1">AVERAGE(OFFSET($BH$3,0,0,'Données projet'!$E$11+1,1))-AVERAGE(OFFSET($H$3,0,0,'Données projet'!$E$11+1,1))</f>
        <v>316.58509520829671</v>
      </c>
      <c r="BJ88" s="59">
        <f t="shared" si="92"/>
        <v>240.71332110643596</v>
      </c>
      <c r="BK88" s="15">
        <f>IF(ISNA(VLOOKUP(A88,'Données projet'!$A$87:$I$107,3,0)),0,VLOOKUP(A88,'Données projet'!$A$87:$I$107,3,0))</f>
        <v>0</v>
      </c>
      <c r="BL88" s="15">
        <f>IF(ISNA(VLOOKUP(A88,'Données projet'!$A$87:$I$107,4,0)),0,VLOOKUP(A88,'Données projet'!$A$87:$I$107,4,0))</f>
        <v>0</v>
      </c>
      <c r="BM88" s="16">
        <f>IF(ISNA(VLOOKUP(A88,'Données projet'!$A$87:$I$107,5,0)),0%,VLOOKUP(A88,'Données projet'!$A$87:$I$107,5,0)*VLOOKUP('Données projet'!$B$11,Paramètres!$A$1:$I$89,7,0))</f>
        <v>0</v>
      </c>
      <c r="BN88" s="16">
        <f>IF(ISNA(VLOOKUP(A88,'Données projet'!$A$87:$I$107,6,0)),0%,VLOOKUP(A88,'Données projet'!$A$87:$I$107,6,0)*VLOOKUP('Données projet'!$B$11,Paramètres!$A$1:$I$89,7,0))</f>
        <v>0</v>
      </c>
      <c r="BO88" s="16">
        <f>IF(ISNA(VLOOKUP(A88,'Données projet'!$A$87:$I$107,7,0)),0%,VLOOKUP(A88,'Données projet'!$A$87:$I$107,7,0))</f>
        <v>0</v>
      </c>
      <c r="BP88" s="21">
        <f>EXP(-LN(2)/35)*BP87+(1-EXP(-LN(2)/35))/(LN(2)/35)*BL88*BM88*VLOOKUP('Données projet'!$B$11,Paramètres!$A$1:$I$89,3,0)*0.475*44/12</f>
        <v>0.85281192960686836</v>
      </c>
      <c r="BQ88" s="21">
        <f>EXP(-LN(2)/25)*BQ87+(1-EXP(-LN(2)/25))/(LN(2)/25)*Calculateur!BL88*Calculateur!BN88*VLOOKUP('Données projet'!$B$11,Paramètres!$A$1:$I$89,3,0)*0.475*44/12</f>
        <v>3.3228755517445991</v>
      </c>
      <c r="BR88" s="21">
        <f>EXP(-LN(2)/2)*BR87+(1-EXP(-LN(2)/2))/(LN(2)/2)*BL88*BO88*VLOOKUP('Données projet'!$B$11,Paramètres!$A$1:$I$89,3,0)*0.475*44/12</f>
        <v>1.1558427110072005E-7</v>
      </c>
      <c r="BS88" s="22">
        <f t="shared" si="63"/>
        <v>4.1756875969357381</v>
      </c>
      <c r="BT88" s="75">
        <f>('Scénario référence'!$F$8+'Scénario référence'!$F$9+'Scénario référence'!$B$17+'Scénario référence'!$B$9+'Scénario référence'!$B$10)*70+IF((45+25*(1-EXP(-0.0175*A88)))&lt;70,'Scénario référence'!$B$16*(45+25*(1-EXP(-0.0175*A88))),70*'Scénario référence'!$B$16)+IF((32+38*(1-EXP(-0.0175*A88)))&lt;70,'Scénario référence'!$B$18*(32+38*(1-EXP(-0.0175*A88))),70*'Scénario référence'!$B$18)</f>
        <v>70</v>
      </c>
      <c r="BU88" s="12">
        <f>IF(A88&gt;30,10,('Scénario référence'!$B$16+'Scénario référence'!$B$17+'Scénario référence'!$B$18+'Scénario référence'!$B$9+'Scénario référence'!$B$10)*A88*10/30+('Scénario référence'!$F$8+'Scénario référence'!$F$9)*10)</f>
        <v>10</v>
      </c>
      <c r="BV88" s="12" t="e">
        <f>VLOOKUP(A88,'Données projet'!$A$113:$I$133,2,0)</f>
        <v>#N/A</v>
      </c>
      <c r="BW88" s="12" t="e">
        <f>VLOOKUP(A88,'Données projet'!$A$113:$I$133,9,0)</f>
        <v>#N/A</v>
      </c>
      <c r="BX88" s="12">
        <f t="array" ref="BX88">INDEX(BW:BW,MIN(IF(ISNUMBER(BW88:BW284),ROW(BW88:BW284),"")))</f>
        <v>3.8</v>
      </c>
      <c r="BY88" s="12">
        <f>IF('Données projet'!$A$114&gt;35,BY87+BX88-CG87,IF(A88&lt;'Données projet'!$A$114,$BV$205^A88,IF(A88='Données projet'!$A$114,'Données projet'!$B$114,BY87+BX88-CG87)))</f>
        <v>334.99999999999972</v>
      </c>
      <c r="BZ88" s="13">
        <f>BY88*VLOOKUP('Données projet'!$B$12,Paramètres!$A$1:$I$89,3,0)*VLOOKUP('Données projet'!$B$12,Paramètres!$A$1:$I$89,5,0)</f>
        <v>191.61999999999983</v>
      </c>
      <c r="CA88" s="13">
        <f t="shared" si="93"/>
        <v>47.897934681708833</v>
      </c>
      <c r="CB88" s="20">
        <f t="shared" si="64"/>
        <v>417.16040290397586</v>
      </c>
      <c r="CC88" s="59">
        <f t="shared" si="65"/>
        <v>710.49373623730912</v>
      </c>
      <c r="CD88" s="59">
        <f ca="1">AVERAGE(OFFSET($CC$3,0,0,'Données projet'!$E$12+1,1))-AVERAGE(OFFSET($H$3,0,0,'Données projet'!$E$12+1,1))</f>
        <v>188.64374818906128</v>
      </c>
      <c r="CE88" s="59">
        <f t="shared" si="94"/>
        <v>211.95157880548652</v>
      </c>
      <c r="CF88" s="15">
        <f>IF(ISNA(VLOOKUP(A88,'Données projet'!$A$113:$I$133,3,0)),0,VLOOKUP(A88,'Données projet'!$A$113:$I$133,3,0))</f>
        <v>0</v>
      </c>
      <c r="CG88" s="15">
        <f>IF(ISNA(VLOOKUP(A88,'Données projet'!$A$113:$I$133,4,0)),0,VLOOKUP(A88,'Données projet'!$A$113:$I$133,4,0))</f>
        <v>0</v>
      </c>
      <c r="CH88" s="16">
        <f>IF(ISNA(VLOOKUP(A88,'Données projet'!$A$113:$I$133,5,0)),0%,VLOOKUP(A88,'Données projet'!$A$113:$I$133,5,0)*VLOOKUP('Données projet'!$B$12,Paramètres!$A$1:$I$89,7,0))</f>
        <v>0</v>
      </c>
      <c r="CI88" s="16">
        <f>IF(ISNA(VLOOKUP(A88,'Données projet'!$A$113:$I$133,6,0)),0%,VLOOKUP(A88,'Données projet'!$A$113:$I$133,6,0)*VLOOKUP('Données projet'!$B$12,Paramètres!$A$1:$I$89,7,0))</f>
        <v>0</v>
      </c>
      <c r="CJ88" s="16">
        <f>IF(ISNA(VLOOKUP(A88,'Données projet'!$A$113:$I$133,7,0)),0%,VLOOKUP(A88,'Données projet'!$A$113:$I$133,7,0))</f>
        <v>0</v>
      </c>
      <c r="CK88" s="21">
        <f>EXP(-LN(2)/35)*CK87+(1-EXP(-LN(2)/35))/(LN(2)/35)*CG88*CH88*VLOOKUP('Données projet'!$B$12,Paramètres!$A$1:$I$89,3,0)*0.475*44/12</f>
        <v>0.82722234935534533</v>
      </c>
      <c r="CL88" s="21">
        <f>EXP(-LN(2)/25)*CL87+(1-EXP(-LN(2)/25))/(LN(2)/25)*Calculateur!CG88*Calculateur!CI88*VLOOKUP('Données projet'!$B$12,Paramètres!$A$1:$I$89,3,0)*0.475*44/12</f>
        <v>3.1275657050618237</v>
      </c>
      <c r="CM88" s="21">
        <f>EXP(-LN(2)/2)*CM87+(1-EXP(-LN(2)/2))/(LN(2)/2)*CG88*CJ88*VLOOKUP('Données projet'!$B$12,Paramètres!$A$1:$I$89,3,0)*0.475*44/12</f>
        <v>1.1193432311336826E-7</v>
      </c>
      <c r="CN88" s="22">
        <f t="shared" si="66"/>
        <v>3.9547881663514923</v>
      </c>
      <c r="CO88" s="75">
        <f>('Scénario référence'!$F$8+'Scénario référence'!$F$9+'Scénario référence'!$B$17+'Scénario référence'!$B$9+'Scénario référence'!$B$10)*70+IF((45+25*(1-EXP(-0.0175*A88)))&lt;70,'Scénario référence'!$B$16*(45+25*(1-EXP(-0.0175*A88))),70*'Scénario référence'!$B$16)+IF((32+38*(1-EXP(-0.0175*A88)))&lt;70,'Scénario référence'!$B$18*(32+38*(1-EXP(-0.0175*A88))),70*'Scénario référence'!$B$18)</f>
        <v>70</v>
      </c>
      <c r="CP88" s="12">
        <f>IF(A88&gt;30,10,('Scénario référence'!$B$16+'Scénario référence'!$B$17+'Scénario référence'!$B$18+'Scénario référence'!$B$9+'Scénario référence'!$B$10)*A88*10/30+('Scénario référence'!$F$8+'Scénario référence'!$F$9)*10)</f>
        <v>10</v>
      </c>
      <c r="CQ88" s="12" t="e">
        <f>VLOOKUP(A88,'Données projet'!$A$139:$I$159,2,0)</f>
        <v>#N/A</v>
      </c>
      <c r="CR88" s="12" t="e">
        <f>VLOOKUP(A88,'Données projet'!$A$139:$I$159,9,0)</f>
        <v>#N/A</v>
      </c>
      <c r="CS88" s="12">
        <f t="array" ref="CS88">INDEX(CR:CR,MIN(IF(ISNUMBER(CR88:CR284),ROW(CR88:CR284),"")))</f>
        <v>0</v>
      </c>
      <c r="CT88" s="12">
        <f>IF('Données projet'!$A$140&gt;35,CT87+CS88-DB87,IF(A88&lt;'Données projet'!$A$140,$CQ$205^A88,IF(A88='Données projet'!$A$140,'Données projet'!$B$140,CT87+CS88-DB87)))</f>
        <v>0</v>
      </c>
      <c r="CU88" s="17" t="e">
        <f>CT88*VLOOKUP('Données projet'!$B$13,Paramètres!$A$1:$I$89,3,0)*VLOOKUP('Données projet'!$B$13,Paramètres!$A$1:$I$89,5,0)</f>
        <v>#N/A</v>
      </c>
      <c r="CV88" s="13" t="e">
        <f t="shared" si="95"/>
        <v>#N/A</v>
      </c>
      <c r="CW88" s="20" t="e">
        <f t="shared" si="67"/>
        <v>#N/A</v>
      </c>
      <c r="CX88" s="59" t="e">
        <f t="shared" si="68"/>
        <v>#N/A</v>
      </c>
      <c r="CY88" s="59" t="e">
        <f ca="1">AVERAGE(OFFSET($CX$3,0,0,'Données projet'!$E$13+1,1))-AVERAGE(OFFSET($H$3,0,0,'Données projet'!$E$13+1,1))</f>
        <v>#N/A</v>
      </c>
      <c r="CZ88" s="59" t="e">
        <f t="shared" si="96"/>
        <v>#N/A</v>
      </c>
      <c r="DA88" s="15">
        <f>IF(ISNA(VLOOKUP(A88,'Données projet'!$A$139:$I$159,3,0)),0,VLOOKUP(A88,'Données projet'!$A$139:$I$159,3,0))</f>
        <v>0</v>
      </c>
      <c r="DB88" s="15">
        <f>IF(ISNA(VLOOKUP(A88,'Données projet'!$A$139:$I$159,4,0)),0,VLOOKUP(A88,'Données projet'!$A$139:$I$159,4,0))</f>
        <v>0</v>
      </c>
      <c r="DC88" s="16">
        <f>IF(ISNA(VLOOKUP(A88,'Données projet'!$A$139:$I$159,5,0)),0%,VLOOKUP(A88,'Données projet'!$A$139:$I$159,5,0)*VLOOKUP('Données projet'!$B$13,Paramètres!$A$1:$I$89,7,0))</f>
        <v>0</v>
      </c>
      <c r="DD88" s="16">
        <f>IF(ISNA(VLOOKUP(A88,'Données projet'!$A$139:$I$159,6,0)),0%,VLOOKUP(A88,'Données projet'!$A$139:$I$159,6,0)*VLOOKUP('Données projet'!$B$13,Paramètres!$A$1:$I$89,7,0))</f>
        <v>0</v>
      </c>
      <c r="DE88" s="16">
        <f>IF(ISNA(VLOOKUP(A88,'Données projet'!$A$139:$I$159,7,0)),0%,VLOOKUP(A88,'Données projet'!$A$139:$I$159,7,0))</f>
        <v>0</v>
      </c>
      <c r="DF88" s="21" t="e">
        <f>EXP(-LN(2)/35)*DF87+(1-EXP(-LN(2)/35))/(LN(2)/35)*DB88*DC88*VLOOKUP('Données projet'!$B$13,Paramètres!$A$1:$I$89,3,0)*0.475*44/12</f>
        <v>#N/A</v>
      </c>
      <c r="DG88" s="21" t="e">
        <f>EXP(-LN(2)/25)*DG87+(1-EXP(-LN(2)/25))/(LN(2)/25)*Calculateur!DB88*Calculateur!DD88*VLOOKUP('Données projet'!$B$13,Paramètres!$A$1:$I$89,3,0)*0.475*44/12</f>
        <v>#N/A</v>
      </c>
      <c r="DH88" s="21" t="e">
        <f>EXP(-LN(2)/2)*DH87+(1-EXP(-LN(2)/2))/(LN(2)/2)*DB88*DE88*VLOOKUP('Données projet'!$B$13,Paramètres!$A$1:$I$89,3,0)*0.475*44/12</f>
        <v>#N/A</v>
      </c>
      <c r="DI88" s="22" t="e">
        <f t="shared" si="69"/>
        <v>#N/A</v>
      </c>
      <c r="DJ88" s="75">
        <f>('Scénario référence'!$F$8+'Scénario référence'!$F$9+'Scénario référence'!$B$17+'Scénario référence'!$B$9+'Scénario référence'!$B$10)*70+IF((45+25*(1-EXP(-0.0175*A88)))&lt;70,'Scénario référence'!$B$16*(45+25*(1-EXP(-0.0175*A88))),70*'Scénario référence'!$B$16)+IF((32+38*(1-EXP(-0.0175*A88)))&lt;70,'Scénario référence'!$B$18*(32+38*(1-EXP(-0.0175*A88))),70*'Scénario référence'!$B$18)</f>
        <v>70</v>
      </c>
      <c r="DK88" s="12">
        <f>IF(A88&gt;30,10,('Scénario référence'!$B$16+'Scénario référence'!$B$17+'Scénario référence'!$B$18+'Scénario référence'!$B$9+'Scénario référence'!$B$10)*A88*10/30+('Scénario référence'!$F$8+'Scénario référence'!$F$9)*10)</f>
        <v>10</v>
      </c>
      <c r="DL88" s="12" t="e">
        <f>VLOOKUP(A88,'Données projet'!$A$165:$I$185,2,0)</f>
        <v>#N/A</v>
      </c>
      <c r="DM88" s="12" t="e">
        <f>VLOOKUP(A88,'Données projet'!$A$165:$I$185,9,0)</f>
        <v>#N/A</v>
      </c>
      <c r="DN88" s="12">
        <f t="array" ref="DN88">INDEX(DM:DM,MIN(IF(ISNUMBER(DM88:DM284),ROW(DM88:DM284),"")))</f>
        <v>4</v>
      </c>
      <c r="DO88" s="12">
        <f>IF('Données projet'!$A$166&gt;35,DO87+DN88-DW87,IF(A88&lt;'Données projet'!$A$166,$DL$205^A88,IF(A88='Données projet'!$A$166,'Données projet'!$B$166,DO87+DN88-DW87)))</f>
        <v>279.00000000000017</v>
      </c>
      <c r="DP88" s="17">
        <f>DO88*VLOOKUP('Données projet'!$B$14,Paramètres!$A$1:$I$89,3,0)*VLOOKUP('Données projet'!$B$14,Paramètres!$A$1:$I$89,5,0)</f>
        <v>182.80080000000009</v>
      </c>
      <c r="DQ88" s="13">
        <f t="shared" si="97"/>
        <v>45.9447515074717</v>
      </c>
      <c r="DR88" s="20">
        <f t="shared" si="70"/>
        <v>398.39850220884665</v>
      </c>
      <c r="DS88" s="59">
        <f t="shared" si="71"/>
        <v>691.73183554217997</v>
      </c>
      <c r="DT88" s="59">
        <f ca="1">AVERAGE(OFFSET($DS$3,0,0,'Données projet'!$E$14+1,1))-AVERAGE(OFFSET($H$3,0,0,'Données projet'!$E$14+1,1))</f>
        <v>188.68915783955595</v>
      </c>
      <c r="DU88" s="59">
        <f t="shared" si="98"/>
        <v>240.82467772396944</v>
      </c>
      <c r="DV88" s="15">
        <f>IF(ISNA(VLOOKUP(A88,'Données projet'!$A$165:$I$185,3,0)),0,VLOOKUP(A88,'Données projet'!$A$165:$I$185,3,0))</f>
        <v>0</v>
      </c>
      <c r="DW88" s="15">
        <f>IF(ISNA(VLOOKUP(A88,'Données projet'!$A$165:$I$185,4,0)),0,VLOOKUP(A88,'Données projet'!$A$165:$I$185,4,0))</f>
        <v>0</v>
      </c>
      <c r="DX88" s="16">
        <f>IF(ISNA(VLOOKUP(A88,'Données projet'!$A$165:$I$185,5,0)),0%,VLOOKUP(A88,'Données projet'!$A$165:$I$185,5,0)*VLOOKUP('Données projet'!$B$14,Paramètres!$A$1:$I$89,7,0))</f>
        <v>0</v>
      </c>
      <c r="DY88" s="16">
        <f>IF(ISNA(VLOOKUP(A88,'Données projet'!$A$165:$I$185,6,0)),0%,VLOOKUP(A88,'Données projet'!$A$165:$I$185,6,0)*VLOOKUP('Données projet'!$B$14,Paramètres!$A$1:$I$89,7,0))</f>
        <v>0</v>
      </c>
      <c r="DZ88" s="16">
        <f>IF(ISNA(VLOOKUP(A88,'Données projet'!$A$165:$I$185,7,0)),0%,VLOOKUP(A88,'Données projet'!$A$165:$I$185,7,0))</f>
        <v>0</v>
      </c>
      <c r="EA88" s="21">
        <f>EXP(-LN(2)/35)*EA87+(1-EXP(-LN(2)/35))/(LN(2)/35)*DW88*DX88*VLOOKUP('Données projet'!$B$14,Paramètres!$A$1:$I$89,3,0)*0.475*44/12</f>
        <v>0.52397711943594061</v>
      </c>
      <c r="EB88" s="21">
        <f>EXP(-LN(2)/25)*EB87+(1-EXP(-LN(2)/25))/(LN(2)/25)*Calculateur!DW88*Calculateur!DY88*VLOOKUP('Données projet'!$B$14,Paramètres!$A$1:$I$89,3,0)*0.475*44/12</f>
        <v>1.7493777212678672</v>
      </c>
      <c r="EC88" s="21">
        <f>EXP(-LN(2)/2)*EC87+(1-EXP(-LN(2)/2))/(LN(2)/2)*DW88*DZ88*VLOOKUP('Données projet'!$B$14,Paramètres!$A$1:$I$89,3,0)*0.475*44/12</f>
        <v>7.3738060886417188E-8</v>
      </c>
      <c r="ED88" s="22">
        <f t="shared" si="72"/>
        <v>2.2733549144418688</v>
      </c>
      <c r="EE88" s="75">
        <f>('Scénario référence'!$F$8+'Scénario référence'!$F$9+'Scénario référence'!$B$17+'Scénario référence'!$B$9+'Scénario référence'!$B$10)*70+IF((45+25*(1-EXP(-0.0175*A88)))&lt;70,'Scénario référence'!$B$16*(45+25*(1-EXP(-0.0175*A88))),70*'Scénario référence'!$B$16)+IF((32+38*(1-EXP(-0.0175*A88)))&lt;70,'Scénario référence'!$B$18*(32+38*(1-EXP(-0.0175*A88))),70*'Scénario référence'!$B$18)</f>
        <v>70</v>
      </c>
      <c r="EF88" s="12">
        <f>IF(A88&gt;30,10,('Scénario référence'!$B$16+'Scénario référence'!$B$17+'Scénario référence'!$B$18+'Scénario référence'!$B$9+'Scénario référence'!$B$10)*A88*10/30+('Scénario référence'!$F$8+'Scénario référence'!$F$9)*10)</f>
        <v>10</v>
      </c>
      <c r="EG88" s="12" t="e">
        <f>VLOOKUP(A88,'Données projet'!$A$191:$I$211,2,0)</f>
        <v>#N/A</v>
      </c>
      <c r="EH88" s="12" t="e">
        <f>VLOOKUP(A88,'Données projet'!$A$191:$I$211,9,0)</f>
        <v>#N/A</v>
      </c>
      <c r="EI88" s="12">
        <f t="array" ref="EI88">INDEX(EH:EH,MIN(IF(ISNUMBER(EH88:EH284),ROW(EH88:EH284),"")))</f>
        <v>4.7</v>
      </c>
      <c r="EJ88" s="12">
        <f>IF('Données projet'!$A$192&gt;35,EJ87+EI88-ER87,IF(A88&lt;'Données projet'!$A$192,$EG$205^A88,IF(A88='Données projet'!$A$192,'Données projet'!$B$192,EJ87+EI88-ER87)))</f>
        <v>283.49999999999977</v>
      </c>
      <c r="EK88" s="17">
        <f>EJ88*VLOOKUP('Données projet'!$B$15,Paramètres!$A$1:$I$89,3,0)*VLOOKUP('Données projet'!$B$15,Paramètres!$A$1:$I$89,5,0)</f>
        <v>229.9751999999998</v>
      </c>
      <c r="EL88" s="13">
        <f t="shared" si="99"/>
        <v>56.277319157664266</v>
      </c>
      <c r="EM88" s="20">
        <f t="shared" si="73"/>
        <v>498.55647086626499</v>
      </c>
      <c r="EN88" s="59">
        <f t="shared" si="74"/>
        <v>791.8898041995983</v>
      </c>
      <c r="EO88" s="59">
        <f ca="1">AVERAGE(OFFSET($EN$3,0,0,'Données projet'!$E$15+1,1))-AVERAGE(OFFSET($H$3,0,0,'Données projet'!$E$15+1,1))</f>
        <v>205.5272583787887</v>
      </c>
      <c r="EP88" s="59">
        <f t="shared" si="100"/>
        <v>180.54762778843178</v>
      </c>
      <c r="EQ88" s="15">
        <f>IF(ISNA(VLOOKUP(A88,'Données projet'!$A$191:$I$211,3,0)),0,VLOOKUP(A88,'Données projet'!$A$191:$I$211,3,0))</f>
        <v>0</v>
      </c>
      <c r="ER88" s="15">
        <f>IF(ISNA(VLOOKUP(A88,'Données projet'!$A$191:$I$211,4,0)),0,VLOOKUP(A88,'Données projet'!$A$191:$I$211,4,0))</f>
        <v>0</v>
      </c>
      <c r="ES88" s="16">
        <f>IF(ISNA(VLOOKUP(A88,'Données projet'!$A$191:$I$211,5,0)),0%,VLOOKUP(A88,'Données projet'!$A$191:$I$211,5,0)*VLOOKUP('Données projet'!$B$15,Paramètres!$A$1:$I$89,7,0))</f>
        <v>0</v>
      </c>
      <c r="ET88" s="16">
        <f>IF(ISNA(VLOOKUP(A88,'Données projet'!$A$191:$I$211,6,0)),0%,VLOOKUP(A88,'Données projet'!$A$191:$I$211,6,0)*VLOOKUP('Données projet'!$B$15,Paramètres!$A$1:$I$89,7,0))</f>
        <v>0</v>
      </c>
      <c r="EU88" s="16">
        <f>IF(ISNA(VLOOKUP(A88,'Données projet'!$A$191:$I$211,7,0)),0%,VLOOKUP(A88,'Données projet'!$A$191:$I$211,7,0))</f>
        <v>0</v>
      </c>
      <c r="EV88" s="21">
        <f>EXP(-LN(2)/35)*EV87+(1-EXP(-LN(2)/35))/(LN(2)/35)*ER88*ES88*VLOOKUP('Données projet'!$B$15,Paramètres!$A$1:$I$89,3,0)*0.475*44/12</f>
        <v>0.33734145975113877</v>
      </c>
      <c r="EW88" s="21">
        <f>EXP(-LN(2)/25)*EW87+(1-EXP(-LN(2)/25))/(LN(2)/25)*Calculateur!ER88*Calculateur!ET88*VLOOKUP('Données projet'!$B$15,Paramètres!$A$1:$I$89,3,0)*0.475*44/12</f>
        <v>1.2631037838165136</v>
      </c>
      <c r="EX88" s="21">
        <f>EXP(-LN(2)/2)*EX87+(1-EXP(-LN(2)/2))/(LN(2)/2)*ER88*EU88*VLOOKUP('Données projet'!$B$15,Paramètres!$A$1:$I$89,3,0)*0.475*44/12</f>
        <v>4.7745448947809723E-8</v>
      </c>
      <c r="EY88" s="22">
        <f t="shared" si="75"/>
        <v>1.6004452913131013</v>
      </c>
      <c r="EZ88" s="75">
        <f>('Scénario référence'!$F$8+'Scénario référence'!$F$9+'Scénario référence'!$B$17+'Scénario référence'!$B$9+'Scénario référence'!$B$10)*70+IF((45+25*(1-EXP(-0.0175*A88)))&lt;70,'Scénario référence'!$B$16*(45+25*(1-EXP(-0.0175*A88))),70*'Scénario référence'!$B$16)+IF((32+38*(1-EXP(-0.0175*A88)))&lt;70,'Scénario référence'!$B$18*(32+38*(1-EXP(-0.0175*A88))),70*'Scénario référence'!$B$18)</f>
        <v>70</v>
      </c>
      <c r="FA88" s="12">
        <f>IF(A88&gt;30,10,('Scénario référence'!$B$16+'Scénario référence'!$B$17+'Scénario référence'!$B$18+'Scénario référence'!$B$9+'Scénario référence'!$B$10)*A88*10/30+('Scénario référence'!$F$8+'Scénario référence'!$F$9)*10)</f>
        <v>10</v>
      </c>
      <c r="FB88" s="12" t="e">
        <f>VLOOKUP(A88,'Données projet'!$A$217:$I$237,2,0)</f>
        <v>#N/A</v>
      </c>
      <c r="FC88" s="12" t="e">
        <f>VLOOKUP(A88,'Données projet'!$A$217:$I$237,9,0)</f>
        <v>#N/A</v>
      </c>
      <c r="FD88" s="12">
        <f t="array" ref="FD88">INDEX(FC:FC,MIN(IF(ISNUMBER(FC88:FC284),ROW(FC88:FC284),"")))</f>
        <v>10.9</v>
      </c>
      <c r="FE88" s="12">
        <f>IF('Données projet'!$A$218&gt;35,FE87+FD88-FM87,IF(A88&lt;'Données projet'!$A$218,$FB$205^A88,IF(A88='Données projet'!$A$218,'Données projet'!$B$218,FE87+FD88-FM87)))</f>
        <v>366.50000000000006</v>
      </c>
      <c r="FF88" s="17">
        <f>FE88*VLOOKUP('Données projet'!$B$16,Paramètres!$A$1:$I$89,3,0)*VLOOKUP('Données projet'!$B$16,Paramètres!$A$1:$I$89,5,0)</f>
        <v>314.45700000000011</v>
      </c>
      <c r="FG88" s="13">
        <f t="shared" si="101"/>
        <v>74.198854440228985</v>
      </c>
      <c r="FH88" s="20">
        <f t="shared" si="76"/>
        <v>676.90894648339895</v>
      </c>
      <c r="FI88" s="59">
        <f t="shared" si="77"/>
        <v>970.24227981673221</v>
      </c>
      <c r="FJ88" s="59">
        <f ca="1">AVERAGE(OFFSET($FI$3,0,0,'Données projet'!$E$16+1,1))-AVERAGE(OFFSET($H$3,0,0,'Données projet'!$E$16+1,1))</f>
        <v>383.97627237444709</v>
      </c>
      <c r="FK88" s="59">
        <f t="shared" si="102"/>
        <v>203.35476578922339</v>
      </c>
      <c r="FL88" s="15">
        <f>IF(ISNA(VLOOKUP(A88,'Données projet'!$A$217:$I$237,3,0)),0,VLOOKUP(A88,'Données projet'!$A$217:$I$237,3,0))</f>
        <v>0</v>
      </c>
      <c r="FM88" s="15">
        <f>IF(ISNA(VLOOKUP(A88,'Données projet'!$A$217:$I$237,4,0)),0,VLOOKUP(A88,'Données projet'!$A$217:$I$237,4,0))</f>
        <v>0</v>
      </c>
      <c r="FN88" s="16">
        <f>IF(ISNA(VLOOKUP(A88,'Données projet'!$A$217:$I$237,5,0)),0%,VLOOKUP(A88,'Données projet'!$A$217:$I$237,5,0)*VLOOKUP('Données projet'!$B$16,Paramètres!$A$1:$I$89,7,0))</f>
        <v>0</v>
      </c>
      <c r="FO88" s="16">
        <f>IF(ISNA(VLOOKUP(A88,'Données projet'!$A$217:$I$237,6,0)),0%,VLOOKUP(A88,'Données projet'!$A$217:$I$237,6,0)*VLOOKUP('Données projet'!$B$16,Paramètres!$A$1:$I$89,7,0))</f>
        <v>0</v>
      </c>
      <c r="FP88" s="16">
        <f>IF(ISNA(VLOOKUP(A88,'Données projet'!$A$217:$I$237,7,0)),0%,VLOOKUP(A88,'Données projet'!$A$217:$I$237,7,0))</f>
        <v>0</v>
      </c>
      <c r="FQ88" s="21">
        <f>EXP(-LN(2)/35)*FQ87+(1-EXP(-LN(2)/35))/(LN(2)/35)*FM88*FN88*VLOOKUP('Données projet'!$B$16,Paramètres!$A$1:$I$89,3,0)*0.475*44/12</f>
        <v>1.7337520882997377</v>
      </c>
      <c r="FR88" s="21">
        <f>EXP(-LN(2)/25)*FR87+(1-EXP(-LN(2)/25))/(LN(2)/25)*Calculateur!FM88*Calculateur!FO88*VLOOKUP('Données projet'!$B$16,Paramètres!$A$1:$I$89,3,0)*0.475*44/12</f>
        <v>1.2821808947573086</v>
      </c>
      <c r="FS88" s="21">
        <f>EXP(-LN(2)/2)*FS87+(1-EXP(-LN(2)/2))/(LN(2)/2)*FM88*FP88*VLOOKUP('Données projet'!$B$16,Paramètres!$A$1:$I$89,3,0)*0.475*44/12</f>
        <v>8.7698590932315842E-8</v>
      </c>
      <c r="FT88" s="22">
        <f t="shared" si="78"/>
        <v>3.0159330707556373</v>
      </c>
      <c r="FU88" s="75">
        <f>('Scénario référence'!$F$8+'Scénario référence'!$F$9+'Scénario référence'!$B$17+'Scénario référence'!$B$9+'Scénario référence'!$B$10)*70+IF((45+25*(1-EXP(-0.0175*A88)))&lt;70,'Scénario référence'!$B$16*(45+25*(1-EXP(-0.0175*A88))),70*'Scénario référence'!$B$16)+IF((32+38*(1-EXP(-0.0175*A88)))&lt;70,'Scénario référence'!$B$18*(32+38*(1-EXP(-0.0175*A88))),70*'Scénario référence'!$B$18)</f>
        <v>70</v>
      </c>
      <c r="FV88" s="12">
        <f>IF(A88&gt;30,10,('Scénario référence'!$B$16+'Scénario référence'!$B$17+'Scénario référence'!$B$18+'Scénario référence'!$B$9+'Scénario référence'!$B$10)*A88*10/30+('Scénario référence'!$F$8+'Scénario référence'!$F$9)*10)</f>
        <v>10</v>
      </c>
      <c r="FW88" s="12" t="e">
        <f>VLOOKUP(A88,'Données projet'!$A$243:$I$263,2,0)</f>
        <v>#N/A</v>
      </c>
      <c r="FX88" s="12" t="e">
        <f>VLOOKUP(A88,'Données projet'!$A$243:$I$263,9,0)</f>
        <v>#N/A</v>
      </c>
      <c r="FY88" s="12">
        <f t="array" ref="FY88">INDEX(FX:FX,MIN(IF(ISNUMBER(FX88:FX284),ROW(FX88:FX284),"")))</f>
        <v>7.4950142450142483</v>
      </c>
      <c r="FZ88" s="12">
        <f>IF('Données projet'!$A$244&gt;35,FZ87+FY88-GH87,IF(A88&lt;'Données projet'!$A$244,$FW$205^A88,IF(A88='Données projet'!$A$244,'Données projet'!$B$244,FZ87+FY88-GH87)))</f>
        <v>265.87891737891744</v>
      </c>
      <c r="GA88" s="17">
        <f>FZ88*VLOOKUP('Données projet'!$B$17,Paramètres!$A$1:$I$89,3,0)*VLOOKUP('Données projet'!$B$17,Paramètres!$A$1:$I$89,5,0)</f>
        <v>286.19206666666668</v>
      </c>
      <c r="GB88" s="13">
        <f t="shared" si="103"/>
        <v>68.273900064573866</v>
      </c>
      <c r="GC88" s="20">
        <f t="shared" si="79"/>
        <v>617.36155872357722</v>
      </c>
      <c r="GD88" s="59">
        <f t="shared" si="80"/>
        <v>910.69489205691048</v>
      </c>
      <c r="GE88" s="59">
        <f ca="1">AVERAGE(OFFSET($GD$3,0,0,'Données projet'!$E$17+1,1))-AVERAGE(OFFSET($H$3,0,0,'Données projet'!$E$17+1,1))</f>
        <v>286.77702855541287</v>
      </c>
      <c r="GF88" s="59">
        <f t="shared" si="104"/>
        <v>227.12211541860779</v>
      </c>
      <c r="GG88" s="15">
        <f>IF(ISNA(VLOOKUP(A88,'Données projet'!$A$243:$I$263,3,0)),0,VLOOKUP(A88,'Données projet'!$A$243:$I$263,3,0))</f>
        <v>0</v>
      </c>
      <c r="GH88" s="15">
        <f>IF(ISNA(VLOOKUP(A88,'Données projet'!$A$243:$I$263,4,0)),0,VLOOKUP(A88,'Données projet'!$A$243:$I$263,4,0))</f>
        <v>0</v>
      </c>
      <c r="GI88" s="16">
        <f>IF(ISNA(VLOOKUP(A88,'Données projet'!$A$243:$I$263,5,0)),0%,VLOOKUP(A88,'Données projet'!$A$243:$I$263,5,0)*VLOOKUP('Données projet'!$B$17,Paramètres!$A$1:$I$89,7,0))</f>
        <v>0</v>
      </c>
      <c r="GJ88" s="16">
        <f>IF(ISNA(VLOOKUP(A88,'Données projet'!$A$243:$I$263,6,0)),0%,VLOOKUP(A88,'Données projet'!$A$243:$I$263,6,0)*VLOOKUP('Données projet'!$B$17,Paramètres!$A$1:$I$89,7,0))</f>
        <v>0</v>
      </c>
      <c r="GK88" s="16">
        <f>IF(ISNA(VLOOKUP(A88,'Données projet'!$A$243:$I$263,7,0)),0%,VLOOKUP(A88,'Données projet'!$A$243:$I$263,7,0))</f>
        <v>0</v>
      </c>
      <c r="GL88" s="21">
        <f>EXP(-LN(2)/35)*GL87+(1-EXP(-LN(2)/35))/(LN(2)/35)*GH88*GI88*VLOOKUP('Données projet'!$B$17,Paramètres!$A$1:$I$89,3,0)*0.475*44/12</f>
        <v>0</v>
      </c>
      <c r="GM88" s="21">
        <f>EXP(-LN(2)/25)*GM87+(1-EXP(-LN(2)/25))/(LN(2)/25)*Calculateur!GH88*Calculateur!GJ88*VLOOKUP('Données projet'!$B$17,Paramètres!$A$1:$I$89,3,0)*0.475*44/12</f>
        <v>0</v>
      </c>
      <c r="GN88" s="21">
        <f>EXP(-LN(2)/2)*GN87+(1-EXP(-LN(2)/2))/(LN(2)/2)*GH88*GK88*VLOOKUP('Données projet'!$B$17,Paramètres!$A$1:$I$89,3,0)*0.475*44/12</f>
        <v>0</v>
      </c>
      <c r="GO88" s="21">
        <f t="shared" si="81"/>
        <v>0</v>
      </c>
      <c r="GP88" s="75">
        <f>('Scénario référence'!$F$8+'Scénario référence'!$F$9+'Scénario référence'!$B$17+'Scénario référence'!$B$9+'Scénario référence'!$B$10)*70+IF((45+25*(1-EXP(-0.0175*A88)))&lt;70,'Scénario référence'!$B$16*(45+25*(1-EXP(-0.0175*A88))),70*'Scénario référence'!$B$16)+IF((32+38*(1-EXP(-0.0175*A88)))&lt;70,'Scénario référence'!$B$18*(32+38*(1-EXP(-0.0175*A88))),70*'Scénario référence'!$B$18)</f>
        <v>70</v>
      </c>
      <c r="GQ88" s="12">
        <f>IF(A88&gt;30,10,('Scénario référence'!$B$16+'Scénario référence'!$B$17+'Scénario référence'!$B$18+'Scénario référence'!$B$9+'Scénario référence'!$B$10)*A88*10/30+('Scénario référence'!$F$8+'Scénario référence'!$F$9)*10)</f>
        <v>10</v>
      </c>
      <c r="GR88" s="12" t="e">
        <f>VLOOKUP(A88,'Données projet'!$A$269:$I$289,2,0)</f>
        <v>#N/A</v>
      </c>
      <c r="GS88" s="12" t="e">
        <f>VLOOKUP(A88,'Données projet'!$A$269:$I$289,9,0)</f>
        <v>#N/A</v>
      </c>
      <c r="GT88" s="12">
        <f t="array" ref="GT88">INDEX(GS:GS,MIN(IF(ISNUMBER(GS88:GS284),ROW(GS88:GS284),"")))</f>
        <v>7.4950142450142483</v>
      </c>
      <c r="GU88" s="12">
        <f>IF('Données projet'!$A$270&gt;35,GU87+GT88-HC87,IF(A88&lt;'Données projet'!$A$270,$GR$205^A88,IF(A88='Données projet'!$A$270,'Données projet'!$B$270,GU87+GT88-HC87)))</f>
        <v>265.87891737891744</v>
      </c>
      <c r="GV88" s="17">
        <f>GU88*VLOOKUP('Données projet'!$B$18,Paramètres!$A$1:$I$89,3,0)*VLOOKUP('Données projet'!$B$18,Paramètres!$A$1:$I$89,5,0)</f>
        <v>286.19206666666668</v>
      </c>
      <c r="GW88" s="13">
        <f t="shared" si="105"/>
        <v>68.273900064573866</v>
      </c>
      <c r="GX88" s="20">
        <f t="shared" si="82"/>
        <v>617.36155872357722</v>
      </c>
      <c r="GY88" s="59">
        <f t="shared" si="83"/>
        <v>910.69489205691048</v>
      </c>
      <c r="GZ88" s="59">
        <f ca="1">AVERAGE(OFFSET($GY$3,0,0,'Données projet'!$E$18+1,1))-AVERAGE(OFFSET($H$3,0,0,'Données projet'!$E$18+1,1))</f>
        <v>286.77702855541287</v>
      </c>
      <c r="HA88" s="59">
        <f t="shared" si="106"/>
        <v>227.12211541860779</v>
      </c>
      <c r="HB88" s="15">
        <f>IF(ISNA(VLOOKUP(A88,'Données projet'!$A$269:$I$289,3,0)),0,VLOOKUP(A88,'Données projet'!$A$269:$I$289,3,0))</f>
        <v>0</v>
      </c>
      <c r="HC88" s="15">
        <f>IF(ISNA(VLOOKUP(A88,'Données projet'!$A$269:$I$289,4,0)),0,VLOOKUP(A88,'Données projet'!$A$269:$I$289,4,0))</f>
        <v>0</v>
      </c>
      <c r="HD88" s="16">
        <f>IF(ISNA(VLOOKUP(A88,'Données projet'!$A$269:$I$289,5,0)),0%,VLOOKUP(A88,'Données projet'!$A$269:$I$289,5,0)*VLOOKUP('Données projet'!$B$18,Paramètres!$A$1:$I$89,7,0))</f>
        <v>0</v>
      </c>
      <c r="HE88" s="16">
        <f>IF(ISNA(VLOOKUP(A88,'Données projet'!$A$269:$I$289,6,0)),0%,VLOOKUP(A88,'Données projet'!$A$269:$I$289,6,0)*VLOOKUP('Données projet'!$B$18,Paramètres!$A$1:$I$89,7,0))</f>
        <v>0</v>
      </c>
      <c r="HF88" s="16">
        <f>IF(ISNA(VLOOKUP(A88,'Données projet'!$A$269:$I$289,7,0)),0%,VLOOKUP(A88,'Données projet'!$A$269:$I$289,7,0))</f>
        <v>0</v>
      </c>
      <c r="HG88" s="21">
        <f>EXP(-LN(2)/35)*HG87+(1-EXP(-LN(2)/35))/(LN(2)/35)*HC88*HD88*VLOOKUP('Données projet'!$B$18,Paramètres!$A$1:$I$89,3,0)*0.475*44/12</f>
        <v>0</v>
      </c>
      <c r="HH88" s="21">
        <f>EXP(-LN(2)/25)*HH87+(1-EXP(-LN(2)/25))/(LN(2)/25)*Calculateur!HC88*Calculateur!HE88*VLOOKUP('Données projet'!$B$18,Paramètres!$A$1:$I$89,3,0)*0.475*44/12</f>
        <v>0</v>
      </c>
      <c r="HI88" s="21">
        <f>EXP(-LN(2)/2)*HI87+(1-EXP(-LN(2)/2))/(LN(2)/2)*HC88*HF88*VLOOKUP('Données projet'!$B$18,Paramètres!$A$1:$I$89,3,0)*0.475*44/12</f>
        <v>0</v>
      </c>
      <c r="HJ88" s="22">
        <f t="shared" si="84"/>
        <v>0</v>
      </c>
    </row>
    <row r="89" spans="1:218" x14ac:dyDescent="0.25">
      <c r="A89" s="10">
        <f t="shared" si="85"/>
        <v>86</v>
      </c>
      <c r="B89" s="73">
        <f>'Scénario référence'!$B$16*5+'Scénario référence'!$B$17*0+'Scénario référence'!$B$18*5</f>
        <v>0</v>
      </c>
      <c r="C89" s="19">
        <f>Calculateur!C88+'Scénario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76.47120000000011</v>
      </c>
      <c r="D89" s="11">
        <f t="shared" si="86"/>
        <v>21.272121944536373</v>
      </c>
      <c r="E8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89" s="11">
        <f>IF(OR('Scénario référence'!$F$8&gt;0,'Scénario référence'!$F$9&gt;0),('Scénario référence'!$F$8+'Scénario référence'!$F$9)*10,0)</f>
        <v>10</v>
      </c>
      <c r="G89" s="11">
        <f>'Scénario référence'!$B$8*B89*44/12+'Scénario référence'!$B$9*(C89+D89)/0.475*44/12+'Scénario référence'!$B$10*(C89+D89)/0.475*44/12+'Scénario référence'!$F$8*(C89+D89)/0.475*44/12+'Scénario référence'!$F$9*(C89+D89)/0.475*44/12</f>
        <v>754.50985360694824</v>
      </c>
      <c r="H89" s="67">
        <f t="shared" si="56"/>
        <v>463.56961905340103</v>
      </c>
      <c r="I89" s="70">
        <f>('Scénario référence'!$F$8+'Scénario référence'!$F$9+'Scénario référence'!$B$17+'Scénario référence'!$B$9+'Scénario référence'!$B$10)*70+IF((45+25*(1-EXP(-0.0175*A89)))&lt;70,'Scénario référence'!$B$16*(45+25*(1-EXP(-0.0175*A89))),70*'Scénario référence'!$B$16)+IF((32+38*(1-EXP(-0.0175*A89)))&lt;70,'Scénario référence'!$B$18*(32+38*(1-EXP(-0.0175*A89))),70*'Scénario référence'!$B$18)</f>
        <v>70</v>
      </c>
      <c r="J89" s="13">
        <f>IF(A89&gt;30,10,('Scénario référence'!$B$16+'Scénario référence'!$B$17+'Scénario référence'!$B$18+'Scénario référence'!$B$9+'Scénario référence'!$B$10)*A89*10/30+('Scénario référence'!$F$8+'Scénario référence'!$F$9)*10)</f>
        <v>10</v>
      </c>
      <c r="K89" s="12" t="e">
        <f>VLOOKUP(A89,'Données projet'!$A$35:$I$55,2,0)</f>
        <v>#N/A</v>
      </c>
      <c r="L89" s="12" t="e">
        <f>VLOOKUP(A89,'Données projet'!$A$35:$I$55,9,0)</f>
        <v>#N/A</v>
      </c>
      <c r="M89" s="12">
        <f t="array" ref="M89">INDEX(L:L,MIN(IF(ISNUMBER(L89:L285),ROW(L89:L285),"")))</f>
        <v>0</v>
      </c>
      <c r="N89" s="13">
        <f>IF('Données projet'!$A$36&gt;35,N88+M89-V88,IF(A89&lt;'Données projet'!$A$36,$K$205^A89,IF(A89='Données projet'!$A$36,'Données projet'!$B$36,N88+M89-V88)))</f>
        <v>-2.2737367544323206E-13</v>
      </c>
      <c r="O89" s="13">
        <f>N89*VLOOKUP('Données projet'!$B$9,Paramètres!$A$1:$I$89,3,0)*VLOOKUP('Données projet'!$B$9,Paramètres!$A$1:$I$89,5,0)</f>
        <v>-1.2710188457276673E-13</v>
      </c>
      <c r="P89" s="13" t="e">
        <f t="shared" si="87"/>
        <v>#NUM!</v>
      </c>
      <c r="Q89" s="20" t="e">
        <f t="shared" si="54"/>
        <v>#NUM!</v>
      </c>
      <c r="R89" s="59" t="e">
        <f t="shared" si="55"/>
        <v>#NUM!</v>
      </c>
      <c r="S89" s="59">
        <f ca="1">AVERAGE(OFFSET($R$3,0,0,'Données projet'!$E$9+1,1))-AVERAGE(OFFSET($H$3,0,0,'Données projet'!$E$9+1,1))</f>
        <v>255.5374979188561</v>
      </c>
      <c r="T89" s="59">
        <f t="shared" si="88"/>
        <v>343.10418468620901</v>
      </c>
      <c r="U89" s="15">
        <f>IF(ISNA(VLOOKUP(A89,'Données projet'!$A$35:$I$55,3,0)),0,VLOOKUP(A89,'Données projet'!$A$35:$I$55,3,0))</f>
        <v>0</v>
      </c>
      <c r="V89" s="15">
        <f>IF(ISNA(VLOOKUP(A89,'Données projet'!$A$35:$I$55,4,0)),0,VLOOKUP(A89,'Données projet'!$A$35:$I$55,4,0))</f>
        <v>0</v>
      </c>
      <c r="W89" s="16">
        <f>IF(ISNA(VLOOKUP(A89,'Données projet'!$A$35:$I$55,5,0)),0%,VLOOKUP(A89,'Données projet'!$A$35:$I$55,5,0)*VLOOKUP('Données projet'!$B$9,Paramètres!$A$1:$I$89,7,0))</f>
        <v>0</v>
      </c>
      <c r="X89" s="16">
        <f>IF(ISNA(VLOOKUP(A89,'Données projet'!$A$35:$I$55,6,0)),0%,VLOOKUP(A89,'Données projet'!$A$35:$I$55,6,0)*VLOOKUP('Données projet'!$B$9,Paramètres!$A$1:$I$89,7,0))</f>
        <v>0</v>
      </c>
      <c r="Y89" s="16">
        <f>IF(ISNA(VLOOKUP(A89,'Données projet'!$A$35:$I$55,7,0)),0%,VLOOKUP(A89,'Données projet'!$A$35:$I$55,7,0))</f>
        <v>0</v>
      </c>
      <c r="Z89" s="21">
        <f>EXP(-LN(2)/35)*Z88+(1-EXP(-LN(2)/35))/(LN(2)/35)*V89*W89*VLOOKUP('Données projet'!$B$9,Paramètres!$A$1:$I$89,3,0)*0.475*44/12</f>
        <v>1.0193333354099794</v>
      </c>
      <c r="AA89" s="21">
        <f>EXP(-LN(2)/25)*AA88+(1-EXP(-LN(2)/25))/(LN(2)/25)*Calculateur!V89*Calculateur!X89*VLOOKUP('Données projet'!$B$9,Paramètres!$A$1:$I$89,3,0)*0.475*44/12</f>
        <v>3.3785686506614181</v>
      </c>
      <c r="AB89" s="21">
        <f>EXP(-LN(2)/2)*AB88+(1-EXP(-LN(2)/2))/(LN(2)/2)*V89*Y89*VLOOKUP('Données projet'!$B$9,Paramètres!$A$1:$I$89,3,0)*0.475*44/12</f>
        <v>6.3056203702616171E-9</v>
      </c>
      <c r="AC89" s="22">
        <f t="shared" si="57"/>
        <v>4.397901992377018</v>
      </c>
      <c r="AD89" s="13">
        <f>('Scénario référence'!$F$8+'Scénario référence'!$F$9+'Scénario référence'!$B$17+'Scénario référence'!$B$9+'Scénario référence'!$B$10)*70+IF((45+25*(1-EXP(-0.0175*A89)))&lt;70,'Scénario référence'!$B$16*(45+25*(1-EXP(-0.0175*A89))),70*'Scénario référence'!$B$16)+IF((32+38*(1-EXP(-0.0175*A89)))&lt;70,'Scénario référence'!$B$18*(32+38*(1-EXP(-0.0175*A89))),70*'Scénario référence'!$B$18)</f>
        <v>70</v>
      </c>
      <c r="AE89" s="13">
        <f>IF(A89&gt;30,10,('Scénario référence'!$B$16+'Scénario référence'!$B$17+'Scénario référence'!$B$18+'Scénario référence'!$B$9+'Scénario référence'!$B$10)*A89*10/30+('Scénario référence'!$F$8+'Scénario référence'!$F$9)*10)</f>
        <v>10</v>
      </c>
      <c r="AF89" s="12" t="e">
        <f>VLOOKUP(A89,'Données projet'!$A$61:$I$81,2,0)</f>
        <v>#N/A</v>
      </c>
      <c r="AG89" s="12" t="e">
        <f>VLOOKUP(A89,'Données projet'!$A$61:$I$81,9,0)</f>
        <v>#N/A</v>
      </c>
      <c r="AH89" s="12">
        <f t="array" ref="AH89">INDEX(AG:AG,MIN(IF(ISNUMBER(AG89:AG285),ROW(AG89:AG285),"")))</f>
        <v>0</v>
      </c>
      <c r="AI89" s="13">
        <f>IF('Données projet'!$A$62&gt;35,AI88+AH89-AQ88,IF(A89&lt;'Données projet'!$A$62,$AF$205^A89,IF(A89='Données projet'!$A$62,'Données projet'!$B$62,AI88+AH89-AQ88)))</f>
        <v>0</v>
      </c>
      <c r="AJ89" s="13">
        <f>AI89*VLOOKUP('Données projet'!$B$10,Paramètres!$A$1:$I$89,3,0)*VLOOKUP('Données projet'!$B$10,Paramètres!$A$1:$I$89,5,0)</f>
        <v>0</v>
      </c>
      <c r="AK89" s="13" t="e">
        <f t="shared" si="89"/>
        <v>#NUM!</v>
      </c>
      <c r="AL89" s="20" t="e">
        <f t="shared" si="58"/>
        <v>#NUM!</v>
      </c>
      <c r="AM89" s="59" t="e">
        <f t="shared" si="59"/>
        <v>#NUM!</v>
      </c>
      <c r="AN89" s="59">
        <f ca="1">AVERAGE(OFFSET($AM$3,0,0,'Données projet'!$E$10+1,1))-AVERAGE(OFFSET($H$3,0,0,'Données projet'!$E$10+1,1))</f>
        <v>261.78489480911571</v>
      </c>
      <c r="AO89" s="59">
        <f t="shared" si="90"/>
        <v>297.50513563712764</v>
      </c>
      <c r="AP89" s="15">
        <f>IF(ISNA(VLOOKUP(A89,'Données projet'!$A$61:$I$81,3,0)),0,VLOOKUP(A89,'Données projet'!$A$61:$I$81,3,0))</f>
        <v>0</v>
      </c>
      <c r="AQ89" s="15">
        <f>IF(ISNA(VLOOKUP(A89,'Données projet'!$A$61:$I$81,4,0)),0,VLOOKUP(A89,'Données projet'!$A$61:$I$81,4,0))</f>
        <v>0</v>
      </c>
      <c r="AR89" s="16">
        <f>IF(ISNA(VLOOKUP(A89,'Données projet'!$A$61:$I$81,5,0)),0%,VLOOKUP(A89,'Données projet'!$A$61:$I$81,5,0)*VLOOKUP('Données projet'!$B$10,Paramètres!$A$1:$I$89,7,0))</f>
        <v>0</v>
      </c>
      <c r="AS89" s="16">
        <f>IF(ISNA(VLOOKUP(A89,'Données projet'!$A$61:$I$81,6,0)),0%,VLOOKUP(A89,'Données projet'!$A$61:$I$81,6,0)*VLOOKUP('Données projet'!$B$10,Paramètres!$A$1:$I$89,7,0))</f>
        <v>0</v>
      </c>
      <c r="AT89" s="16">
        <f>IF(ISNA(VLOOKUP(A89,'Données projet'!$A$61:$I$81,7,0)),0%,VLOOKUP(A89,'Données projet'!$A$61:$I$81,7,0))</f>
        <v>0</v>
      </c>
      <c r="AU89" s="21">
        <f>EXP(-LN(2)/35)*AU88+(1-EXP(-LN(2)/35))/(LN(2)/35)*AQ89*AR89*VLOOKUP('Données projet'!$B$10,Paramètres!$A$1:$I$89,3,0)*0.475*44/12</f>
        <v>2.7524883226579866</v>
      </c>
      <c r="AV89" s="21">
        <f>EXP(-LN(2)/25)*AV88+(1-EXP(-LN(2)/25))/(LN(2)/25)*Calculateur!AQ89*Calculateur!AS89*VLOOKUP('Données projet'!$B$10,Paramètres!$A$1:$I$89,3,0)*0.475*44/12</f>
        <v>5.8996699598718072</v>
      </c>
      <c r="AW89" s="21">
        <f>EXP(-LN(2)/2)*AW88+(1-EXP(-LN(2)/2))/(LN(2)/2)*AQ89*AT89*VLOOKUP('Données projet'!$B$10,Paramètres!$A$1:$I$89,3,0)*0.475*44/12</f>
        <v>9.0901520613252669E-8</v>
      </c>
      <c r="AX89" s="21">
        <f t="shared" si="60"/>
        <v>8.6521583734313143</v>
      </c>
      <c r="AY89" s="74">
        <f>('Scénario référence'!$F$8+'Scénario référence'!$F$9+'Scénario référence'!$B$17+'Scénario référence'!$B$9+'Scénario référence'!$B$10)*70+IF((45+25*(1-EXP(-0.0175*A89)))&lt;70,'Scénario référence'!$B$16*(45+25*(1-EXP(-0.0175*A89))),70*'Scénario référence'!$B$16)+IF((32+38*(1-EXP(-0.0175*A89)))&lt;70,'Scénario référence'!$B$18*(32+38*(1-EXP(-0.0175*A89))),70*'Scénario référence'!$B$18)</f>
        <v>70</v>
      </c>
      <c r="AZ89" s="12">
        <f>IF(A89&gt;30,10,('Scénario référence'!$B$16+'Scénario référence'!$B$17+'Scénario référence'!$B$18+'Scénario référence'!$B$9+'Scénario référence'!$B$10)*A89*10/30+('Scénario référence'!$F$8+'Scénario référence'!$F$9)*10)</f>
        <v>10</v>
      </c>
      <c r="BA89" s="12" t="e">
        <f>VLOOKUP(A89,'Données projet'!$A$87:$I$107,2,0)</f>
        <v>#N/A</v>
      </c>
      <c r="BB89" s="12" t="e">
        <f>VLOOKUP(A89,'Données projet'!$A$87:$I$107,9,0)</f>
        <v>#N/A</v>
      </c>
      <c r="BC89" s="12">
        <f t="array" ref="BC89">INDEX(BB:BB,MIN(IF(ISNUMBER(BB89:BB285),ROW(BB89:BB285),"")))</f>
        <v>12.5</v>
      </c>
      <c r="BD89" s="12">
        <f>IF('Données projet'!$A$88&gt;35,BD88+BC89-BL88,IF(A89&lt;'Données projet'!$A$88,$BA$205^A89,IF(A89='Données projet'!$A$88,'Données projet'!$B$88,BD88+BC89-BL88)))</f>
        <v>586.99999999999955</v>
      </c>
      <c r="BE89" s="13">
        <f>BD89*VLOOKUP('Données projet'!$B$11,Paramètres!$A$1:$I$89,3,0)*VLOOKUP('Données projet'!$B$11,Paramètres!$A$1:$I$89,5,0)</f>
        <v>351.02599999999978</v>
      </c>
      <c r="BF89" s="13">
        <f t="shared" si="91"/>
        <v>81.773739289271361</v>
      </c>
      <c r="BG89" s="20">
        <f t="shared" si="61"/>
        <v>753.79287926214727</v>
      </c>
      <c r="BH89" s="59">
        <f t="shared" si="62"/>
        <v>1047.1262125954806</v>
      </c>
      <c r="BI89" s="59">
        <f ca="1">AVERAGE(OFFSET($BH$3,0,0,'Données projet'!$E$11+1,1))-AVERAGE(OFFSET($H$3,0,0,'Données projet'!$E$11+1,1))</f>
        <v>316.58509520829671</v>
      </c>
      <c r="BJ89" s="59">
        <f t="shared" si="92"/>
        <v>240.71332110643596</v>
      </c>
      <c r="BK89" s="15">
        <f>IF(ISNA(VLOOKUP(A89,'Données projet'!$A$87:$I$107,3,0)),0,VLOOKUP(A89,'Données projet'!$A$87:$I$107,3,0))</f>
        <v>0</v>
      </c>
      <c r="BL89" s="15">
        <f>IF(ISNA(VLOOKUP(A89,'Données projet'!$A$87:$I$107,4,0)),0,VLOOKUP(A89,'Données projet'!$A$87:$I$107,4,0))</f>
        <v>0</v>
      </c>
      <c r="BM89" s="16">
        <f>IF(ISNA(VLOOKUP(A89,'Données projet'!$A$87:$I$107,5,0)),0%,VLOOKUP(A89,'Données projet'!$A$87:$I$107,5,0)*VLOOKUP('Données projet'!$B$11,Paramètres!$A$1:$I$89,7,0))</f>
        <v>0</v>
      </c>
      <c r="BN89" s="16">
        <f>IF(ISNA(VLOOKUP(A89,'Données projet'!$A$87:$I$107,6,0)),0%,VLOOKUP(A89,'Données projet'!$A$87:$I$107,6,0)*VLOOKUP('Données projet'!$B$11,Paramètres!$A$1:$I$89,7,0))</f>
        <v>0</v>
      </c>
      <c r="BO89" s="16">
        <f>IF(ISNA(VLOOKUP(A89,'Données projet'!$A$87:$I$107,7,0)),0%,VLOOKUP(A89,'Données projet'!$A$87:$I$107,7,0))</f>
        <v>0</v>
      </c>
      <c r="BP89" s="21">
        <f>EXP(-LN(2)/35)*BP88+(1-EXP(-LN(2)/35))/(LN(2)/35)*BL89*BM89*VLOOKUP('Données projet'!$B$11,Paramètres!$A$1:$I$89,3,0)*0.475*44/12</f>
        <v>0.83608880783119277</v>
      </c>
      <c r="BQ89" s="21">
        <f>EXP(-LN(2)/25)*BQ88+(1-EXP(-LN(2)/25))/(LN(2)/25)*Calculateur!BL89*Calculateur!BN89*VLOOKUP('Données projet'!$B$11,Paramètres!$A$1:$I$89,3,0)*0.475*44/12</f>
        <v>3.2320113450397123</v>
      </c>
      <c r="BR89" s="21">
        <f>EXP(-LN(2)/2)*BR88+(1-EXP(-LN(2)/2))/(LN(2)/2)*BL89*BO89*VLOOKUP('Données projet'!$B$11,Paramètres!$A$1:$I$89,3,0)*0.475*44/12</f>
        <v>8.1730421893823454E-8</v>
      </c>
      <c r="BS89" s="22">
        <f t="shared" si="63"/>
        <v>4.0681002346013262</v>
      </c>
      <c r="BT89" s="75">
        <f>('Scénario référence'!$F$8+'Scénario référence'!$F$9+'Scénario référence'!$B$17+'Scénario référence'!$B$9+'Scénario référence'!$B$10)*70+IF((45+25*(1-EXP(-0.0175*A89)))&lt;70,'Scénario référence'!$B$16*(45+25*(1-EXP(-0.0175*A89))),70*'Scénario référence'!$B$16)+IF((32+38*(1-EXP(-0.0175*A89)))&lt;70,'Scénario référence'!$B$18*(32+38*(1-EXP(-0.0175*A89))),70*'Scénario référence'!$B$18)</f>
        <v>70</v>
      </c>
      <c r="BU89" s="12">
        <f>IF(A89&gt;30,10,('Scénario référence'!$B$16+'Scénario référence'!$B$17+'Scénario référence'!$B$18+'Scénario référence'!$B$9+'Scénario référence'!$B$10)*A89*10/30+('Scénario référence'!$F$8+'Scénario référence'!$F$9)*10)</f>
        <v>10</v>
      </c>
      <c r="BV89" s="12" t="e">
        <f>VLOOKUP(A89,'Données projet'!$A$113:$I$133,2,0)</f>
        <v>#N/A</v>
      </c>
      <c r="BW89" s="12" t="e">
        <f>VLOOKUP(A89,'Données projet'!$A$113:$I$133,9,0)</f>
        <v>#N/A</v>
      </c>
      <c r="BX89" s="12">
        <f t="array" ref="BX89">INDEX(BW:BW,MIN(IF(ISNUMBER(BW89:BW285),ROW(BW89:BW285),"")))</f>
        <v>3.8</v>
      </c>
      <c r="BY89" s="12">
        <f>IF('Données projet'!$A$114&gt;35,BY88+BX89-CG88,IF(A89&lt;'Données projet'!$A$114,$BV$205^A89,IF(A89='Données projet'!$A$114,'Données projet'!$B$114,BY88+BX89-CG88)))</f>
        <v>338.79999999999973</v>
      </c>
      <c r="BZ89" s="13">
        <f>BY89*VLOOKUP('Données projet'!$B$12,Paramètres!$A$1:$I$89,3,0)*VLOOKUP('Données projet'!$B$12,Paramètres!$A$1:$I$89,5,0)</f>
        <v>193.79359999999986</v>
      </c>
      <c r="CA89" s="13">
        <f t="shared" si="93"/>
        <v>48.377696499352545</v>
      </c>
      <c r="CB89" s="20">
        <f t="shared" si="64"/>
        <v>421.78167473637205</v>
      </c>
      <c r="CC89" s="59">
        <f t="shared" si="65"/>
        <v>715.11500806970537</v>
      </c>
      <c r="CD89" s="59">
        <f ca="1">AVERAGE(OFFSET($CC$3,0,0,'Données projet'!$E$12+1,1))-AVERAGE(OFFSET($H$3,0,0,'Données projet'!$E$12+1,1))</f>
        <v>188.64374818906128</v>
      </c>
      <c r="CE89" s="59">
        <f t="shared" si="94"/>
        <v>211.95157880548652</v>
      </c>
      <c r="CF89" s="15">
        <f>IF(ISNA(VLOOKUP(A89,'Données projet'!$A$113:$I$133,3,0)),0,VLOOKUP(A89,'Données projet'!$A$113:$I$133,3,0))</f>
        <v>0</v>
      </c>
      <c r="CG89" s="15">
        <f>IF(ISNA(VLOOKUP(A89,'Données projet'!$A$113:$I$133,4,0)),0,VLOOKUP(A89,'Données projet'!$A$113:$I$133,4,0))</f>
        <v>0</v>
      </c>
      <c r="CH89" s="16">
        <f>IF(ISNA(VLOOKUP(A89,'Données projet'!$A$113:$I$133,5,0)),0%,VLOOKUP(A89,'Données projet'!$A$113:$I$133,5,0)*VLOOKUP('Données projet'!$B$12,Paramètres!$A$1:$I$89,7,0))</f>
        <v>0</v>
      </c>
      <c r="CI89" s="16">
        <f>IF(ISNA(VLOOKUP(A89,'Données projet'!$A$113:$I$133,6,0)),0%,VLOOKUP(A89,'Données projet'!$A$113:$I$133,6,0)*VLOOKUP('Données projet'!$B$12,Paramètres!$A$1:$I$89,7,0))</f>
        <v>0</v>
      </c>
      <c r="CJ89" s="16">
        <f>IF(ISNA(VLOOKUP(A89,'Données projet'!$A$113:$I$133,7,0)),0%,VLOOKUP(A89,'Données projet'!$A$113:$I$133,7,0))</f>
        <v>0</v>
      </c>
      <c r="CK89" s="21">
        <f>EXP(-LN(2)/35)*CK88+(1-EXP(-LN(2)/35))/(LN(2)/35)*CG89*CH89*VLOOKUP('Données projet'!$B$12,Paramètres!$A$1:$I$89,3,0)*0.475*44/12</f>
        <v>0.81100102364029936</v>
      </c>
      <c r="CL89" s="21">
        <f>EXP(-LN(2)/25)*CL88+(1-EXP(-LN(2)/25))/(LN(2)/25)*Calculateur!CG89*Calculateur!CI89*VLOOKUP('Données projet'!$B$12,Paramètres!$A$1:$I$89,3,0)*0.475*44/12</f>
        <v>3.042042256385376</v>
      </c>
      <c r="CM89" s="21">
        <f>EXP(-LN(2)/2)*CM88+(1-EXP(-LN(2)/2))/(LN(2)/2)*CG89*CJ89*VLOOKUP('Données projet'!$B$12,Paramètres!$A$1:$I$89,3,0)*0.475*44/12</f>
        <v>7.9149518920988799E-8</v>
      </c>
      <c r="CN89" s="22">
        <f t="shared" si="66"/>
        <v>3.853043359175194</v>
      </c>
      <c r="CO89" s="75">
        <f>('Scénario référence'!$F$8+'Scénario référence'!$F$9+'Scénario référence'!$B$17+'Scénario référence'!$B$9+'Scénario référence'!$B$10)*70+IF((45+25*(1-EXP(-0.0175*A89)))&lt;70,'Scénario référence'!$B$16*(45+25*(1-EXP(-0.0175*A89))),70*'Scénario référence'!$B$16)+IF((32+38*(1-EXP(-0.0175*A89)))&lt;70,'Scénario référence'!$B$18*(32+38*(1-EXP(-0.0175*A89))),70*'Scénario référence'!$B$18)</f>
        <v>70</v>
      </c>
      <c r="CP89" s="12">
        <f>IF(A89&gt;30,10,('Scénario référence'!$B$16+'Scénario référence'!$B$17+'Scénario référence'!$B$18+'Scénario référence'!$B$9+'Scénario référence'!$B$10)*A89*10/30+('Scénario référence'!$F$8+'Scénario référence'!$F$9)*10)</f>
        <v>10</v>
      </c>
      <c r="CQ89" s="12" t="e">
        <f>VLOOKUP(A89,'Données projet'!$A$139:$I$159,2,0)</f>
        <v>#N/A</v>
      </c>
      <c r="CR89" s="12" t="e">
        <f>VLOOKUP(A89,'Données projet'!$A$139:$I$159,9,0)</f>
        <v>#N/A</v>
      </c>
      <c r="CS89" s="12">
        <f t="array" ref="CS89">INDEX(CR:CR,MIN(IF(ISNUMBER(CR89:CR285),ROW(CR89:CR285),"")))</f>
        <v>0</v>
      </c>
      <c r="CT89" s="12">
        <f>IF('Données projet'!$A$140&gt;35,CT88+CS89-DB88,IF(A89&lt;'Données projet'!$A$140,$CQ$205^A89,IF(A89='Données projet'!$A$140,'Données projet'!$B$140,CT88+CS89-DB88)))</f>
        <v>0</v>
      </c>
      <c r="CU89" s="17" t="e">
        <f>CT89*VLOOKUP('Données projet'!$B$13,Paramètres!$A$1:$I$89,3,0)*VLOOKUP('Données projet'!$B$13,Paramètres!$A$1:$I$89,5,0)</f>
        <v>#N/A</v>
      </c>
      <c r="CV89" s="13" t="e">
        <f t="shared" si="95"/>
        <v>#N/A</v>
      </c>
      <c r="CW89" s="20" t="e">
        <f t="shared" si="67"/>
        <v>#N/A</v>
      </c>
      <c r="CX89" s="59" t="e">
        <f t="shared" si="68"/>
        <v>#N/A</v>
      </c>
      <c r="CY89" s="59" t="e">
        <f ca="1">AVERAGE(OFFSET($CX$3,0,0,'Données projet'!$E$13+1,1))-AVERAGE(OFFSET($H$3,0,0,'Données projet'!$E$13+1,1))</f>
        <v>#N/A</v>
      </c>
      <c r="CZ89" s="59" t="e">
        <f t="shared" si="96"/>
        <v>#N/A</v>
      </c>
      <c r="DA89" s="15">
        <f>IF(ISNA(VLOOKUP(A89,'Données projet'!$A$139:$I$159,3,0)),0,VLOOKUP(A89,'Données projet'!$A$139:$I$159,3,0))</f>
        <v>0</v>
      </c>
      <c r="DB89" s="15">
        <f>IF(ISNA(VLOOKUP(A89,'Données projet'!$A$139:$I$159,4,0)),0,VLOOKUP(A89,'Données projet'!$A$139:$I$159,4,0))</f>
        <v>0</v>
      </c>
      <c r="DC89" s="16">
        <f>IF(ISNA(VLOOKUP(A89,'Données projet'!$A$139:$I$159,5,0)),0%,VLOOKUP(A89,'Données projet'!$A$139:$I$159,5,0)*VLOOKUP('Données projet'!$B$13,Paramètres!$A$1:$I$89,7,0))</f>
        <v>0</v>
      </c>
      <c r="DD89" s="16">
        <f>IF(ISNA(VLOOKUP(A89,'Données projet'!$A$139:$I$159,6,0)),0%,VLOOKUP(A89,'Données projet'!$A$139:$I$159,6,0)*VLOOKUP('Données projet'!$B$13,Paramètres!$A$1:$I$89,7,0))</f>
        <v>0</v>
      </c>
      <c r="DE89" s="16">
        <f>IF(ISNA(VLOOKUP(A89,'Données projet'!$A$139:$I$159,7,0)),0%,VLOOKUP(A89,'Données projet'!$A$139:$I$159,7,0))</f>
        <v>0</v>
      </c>
      <c r="DF89" s="21" t="e">
        <f>EXP(-LN(2)/35)*DF88+(1-EXP(-LN(2)/35))/(LN(2)/35)*DB89*DC89*VLOOKUP('Données projet'!$B$13,Paramètres!$A$1:$I$89,3,0)*0.475*44/12</f>
        <v>#N/A</v>
      </c>
      <c r="DG89" s="21" t="e">
        <f>EXP(-LN(2)/25)*DG88+(1-EXP(-LN(2)/25))/(LN(2)/25)*Calculateur!DB89*Calculateur!DD89*VLOOKUP('Données projet'!$B$13,Paramètres!$A$1:$I$89,3,0)*0.475*44/12</f>
        <v>#N/A</v>
      </c>
      <c r="DH89" s="21" t="e">
        <f>EXP(-LN(2)/2)*DH88+(1-EXP(-LN(2)/2))/(LN(2)/2)*DB89*DE89*VLOOKUP('Données projet'!$B$13,Paramètres!$A$1:$I$89,3,0)*0.475*44/12</f>
        <v>#N/A</v>
      </c>
      <c r="DI89" s="22" t="e">
        <f t="shared" si="69"/>
        <v>#N/A</v>
      </c>
      <c r="DJ89" s="75">
        <f>('Scénario référence'!$F$8+'Scénario référence'!$F$9+'Scénario référence'!$B$17+'Scénario référence'!$B$9+'Scénario référence'!$B$10)*70+IF((45+25*(1-EXP(-0.0175*A89)))&lt;70,'Scénario référence'!$B$16*(45+25*(1-EXP(-0.0175*A89))),70*'Scénario référence'!$B$16)+IF((32+38*(1-EXP(-0.0175*A89)))&lt;70,'Scénario référence'!$B$18*(32+38*(1-EXP(-0.0175*A89))),70*'Scénario référence'!$B$18)</f>
        <v>70</v>
      </c>
      <c r="DK89" s="12">
        <f>IF(A89&gt;30,10,('Scénario référence'!$B$16+'Scénario référence'!$B$17+'Scénario référence'!$B$18+'Scénario référence'!$B$9+'Scénario référence'!$B$10)*A89*10/30+('Scénario référence'!$F$8+'Scénario référence'!$F$9)*10)</f>
        <v>10</v>
      </c>
      <c r="DL89" s="12" t="e">
        <f>VLOOKUP(A89,'Données projet'!$A$165:$I$185,2,0)</f>
        <v>#N/A</v>
      </c>
      <c r="DM89" s="12" t="e">
        <f>VLOOKUP(A89,'Données projet'!$A$165:$I$185,9,0)</f>
        <v>#N/A</v>
      </c>
      <c r="DN89" s="12">
        <f t="array" ref="DN89">INDEX(DM:DM,MIN(IF(ISNUMBER(DM89:DM285),ROW(DM89:DM285),"")))</f>
        <v>4</v>
      </c>
      <c r="DO89" s="12">
        <f>IF('Données projet'!$A$166&gt;35,DO88+DN89-DW88,IF(A89&lt;'Données projet'!$A$166,$DL$205^A89,IF(A89='Données projet'!$A$166,'Données projet'!$B$166,DO88+DN89-DW88)))</f>
        <v>283.00000000000017</v>
      </c>
      <c r="DP89" s="17">
        <f>DO89*VLOOKUP('Données projet'!$B$14,Paramètres!$A$1:$I$89,3,0)*VLOOKUP('Données projet'!$B$14,Paramètres!$A$1:$I$89,5,0)</f>
        <v>185.42160000000013</v>
      </c>
      <c r="DQ89" s="13">
        <f t="shared" si="97"/>
        <v>46.526301148997497</v>
      </c>
      <c r="DR89" s="20">
        <f t="shared" si="70"/>
        <v>403.97592783450415</v>
      </c>
      <c r="DS89" s="59">
        <f t="shared" si="71"/>
        <v>697.30926116783746</v>
      </c>
      <c r="DT89" s="59">
        <f ca="1">AVERAGE(OFFSET($DS$3,0,0,'Données projet'!$E$14+1,1))-AVERAGE(OFFSET($H$3,0,0,'Données projet'!$E$14+1,1))</f>
        <v>188.68915783955595</v>
      </c>
      <c r="DU89" s="59">
        <f t="shared" si="98"/>
        <v>240.82467772396944</v>
      </c>
      <c r="DV89" s="15">
        <f>IF(ISNA(VLOOKUP(A89,'Données projet'!$A$165:$I$185,3,0)),0,VLOOKUP(A89,'Données projet'!$A$165:$I$185,3,0))</f>
        <v>0</v>
      </c>
      <c r="DW89" s="15">
        <f>IF(ISNA(VLOOKUP(A89,'Données projet'!$A$165:$I$185,4,0)),0,VLOOKUP(A89,'Données projet'!$A$165:$I$185,4,0))</f>
        <v>0</v>
      </c>
      <c r="DX89" s="16">
        <f>IF(ISNA(VLOOKUP(A89,'Données projet'!$A$165:$I$185,5,0)),0%,VLOOKUP(A89,'Données projet'!$A$165:$I$185,5,0)*VLOOKUP('Données projet'!$B$14,Paramètres!$A$1:$I$89,7,0))</f>
        <v>0</v>
      </c>
      <c r="DY89" s="16">
        <f>IF(ISNA(VLOOKUP(A89,'Données projet'!$A$165:$I$185,6,0)),0%,VLOOKUP(A89,'Données projet'!$A$165:$I$185,6,0)*VLOOKUP('Données projet'!$B$14,Paramètres!$A$1:$I$89,7,0))</f>
        <v>0</v>
      </c>
      <c r="DZ89" s="16">
        <f>IF(ISNA(VLOOKUP(A89,'Données projet'!$A$165:$I$185,7,0)),0%,VLOOKUP(A89,'Données projet'!$A$165:$I$185,7,0))</f>
        <v>0</v>
      </c>
      <c r="EA89" s="21">
        <f>EXP(-LN(2)/35)*EA88+(1-EXP(-LN(2)/35))/(LN(2)/35)*DW89*DX89*VLOOKUP('Données projet'!$B$14,Paramètres!$A$1:$I$89,3,0)*0.475*44/12</f>
        <v>0.51370224771828732</v>
      </c>
      <c r="EB89" s="21">
        <f>EXP(-LN(2)/25)*EB88+(1-EXP(-LN(2)/25))/(LN(2)/25)*Calculateur!DW89*Calculateur!DY89*VLOOKUP('Données projet'!$B$14,Paramètres!$A$1:$I$89,3,0)*0.475*44/12</f>
        <v>1.7015408954840212</v>
      </c>
      <c r="EC89" s="21">
        <f>EXP(-LN(2)/2)*EC88+(1-EXP(-LN(2)/2))/(LN(2)/2)*DW89*DZ89*VLOOKUP('Données projet'!$B$14,Paramètres!$A$1:$I$89,3,0)*0.475*44/12</f>
        <v>5.2140682884332117E-8</v>
      </c>
      <c r="ED89" s="22">
        <f t="shared" si="72"/>
        <v>2.2152431953429916</v>
      </c>
      <c r="EE89" s="75">
        <f>('Scénario référence'!$F$8+'Scénario référence'!$F$9+'Scénario référence'!$B$17+'Scénario référence'!$B$9+'Scénario référence'!$B$10)*70+IF((45+25*(1-EXP(-0.0175*A89)))&lt;70,'Scénario référence'!$B$16*(45+25*(1-EXP(-0.0175*A89))),70*'Scénario référence'!$B$16)+IF((32+38*(1-EXP(-0.0175*A89)))&lt;70,'Scénario référence'!$B$18*(32+38*(1-EXP(-0.0175*A89))),70*'Scénario référence'!$B$18)</f>
        <v>70</v>
      </c>
      <c r="EF89" s="12">
        <f>IF(A89&gt;30,10,('Scénario référence'!$B$16+'Scénario référence'!$B$17+'Scénario référence'!$B$18+'Scénario référence'!$B$9+'Scénario référence'!$B$10)*A89*10/30+('Scénario référence'!$F$8+'Scénario référence'!$F$9)*10)</f>
        <v>10</v>
      </c>
      <c r="EG89" s="12" t="e">
        <f>VLOOKUP(A89,'Données projet'!$A$191:$I$211,2,0)</f>
        <v>#N/A</v>
      </c>
      <c r="EH89" s="12" t="e">
        <f>VLOOKUP(A89,'Données projet'!$A$191:$I$211,9,0)</f>
        <v>#N/A</v>
      </c>
      <c r="EI89" s="12">
        <f t="array" ref="EI89">INDEX(EH:EH,MIN(IF(ISNUMBER(EH89:EH285),ROW(EH89:EH285),"")))</f>
        <v>4.7</v>
      </c>
      <c r="EJ89" s="12">
        <f>IF('Données projet'!$A$192&gt;35,EJ88+EI89-ER88,IF(A89&lt;'Données projet'!$A$192,$EG$205^A89,IF(A89='Données projet'!$A$192,'Données projet'!$B$192,EJ88+EI89-ER88)))</f>
        <v>288.19999999999976</v>
      </c>
      <c r="EK89" s="17">
        <f>EJ89*VLOOKUP('Données projet'!$B$15,Paramètres!$A$1:$I$89,3,0)*VLOOKUP('Données projet'!$B$15,Paramètres!$A$1:$I$89,5,0)</f>
        <v>233.78783999999985</v>
      </c>
      <c r="EL89" s="13">
        <f t="shared" si="99"/>
        <v>57.100920847849451</v>
      </c>
      <c r="EM89" s="20">
        <f t="shared" si="73"/>
        <v>506.63125847667089</v>
      </c>
      <c r="EN89" s="59">
        <f t="shared" si="74"/>
        <v>799.96459181000421</v>
      </c>
      <c r="EO89" s="59">
        <f ca="1">AVERAGE(OFFSET($EN$3,0,0,'Données projet'!$E$15+1,1))-AVERAGE(OFFSET($H$3,0,0,'Données projet'!$E$15+1,1))</f>
        <v>205.5272583787887</v>
      </c>
      <c r="EP89" s="59">
        <f t="shared" si="100"/>
        <v>180.54762778843178</v>
      </c>
      <c r="EQ89" s="15">
        <f>IF(ISNA(VLOOKUP(A89,'Données projet'!$A$191:$I$211,3,0)),0,VLOOKUP(A89,'Données projet'!$A$191:$I$211,3,0))</f>
        <v>0</v>
      </c>
      <c r="ER89" s="15">
        <f>IF(ISNA(VLOOKUP(A89,'Données projet'!$A$191:$I$211,4,0)),0,VLOOKUP(A89,'Données projet'!$A$191:$I$211,4,0))</f>
        <v>0</v>
      </c>
      <c r="ES89" s="16">
        <f>IF(ISNA(VLOOKUP(A89,'Données projet'!$A$191:$I$211,5,0)),0%,VLOOKUP(A89,'Données projet'!$A$191:$I$211,5,0)*VLOOKUP('Données projet'!$B$15,Paramètres!$A$1:$I$89,7,0))</f>
        <v>0</v>
      </c>
      <c r="ET89" s="16">
        <f>IF(ISNA(VLOOKUP(A89,'Données projet'!$A$191:$I$211,6,0)),0%,VLOOKUP(A89,'Données projet'!$A$191:$I$211,6,0)*VLOOKUP('Données projet'!$B$15,Paramètres!$A$1:$I$89,7,0))</f>
        <v>0</v>
      </c>
      <c r="EU89" s="16">
        <f>IF(ISNA(VLOOKUP(A89,'Données projet'!$A$191:$I$211,7,0)),0%,VLOOKUP(A89,'Données projet'!$A$191:$I$211,7,0))</f>
        <v>0</v>
      </c>
      <c r="EV89" s="21">
        <f>EXP(-LN(2)/35)*EV88+(1-EXP(-LN(2)/35))/(LN(2)/35)*ER89*ES89*VLOOKUP('Données projet'!$B$15,Paramètres!$A$1:$I$89,3,0)*0.475*44/12</f>
        <v>0.3307263994833925</v>
      </c>
      <c r="EW89" s="21">
        <f>EXP(-LN(2)/25)*EW88+(1-EXP(-LN(2)/25))/(LN(2)/25)*Calculateur!ER89*Calculateur!ET89*VLOOKUP('Données projet'!$B$15,Paramètres!$A$1:$I$89,3,0)*0.475*44/12</f>
        <v>1.2285641444243098</v>
      </c>
      <c r="EX89" s="21">
        <f>EXP(-LN(2)/2)*EX88+(1-EXP(-LN(2)/2))/(LN(2)/2)*ER89*EU89*VLOOKUP('Données projet'!$B$15,Paramètres!$A$1:$I$89,3,0)*0.475*44/12</f>
        <v>3.3761130721792365E-8</v>
      </c>
      <c r="EY89" s="22">
        <f t="shared" si="75"/>
        <v>1.5592905776688331</v>
      </c>
      <c r="EZ89" s="75">
        <f>('Scénario référence'!$F$8+'Scénario référence'!$F$9+'Scénario référence'!$B$17+'Scénario référence'!$B$9+'Scénario référence'!$B$10)*70+IF((45+25*(1-EXP(-0.0175*A89)))&lt;70,'Scénario référence'!$B$16*(45+25*(1-EXP(-0.0175*A89))),70*'Scénario référence'!$B$16)+IF((32+38*(1-EXP(-0.0175*A89)))&lt;70,'Scénario référence'!$B$18*(32+38*(1-EXP(-0.0175*A89))),70*'Scénario référence'!$B$18)</f>
        <v>70</v>
      </c>
      <c r="FA89" s="12">
        <f>IF(A89&gt;30,10,('Scénario référence'!$B$16+'Scénario référence'!$B$17+'Scénario référence'!$B$18+'Scénario référence'!$B$9+'Scénario référence'!$B$10)*A89*10/30+('Scénario référence'!$F$8+'Scénario référence'!$F$9)*10)</f>
        <v>10</v>
      </c>
      <c r="FB89" s="12" t="e">
        <f>VLOOKUP(A89,'Données projet'!$A$217:$I$237,2,0)</f>
        <v>#N/A</v>
      </c>
      <c r="FC89" s="12" t="e">
        <f>VLOOKUP(A89,'Données projet'!$A$217:$I$237,9,0)</f>
        <v>#N/A</v>
      </c>
      <c r="FD89" s="12">
        <f t="array" ref="FD89">INDEX(FC:FC,MIN(IF(ISNUMBER(FC89:FC285),ROW(FC89:FC285),"")))</f>
        <v>10.9</v>
      </c>
      <c r="FE89" s="12">
        <f>IF('Données projet'!$A$218&gt;35,FE88+FD89-FM88,IF(A89&lt;'Données projet'!$A$218,$FB$205^A89,IF(A89='Données projet'!$A$218,'Données projet'!$B$218,FE88+FD89-FM88)))</f>
        <v>377.40000000000003</v>
      </c>
      <c r="FF89" s="17">
        <f>FE89*VLOOKUP('Données projet'!$B$16,Paramètres!$A$1:$I$89,3,0)*VLOOKUP('Données projet'!$B$16,Paramètres!$A$1:$I$89,5,0)</f>
        <v>323.80920000000003</v>
      </c>
      <c r="FG89" s="13">
        <f t="shared" si="101"/>
        <v>76.145385123817718</v>
      </c>
      <c r="FH89" s="20">
        <f t="shared" si="76"/>
        <v>696.58756909064925</v>
      </c>
      <c r="FI89" s="59">
        <f t="shared" si="77"/>
        <v>989.92090242398262</v>
      </c>
      <c r="FJ89" s="59">
        <f ca="1">AVERAGE(OFFSET($FI$3,0,0,'Données projet'!$E$16+1,1))-AVERAGE(OFFSET($H$3,0,0,'Données projet'!$E$16+1,1))</f>
        <v>383.97627237444709</v>
      </c>
      <c r="FK89" s="59">
        <f t="shared" si="102"/>
        <v>203.35476578922339</v>
      </c>
      <c r="FL89" s="15">
        <f>IF(ISNA(VLOOKUP(A89,'Données projet'!$A$217:$I$237,3,0)),0,VLOOKUP(A89,'Données projet'!$A$217:$I$237,3,0))</f>
        <v>0</v>
      </c>
      <c r="FM89" s="15">
        <f>IF(ISNA(VLOOKUP(A89,'Données projet'!$A$217:$I$237,4,0)),0,VLOOKUP(A89,'Données projet'!$A$217:$I$237,4,0))</f>
        <v>0</v>
      </c>
      <c r="FN89" s="16">
        <f>IF(ISNA(VLOOKUP(A89,'Données projet'!$A$217:$I$237,5,0)),0%,VLOOKUP(A89,'Données projet'!$A$217:$I$237,5,0)*VLOOKUP('Données projet'!$B$16,Paramètres!$A$1:$I$89,7,0))</f>
        <v>0</v>
      </c>
      <c r="FO89" s="16">
        <f>IF(ISNA(VLOOKUP(A89,'Données projet'!$A$217:$I$237,6,0)),0%,VLOOKUP(A89,'Données projet'!$A$217:$I$237,6,0)*VLOOKUP('Données projet'!$B$16,Paramètres!$A$1:$I$89,7,0))</f>
        <v>0</v>
      </c>
      <c r="FP89" s="16">
        <f>IF(ISNA(VLOOKUP(A89,'Données projet'!$A$217:$I$237,7,0)),0%,VLOOKUP(A89,'Données projet'!$A$217:$I$237,7,0))</f>
        <v>0</v>
      </c>
      <c r="FQ89" s="21">
        <f>EXP(-LN(2)/35)*FQ88+(1-EXP(-LN(2)/35))/(LN(2)/35)*FM89*FN89*VLOOKUP('Données projet'!$B$16,Paramètres!$A$1:$I$89,3,0)*0.475*44/12</f>
        <v>1.6997542673325359</v>
      </c>
      <c r="FR89" s="21">
        <f>EXP(-LN(2)/25)*FR88+(1-EXP(-LN(2)/25))/(LN(2)/25)*Calculateur!FM89*Calculateur!FO89*VLOOKUP('Données projet'!$B$16,Paramètres!$A$1:$I$89,3,0)*0.475*44/12</f>
        <v>1.2471195907632071</v>
      </c>
      <c r="FS89" s="21">
        <f>EXP(-LN(2)/2)*FS88+(1-EXP(-LN(2)/2))/(LN(2)/2)*FM89*FP89*VLOOKUP('Données projet'!$B$16,Paramètres!$A$1:$I$89,3,0)*0.475*44/12</f>
        <v>6.2012268348745599E-8</v>
      </c>
      <c r="FT89" s="22">
        <f t="shared" si="78"/>
        <v>2.9468739201080112</v>
      </c>
      <c r="FU89" s="75">
        <f>('Scénario référence'!$F$8+'Scénario référence'!$F$9+'Scénario référence'!$B$17+'Scénario référence'!$B$9+'Scénario référence'!$B$10)*70+IF((45+25*(1-EXP(-0.0175*A89)))&lt;70,'Scénario référence'!$B$16*(45+25*(1-EXP(-0.0175*A89))),70*'Scénario référence'!$B$16)+IF((32+38*(1-EXP(-0.0175*A89)))&lt;70,'Scénario référence'!$B$18*(32+38*(1-EXP(-0.0175*A89))),70*'Scénario référence'!$B$18)</f>
        <v>70</v>
      </c>
      <c r="FV89" s="12">
        <f>IF(A89&gt;30,10,('Scénario référence'!$B$16+'Scénario référence'!$B$17+'Scénario référence'!$B$18+'Scénario référence'!$B$9+'Scénario référence'!$B$10)*A89*10/30+('Scénario référence'!$F$8+'Scénario référence'!$F$9)*10)</f>
        <v>10</v>
      </c>
      <c r="FW89" s="12" t="e">
        <f>VLOOKUP(A89,'Données projet'!$A$243:$I$263,2,0)</f>
        <v>#N/A</v>
      </c>
      <c r="FX89" s="12" t="e">
        <f>VLOOKUP(A89,'Données projet'!$A$243:$I$263,9,0)</f>
        <v>#N/A</v>
      </c>
      <c r="FY89" s="12">
        <f t="array" ref="FY89">INDEX(FX:FX,MIN(IF(ISNUMBER(FX89:FX285),ROW(FX89:FX285),"")))</f>
        <v>7.4950142450142483</v>
      </c>
      <c r="FZ89" s="12">
        <f>IF('Données projet'!$A$244&gt;35,FZ88+FY89-GH88,IF(A89&lt;'Données projet'!$A$244,$FW$205^A89,IF(A89='Données projet'!$A$244,'Données projet'!$B$244,FZ88+FY89-GH88)))</f>
        <v>273.3739316239317</v>
      </c>
      <c r="GA89" s="17">
        <f>FZ89*VLOOKUP('Données projet'!$B$17,Paramètres!$A$1:$I$89,3,0)*VLOOKUP('Données projet'!$B$17,Paramètres!$A$1:$I$89,5,0)</f>
        <v>294.25970000000007</v>
      </c>
      <c r="GB89" s="13">
        <f t="shared" si="103"/>
        <v>69.971726354171977</v>
      </c>
      <c r="GC89" s="20">
        <f t="shared" si="79"/>
        <v>634.3697342335164</v>
      </c>
      <c r="GD89" s="59">
        <f t="shared" si="80"/>
        <v>927.70306756684977</v>
      </c>
      <c r="GE89" s="59">
        <f ca="1">AVERAGE(OFFSET($GD$3,0,0,'Données projet'!$E$17+1,1))-AVERAGE(OFFSET($H$3,0,0,'Données projet'!$E$17+1,1))</f>
        <v>286.77702855541287</v>
      </c>
      <c r="GF89" s="59">
        <f t="shared" si="104"/>
        <v>227.12211541860779</v>
      </c>
      <c r="GG89" s="15">
        <f>IF(ISNA(VLOOKUP(A89,'Données projet'!$A$243:$I$263,3,0)),0,VLOOKUP(A89,'Données projet'!$A$243:$I$263,3,0))</f>
        <v>0</v>
      </c>
      <c r="GH89" s="15">
        <f>IF(ISNA(VLOOKUP(A89,'Données projet'!$A$243:$I$263,4,0)),0,VLOOKUP(A89,'Données projet'!$A$243:$I$263,4,0))</f>
        <v>0</v>
      </c>
      <c r="GI89" s="16">
        <f>IF(ISNA(VLOOKUP(A89,'Données projet'!$A$243:$I$263,5,0)),0%,VLOOKUP(A89,'Données projet'!$A$243:$I$263,5,0)*VLOOKUP('Données projet'!$B$17,Paramètres!$A$1:$I$89,7,0))</f>
        <v>0</v>
      </c>
      <c r="GJ89" s="16">
        <f>IF(ISNA(VLOOKUP(A89,'Données projet'!$A$243:$I$263,6,0)),0%,VLOOKUP(A89,'Données projet'!$A$243:$I$263,6,0)*VLOOKUP('Données projet'!$B$17,Paramètres!$A$1:$I$89,7,0))</f>
        <v>0</v>
      </c>
      <c r="GK89" s="16">
        <f>IF(ISNA(VLOOKUP(A89,'Données projet'!$A$243:$I$263,7,0)),0%,VLOOKUP(A89,'Données projet'!$A$243:$I$263,7,0))</f>
        <v>0</v>
      </c>
      <c r="GL89" s="21">
        <f>EXP(-LN(2)/35)*GL88+(1-EXP(-LN(2)/35))/(LN(2)/35)*GH89*GI89*VLOOKUP('Données projet'!$B$17,Paramètres!$A$1:$I$89,3,0)*0.475*44/12</f>
        <v>0</v>
      </c>
      <c r="GM89" s="21">
        <f>EXP(-LN(2)/25)*GM88+(1-EXP(-LN(2)/25))/(LN(2)/25)*Calculateur!GH89*Calculateur!GJ89*VLOOKUP('Données projet'!$B$17,Paramètres!$A$1:$I$89,3,0)*0.475*44/12</f>
        <v>0</v>
      </c>
      <c r="GN89" s="21">
        <f>EXP(-LN(2)/2)*GN88+(1-EXP(-LN(2)/2))/(LN(2)/2)*GH89*GK89*VLOOKUP('Données projet'!$B$17,Paramètres!$A$1:$I$89,3,0)*0.475*44/12</f>
        <v>0</v>
      </c>
      <c r="GO89" s="21">
        <f t="shared" si="81"/>
        <v>0</v>
      </c>
      <c r="GP89" s="75">
        <f>('Scénario référence'!$F$8+'Scénario référence'!$F$9+'Scénario référence'!$B$17+'Scénario référence'!$B$9+'Scénario référence'!$B$10)*70+IF((45+25*(1-EXP(-0.0175*A89)))&lt;70,'Scénario référence'!$B$16*(45+25*(1-EXP(-0.0175*A89))),70*'Scénario référence'!$B$16)+IF((32+38*(1-EXP(-0.0175*A89)))&lt;70,'Scénario référence'!$B$18*(32+38*(1-EXP(-0.0175*A89))),70*'Scénario référence'!$B$18)</f>
        <v>70</v>
      </c>
      <c r="GQ89" s="12">
        <f>IF(A89&gt;30,10,('Scénario référence'!$B$16+'Scénario référence'!$B$17+'Scénario référence'!$B$18+'Scénario référence'!$B$9+'Scénario référence'!$B$10)*A89*10/30+('Scénario référence'!$F$8+'Scénario référence'!$F$9)*10)</f>
        <v>10</v>
      </c>
      <c r="GR89" s="12" t="e">
        <f>VLOOKUP(A89,'Données projet'!$A$269:$I$289,2,0)</f>
        <v>#N/A</v>
      </c>
      <c r="GS89" s="12" t="e">
        <f>VLOOKUP(A89,'Données projet'!$A$269:$I$289,9,0)</f>
        <v>#N/A</v>
      </c>
      <c r="GT89" s="12">
        <f t="array" ref="GT89">INDEX(GS:GS,MIN(IF(ISNUMBER(GS89:GS285),ROW(GS89:GS285),"")))</f>
        <v>7.4950142450142483</v>
      </c>
      <c r="GU89" s="12">
        <f>IF('Données projet'!$A$270&gt;35,GU88+GT89-HC88,IF(A89&lt;'Données projet'!$A$270,$GR$205^A89,IF(A89='Données projet'!$A$270,'Données projet'!$B$270,GU88+GT89-HC88)))</f>
        <v>273.3739316239317</v>
      </c>
      <c r="GV89" s="17">
        <f>GU89*VLOOKUP('Données projet'!$B$18,Paramètres!$A$1:$I$89,3,0)*VLOOKUP('Données projet'!$B$18,Paramètres!$A$1:$I$89,5,0)</f>
        <v>294.25970000000007</v>
      </c>
      <c r="GW89" s="13">
        <f t="shared" si="105"/>
        <v>69.971726354171977</v>
      </c>
      <c r="GX89" s="20">
        <f t="shared" si="82"/>
        <v>634.3697342335164</v>
      </c>
      <c r="GY89" s="59">
        <f t="shared" si="83"/>
        <v>927.70306756684977</v>
      </c>
      <c r="GZ89" s="59">
        <f ca="1">AVERAGE(OFFSET($GY$3,0,0,'Données projet'!$E$18+1,1))-AVERAGE(OFFSET($H$3,0,0,'Données projet'!$E$18+1,1))</f>
        <v>286.77702855541287</v>
      </c>
      <c r="HA89" s="59">
        <f t="shared" si="106"/>
        <v>227.12211541860779</v>
      </c>
      <c r="HB89" s="15">
        <f>IF(ISNA(VLOOKUP(A89,'Données projet'!$A$269:$I$289,3,0)),0,VLOOKUP(A89,'Données projet'!$A$269:$I$289,3,0))</f>
        <v>0</v>
      </c>
      <c r="HC89" s="15">
        <f>IF(ISNA(VLOOKUP(A89,'Données projet'!$A$269:$I$289,4,0)),0,VLOOKUP(A89,'Données projet'!$A$269:$I$289,4,0))</f>
        <v>0</v>
      </c>
      <c r="HD89" s="16">
        <f>IF(ISNA(VLOOKUP(A89,'Données projet'!$A$269:$I$289,5,0)),0%,VLOOKUP(A89,'Données projet'!$A$269:$I$289,5,0)*VLOOKUP('Données projet'!$B$18,Paramètres!$A$1:$I$89,7,0))</f>
        <v>0</v>
      </c>
      <c r="HE89" s="16">
        <f>IF(ISNA(VLOOKUP(A89,'Données projet'!$A$269:$I$289,6,0)),0%,VLOOKUP(A89,'Données projet'!$A$269:$I$289,6,0)*VLOOKUP('Données projet'!$B$18,Paramètres!$A$1:$I$89,7,0))</f>
        <v>0</v>
      </c>
      <c r="HF89" s="16">
        <f>IF(ISNA(VLOOKUP(A89,'Données projet'!$A$269:$I$289,7,0)),0%,VLOOKUP(A89,'Données projet'!$A$269:$I$289,7,0))</f>
        <v>0</v>
      </c>
      <c r="HG89" s="21">
        <f>EXP(-LN(2)/35)*HG88+(1-EXP(-LN(2)/35))/(LN(2)/35)*HC89*HD89*VLOOKUP('Données projet'!$B$18,Paramètres!$A$1:$I$89,3,0)*0.475*44/12</f>
        <v>0</v>
      </c>
      <c r="HH89" s="21">
        <f>EXP(-LN(2)/25)*HH88+(1-EXP(-LN(2)/25))/(LN(2)/25)*Calculateur!HC89*Calculateur!HE89*VLOOKUP('Données projet'!$B$18,Paramètres!$A$1:$I$89,3,0)*0.475*44/12</f>
        <v>0</v>
      </c>
      <c r="HI89" s="21">
        <f>EXP(-LN(2)/2)*HI88+(1-EXP(-LN(2)/2))/(LN(2)/2)*HC89*HF89*VLOOKUP('Données projet'!$B$18,Paramètres!$A$1:$I$89,3,0)*0.475*44/12</f>
        <v>0</v>
      </c>
      <c r="HJ89" s="22">
        <f t="shared" si="84"/>
        <v>0</v>
      </c>
    </row>
    <row r="90" spans="1:218" x14ac:dyDescent="0.25">
      <c r="A90" s="10">
        <f t="shared" si="85"/>
        <v>87</v>
      </c>
      <c r="B90" s="73">
        <f>'Scénario référence'!$B$16*5+'Scénario référence'!$B$17*0+'Scénario référence'!$B$18*5</f>
        <v>0</v>
      </c>
      <c r="C90" s="19">
        <f>Calculateur!C89+'Scénario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77.360400000000112</v>
      </c>
      <c r="D90" s="11">
        <f t="shared" si="86"/>
        <v>21.490533357793517</v>
      </c>
      <c r="E9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90" s="11">
        <f>IF(OR('Scénario référence'!$F$8&gt;0,'Scénario référence'!$F$9&gt;0),('Scénario référence'!$F$8+'Scénario référence'!$F$9)*10,0)</f>
        <v>10</v>
      </c>
      <c r="G90" s="11">
        <f>'Scénario référence'!$B$8*B90*44/12+'Scénario référence'!$B$9*(C90+D90)/0.475*44/12+'Scénario référence'!$B$10*(C90+D90)/0.475*44/12+'Scénario référence'!$F$8*(C90+D90)/0.475*44/12+'Scénario référence'!$F$9*(C90+D90)/0.475*44/12</f>
        <v>763.05983644612627</v>
      </c>
      <c r="H90" s="67">
        <f t="shared" si="56"/>
        <v>465.49870893149051</v>
      </c>
      <c r="I90" s="70">
        <f>('Scénario référence'!$F$8+'Scénario référence'!$F$9+'Scénario référence'!$B$17+'Scénario référence'!$B$9+'Scénario référence'!$B$10)*70+IF((45+25*(1-EXP(-0.0175*A90)))&lt;70,'Scénario référence'!$B$16*(45+25*(1-EXP(-0.0175*A90))),70*'Scénario référence'!$B$16)+IF((32+38*(1-EXP(-0.0175*A90)))&lt;70,'Scénario référence'!$B$18*(32+38*(1-EXP(-0.0175*A90))),70*'Scénario référence'!$B$18)</f>
        <v>70</v>
      </c>
      <c r="J90" s="13">
        <f>IF(A90&gt;30,10,('Scénario référence'!$B$16+'Scénario référence'!$B$17+'Scénario référence'!$B$18+'Scénario référence'!$B$9+'Scénario référence'!$B$10)*A90*10/30+('Scénario référence'!$F$8+'Scénario référence'!$F$9)*10)</f>
        <v>10</v>
      </c>
      <c r="K90" s="12" t="e">
        <f>VLOOKUP(A90,'Données projet'!$A$35:$I$55,2,0)</f>
        <v>#N/A</v>
      </c>
      <c r="L90" s="12" t="e">
        <f>VLOOKUP(A90,'Données projet'!$A$35:$I$55,9,0)</f>
        <v>#N/A</v>
      </c>
      <c r="M90" s="12">
        <f t="array" ref="M90">INDEX(L:L,MIN(IF(ISNUMBER(L90:L286),ROW(L90:L286),"")))</f>
        <v>0</v>
      </c>
      <c r="N90" s="13">
        <f>IF('Données projet'!$A$36&gt;35,N89+M90-V89,IF(A90&lt;'Données projet'!$A$36,$K$205^A90,IF(A90='Données projet'!$A$36,'Données projet'!$B$36,N89+M90-V89)))</f>
        <v>-2.2737367544323206E-13</v>
      </c>
      <c r="O90" s="13">
        <f>N90*VLOOKUP('Données projet'!$B$9,Paramètres!$A$1:$I$89,3,0)*VLOOKUP('Données projet'!$B$9,Paramètres!$A$1:$I$89,5,0)</f>
        <v>-1.2710188457276673E-13</v>
      </c>
      <c r="P90" s="13" t="e">
        <f t="shared" si="87"/>
        <v>#NUM!</v>
      </c>
      <c r="Q90" s="20" t="e">
        <f t="shared" si="54"/>
        <v>#NUM!</v>
      </c>
      <c r="R90" s="59" t="e">
        <f t="shared" si="55"/>
        <v>#NUM!</v>
      </c>
      <c r="S90" s="59">
        <f ca="1">AVERAGE(OFFSET($R$3,0,0,'Données projet'!$E$9+1,1))-AVERAGE(OFFSET($H$3,0,0,'Données projet'!$E$9+1,1))</f>
        <v>255.5374979188561</v>
      </c>
      <c r="T90" s="59">
        <f t="shared" si="88"/>
        <v>343.10418468620901</v>
      </c>
      <c r="U90" s="15">
        <f>IF(ISNA(VLOOKUP(A90,'Données projet'!$A$35:$I$55,3,0)),0,VLOOKUP(A90,'Données projet'!$A$35:$I$55,3,0))</f>
        <v>0</v>
      </c>
      <c r="V90" s="15">
        <f>IF(ISNA(VLOOKUP(A90,'Données projet'!$A$35:$I$55,4,0)),0,VLOOKUP(A90,'Données projet'!$A$35:$I$55,4,0))</f>
        <v>0</v>
      </c>
      <c r="W90" s="16">
        <f>IF(ISNA(VLOOKUP(A90,'Données projet'!$A$35:$I$55,5,0)),0%,VLOOKUP(A90,'Données projet'!$A$35:$I$55,5,0)*VLOOKUP('Données projet'!$B$9,Paramètres!$A$1:$I$89,7,0))</f>
        <v>0</v>
      </c>
      <c r="X90" s="16">
        <f>IF(ISNA(VLOOKUP(A90,'Données projet'!$A$35:$I$55,6,0)),0%,VLOOKUP(A90,'Données projet'!$A$35:$I$55,6,0)*VLOOKUP('Données projet'!$B$9,Paramètres!$A$1:$I$89,7,0))</f>
        <v>0</v>
      </c>
      <c r="Y90" s="16">
        <f>IF(ISNA(VLOOKUP(A90,'Données projet'!$A$35:$I$55,7,0)),0%,VLOOKUP(A90,'Données projet'!$A$35:$I$55,7,0))</f>
        <v>0</v>
      </c>
      <c r="Z90" s="21">
        <f>EXP(-LN(2)/35)*Z89+(1-EXP(-LN(2)/35))/(LN(2)/35)*V90*W90*VLOOKUP('Données projet'!$B$9,Paramètres!$A$1:$I$89,3,0)*0.475*44/12</f>
        <v>0.99934483043453337</v>
      </c>
      <c r="AA90" s="21">
        <f>EXP(-LN(2)/25)*AA89+(1-EXP(-LN(2)/25))/(LN(2)/25)*Calculateur!V90*Calculateur!X90*VLOOKUP('Données projet'!$B$9,Paramètres!$A$1:$I$89,3,0)*0.475*44/12</f>
        <v>3.286181513237878</v>
      </c>
      <c r="AB90" s="21">
        <f>EXP(-LN(2)/2)*AB89+(1-EXP(-LN(2)/2))/(LN(2)/2)*V90*Y90*VLOOKUP('Données projet'!$B$9,Paramètres!$A$1:$I$89,3,0)*0.475*44/12</f>
        <v>4.458746923400018E-9</v>
      </c>
      <c r="AC90" s="22">
        <f t="shared" si="57"/>
        <v>4.2855263481311585</v>
      </c>
      <c r="AD90" s="13">
        <f>('Scénario référence'!$F$8+'Scénario référence'!$F$9+'Scénario référence'!$B$17+'Scénario référence'!$B$9+'Scénario référence'!$B$10)*70+IF((45+25*(1-EXP(-0.0175*A90)))&lt;70,'Scénario référence'!$B$16*(45+25*(1-EXP(-0.0175*A90))),70*'Scénario référence'!$B$16)+IF((32+38*(1-EXP(-0.0175*A90)))&lt;70,'Scénario référence'!$B$18*(32+38*(1-EXP(-0.0175*A90))),70*'Scénario référence'!$B$18)</f>
        <v>70</v>
      </c>
      <c r="AE90" s="13">
        <f>IF(A90&gt;30,10,('Scénario référence'!$B$16+'Scénario référence'!$B$17+'Scénario référence'!$B$18+'Scénario référence'!$B$9+'Scénario référence'!$B$10)*A90*10/30+('Scénario référence'!$F$8+'Scénario référence'!$F$9)*10)</f>
        <v>10</v>
      </c>
      <c r="AF90" s="12" t="e">
        <f>VLOOKUP(A90,'Données projet'!$A$61:$I$81,2,0)</f>
        <v>#N/A</v>
      </c>
      <c r="AG90" s="12" t="e">
        <f>VLOOKUP(A90,'Données projet'!$A$61:$I$81,9,0)</f>
        <v>#N/A</v>
      </c>
      <c r="AH90" s="12">
        <f t="array" ref="AH90">INDEX(AG:AG,MIN(IF(ISNUMBER(AG90:AG286),ROW(AG90:AG286),"")))</f>
        <v>0</v>
      </c>
      <c r="AI90" s="13">
        <f>IF('Données projet'!$A$62&gt;35,AI89+AH90-AQ89,IF(A90&lt;'Données projet'!$A$62,$AF$205^A90,IF(A90='Données projet'!$A$62,'Données projet'!$B$62,AI89+AH90-AQ89)))</f>
        <v>0</v>
      </c>
      <c r="AJ90" s="13">
        <f>AI90*VLOOKUP('Données projet'!$B$10,Paramètres!$A$1:$I$89,3,0)*VLOOKUP('Données projet'!$B$10,Paramètres!$A$1:$I$89,5,0)</f>
        <v>0</v>
      </c>
      <c r="AK90" s="13" t="e">
        <f t="shared" si="89"/>
        <v>#NUM!</v>
      </c>
      <c r="AL90" s="20" t="e">
        <f t="shared" si="58"/>
        <v>#NUM!</v>
      </c>
      <c r="AM90" s="59" t="e">
        <f t="shared" si="59"/>
        <v>#NUM!</v>
      </c>
      <c r="AN90" s="59">
        <f ca="1">AVERAGE(OFFSET($AM$3,0,0,'Données projet'!$E$10+1,1))-AVERAGE(OFFSET($H$3,0,0,'Données projet'!$E$10+1,1))</f>
        <v>261.78489480911571</v>
      </c>
      <c r="AO90" s="59">
        <f t="shared" si="90"/>
        <v>297.50513563712764</v>
      </c>
      <c r="AP90" s="15">
        <f>IF(ISNA(VLOOKUP(A90,'Données projet'!$A$61:$I$81,3,0)),0,VLOOKUP(A90,'Données projet'!$A$61:$I$81,3,0))</f>
        <v>0</v>
      </c>
      <c r="AQ90" s="15">
        <f>IF(ISNA(VLOOKUP(A90,'Données projet'!$A$61:$I$81,4,0)),0,VLOOKUP(A90,'Données projet'!$A$61:$I$81,4,0))</f>
        <v>0</v>
      </c>
      <c r="AR90" s="16">
        <f>IF(ISNA(VLOOKUP(A90,'Données projet'!$A$61:$I$81,5,0)),0%,VLOOKUP(A90,'Données projet'!$A$61:$I$81,5,0)*VLOOKUP('Données projet'!$B$10,Paramètres!$A$1:$I$89,7,0))</f>
        <v>0</v>
      </c>
      <c r="AS90" s="16">
        <f>IF(ISNA(VLOOKUP(A90,'Données projet'!$A$61:$I$81,6,0)),0%,VLOOKUP(A90,'Données projet'!$A$61:$I$81,6,0)*VLOOKUP('Données projet'!$B$10,Paramètres!$A$1:$I$89,7,0))</f>
        <v>0</v>
      </c>
      <c r="AT90" s="16">
        <f>IF(ISNA(VLOOKUP(A90,'Données projet'!$A$61:$I$81,7,0)),0%,VLOOKUP(A90,'Données projet'!$A$61:$I$81,7,0))</f>
        <v>0</v>
      </c>
      <c r="AU90" s="21">
        <f>EXP(-LN(2)/35)*AU89+(1-EXP(-LN(2)/35))/(LN(2)/35)*AQ90*AR90*VLOOKUP('Données projet'!$B$10,Paramètres!$A$1:$I$89,3,0)*0.475*44/12</f>
        <v>2.6985137055027675</v>
      </c>
      <c r="AV90" s="21">
        <f>EXP(-LN(2)/25)*AV89+(1-EXP(-LN(2)/25))/(LN(2)/25)*Calculateur!AQ90*Calculateur!AS90*VLOOKUP('Données projet'!$B$10,Paramètres!$A$1:$I$89,3,0)*0.475*44/12</f>
        <v>5.7383431745689535</v>
      </c>
      <c r="AW90" s="21">
        <f>EXP(-LN(2)/2)*AW89+(1-EXP(-LN(2)/2))/(LN(2)/2)*AQ90*AT90*VLOOKUP('Données projet'!$B$10,Paramètres!$A$1:$I$89,3,0)*0.475*44/12</f>
        <v>6.4277081645799693E-8</v>
      </c>
      <c r="AX90" s="21">
        <f t="shared" si="60"/>
        <v>8.4368569443488024</v>
      </c>
      <c r="AY90" s="74">
        <f>('Scénario référence'!$F$8+'Scénario référence'!$F$9+'Scénario référence'!$B$17+'Scénario référence'!$B$9+'Scénario référence'!$B$10)*70+IF((45+25*(1-EXP(-0.0175*A90)))&lt;70,'Scénario référence'!$B$16*(45+25*(1-EXP(-0.0175*A90))),70*'Scénario référence'!$B$16)+IF((32+38*(1-EXP(-0.0175*A90)))&lt;70,'Scénario référence'!$B$18*(32+38*(1-EXP(-0.0175*A90))),70*'Scénario référence'!$B$18)</f>
        <v>70</v>
      </c>
      <c r="AZ90" s="12">
        <f>IF(A90&gt;30,10,('Scénario référence'!$B$16+'Scénario référence'!$B$17+'Scénario référence'!$B$18+'Scénario référence'!$B$9+'Scénario référence'!$B$10)*A90*10/30+('Scénario référence'!$F$8+'Scénario référence'!$F$9)*10)</f>
        <v>10</v>
      </c>
      <c r="BA90" s="12" t="e">
        <f>VLOOKUP(A90,'Données projet'!$A$87:$I$107,2,0)</f>
        <v>#N/A</v>
      </c>
      <c r="BB90" s="12" t="e">
        <f>VLOOKUP(A90,'Données projet'!$A$87:$I$107,9,0)</f>
        <v>#N/A</v>
      </c>
      <c r="BC90" s="12">
        <f t="array" ref="BC90">INDEX(BB:BB,MIN(IF(ISNUMBER(BB90:BB286),ROW(BB90:BB286),"")))</f>
        <v>12.5</v>
      </c>
      <c r="BD90" s="12">
        <f>IF('Données projet'!$A$88&gt;35,BD89+BC90-BL89,IF(A90&lt;'Données projet'!$A$88,$BA$205^A90,IF(A90='Données projet'!$A$88,'Données projet'!$B$88,BD89+BC90-BL89)))</f>
        <v>599.49999999999955</v>
      </c>
      <c r="BE90" s="13">
        <f>BD90*VLOOKUP('Données projet'!$B$11,Paramètres!$A$1:$I$89,3,0)*VLOOKUP('Données projet'!$B$11,Paramètres!$A$1:$I$89,5,0)</f>
        <v>358.50099999999975</v>
      </c>
      <c r="BF90" s="13">
        <f t="shared" si="91"/>
        <v>83.310503088522523</v>
      </c>
      <c r="BG90" s="20">
        <f t="shared" si="61"/>
        <v>769.48836787917628</v>
      </c>
      <c r="BH90" s="59">
        <f t="shared" si="62"/>
        <v>1062.8217012125097</v>
      </c>
      <c r="BI90" s="59">
        <f ca="1">AVERAGE(OFFSET($BH$3,0,0,'Données projet'!$E$11+1,1))-AVERAGE(OFFSET($H$3,0,0,'Données projet'!$E$11+1,1))</f>
        <v>316.58509520829671</v>
      </c>
      <c r="BJ90" s="59">
        <f t="shared" si="92"/>
        <v>240.71332110643596</v>
      </c>
      <c r="BK90" s="15">
        <f>IF(ISNA(VLOOKUP(A90,'Données projet'!$A$87:$I$107,3,0)),0,VLOOKUP(A90,'Données projet'!$A$87:$I$107,3,0))</f>
        <v>0</v>
      </c>
      <c r="BL90" s="15">
        <f>IF(ISNA(VLOOKUP(A90,'Données projet'!$A$87:$I$107,4,0)),0,VLOOKUP(A90,'Données projet'!$A$87:$I$107,4,0))</f>
        <v>0</v>
      </c>
      <c r="BM90" s="16">
        <f>IF(ISNA(VLOOKUP(A90,'Données projet'!$A$87:$I$107,5,0)),0%,VLOOKUP(A90,'Données projet'!$A$87:$I$107,5,0)*VLOOKUP('Données projet'!$B$11,Paramètres!$A$1:$I$89,7,0))</f>
        <v>0</v>
      </c>
      <c r="BN90" s="16">
        <f>IF(ISNA(VLOOKUP(A90,'Données projet'!$A$87:$I$107,6,0)),0%,VLOOKUP(A90,'Données projet'!$A$87:$I$107,6,0)*VLOOKUP('Données projet'!$B$11,Paramètres!$A$1:$I$89,7,0))</f>
        <v>0</v>
      </c>
      <c r="BO90" s="16">
        <f>IF(ISNA(VLOOKUP(A90,'Données projet'!$A$87:$I$107,7,0)),0%,VLOOKUP(A90,'Données projet'!$A$87:$I$107,7,0))</f>
        <v>0</v>
      </c>
      <c r="BP90" s="21">
        <f>EXP(-LN(2)/35)*BP89+(1-EXP(-LN(2)/35))/(LN(2)/35)*BL90*BM90*VLOOKUP('Données projet'!$B$11,Paramètres!$A$1:$I$89,3,0)*0.475*44/12</f>
        <v>0.81969361627344106</v>
      </c>
      <c r="BQ90" s="21">
        <f>EXP(-LN(2)/25)*BQ89+(1-EXP(-LN(2)/25))/(LN(2)/25)*Calculateur!BL90*Calculateur!BN90*VLOOKUP('Données projet'!$B$11,Paramètres!$A$1:$I$89,3,0)*0.475*44/12</f>
        <v>3.1436318248455115</v>
      </c>
      <c r="BR90" s="21">
        <f>EXP(-LN(2)/2)*BR89+(1-EXP(-LN(2)/2))/(LN(2)/2)*BL90*BO90*VLOOKUP('Données projet'!$B$11,Paramètres!$A$1:$I$89,3,0)*0.475*44/12</f>
        <v>5.779213555036004E-8</v>
      </c>
      <c r="BS90" s="22">
        <f t="shared" si="63"/>
        <v>3.9633254989110882</v>
      </c>
      <c r="BT90" s="75">
        <f>('Scénario référence'!$F$8+'Scénario référence'!$F$9+'Scénario référence'!$B$17+'Scénario référence'!$B$9+'Scénario référence'!$B$10)*70+IF((45+25*(1-EXP(-0.0175*A90)))&lt;70,'Scénario référence'!$B$16*(45+25*(1-EXP(-0.0175*A90))),70*'Scénario référence'!$B$16)+IF((32+38*(1-EXP(-0.0175*A90)))&lt;70,'Scénario référence'!$B$18*(32+38*(1-EXP(-0.0175*A90))),70*'Scénario référence'!$B$18)</f>
        <v>70</v>
      </c>
      <c r="BU90" s="12">
        <f>IF(A90&gt;30,10,('Scénario référence'!$B$16+'Scénario référence'!$B$17+'Scénario référence'!$B$18+'Scénario référence'!$B$9+'Scénario référence'!$B$10)*A90*10/30+('Scénario référence'!$F$8+'Scénario référence'!$F$9)*10)</f>
        <v>10</v>
      </c>
      <c r="BV90" s="12" t="e">
        <f>VLOOKUP(A90,'Données projet'!$A$113:$I$133,2,0)</f>
        <v>#N/A</v>
      </c>
      <c r="BW90" s="12" t="e">
        <f>VLOOKUP(A90,'Données projet'!$A$113:$I$133,9,0)</f>
        <v>#N/A</v>
      </c>
      <c r="BX90" s="12">
        <f t="array" ref="BX90">INDEX(BW:BW,MIN(IF(ISNUMBER(BW90:BW286),ROW(BW90:BW286),"")))</f>
        <v>3.8</v>
      </c>
      <c r="BY90" s="12">
        <f>IF('Données projet'!$A$114&gt;35,BY89+BX90-CG89,IF(A90&lt;'Données projet'!$A$114,$BV$205^A90,IF(A90='Données projet'!$A$114,'Données projet'!$B$114,BY89+BX90-CG89)))</f>
        <v>342.59999999999974</v>
      </c>
      <c r="BZ90" s="13">
        <f>BY90*VLOOKUP('Données projet'!$B$12,Paramètres!$A$1:$I$89,3,0)*VLOOKUP('Données projet'!$B$12,Paramètres!$A$1:$I$89,5,0)</f>
        <v>195.96719999999985</v>
      </c>
      <c r="CA90" s="13">
        <f t="shared" si="93"/>
        <v>48.856832359246368</v>
      </c>
      <c r="CB90" s="20">
        <f t="shared" si="64"/>
        <v>426.40185635902048</v>
      </c>
      <c r="CC90" s="59">
        <f t="shared" si="65"/>
        <v>719.73518969235374</v>
      </c>
      <c r="CD90" s="59">
        <f ca="1">AVERAGE(OFFSET($CC$3,0,0,'Données projet'!$E$12+1,1))-AVERAGE(OFFSET($H$3,0,0,'Données projet'!$E$12+1,1))</f>
        <v>188.64374818906128</v>
      </c>
      <c r="CE90" s="59">
        <f t="shared" si="94"/>
        <v>211.95157880548652</v>
      </c>
      <c r="CF90" s="15">
        <f>IF(ISNA(VLOOKUP(A90,'Données projet'!$A$113:$I$133,3,0)),0,VLOOKUP(A90,'Données projet'!$A$113:$I$133,3,0))</f>
        <v>0</v>
      </c>
      <c r="CG90" s="15">
        <f>IF(ISNA(VLOOKUP(A90,'Données projet'!$A$113:$I$133,4,0)),0,VLOOKUP(A90,'Données projet'!$A$113:$I$133,4,0))</f>
        <v>0</v>
      </c>
      <c r="CH90" s="16">
        <f>IF(ISNA(VLOOKUP(A90,'Données projet'!$A$113:$I$133,5,0)),0%,VLOOKUP(A90,'Données projet'!$A$113:$I$133,5,0)*VLOOKUP('Données projet'!$B$12,Paramètres!$A$1:$I$89,7,0))</f>
        <v>0</v>
      </c>
      <c r="CI90" s="16">
        <f>IF(ISNA(VLOOKUP(A90,'Données projet'!$A$113:$I$133,6,0)),0%,VLOOKUP(A90,'Données projet'!$A$113:$I$133,6,0)*VLOOKUP('Données projet'!$B$12,Paramètres!$A$1:$I$89,7,0))</f>
        <v>0</v>
      </c>
      <c r="CJ90" s="16">
        <f>IF(ISNA(VLOOKUP(A90,'Données projet'!$A$113:$I$133,7,0)),0%,VLOOKUP(A90,'Données projet'!$A$113:$I$133,7,0))</f>
        <v>0</v>
      </c>
      <c r="CK90" s="21">
        <f>EXP(-LN(2)/35)*CK89+(1-EXP(-LN(2)/35))/(LN(2)/35)*CG90*CH90*VLOOKUP('Données projet'!$B$12,Paramètres!$A$1:$I$89,3,0)*0.475*44/12</f>
        <v>0.79509778822849375</v>
      </c>
      <c r="CL90" s="21">
        <f>EXP(-LN(2)/25)*CL89+(1-EXP(-LN(2)/25))/(LN(2)/25)*Calculateur!CG90*Calculateur!CI90*VLOOKUP('Données projet'!$B$12,Paramètres!$A$1:$I$89,3,0)*0.475*44/12</f>
        <v>2.9588574509104681</v>
      </c>
      <c r="CM90" s="21">
        <f>EXP(-LN(2)/2)*CM89+(1-EXP(-LN(2)/2))/(LN(2)/2)*CG90*CJ90*VLOOKUP('Données projet'!$B$12,Paramètres!$A$1:$I$89,3,0)*0.475*44/12</f>
        <v>5.5967161556684131E-8</v>
      </c>
      <c r="CN90" s="22">
        <f t="shared" si="66"/>
        <v>3.7539552951061235</v>
      </c>
      <c r="CO90" s="75">
        <f>('Scénario référence'!$F$8+'Scénario référence'!$F$9+'Scénario référence'!$B$17+'Scénario référence'!$B$9+'Scénario référence'!$B$10)*70+IF((45+25*(1-EXP(-0.0175*A90)))&lt;70,'Scénario référence'!$B$16*(45+25*(1-EXP(-0.0175*A90))),70*'Scénario référence'!$B$16)+IF((32+38*(1-EXP(-0.0175*A90)))&lt;70,'Scénario référence'!$B$18*(32+38*(1-EXP(-0.0175*A90))),70*'Scénario référence'!$B$18)</f>
        <v>70</v>
      </c>
      <c r="CP90" s="12">
        <f>IF(A90&gt;30,10,('Scénario référence'!$B$16+'Scénario référence'!$B$17+'Scénario référence'!$B$18+'Scénario référence'!$B$9+'Scénario référence'!$B$10)*A90*10/30+('Scénario référence'!$F$8+'Scénario référence'!$F$9)*10)</f>
        <v>10</v>
      </c>
      <c r="CQ90" s="12" t="e">
        <f>VLOOKUP(A90,'Données projet'!$A$139:$I$159,2,0)</f>
        <v>#N/A</v>
      </c>
      <c r="CR90" s="12" t="e">
        <f>VLOOKUP(A90,'Données projet'!$A$139:$I$159,9,0)</f>
        <v>#N/A</v>
      </c>
      <c r="CS90" s="12">
        <f t="array" ref="CS90">INDEX(CR:CR,MIN(IF(ISNUMBER(CR90:CR286),ROW(CR90:CR286),"")))</f>
        <v>0</v>
      </c>
      <c r="CT90" s="12">
        <f>IF('Données projet'!$A$140&gt;35,CT89+CS90-DB89,IF(A90&lt;'Données projet'!$A$140,$CQ$205^A90,IF(A90='Données projet'!$A$140,'Données projet'!$B$140,CT89+CS90-DB89)))</f>
        <v>0</v>
      </c>
      <c r="CU90" s="17" t="e">
        <f>CT90*VLOOKUP('Données projet'!$B$13,Paramètres!$A$1:$I$89,3,0)*VLOOKUP('Données projet'!$B$13,Paramètres!$A$1:$I$89,5,0)</f>
        <v>#N/A</v>
      </c>
      <c r="CV90" s="13" t="e">
        <f t="shared" si="95"/>
        <v>#N/A</v>
      </c>
      <c r="CW90" s="20" t="e">
        <f t="shared" si="67"/>
        <v>#N/A</v>
      </c>
      <c r="CX90" s="59" t="e">
        <f t="shared" si="68"/>
        <v>#N/A</v>
      </c>
      <c r="CY90" s="59" t="e">
        <f ca="1">AVERAGE(OFFSET($CX$3,0,0,'Données projet'!$E$13+1,1))-AVERAGE(OFFSET($H$3,0,0,'Données projet'!$E$13+1,1))</f>
        <v>#N/A</v>
      </c>
      <c r="CZ90" s="59" t="e">
        <f t="shared" si="96"/>
        <v>#N/A</v>
      </c>
      <c r="DA90" s="15">
        <f>IF(ISNA(VLOOKUP(A90,'Données projet'!$A$139:$I$159,3,0)),0,VLOOKUP(A90,'Données projet'!$A$139:$I$159,3,0))</f>
        <v>0</v>
      </c>
      <c r="DB90" s="15">
        <f>IF(ISNA(VLOOKUP(A90,'Données projet'!$A$139:$I$159,4,0)),0,VLOOKUP(A90,'Données projet'!$A$139:$I$159,4,0))</f>
        <v>0</v>
      </c>
      <c r="DC90" s="16">
        <f>IF(ISNA(VLOOKUP(A90,'Données projet'!$A$139:$I$159,5,0)),0%,VLOOKUP(A90,'Données projet'!$A$139:$I$159,5,0)*VLOOKUP('Données projet'!$B$13,Paramètres!$A$1:$I$89,7,0))</f>
        <v>0</v>
      </c>
      <c r="DD90" s="16">
        <f>IF(ISNA(VLOOKUP(A90,'Données projet'!$A$139:$I$159,6,0)),0%,VLOOKUP(A90,'Données projet'!$A$139:$I$159,6,0)*VLOOKUP('Données projet'!$B$13,Paramètres!$A$1:$I$89,7,0))</f>
        <v>0</v>
      </c>
      <c r="DE90" s="16">
        <f>IF(ISNA(VLOOKUP(A90,'Données projet'!$A$139:$I$159,7,0)),0%,VLOOKUP(A90,'Données projet'!$A$139:$I$159,7,0))</f>
        <v>0</v>
      </c>
      <c r="DF90" s="21" t="e">
        <f>EXP(-LN(2)/35)*DF89+(1-EXP(-LN(2)/35))/(LN(2)/35)*DB90*DC90*VLOOKUP('Données projet'!$B$13,Paramètres!$A$1:$I$89,3,0)*0.475*44/12</f>
        <v>#N/A</v>
      </c>
      <c r="DG90" s="21" t="e">
        <f>EXP(-LN(2)/25)*DG89+(1-EXP(-LN(2)/25))/(LN(2)/25)*Calculateur!DB90*Calculateur!DD90*VLOOKUP('Données projet'!$B$13,Paramètres!$A$1:$I$89,3,0)*0.475*44/12</f>
        <v>#N/A</v>
      </c>
      <c r="DH90" s="21" t="e">
        <f>EXP(-LN(2)/2)*DH89+(1-EXP(-LN(2)/2))/(LN(2)/2)*DB90*DE90*VLOOKUP('Données projet'!$B$13,Paramètres!$A$1:$I$89,3,0)*0.475*44/12</f>
        <v>#N/A</v>
      </c>
      <c r="DI90" s="22" t="e">
        <f t="shared" si="69"/>
        <v>#N/A</v>
      </c>
      <c r="DJ90" s="75">
        <f>('Scénario référence'!$F$8+'Scénario référence'!$F$9+'Scénario référence'!$B$17+'Scénario référence'!$B$9+'Scénario référence'!$B$10)*70+IF((45+25*(1-EXP(-0.0175*A90)))&lt;70,'Scénario référence'!$B$16*(45+25*(1-EXP(-0.0175*A90))),70*'Scénario référence'!$B$16)+IF((32+38*(1-EXP(-0.0175*A90)))&lt;70,'Scénario référence'!$B$18*(32+38*(1-EXP(-0.0175*A90))),70*'Scénario référence'!$B$18)</f>
        <v>70</v>
      </c>
      <c r="DK90" s="12">
        <f>IF(A90&gt;30,10,('Scénario référence'!$B$16+'Scénario référence'!$B$17+'Scénario référence'!$B$18+'Scénario référence'!$B$9+'Scénario référence'!$B$10)*A90*10/30+('Scénario référence'!$F$8+'Scénario référence'!$F$9)*10)</f>
        <v>10</v>
      </c>
      <c r="DL90" s="12" t="e">
        <f>VLOOKUP(A90,'Données projet'!$A$165:$I$185,2,0)</f>
        <v>#N/A</v>
      </c>
      <c r="DM90" s="12" t="e">
        <f>VLOOKUP(A90,'Données projet'!$A$165:$I$185,9,0)</f>
        <v>#N/A</v>
      </c>
      <c r="DN90" s="12">
        <f t="array" ref="DN90">INDEX(DM:DM,MIN(IF(ISNUMBER(DM90:DM286),ROW(DM90:DM286),"")))</f>
        <v>4</v>
      </c>
      <c r="DO90" s="12">
        <f>IF('Données projet'!$A$166&gt;35,DO89+DN90-DW89,IF(A90&lt;'Données projet'!$A$166,$DL$205^A90,IF(A90='Données projet'!$A$166,'Données projet'!$B$166,DO89+DN90-DW89)))</f>
        <v>287.00000000000017</v>
      </c>
      <c r="DP90" s="17">
        <f>DO90*VLOOKUP('Données projet'!$B$14,Paramètres!$A$1:$I$89,3,0)*VLOOKUP('Données projet'!$B$14,Paramètres!$A$1:$I$89,5,0)</f>
        <v>188.0424000000001</v>
      </c>
      <c r="DQ90" s="13">
        <f t="shared" si="97"/>
        <v>47.106894760764931</v>
      </c>
      <c r="DR90" s="20">
        <f t="shared" si="70"/>
        <v>409.55168837499906</v>
      </c>
      <c r="DS90" s="59">
        <f t="shared" si="71"/>
        <v>702.88502170833237</v>
      </c>
      <c r="DT90" s="59">
        <f ca="1">AVERAGE(OFFSET($DS$3,0,0,'Données projet'!$E$14+1,1))-AVERAGE(OFFSET($H$3,0,0,'Données projet'!$E$14+1,1))</f>
        <v>188.68915783955595</v>
      </c>
      <c r="DU90" s="59">
        <f t="shared" si="98"/>
        <v>240.82467772396944</v>
      </c>
      <c r="DV90" s="15">
        <f>IF(ISNA(VLOOKUP(A90,'Données projet'!$A$165:$I$185,3,0)),0,VLOOKUP(A90,'Données projet'!$A$165:$I$185,3,0))</f>
        <v>0</v>
      </c>
      <c r="DW90" s="15">
        <f>IF(ISNA(VLOOKUP(A90,'Données projet'!$A$165:$I$185,4,0)),0,VLOOKUP(A90,'Données projet'!$A$165:$I$185,4,0))</f>
        <v>0</v>
      </c>
      <c r="DX90" s="16">
        <f>IF(ISNA(VLOOKUP(A90,'Données projet'!$A$165:$I$185,5,0)),0%,VLOOKUP(A90,'Données projet'!$A$165:$I$185,5,0)*VLOOKUP('Données projet'!$B$14,Paramètres!$A$1:$I$89,7,0))</f>
        <v>0</v>
      </c>
      <c r="DY90" s="16">
        <f>IF(ISNA(VLOOKUP(A90,'Données projet'!$A$165:$I$185,6,0)),0%,VLOOKUP(A90,'Données projet'!$A$165:$I$185,6,0)*VLOOKUP('Données projet'!$B$14,Paramètres!$A$1:$I$89,7,0))</f>
        <v>0</v>
      </c>
      <c r="DZ90" s="16">
        <f>IF(ISNA(VLOOKUP(A90,'Données projet'!$A$165:$I$185,7,0)),0%,VLOOKUP(A90,'Données projet'!$A$165:$I$185,7,0))</f>
        <v>0</v>
      </c>
      <c r="EA90" s="21">
        <f>EXP(-LN(2)/35)*EA89+(1-EXP(-LN(2)/35))/(LN(2)/35)*DW90*DX90*VLOOKUP('Données projet'!$B$14,Paramètres!$A$1:$I$89,3,0)*0.475*44/12</f>
        <v>0.50362885996796425</v>
      </c>
      <c r="EB90" s="21">
        <f>EXP(-LN(2)/25)*EB89+(1-EXP(-LN(2)/25))/(LN(2)/25)*Calculateur!DW90*Calculateur!DY90*VLOOKUP('Données projet'!$B$14,Paramètres!$A$1:$I$89,3,0)*0.475*44/12</f>
        <v>1.6550121702168639</v>
      </c>
      <c r="EC90" s="21">
        <f>EXP(-LN(2)/2)*EC89+(1-EXP(-LN(2)/2))/(LN(2)/2)*DW90*DZ90*VLOOKUP('Données projet'!$B$14,Paramètres!$A$1:$I$89,3,0)*0.475*44/12</f>
        <v>3.6869030443208594E-8</v>
      </c>
      <c r="ED90" s="22">
        <f t="shared" si="72"/>
        <v>2.1586410670538587</v>
      </c>
      <c r="EE90" s="75">
        <f>('Scénario référence'!$F$8+'Scénario référence'!$F$9+'Scénario référence'!$B$17+'Scénario référence'!$B$9+'Scénario référence'!$B$10)*70+IF((45+25*(1-EXP(-0.0175*A90)))&lt;70,'Scénario référence'!$B$16*(45+25*(1-EXP(-0.0175*A90))),70*'Scénario référence'!$B$16)+IF((32+38*(1-EXP(-0.0175*A90)))&lt;70,'Scénario référence'!$B$18*(32+38*(1-EXP(-0.0175*A90))),70*'Scénario référence'!$B$18)</f>
        <v>70</v>
      </c>
      <c r="EF90" s="12">
        <f>IF(A90&gt;30,10,('Scénario référence'!$B$16+'Scénario référence'!$B$17+'Scénario référence'!$B$18+'Scénario référence'!$B$9+'Scénario référence'!$B$10)*A90*10/30+('Scénario référence'!$F$8+'Scénario référence'!$F$9)*10)</f>
        <v>10</v>
      </c>
      <c r="EG90" s="12" t="e">
        <f>VLOOKUP(A90,'Données projet'!$A$191:$I$211,2,0)</f>
        <v>#N/A</v>
      </c>
      <c r="EH90" s="12" t="e">
        <f>VLOOKUP(A90,'Données projet'!$A$191:$I$211,9,0)</f>
        <v>#N/A</v>
      </c>
      <c r="EI90" s="12">
        <f t="array" ref="EI90">INDEX(EH:EH,MIN(IF(ISNUMBER(EH90:EH286),ROW(EH90:EH286),"")))</f>
        <v>4.7</v>
      </c>
      <c r="EJ90" s="12">
        <f>IF('Données projet'!$A$192&gt;35,EJ89+EI90-ER89,IF(A90&lt;'Données projet'!$A$192,$EG$205^A90,IF(A90='Données projet'!$A$192,'Données projet'!$B$192,EJ89+EI90-ER89)))</f>
        <v>292.89999999999975</v>
      </c>
      <c r="EK90" s="17">
        <f>EJ90*VLOOKUP('Données projet'!$B$15,Paramètres!$A$1:$I$89,3,0)*VLOOKUP('Données projet'!$B$15,Paramètres!$A$1:$I$89,5,0)</f>
        <v>237.60047999999981</v>
      </c>
      <c r="EL90" s="13">
        <f t="shared" si="99"/>
        <v>57.922960533442058</v>
      </c>
      <c r="EM90" s="20">
        <f t="shared" si="73"/>
        <v>514.70332559574456</v>
      </c>
      <c r="EN90" s="59">
        <f t="shared" si="74"/>
        <v>808.03665892907793</v>
      </c>
      <c r="EO90" s="59">
        <f ca="1">AVERAGE(OFFSET($EN$3,0,0,'Données projet'!$E$15+1,1))-AVERAGE(OFFSET($H$3,0,0,'Données projet'!$E$15+1,1))</f>
        <v>205.5272583787887</v>
      </c>
      <c r="EP90" s="59">
        <f t="shared" si="100"/>
        <v>180.54762778843178</v>
      </c>
      <c r="EQ90" s="15">
        <f>IF(ISNA(VLOOKUP(A90,'Données projet'!$A$191:$I$211,3,0)),0,VLOOKUP(A90,'Données projet'!$A$191:$I$211,3,0))</f>
        <v>0</v>
      </c>
      <c r="ER90" s="15">
        <f>IF(ISNA(VLOOKUP(A90,'Données projet'!$A$191:$I$211,4,0)),0,VLOOKUP(A90,'Données projet'!$A$191:$I$211,4,0))</f>
        <v>0</v>
      </c>
      <c r="ES90" s="16">
        <f>IF(ISNA(VLOOKUP(A90,'Données projet'!$A$191:$I$211,5,0)),0%,VLOOKUP(A90,'Données projet'!$A$191:$I$211,5,0)*VLOOKUP('Données projet'!$B$15,Paramètres!$A$1:$I$89,7,0))</f>
        <v>0</v>
      </c>
      <c r="ET90" s="16">
        <f>IF(ISNA(VLOOKUP(A90,'Données projet'!$A$191:$I$211,6,0)),0%,VLOOKUP(A90,'Données projet'!$A$191:$I$211,6,0)*VLOOKUP('Données projet'!$B$15,Paramètres!$A$1:$I$89,7,0))</f>
        <v>0</v>
      </c>
      <c r="EU90" s="16">
        <f>IF(ISNA(VLOOKUP(A90,'Données projet'!$A$191:$I$211,7,0)),0%,VLOOKUP(A90,'Données projet'!$A$191:$I$211,7,0))</f>
        <v>0</v>
      </c>
      <c r="EV90" s="21">
        <f>EXP(-LN(2)/35)*EV89+(1-EXP(-LN(2)/35))/(LN(2)/35)*ER90*ES90*VLOOKUP('Données projet'!$B$15,Paramètres!$A$1:$I$89,3,0)*0.475*44/12</f>
        <v>0.32424105651270835</v>
      </c>
      <c r="EW90" s="21">
        <f>EXP(-LN(2)/25)*EW89+(1-EXP(-LN(2)/25))/(LN(2)/25)*Calculateur!ER90*Calculateur!ET90*VLOOKUP('Données projet'!$B$15,Paramètres!$A$1:$I$89,3,0)*0.475*44/12</f>
        <v>1.1949689932876466</v>
      </c>
      <c r="EX90" s="21">
        <f>EXP(-LN(2)/2)*EX89+(1-EXP(-LN(2)/2))/(LN(2)/2)*ER90*EU90*VLOOKUP('Données projet'!$B$15,Paramètres!$A$1:$I$89,3,0)*0.475*44/12</f>
        <v>2.3872724473904862E-8</v>
      </c>
      <c r="EY90" s="22">
        <f t="shared" si="75"/>
        <v>1.5192100736730794</v>
      </c>
      <c r="EZ90" s="75">
        <f>('Scénario référence'!$F$8+'Scénario référence'!$F$9+'Scénario référence'!$B$17+'Scénario référence'!$B$9+'Scénario référence'!$B$10)*70+IF((45+25*(1-EXP(-0.0175*A90)))&lt;70,'Scénario référence'!$B$16*(45+25*(1-EXP(-0.0175*A90))),70*'Scénario référence'!$B$16)+IF((32+38*(1-EXP(-0.0175*A90)))&lt;70,'Scénario référence'!$B$18*(32+38*(1-EXP(-0.0175*A90))),70*'Scénario référence'!$B$18)</f>
        <v>70</v>
      </c>
      <c r="FA90" s="12">
        <f>IF(A90&gt;30,10,('Scénario référence'!$B$16+'Scénario référence'!$B$17+'Scénario référence'!$B$18+'Scénario référence'!$B$9+'Scénario référence'!$B$10)*A90*10/30+('Scénario référence'!$F$8+'Scénario référence'!$F$9)*10)</f>
        <v>10</v>
      </c>
      <c r="FB90" s="12" t="e">
        <f>VLOOKUP(A90,'Données projet'!$A$217:$I$237,2,0)</f>
        <v>#N/A</v>
      </c>
      <c r="FC90" s="12" t="e">
        <f>VLOOKUP(A90,'Données projet'!$A$217:$I$237,9,0)</f>
        <v>#N/A</v>
      </c>
      <c r="FD90" s="12">
        <f t="array" ref="FD90">INDEX(FC:FC,MIN(IF(ISNUMBER(FC90:FC286),ROW(FC90:FC286),"")))</f>
        <v>10.9</v>
      </c>
      <c r="FE90" s="12">
        <f>IF('Données projet'!$A$218&gt;35,FE89+FD90-FM89,IF(A90&lt;'Données projet'!$A$218,$FB$205^A90,IF(A90='Données projet'!$A$218,'Données projet'!$B$218,FE89+FD90-FM89)))</f>
        <v>388.3</v>
      </c>
      <c r="FF90" s="17">
        <f>FE90*VLOOKUP('Données projet'!$B$16,Paramètres!$A$1:$I$89,3,0)*VLOOKUP('Données projet'!$B$16,Paramètres!$A$1:$I$89,5,0)</f>
        <v>333.16140000000007</v>
      </c>
      <c r="FG90" s="13">
        <f t="shared" si="101"/>
        <v>78.085381902214365</v>
      </c>
      <c r="FH90" s="20">
        <f t="shared" si="76"/>
        <v>716.25481181302337</v>
      </c>
      <c r="FI90" s="59">
        <f t="shared" si="77"/>
        <v>1009.5881451463567</v>
      </c>
      <c r="FJ90" s="59">
        <f ca="1">AVERAGE(OFFSET($FI$3,0,0,'Données projet'!$E$16+1,1))-AVERAGE(OFFSET($H$3,0,0,'Données projet'!$E$16+1,1))</f>
        <v>383.97627237444709</v>
      </c>
      <c r="FK90" s="59">
        <f t="shared" si="102"/>
        <v>203.35476578922339</v>
      </c>
      <c r="FL90" s="15">
        <f>IF(ISNA(VLOOKUP(A90,'Données projet'!$A$217:$I$237,3,0)),0,VLOOKUP(A90,'Données projet'!$A$217:$I$237,3,0))</f>
        <v>0</v>
      </c>
      <c r="FM90" s="15">
        <f>IF(ISNA(VLOOKUP(A90,'Données projet'!$A$217:$I$237,4,0)),0,VLOOKUP(A90,'Données projet'!$A$217:$I$237,4,0))</f>
        <v>0</v>
      </c>
      <c r="FN90" s="16">
        <f>IF(ISNA(VLOOKUP(A90,'Données projet'!$A$217:$I$237,5,0)),0%,VLOOKUP(A90,'Données projet'!$A$217:$I$237,5,0)*VLOOKUP('Données projet'!$B$16,Paramètres!$A$1:$I$89,7,0))</f>
        <v>0</v>
      </c>
      <c r="FO90" s="16">
        <f>IF(ISNA(VLOOKUP(A90,'Données projet'!$A$217:$I$237,6,0)),0%,VLOOKUP(A90,'Données projet'!$A$217:$I$237,6,0)*VLOOKUP('Données projet'!$B$16,Paramètres!$A$1:$I$89,7,0))</f>
        <v>0</v>
      </c>
      <c r="FP90" s="16">
        <f>IF(ISNA(VLOOKUP(A90,'Données projet'!$A$217:$I$237,7,0)),0%,VLOOKUP(A90,'Données projet'!$A$217:$I$237,7,0))</f>
        <v>0</v>
      </c>
      <c r="FQ90" s="21">
        <f>EXP(-LN(2)/35)*FQ89+(1-EXP(-LN(2)/35))/(LN(2)/35)*FM90*FN90*VLOOKUP('Données projet'!$B$16,Paramètres!$A$1:$I$89,3,0)*0.475*44/12</f>
        <v>1.6664231228978776</v>
      </c>
      <c r="FR90" s="21">
        <f>EXP(-LN(2)/25)*FR89+(1-EXP(-LN(2)/25))/(LN(2)/25)*Calculateur!FM90*Calculateur!FO90*VLOOKUP('Données projet'!$B$16,Paramètres!$A$1:$I$89,3,0)*0.475*44/12</f>
        <v>1.2130170399706182</v>
      </c>
      <c r="FS90" s="21">
        <f>EXP(-LN(2)/2)*FS89+(1-EXP(-LN(2)/2))/(LN(2)/2)*FM90*FP90*VLOOKUP('Données projet'!$B$16,Paramètres!$A$1:$I$89,3,0)*0.475*44/12</f>
        <v>4.3849295466157921E-8</v>
      </c>
      <c r="FT90" s="22">
        <f t="shared" si="78"/>
        <v>2.8794402067177911</v>
      </c>
      <c r="FU90" s="75">
        <f>('Scénario référence'!$F$8+'Scénario référence'!$F$9+'Scénario référence'!$B$17+'Scénario référence'!$B$9+'Scénario référence'!$B$10)*70+IF((45+25*(1-EXP(-0.0175*A90)))&lt;70,'Scénario référence'!$B$16*(45+25*(1-EXP(-0.0175*A90))),70*'Scénario référence'!$B$16)+IF((32+38*(1-EXP(-0.0175*A90)))&lt;70,'Scénario référence'!$B$18*(32+38*(1-EXP(-0.0175*A90))),70*'Scénario référence'!$B$18)</f>
        <v>70</v>
      </c>
      <c r="FV90" s="12">
        <f>IF(A90&gt;30,10,('Scénario référence'!$B$16+'Scénario référence'!$B$17+'Scénario référence'!$B$18+'Scénario référence'!$B$9+'Scénario référence'!$B$10)*A90*10/30+('Scénario référence'!$F$8+'Scénario référence'!$F$9)*10)</f>
        <v>10</v>
      </c>
      <c r="FW90" s="12" t="e">
        <f>VLOOKUP(A90,'Données projet'!$A$243:$I$263,2,0)</f>
        <v>#N/A</v>
      </c>
      <c r="FX90" s="12" t="e">
        <f>VLOOKUP(A90,'Données projet'!$A$243:$I$263,9,0)</f>
        <v>#N/A</v>
      </c>
      <c r="FY90" s="12">
        <f t="array" ref="FY90">INDEX(FX:FX,MIN(IF(ISNUMBER(FX90:FX286),ROW(FX90:FX286),"")))</f>
        <v>7.4950142450142483</v>
      </c>
      <c r="FZ90" s="12">
        <f>IF('Données projet'!$A$244&gt;35,FZ89+FY90-GH89,IF(A90&lt;'Données projet'!$A$244,$FW$205^A90,IF(A90='Données projet'!$A$244,'Données projet'!$B$244,FZ89+FY90-GH89)))</f>
        <v>280.86894586894596</v>
      </c>
      <c r="GA90" s="17">
        <f>FZ90*VLOOKUP('Données projet'!$B$17,Paramètres!$A$1:$I$89,3,0)*VLOOKUP('Données projet'!$B$17,Paramètres!$A$1:$I$89,5,0)</f>
        <v>302.3273333333334</v>
      </c>
      <c r="GB90" s="13">
        <f t="shared" si="103"/>
        <v>71.664142282114611</v>
      </c>
      <c r="GC90" s="20">
        <f t="shared" si="79"/>
        <v>651.36848669690528</v>
      </c>
      <c r="GD90" s="59">
        <f t="shared" si="80"/>
        <v>944.70182003023865</v>
      </c>
      <c r="GE90" s="59">
        <f ca="1">AVERAGE(OFFSET($GD$3,0,0,'Données projet'!$E$17+1,1))-AVERAGE(OFFSET($H$3,0,0,'Données projet'!$E$17+1,1))</f>
        <v>286.77702855541287</v>
      </c>
      <c r="GF90" s="59">
        <f t="shared" si="104"/>
        <v>227.12211541860779</v>
      </c>
      <c r="GG90" s="15">
        <f>IF(ISNA(VLOOKUP(A90,'Données projet'!$A$243:$I$263,3,0)),0,VLOOKUP(A90,'Données projet'!$A$243:$I$263,3,0))</f>
        <v>0</v>
      </c>
      <c r="GH90" s="15">
        <f>IF(ISNA(VLOOKUP(A90,'Données projet'!$A$243:$I$263,4,0)),0,VLOOKUP(A90,'Données projet'!$A$243:$I$263,4,0))</f>
        <v>0</v>
      </c>
      <c r="GI90" s="16">
        <f>IF(ISNA(VLOOKUP(A90,'Données projet'!$A$243:$I$263,5,0)),0%,VLOOKUP(A90,'Données projet'!$A$243:$I$263,5,0)*VLOOKUP('Données projet'!$B$17,Paramètres!$A$1:$I$89,7,0))</f>
        <v>0</v>
      </c>
      <c r="GJ90" s="16">
        <f>IF(ISNA(VLOOKUP(A90,'Données projet'!$A$243:$I$263,6,0)),0%,VLOOKUP(A90,'Données projet'!$A$243:$I$263,6,0)*VLOOKUP('Données projet'!$B$17,Paramètres!$A$1:$I$89,7,0))</f>
        <v>0</v>
      </c>
      <c r="GK90" s="16">
        <f>IF(ISNA(VLOOKUP(A90,'Données projet'!$A$243:$I$263,7,0)),0%,VLOOKUP(A90,'Données projet'!$A$243:$I$263,7,0))</f>
        <v>0</v>
      </c>
      <c r="GL90" s="21">
        <f>EXP(-LN(2)/35)*GL89+(1-EXP(-LN(2)/35))/(LN(2)/35)*GH90*GI90*VLOOKUP('Données projet'!$B$17,Paramètres!$A$1:$I$89,3,0)*0.475*44/12</f>
        <v>0</v>
      </c>
      <c r="GM90" s="21">
        <f>EXP(-LN(2)/25)*GM89+(1-EXP(-LN(2)/25))/(LN(2)/25)*Calculateur!GH90*Calculateur!GJ90*VLOOKUP('Données projet'!$B$17,Paramètres!$A$1:$I$89,3,0)*0.475*44/12</f>
        <v>0</v>
      </c>
      <c r="GN90" s="21">
        <f>EXP(-LN(2)/2)*GN89+(1-EXP(-LN(2)/2))/(LN(2)/2)*GH90*GK90*VLOOKUP('Données projet'!$B$17,Paramètres!$A$1:$I$89,3,0)*0.475*44/12</f>
        <v>0</v>
      </c>
      <c r="GO90" s="21">
        <f t="shared" si="81"/>
        <v>0</v>
      </c>
      <c r="GP90" s="75">
        <f>('Scénario référence'!$F$8+'Scénario référence'!$F$9+'Scénario référence'!$B$17+'Scénario référence'!$B$9+'Scénario référence'!$B$10)*70+IF((45+25*(1-EXP(-0.0175*A90)))&lt;70,'Scénario référence'!$B$16*(45+25*(1-EXP(-0.0175*A90))),70*'Scénario référence'!$B$16)+IF((32+38*(1-EXP(-0.0175*A90)))&lt;70,'Scénario référence'!$B$18*(32+38*(1-EXP(-0.0175*A90))),70*'Scénario référence'!$B$18)</f>
        <v>70</v>
      </c>
      <c r="GQ90" s="12">
        <f>IF(A90&gt;30,10,('Scénario référence'!$B$16+'Scénario référence'!$B$17+'Scénario référence'!$B$18+'Scénario référence'!$B$9+'Scénario référence'!$B$10)*A90*10/30+('Scénario référence'!$F$8+'Scénario référence'!$F$9)*10)</f>
        <v>10</v>
      </c>
      <c r="GR90" s="12" t="e">
        <f>VLOOKUP(A90,'Données projet'!$A$269:$I$289,2,0)</f>
        <v>#N/A</v>
      </c>
      <c r="GS90" s="12" t="e">
        <f>VLOOKUP(A90,'Données projet'!$A$269:$I$289,9,0)</f>
        <v>#N/A</v>
      </c>
      <c r="GT90" s="12">
        <f t="array" ref="GT90">INDEX(GS:GS,MIN(IF(ISNUMBER(GS90:GS286),ROW(GS90:GS286),"")))</f>
        <v>7.4950142450142483</v>
      </c>
      <c r="GU90" s="12">
        <f>IF('Données projet'!$A$270&gt;35,GU89+GT90-HC89,IF(A90&lt;'Données projet'!$A$270,$GR$205^A90,IF(A90='Données projet'!$A$270,'Données projet'!$B$270,GU89+GT90-HC89)))</f>
        <v>280.86894586894596</v>
      </c>
      <c r="GV90" s="17">
        <f>GU90*VLOOKUP('Données projet'!$B$18,Paramètres!$A$1:$I$89,3,0)*VLOOKUP('Données projet'!$B$18,Paramètres!$A$1:$I$89,5,0)</f>
        <v>302.3273333333334</v>
      </c>
      <c r="GW90" s="13">
        <f t="shared" si="105"/>
        <v>71.664142282114611</v>
      </c>
      <c r="GX90" s="20">
        <f t="shared" si="82"/>
        <v>651.36848669690528</v>
      </c>
      <c r="GY90" s="59">
        <f t="shared" si="83"/>
        <v>944.70182003023865</v>
      </c>
      <c r="GZ90" s="59">
        <f ca="1">AVERAGE(OFFSET($GY$3,0,0,'Données projet'!$E$18+1,1))-AVERAGE(OFFSET($H$3,0,0,'Données projet'!$E$18+1,1))</f>
        <v>286.77702855541287</v>
      </c>
      <c r="HA90" s="59">
        <f t="shared" si="106"/>
        <v>227.12211541860779</v>
      </c>
      <c r="HB90" s="15">
        <f>IF(ISNA(VLOOKUP(A90,'Données projet'!$A$269:$I$289,3,0)),0,VLOOKUP(A90,'Données projet'!$A$269:$I$289,3,0))</f>
        <v>0</v>
      </c>
      <c r="HC90" s="15">
        <f>IF(ISNA(VLOOKUP(A90,'Données projet'!$A$269:$I$289,4,0)),0,VLOOKUP(A90,'Données projet'!$A$269:$I$289,4,0))</f>
        <v>0</v>
      </c>
      <c r="HD90" s="16">
        <f>IF(ISNA(VLOOKUP(A90,'Données projet'!$A$269:$I$289,5,0)),0%,VLOOKUP(A90,'Données projet'!$A$269:$I$289,5,0)*VLOOKUP('Données projet'!$B$18,Paramètres!$A$1:$I$89,7,0))</f>
        <v>0</v>
      </c>
      <c r="HE90" s="16">
        <f>IF(ISNA(VLOOKUP(A90,'Données projet'!$A$269:$I$289,6,0)),0%,VLOOKUP(A90,'Données projet'!$A$269:$I$289,6,0)*VLOOKUP('Données projet'!$B$18,Paramètres!$A$1:$I$89,7,0))</f>
        <v>0</v>
      </c>
      <c r="HF90" s="16">
        <f>IF(ISNA(VLOOKUP(A90,'Données projet'!$A$269:$I$289,7,0)),0%,VLOOKUP(A90,'Données projet'!$A$269:$I$289,7,0))</f>
        <v>0</v>
      </c>
      <c r="HG90" s="21">
        <f>EXP(-LN(2)/35)*HG89+(1-EXP(-LN(2)/35))/(LN(2)/35)*HC90*HD90*VLOOKUP('Données projet'!$B$18,Paramètres!$A$1:$I$89,3,0)*0.475*44/12</f>
        <v>0</v>
      </c>
      <c r="HH90" s="21">
        <f>EXP(-LN(2)/25)*HH89+(1-EXP(-LN(2)/25))/(LN(2)/25)*Calculateur!HC90*Calculateur!HE90*VLOOKUP('Données projet'!$B$18,Paramètres!$A$1:$I$89,3,0)*0.475*44/12</f>
        <v>0</v>
      </c>
      <c r="HI90" s="21">
        <f>EXP(-LN(2)/2)*HI89+(1-EXP(-LN(2)/2))/(LN(2)/2)*HC90*HF90*VLOOKUP('Données projet'!$B$18,Paramètres!$A$1:$I$89,3,0)*0.475*44/12</f>
        <v>0</v>
      </c>
      <c r="HJ90" s="22">
        <f t="shared" si="84"/>
        <v>0</v>
      </c>
    </row>
    <row r="91" spans="1:218" x14ac:dyDescent="0.25">
      <c r="A91" s="10">
        <f t="shared" si="85"/>
        <v>88</v>
      </c>
      <c r="B91" s="73">
        <f>'Scénario référence'!$B$16*5+'Scénario référence'!$B$17*0+'Scénario référence'!$B$18*5</f>
        <v>0</v>
      </c>
      <c r="C91" s="19">
        <f>Calculateur!C90+'Scénario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78.249600000000115</v>
      </c>
      <c r="D91" s="11">
        <f t="shared" si="86"/>
        <v>21.70865274023982</v>
      </c>
      <c r="E9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91" s="11">
        <f>IF(OR('Scénario référence'!$F$8&gt;0,'Scénario référence'!$F$9&gt;0),('Scénario référence'!$F$8+'Scénario référence'!$F$9)*10,0)</f>
        <v>10</v>
      </c>
      <c r="G91" s="11">
        <f>'Scénario référence'!$B$8*B91*44/12+'Scénario référence'!$B$9*(C91+D91)/0.475*44/12+'Scénario référence'!$B$10*(C91+D91)/0.475*44/12+'Scénario référence'!$F$8*(C91+D91)/0.475*44/12+'Scénario référence'!$F$9*(C91+D91)/0.475*44/12</f>
        <v>771.60756501237847</v>
      </c>
      <c r="H91" s="67">
        <f t="shared" si="56"/>
        <v>467.42729018925121</v>
      </c>
      <c r="I91" s="70">
        <f>('Scénario référence'!$F$8+'Scénario référence'!$F$9+'Scénario référence'!$B$17+'Scénario référence'!$B$9+'Scénario référence'!$B$10)*70+IF((45+25*(1-EXP(-0.0175*A91)))&lt;70,'Scénario référence'!$B$16*(45+25*(1-EXP(-0.0175*A91))),70*'Scénario référence'!$B$16)+IF((32+38*(1-EXP(-0.0175*A91)))&lt;70,'Scénario référence'!$B$18*(32+38*(1-EXP(-0.0175*A91))),70*'Scénario référence'!$B$18)</f>
        <v>70</v>
      </c>
      <c r="J91" s="13">
        <f>IF(A91&gt;30,10,('Scénario référence'!$B$16+'Scénario référence'!$B$17+'Scénario référence'!$B$18+'Scénario référence'!$B$9+'Scénario référence'!$B$10)*A91*10/30+('Scénario référence'!$F$8+'Scénario référence'!$F$9)*10)</f>
        <v>10</v>
      </c>
      <c r="K91" s="12" t="e">
        <f>VLOOKUP(A91,'Données projet'!$A$35:$I$55,2,0)</f>
        <v>#N/A</v>
      </c>
      <c r="L91" s="12" t="e">
        <f>VLOOKUP(A91,'Données projet'!$A$35:$I$55,9,0)</f>
        <v>#N/A</v>
      </c>
      <c r="M91" s="12">
        <f t="array" ref="M91">INDEX(L:L,MIN(IF(ISNUMBER(L91:L287),ROW(L91:L287),"")))</f>
        <v>0</v>
      </c>
      <c r="N91" s="13">
        <f>IF('Données projet'!$A$36&gt;35,N90+M91-V90,IF(A91&lt;'Données projet'!$A$36,$K$205^A91,IF(A91='Données projet'!$A$36,'Données projet'!$B$36,N90+M91-V90)))</f>
        <v>-2.2737367544323206E-13</v>
      </c>
      <c r="O91" s="13">
        <f>N91*VLOOKUP('Données projet'!$B$9,Paramètres!$A$1:$I$89,3,0)*VLOOKUP('Données projet'!$B$9,Paramètres!$A$1:$I$89,5,0)</f>
        <v>-1.2710188457276673E-13</v>
      </c>
      <c r="P91" s="13" t="e">
        <f t="shared" si="87"/>
        <v>#NUM!</v>
      </c>
      <c r="Q91" s="20" t="e">
        <f t="shared" si="54"/>
        <v>#NUM!</v>
      </c>
      <c r="R91" s="59" t="e">
        <f t="shared" si="55"/>
        <v>#NUM!</v>
      </c>
      <c r="S91" s="59">
        <f ca="1">AVERAGE(OFFSET($R$3,0,0,'Données projet'!$E$9+1,1))-AVERAGE(OFFSET($H$3,0,0,'Données projet'!$E$9+1,1))</f>
        <v>255.5374979188561</v>
      </c>
      <c r="T91" s="59">
        <f t="shared" si="88"/>
        <v>343.10418468620901</v>
      </c>
      <c r="U91" s="15">
        <f>IF(ISNA(VLOOKUP(A91,'Données projet'!$A$35:$I$55,3,0)),0,VLOOKUP(A91,'Données projet'!$A$35:$I$55,3,0))</f>
        <v>0</v>
      </c>
      <c r="V91" s="15">
        <f>IF(ISNA(VLOOKUP(A91,'Données projet'!$A$35:$I$55,4,0)),0,VLOOKUP(A91,'Données projet'!$A$35:$I$55,4,0))</f>
        <v>0</v>
      </c>
      <c r="W91" s="16">
        <f>IF(ISNA(VLOOKUP(A91,'Données projet'!$A$35:$I$55,5,0)),0%,VLOOKUP(A91,'Données projet'!$A$35:$I$55,5,0)*VLOOKUP('Données projet'!$B$9,Paramètres!$A$1:$I$89,7,0))</f>
        <v>0</v>
      </c>
      <c r="X91" s="16">
        <f>IF(ISNA(VLOOKUP(A91,'Données projet'!$A$35:$I$55,6,0)),0%,VLOOKUP(A91,'Données projet'!$A$35:$I$55,6,0)*VLOOKUP('Données projet'!$B$9,Paramètres!$A$1:$I$89,7,0))</f>
        <v>0</v>
      </c>
      <c r="Y91" s="16">
        <f>IF(ISNA(VLOOKUP(A91,'Données projet'!$A$35:$I$55,7,0)),0%,VLOOKUP(A91,'Données projet'!$A$35:$I$55,7,0))</f>
        <v>0</v>
      </c>
      <c r="Z91" s="21">
        <f>EXP(-LN(2)/35)*Z90+(1-EXP(-LN(2)/35))/(LN(2)/35)*V91*W91*VLOOKUP('Données projet'!$B$9,Paramètres!$A$1:$I$89,3,0)*0.475*44/12</f>
        <v>0.97974828784987167</v>
      </c>
      <c r="AA91" s="21">
        <f>EXP(-LN(2)/25)*AA90+(1-EXP(-LN(2)/25))/(LN(2)/25)*Calculateur!V91*Calculateur!X91*VLOOKUP('Données projet'!$B$9,Paramètres!$A$1:$I$89,3,0)*0.475*44/12</f>
        <v>3.1963207069456132</v>
      </c>
      <c r="AB91" s="21">
        <f>EXP(-LN(2)/2)*AB90+(1-EXP(-LN(2)/2))/(LN(2)/2)*V91*Y91*VLOOKUP('Données projet'!$B$9,Paramètres!$A$1:$I$89,3,0)*0.475*44/12</f>
        <v>3.1528101851308086E-9</v>
      </c>
      <c r="AC91" s="22">
        <f t="shared" si="57"/>
        <v>4.1760689979482954</v>
      </c>
      <c r="AD91" s="13">
        <f>('Scénario référence'!$F$8+'Scénario référence'!$F$9+'Scénario référence'!$B$17+'Scénario référence'!$B$9+'Scénario référence'!$B$10)*70+IF((45+25*(1-EXP(-0.0175*A91)))&lt;70,'Scénario référence'!$B$16*(45+25*(1-EXP(-0.0175*A91))),70*'Scénario référence'!$B$16)+IF((32+38*(1-EXP(-0.0175*A91)))&lt;70,'Scénario référence'!$B$18*(32+38*(1-EXP(-0.0175*A91))),70*'Scénario référence'!$B$18)</f>
        <v>70</v>
      </c>
      <c r="AE91" s="13">
        <f>IF(A91&gt;30,10,('Scénario référence'!$B$16+'Scénario référence'!$B$17+'Scénario référence'!$B$18+'Scénario référence'!$B$9+'Scénario référence'!$B$10)*A91*10/30+('Scénario référence'!$F$8+'Scénario référence'!$F$9)*10)</f>
        <v>10</v>
      </c>
      <c r="AF91" s="12" t="e">
        <f>VLOOKUP(A91,'Données projet'!$A$61:$I$81,2,0)</f>
        <v>#N/A</v>
      </c>
      <c r="AG91" s="12" t="e">
        <f>VLOOKUP(A91,'Données projet'!$A$61:$I$81,9,0)</f>
        <v>#N/A</v>
      </c>
      <c r="AH91" s="12">
        <f t="array" ref="AH91">INDEX(AG:AG,MIN(IF(ISNUMBER(AG91:AG287),ROW(AG91:AG287),"")))</f>
        <v>0</v>
      </c>
      <c r="AI91" s="13">
        <f>IF('Données projet'!$A$62&gt;35,AI90+AH91-AQ90,IF(A91&lt;'Données projet'!$A$62,$AF$205^A91,IF(A91='Données projet'!$A$62,'Données projet'!$B$62,AI90+AH91-AQ90)))</f>
        <v>0</v>
      </c>
      <c r="AJ91" s="13">
        <f>AI91*VLOOKUP('Données projet'!$B$10,Paramètres!$A$1:$I$89,3,0)*VLOOKUP('Données projet'!$B$10,Paramètres!$A$1:$I$89,5,0)</f>
        <v>0</v>
      </c>
      <c r="AK91" s="13" t="e">
        <f t="shared" si="89"/>
        <v>#NUM!</v>
      </c>
      <c r="AL91" s="20" t="e">
        <f t="shared" si="58"/>
        <v>#NUM!</v>
      </c>
      <c r="AM91" s="59" t="e">
        <f t="shared" si="59"/>
        <v>#NUM!</v>
      </c>
      <c r="AN91" s="59">
        <f ca="1">AVERAGE(OFFSET($AM$3,0,0,'Données projet'!$E$10+1,1))-AVERAGE(OFFSET($H$3,0,0,'Données projet'!$E$10+1,1))</f>
        <v>261.78489480911571</v>
      </c>
      <c r="AO91" s="59">
        <f t="shared" si="90"/>
        <v>297.50513563712764</v>
      </c>
      <c r="AP91" s="15">
        <f>IF(ISNA(VLOOKUP(A91,'Données projet'!$A$61:$I$81,3,0)),0,VLOOKUP(A91,'Données projet'!$A$61:$I$81,3,0))</f>
        <v>0</v>
      </c>
      <c r="AQ91" s="15">
        <f>IF(ISNA(VLOOKUP(A91,'Données projet'!$A$61:$I$81,4,0)),0,VLOOKUP(A91,'Données projet'!$A$61:$I$81,4,0))</f>
        <v>0</v>
      </c>
      <c r="AR91" s="16">
        <f>IF(ISNA(VLOOKUP(A91,'Données projet'!$A$61:$I$81,5,0)),0%,VLOOKUP(A91,'Données projet'!$A$61:$I$81,5,0)*VLOOKUP('Données projet'!$B$10,Paramètres!$A$1:$I$89,7,0))</f>
        <v>0</v>
      </c>
      <c r="AS91" s="16">
        <f>IF(ISNA(VLOOKUP(A91,'Données projet'!$A$61:$I$81,6,0)),0%,VLOOKUP(A91,'Données projet'!$A$61:$I$81,6,0)*VLOOKUP('Données projet'!$B$10,Paramètres!$A$1:$I$89,7,0))</f>
        <v>0</v>
      </c>
      <c r="AT91" s="16">
        <f>IF(ISNA(VLOOKUP(A91,'Données projet'!$A$61:$I$81,7,0)),0%,VLOOKUP(A91,'Données projet'!$A$61:$I$81,7,0))</f>
        <v>0</v>
      </c>
      <c r="AU91" s="21">
        <f>EXP(-LN(2)/35)*AU90+(1-EXP(-LN(2)/35))/(LN(2)/35)*AQ91*AR91*VLOOKUP('Données projet'!$B$10,Paramètres!$A$1:$I$89,3,0)*0.475*44/12</f>
        <v>2.6455974976686965</v>
      </c>
      <c r="AV91" s="21">
        <f>EXP(-LN(2)/25)*AV90+(1-EXP(-LN(2)/25))/(LN(2)/25)*Calculateur!AQ91*Calculateur!AS91*VLOOKUP('Données projet'!$B$10,Paramètres!$A$1:$I$89,3,0)*0.475*44/12</f>
        <v>5.5814278786940132</v>
      </c>
      <c r="AW91" s="21">
        <f>EXP(-LN(2)/2)*AW90+(1-EXP(-LN(2)/2))/(LN(2)/2)*AQ91*AT91*VLOOKUP('Données projet'!$B$10,Paramètres!$A$1:$I$89,3,0)*0.475*44/12</f>
        <v>4.5450760306626335E-8</v>
      </c>
      <c r="AX91" s="21">
        <f t="shared" si="60"/>
        <v>8.2270254218134689</v>
      </c>
      <c r="AY91" s="74">
        <f>('Scénario référence'!$F$8+'Scénario référence'!$F$9+'Scénario référence'!$B$17+'Scénario référence'!$B$9+'Scénario référence'!$B$10)*70+IF((45+25*(1-EXP(-0.0175*A91)))&lt;70,'Scénario référence'!$B$16*(45+25*(1-EXP(-0.0175*A91))),70*'Scénario référence'!$B$16)+IF((32+38*(1-EXP(-0.0175*A91)))&lt;70,'Scénario référence'!$B$18*(32+38*(1-EXP(-0.0175*A91))),70*'Scénario référence'!$B$18)</f>
        <v>70</v>
      </c>
      <c r="AZ91" s="12">
        <f>IF(A91&gt;30,10,('Scénario référence'!$B$16+'Scénario référence'!$B$17+'Scénario référence'!$B$18+'Scénario référence'!$B$9+'Scénario référence'!$B$10)*A91*10/30+('Scénario référence'!$F$8+'Scénario référence'!$F$9)*10)</f>
        <v>10</v>
      </c>
      <c r="BA91" s="12" t="e">
        <f>VLOOKUP(A91,'Données projet'!$A$87:$I$107,2,0)</f>
        <v>#N/A</v>
      </c>
      <c r="BB91" s="12" t="e">
        <f>VLOOKUP(A91,'Données projet'!$A$87:$I$107,9,0)</f>
        <v>#N/A</v>
      </c>
      <c r="BC91" s="12">
        <f t="array" ref="BC91">INDEX(BB:BB,MIN(IF(ISNUMBER(BB91:BB287),ROW(BB91:BB287),"")))</f>
        <v>12.5</v>
      </c>
      <c r="BD91" s="12">
        <f>IF('Données projet'!$A$88&gt;35,BD90+BC91-BL90,IF(A91&lt;'Données projet'!$A$88,$BA$205^A91,IF(A91='Données projet'!$A$88,'Données projet'!$B$88,BD90+BC91-BL90)))</f>
        <v>611.99999999999955</v>
      </c>
      <c r="BE91" s="13">
        <f>BD91*VLOOKUP('Données projet'!$B$11,Paramètres!$A$1:$I$89,3,0)*VLOOKUP('Données projet'!$B$11,Paramètres!$A$1:$I$89,5,0)</f>
        <v>365.97599999999977</v>
      </c>
      <c r="BF91" s="13">
        <f t="shared" si="91"/>
        <v>84.843541364532513</v>
      </c>
      <c r="BG91" s="20">
        <f t="shared" si="61"/>
        <v>785.17736787656031</v>
      </c>
      <c r="BH91" s="59">
        <f t="shared" si="62"/>
        <v>1078.5107012098936</v>
      </c>
      <c r="BI91" s="59">
        <f ca="1">AVERAGE(OFFSET($BH$3,0,0,'Données projet'!$E$11+1,1))-AVERAGE(OFFSET($H$3,0,0,'Données projet'!$E$11+1,1))</f>
        <v>316.58509520829671</v>
      </c>
      <c r="BJ91" s="59">
        <f t="shared" si="92"/>
        <v>240.71332110643596</v>
      </c>
      <c r="BK91" s="15">
        <f>IF(ISNA(VLOOKUP(A91,'Données projet'!$A$87:$I$107,3,0)),0,VLOOKUP(A91,'Données projet'!$A$87:$I$107,3,0))</f>
        <v>0</v>
      </c>
      <c r="BL91" s="15">
        <f>IF(ISNA(VLOOKUP(A91,'Données projet'!$A$87:$I$107,4,0)),0,VLOOKUP(A91,'Données projet'!$A$87:$I$107,4,0))</f>
        <v>0</v>
      </c>
      <c r="BM91" s="16">
        <f>IF(ISNA(VLOOKUP(A91,'Données projet'!$A$87:$I$107,5,0)),0%,VLOOKUP(A91,'Données projet'!$A$87:$I$107,5,0)*VLOOKUP('Données projet'!$B$11,Paramètres!$A$1:$I$89,7,0))</f>
        <v>0</v>
      </c>
      <c r="BN91" s="16">
        <f>IF(ISNA(VLOOKUP(A91,'Données projet'!$A$87:$I$107,6,0)),0%,VLOOKUP(A91,'Données projet'!$A$87:$I$107,6,0)*VLOOKUP('Données projet'!$B$11,Paramètres!$A$1:$I$89,7,0))</f>
        <v>0</v>
      </c>
      <c r="BO91" s="16">
        <f>IF(ISNA(VLOOKUP(A91,'Données projet'!$A$87:$I$107,7,0)),0%,VLOOKUP(A91,'Données projet'!$A$87:$I$107,7,0))</f>
        <v>0</v>
      </c>
      <c r="BP91" s="21">
        <f>EXP(-LN(2)/35)*BP90+(1-EXP(-LN(2)/35))/(LN(2)/35)*BL91*BM91*VLOOKUP('Données projet'!$B$11,Paramètres!$A$1:$I$89,3,0)*0.475*44/12</f>
        <v>0.80361992442205754</v>
      </c>
      <c r="BQ91" s="21">
        <f>EXP(-LN(2)/25)*BQ90+(1-EXP(-LN(2)/25))/(LN(2)/25)*Calculateur!BL91*Calculateur!BN91*VLOOKUP('Données projet'!$B$11,Paramètres!$A$1:$I$89,3,0)*0.475*44/12</f>
        <v>3.057669047278698</v>
      </c>
      <c r="BR91" s="21">
        <f>EXP(-LN(2)/2)*BR90+(1-EXP(-LN(2)/2))/(LN(2)/2)*BL91*BO91*VLOOKUP('Données projet'!$B$11,Paramètres!$A$1:$I$89,3,0)*0.475*44/12</f>
        <v>4.0865210946911734E-8</v>
      </c>
      <c r="BS91" s="22">
        <f t="shared" si="63"/>
        <v>3.8612890125659662</v>
      </c>
      <c r="BT91" s="75">
        <f>('Scénario référence'!$F$8+'Scénario référence'!$F$9+'Scénario référence'!$B$17+'Scénario référence'!$B$9+'Scénario référence'!$B$10)*70+IF((45+25*(1-EXP(-0.0175*A91)))&lt;70,'Scénario référence'!$B$16*(45+25*(1-EXP(-0.0175*A91))),70*'Scénario référence'!$B$16)+IF((32+38*(1-EXP(-0.0175*A91)))&lt;70,'Scénario référence'!$B$18*(32+38*(1-EXP(-0.0175*A91))),70*'Scénario référence'!$B$18)</f>
        <v>70</v>
      </c>
      <c r="BU91" s="12">
        <f>IF(A91&gt;30,10,('Scénario référence'!$B$16+'Scénario référence'!$B$17+'Scénario référence'!$B$18+'Scénario référence'!$B$9+'Scénario référence'!$B$10)*A91*10/30+('Scénario référence'!$F$8+'Scénario référence'!$F$9)*10)</f>
        <v>10</v>
      </c>
      <c r="BV91" s="12" t="e">
        <f>VLOOKUP(A91,'Données projet'!$A$113:$I$133,2,0)</f>
        <v>#N/A</v>
      </c>
      <c r="BW91" s="12" t="e">
        <f>VLOOKUP(A91,'Données projet'!$A$113:$I$133,9,0)</f>
        <v>#N/A</v>
      </c>
      <c r="BX91" s="12">
        <f t="array" ref="BX91">INDEX(BW:BW,MIN(IF(ISNUMBER(BW91:BW287),ROW(BW91:BW287),"")))</f>
        <v>3.8</v>
      </c>
      <c r="BY91" s="12">
        <f>IF('Données projet'!$A$114&gt;35,BY90+BX91-CG90,IF(A91&lt;'Données projet'!$A$114,$BV$205^A91,IF(A91='Données projet'!$A$114,'Données projet'!$B$114,BY90+BX91-CG90)))</f>
        <v>346.39999999999975</v>
      </c>
      <c r="BZ91" s="13">
        <f>BY91*VLOOKUP('Données projet'!$B$12,Paramètres!$A$1:$I$89,3,0)*VLOOKUP('Données projet'!$B$12,Paramètres!$A$1:$I$89,5,0)</f>
        <v>198.14079999999984</v>
      </c>
      <c r="CA91" s="13">
        <f t="shared" si="93"/>
        <v>49.335350007767914</v>
      </c>
      <c r="CB91" s="20">
        <f t="shared" si="64"/>
        <v>431.02096126352882</v>
      </c>
      <c r="CC91" s="59">
        <f t="shared" si="65"/>
        <v>724.35429459686213</v>
      </c>
      <c r="CD91" s="59">
        <f ca="1">AVERAGE(OFFSET($CC$3,0,0,'Données projet'!$E$12+1,1))-AVERAGE(OFFSET($H$3,0,0,'Données projet'!$E$12+1,1))</f>
        <v>188.64374818906128</v>
      </c>
      <c r="CE91" s="59">
        <f t="shared" si="94"/>
        <v>211.95157880548652</v>
      </c>
      <c r="CF91" s="15">
        <f>IF(ISNA(VLOOKUP(A91,'Données projet'!$A$113:$I$133,3,0)),0,VLOOKUP(A91,'Données projet'!$A$113:$I$133,3,0))</f>
        <v>0</v>
      </c>
      <c r="CG91" s="15">
        <f>IF(ISNA(VLOOKUP(A91,'Données projet'!$A$113:$I$133,4,0)),0,VLOOKUP(A91,'Données projet'!$A$113:$I$133,4,0))</f>
        <v>0</v>
      </c>
      <c r="CH91" s="16">
        <f>IF(ISNA(VLOOKUP(A91,'Données projet'!$A$113:$I$133,5,0)),0%,VLOOKUP(A91,'Données projet'!$A$113:$I$133,5,0)*VLOOKUP('Données projet'!$B$12,Paramètres!$A$1:$I$89,7,0))</f>
        <v>0</v>
      </c>
      <c r="CI91" s="16">
        <f>IF(ISNA(VLOOKUP(A91,'Données projet'!$A$113:$I$133,6,0)),0%,VLOOKUP(A91,'Données projet'!$A$113:$I$133,6,0)*VLOOKUP('Données projet'!$B$12,Paramètres!$A$1:$I$89,7,0))</f>
        <v>0</v>
      </c>
      <c r="CJ91" s="16">
        <f>IF(ISNA(VLOOKUP(A91,'Données projet'!$A$113:$I$133,7,0)),0%,VLOOKUP(A91,'Données projet'!$A$113:$I$133,7,0))</f>
        <v>0</v>
      </c>
      <c r="CK91" s="21">
        <f>EXP(-LN(2)/35)*CK90+(1-EXP(-LN(2)/35))/(LN(2)/35)*CG91*CH91*VLOOKUP('Données projet'!$B$12,Paramètres!$A$1:$I$89,3,0)*0.475*44/12</f>
        <v>0.7795064055630978</v>
      </c>
      <c r="CL91" s="21">
        <f>EXP(-LN(2)/25)*CL90+(1-EXP(-LN(2)/25))/(LN(2)/25)*Calculateur!CG91*Calculateur!CI91*VLOOKUP('Données projet'!$B$12,Paramètres!$A$1:$I$89,3,0)*0.475*44/12</f>
        <v>2.8779473383157708</v>
      </c>
      <c r="CM91" s="21">
        <f>EXP(-LN(2)/2)*CM90+(1-EXP(-LN(2)/2))/(LN(2)/2)*CG91*CJ91*VLOOKUP('Données projet'!$B$12,Paramètres!$A$1:$I$89,3,0)*0.475*44/12</f>
        <v>3.95747594604944E-8</v>
      </c>
      <c r="CN91" s="22">
        <f t="shared" si="66"/>
        <v>3.657453783453628</v>
      </c>
      <c r="CO91" s="75">
        <f>('Scénario référence'!$F$8+'Scénario référence'!$F$9+'Scénario référence'!$B$17+'Scénario référence'!$B$9+'Scénario référence'!$B$10)*70+IF((45+25*(1-EXP(-0.0175*A91)))&lt;70,'Scénario référence'!$B$16*(45+25*(1-EXP(-0.0175*A91))),70*'Scénario référence'!$B$16)+IF((32+38*(1-EXP(-0.0175*A91)))&lt;70,'Scénario référence'!$B$18*(32+38*(1-EXP(-0.0175*A91))),70*'Scénario référence'!$B$18)</f>
        <v>70</v>
      </c>
      <c r="CP91" s="12">
        <f>IF(A91&gt;30,10,('Scénario référence'!$B$16+'Scénario référence'!$B$17+'Scénario référence'!$B$18+'Scénario référence'!$B$9+'Scénario référence'!$B$10)*A91*10/30+('Scénario référence'!$F$8+'Scénario référence'!$F$9)*10)</f>
        <v>10</v>
      </c>
      <c r="CQ91" s="12" t="e">
        <f>VLOOKUP(A91,'Données projet'!$A$139:$I$159,2,0)</f>
        <v>#N/A</v>
      </c>
      <c r="CR91" s="12" t="e">
        <f>VLOOKUP(A91,'Données projet'!$A$139:$I$159,9,0)</f>
        <v>#N/A</v>
      </c>
      <c r="CS91" s="12">
        <f t="array" ref="CS91">INDEX(CR:CR,MIN(IF(ISNUMBER(CR91:CR287),ROW(CR91:CR287),"")))</f>
        <v>0</v>
      </c>
      <c r="CT91" s="12">
        <f>IF('Données projet'!$A$140&gt;35,CT90+CS91-DB90,IF(A91&lt;'Données projet'!$A$140,$CQ$205^A91,IF(A91='Données projet'!$A$140,'Données projet'!$B$140,CT90+CS91-DB90)))</f>
        <v>0</v>
      </c>
      <c r="CU91" s="17" t="e">
        <f>CT91*VLOOKUP('Données projet'!$B$13,Paramètres!$A$1:$I$89,3,0)*VLOOKUP('Données projet'!$B$13,Paramètres!$A$1:$I$89,5,0)</f>
        <v>#N/A</v>
      </c>
      <c r="CV91" s="13" t="e">
        <f t="shared" si="95"/>
        <v>#N/A</v>
      </c>
      <c r="CW91" s="20" t="e">
        <f t="shared" si="67"/>
        <v>#N/A</v>
      </c>
      <c r="CX91" s="59" t="e">
        <f t="shared" si="68"/>
        <v>#N/A</v>
      </c>
      <c r="CY91" s="59" t="e">
        <f ca="1">AVERAGE(OFFSET($CX$3,0,0,'Données projet'!$E$13+1,1))-AVERAGE(OFFSET($H$3,0,0,'Données projet'!$E$13+1,1))</f>
        <v>#N/A</v>
      </c>
      <c r="CZ91" s="59" t="e">
        <f t="shared" si="96"/>
        <v>#N/A</v>
      </c>
      <c r="DA91" s="15">
        <f>IF(ISNA(VLOOKUP(A91,'Données projet'!$A$139:$I$159,3,0)),0,VLOOKUP(A91,'Données projet'!$A$139:$I$159,3,0))</f>
        <v>0</v>
      </c>
      <c r="DB91" s="15">
        <f>IF(ISNA(VLOOKUP(A91,'Données projet'!$A$139:$I$159,4,0)),0,VLOOKUP(A91,'Données projet'!$A$139:$I$159,4,0))</f>
        <v>0</v>
      </c>
      <c r="DC91" s="16">
        <f>IF(ISNA(VLOOKUP(A91,'Données projet'!$A$139:$I$159,5,0)),0%,VLOOKUP(A91,'Données projet'!$A$139:$I$159,5,0)*VLOOKUP('Données projet'!$B$13,Paramètres!$A$1:$I$89,7,0))</f>
        <v>0</v>
      </c>
      <c r="DD91" s="16">
        <f>IF(ISNA(VLOOKUP(A91,'Données projet'!$A$139:$I$159,6,0)),0%,VLOOKUP(A91,'Données projet'!$A$139:$I$159,6,0)*VLOOKUP('Données projet'!$B$13,Paramètres!$A$1:$I$89,7,0))</f>
        <v>0</v>
      </c>
      <c r="DE91" s="16">
        <f>IF(ISNA(VLOOKUP(A91,'Données projet'!$A$139:$I$159,7,0)),0%,VLOOKUP(A91,'Données projet'!$A$139:$I$159,7,0))</f>
        <v>0</v>
      </c>
      <c r="DF91" s="21" t="e">
        <f>EXP(-LN(2)/35)*DF90+(1-EXP(-LN(2)/35))/(LN(2)/35)*DB91*DC91*VLOOKUP('Données projet'!$B$13,Paramètres!$A$1:$I$89,3,0)*0.475*44/12</f>
        <v>#N/A</v>
      </c>
      <c r="DG91" s="21" t="e">
        <f>EXP(-LN(2)/25)*DG90+(1-EXP(-LN(2)/25))/(LN(2)/25)*Calculateur!DB91*Calculateur!DD91*VLOOKUP('Données projet'!$B$13,Paramètres!$A$1:$I$89,3,0)*0.475*44/12</f>
        <v>#N/A</v>
      </c>
      <c r="DH91" s="21" t="e">
        <f>EXP(-LN(2)/2)*DH90+(1-EXP(-LN(2)/2))/(LN(2)/2)*DB91*DE91*VLOOKUP('Données projet'!$B$13,Paramètres!$A$1:$I$89,3,0)*0.475*44/12</f>
        <v>#N/A</v>
      </c>
      <c r="DI91" s="22" t="e">
        <f t="shared" si="69"/>
        <v>#N/A</v>
      </c>
      <c r="DJ91" s="75">
        <f>('Scénario référence'!$F$8+'Scénario référence'!$F$9+'Scénario référence'!$B$17+'Scénario référence'!$B$9+'Scénario référence'!$B$10)*70+IF((45+25*(1-EXP(-0.0175*A91)))&lt;70,'Scénario référence'!$B$16*(45+25*(1-EXP(-0.0175*A91))),70*'Scénario référence'!$B$16)+IF((32+38*(1-EXP(-0.0175*A91)))&lt;70,'Scénario référence'!$B$18*(32+38*(1-EXP(-0.0175*A91))),70*'Scénario référence'!$B$18)</f>
        <v>70</v>
      </c>
      <c r="DK91" s="12">
        <f>IF(A91&gt;30,10,('Scénario référence'!$B$16+'Scénario référence'!$B$17+'Scénario référence'!$B$18+'Scénario référence'!$B$9+'Scénario référence'!$B$10)*A91*10/30+('Scénario référence'!$F$8+'Scénario référence'!$F$9)*10)</f>
        <v>10</v>
      </c>
      <c r="DL91" s="12" t="e">
        <f>VLOOKUP(A91,'Données projet'!$A$165:$I$185,2,0)</f>
        <v>#N/A</v>
      </c>
      <c r="DM91" s="12" t="e">
        <f>VLOOKUP(A91,'Données projet'!$A$165:$I$185,9,0)</f>
        <v>#N/A</v>
      </c>
      <c r="DN91" s="12">
        <f t="array" ref="DN91">INDEX(DM:DM,MIN(IF(ISNUMBER(DM91:DM287),ROW(DM91:DM287),"")))</f>
        <v>4</v>
      </c>
      <c r="DO91" s="12">
        <f>IF('Données projet'!$A$166&gt;35,DO90+DN91-DW90,IF(A91&lt;'Données projet'!$A$166,$DL$205^A91,IF(A91='Données projet'!$A$166,'Données projet'!$B$166,DO90+DN91-DW90)))</f>
        <v>291.00000000000017</v>
      </c>
      <c r="DP91" s="17">
        <f>DO91*VLOOKUP('Données projet'!$B$14,Paramètres!$A$1:$I$89,3,0)*VLOOKUP('Données projet'!$B$14,Paramètres!$A$1:$I$89,5,0)</f>
        <v>190.6632000000001</v>
      </c>
      <c r="DQ91" s="13">
        <f t="shared" si="97"/>
        <v>47.686547207106145</v>
      </c>
      <c r="DR91" s="20">
        <f t="shared" si="70"/>
        <v>415.12580971904339</v>
      </c>
      <c r="DS91" s="59">
        <f t="shared" si="71"/>
        <v>708.4591430523767</v>
      </c>
      <c r="DT91" s="59">
        <f ca="1">AVERAGE(OFFSET($DS$3,0,0,'Données projet'!$E$14+1,1))-AVERAGE(OFFSET($H$3,0,0,'Données projet'!$E$14+1,1))</f>
        <v>188.68915783955595</v>
      </c>
      <c r="DU91" s="59">
        <f t="shared" si="98"/>
        <v>240.82467772396944</v>
      </c>
      <c r="DV91" s="15">
        <f>IF(ISNA(VLOOKUP(A91,'Données projet'!$A$165:$I$185,3,0)),0,VLOOKUP(A91,'Données projet'!$A$165:$I$185,3,0))</f>
        <v>0</v>
      </c>
      <c r="DW91" s="15">
        <f>IF(ISNA(VLOOKUP(A91,'Données projet'!$A$165:$I$185,4,0)),0,VLOOKUP(A91,'Données projet'!$A$165:$I$185,4,0))</f>
        <v>0</v>
      </c>
      <c r="DX91" s="16">
        <f>IF(ISNA(VLOOKUP(A91,'Données projet'!$A$165:$I$185,5,0)),0%,VLOOKUP(A91,'Données projet'!$A$165:$I$185,5,0)*VLOOKUP('Données projet'!$B$14,Paramètres!$A$1:$I$89,7,0))</f>
        <v>0</v>
      </c>
      <c r="DY91" s="16">
        <f>IF(ISNA(VLOOKUP(A91,'Données projet'!$A$165:$I$185,6,0)),0%,VLOOKUP(A91,'Données projet'!$A$165:$I$185,6,0)*VLOOKUP('Données projet'!$B$14,Paramètres!$A$1:$I$89,7,0))</f>
        <v>0</v>
      </c>
      <c r="DZ91" s="16">
        <f>IF(ISNA(VLOOKUP(A91,'Données projet'!$A$165:$I$185,7,0)),0%,VLOOKUP(A91,'Données projet'!$A$165:$I$185,7,0))</f>
        <v>0</v>
      </c>
      <c r="EA91" s="21">
        <f>EXP(-LN(2)/35)*EA90+(1-EXP(-LN(2)/35))/(LN(2)/35)*DW91*DX91*VLOOKUP('Données projet'!$B$14,Paramètres!$A$1:$I$89,3,0)*0.475*44/12</f>
        <v>0.49375300520726523</v>
      </c>
      <c r="EB91" s="21">
        <f>EXP(-LN(2)/25)*EB90+(1-EXP(-LN(2)/25))/(LN(2)/25)*Calculateur!DW91*Calculateur!DY91*VLOOKUP('Données projet'!$B$14,Paramètres!$A$1:$I$89,3,0)*0.475*44/12</f>
        <v>1.6097557753889762</v>
      </c>
      <c r="EC91" s="21">
        <f>EXP(-LN(2)/2)*EC90+(1-EXP(-LN(2)/2))/(LN(2)/2)*DW91*DZ91*VLOOKUP('Données projet'!$B$14,Paramètres!$A$1:$I$89,3,0)*0.475*44/12</f>
        <v>2.6070341442166059E-8</v>
      </c>
      <c r="ED91" s="22">
        <f t="shared" si="72"/>
        <v>2.103508806666583</v>
      </c>
      <c r="EE91" s="75">
        <f>('Scénario référence'!$F$8+'Scénario référence'!$F$9+'Scénario référence'!$B$17+'Scénario référence'!$B$9+'Scénario référence'!$B$10)*70+IF((45+25*(1-EXP(-0.0175*A91)))&lt;70,'Scénario référence'!$B$16*(45+25*(1-EXP(-0.0175*A91))),70*'Scénario référence'!$B$16)+IF((32+38*(1-EXP(-0.0175*A91)))&lt;70,'Scénario référence'!$B$18*(32+38*(1-EXP(-0.0175*A91))),70*'Scénario référence'!$B$18)</f>
        <v>70</v>
      </c>
      <c r="EF91" s="12">
        <f>IF(A91&gt;30,10,('Scénario référence'!$B$16+'Scénario référence'!$B$17+'Scénario référence'!$B$18+'Scénario référence'!$B$9+'Scénario référence'!$B$10)*A91*10/30+('Scénario référence'!$F$8+'Scénario référence'!$F$9)*10)</f>
        <v>10</v>
      </c>
      <c r="EG91" s="12" t="e">
        <f>VLOOKUP(A91,'Données projet'!$A$191:$I$211,2,0)</f>
        <v>#N/A</v>
      </c>
      <c r="EH91" s="12" t="e">
        <f>VLOOKUP(A91,'Données projet'!$A$191:$I$211,9,0)</f>
        <v>#N/A</v>
      </c>
      <c r="EI91" s="12">
        <f t="array" ref="EI91">INDEX(EH:EH,MIN(IF(ISNUMBER(EH91:EH287),ROW(EH91:EH287),"")))</f>
        <v>4.7</v>
      </c>
      <c r="EJ91" s="12">
        <f>IF('Données projet'!$A$192&gt;35,EJ90+EI91-ER90,IF(A91&lt;'Données projet'!$A$192,$EG$205^A91,IF(A91='Données projet'!$A$192,'Données projet'!$B$192,EJ90+EI91-ER90)))</f>
        <v>297.59999999999974</v>
      </c>
      <c r="EK91" s="17">
        <f>EJ91*VLOOKUP('Données projet'!$B$15,Paramètres!$A$1:$I$89,3,0)*VLOOKUP('Données projet'!$B$15,Paramètres!$A$1:$I$89,5,0)</f>
        <v>241.41311999999979</v>
      </c>
      <c r="EL91" s="13">
        <f t="shared" si="99"/>
        <v>58.743466172863258</v>
      </c>
      <c r="EM91" s="20">
        <f t="shared" si="73"/>
        <v>522.77272091773648</v>
      </c>
      <c r="EN91" s="59">
        <f t="shared" si="74"/>
        <v>816.10605425106974</v>
      </c>
      <c r="EO91" s="59">
        <f ca="1">AVERAGE(OFFSET($EN$3,0,0,'Données projet'!$E$15+1,1))-AVERAGE(OFFSET($H$3,0,0,'Données projet'!$E$15+1,1))</f>
        <v>205.5272583787887</v>
      </c>
      <c r="EP91" s="59">
        <f t="shared" si="100"/>
        <v>180.54762778843178</v>
      </c>
      <c r="EQ91" s="15">
        <f>IF(ISNA(VLOOKUP(A91,'Données projet'!$A$191:$I$211,3,0)),0,VLOOKUP(A91,'Données projet'!$A$191:$I$211,3,0))</f>
        <v>0</v>
      </c>
      <c r="ER91" s="15">
        <f>IF(ISNA(VLOOKUP(A91,'Données projet'!$A$191:$I$211,4,0)),0,VLOOKUP(A91,'Données projet'!$A$191:$I$211,4,0))</f>
        <v>0</v>
      </c>
      <c r="ES91" s="16">
        <f>IF(ISNA(VLOOKUP(A91,'Données projet'!$A$191:$I$211,5,0)),0%,VLOOKUP(A91,'Données projet'!$A$191:$I$211,5,0)*VLOOKUP('Données projet'!$B$15,Paramètres!$A$1:$I$89,7,0))</f>
        <v>0</v>
      </c>
      <c r="ET91" s="16">
        <f>IF(ISNA(VLOOKUP(A91,'Données projet'!$A$191:$I$211,6,0)),0%,VLOOKUP(A91,'Données projet'!$A$191:$I$211,6,0)*VLOOKUP('Données projet'!$B$15,Paramètres!$A$1:$I$89,7,0))</f>
        <v>0</v>
      </c>
      <c r="EU91" s="16">
        <f>IF(ISNA(VLOOKUP(A91,'Données projet'!$A$191:$I$211,7,0)),0%,VLOOKUP(A91,'Données projet'!$A$191:$I$211,7,0))</f>
        <v>0</v>
      </c>
      <c r="EV91" s="21">
        <f>EXP(-LN(2)/35)*EV90+(1-EXP(-LN(2)/35))/(LN(2)/35)*ER91*ES91*VLOOKUP('Données projet'!$B$15,Paramètres!$A$1:$I$89,3,0)*0.475*44/12</f>
        <v>0.31788288716201069</v>
      </c>
      <c r="EW91" s="21">
        <f>EXP(-LN(2)/25)*EW90+(1-EXP(-LN(2)/25))/(LN(2)/25)*Calculateur!ER91*Calculateur!ET91*VLOOKUP('Données projet'!$B$15,Paramètres!$A$1:$I$89,3,0)*0.475*44/12</f>
        <v>1.1622925033255076</v>
      </c>
      <c r="EX91" s="21">
        <f>EXP(-LN(2)/2)*EX90+(1-EXP(-LN(2)/2))/(LN(2)/2)*ER91*EU91*VLOOKUP('Données projet'!$B$15,Paramètres!$A$1:$I$89,3,0)*0.475*44/12</f>
        <v>1.6880565360896183E-8</v>
      </c>
      <c r="EY91" s="22">
        <f t="shared" si="75"/>
        <v>1.4801754073680837</v>
      </c>
      <c r="EZ91" s="75">
        <f>('Scénario référence'!$F$8+'Scénario référence'!$F$9+'Scénario référence'!$B$17+'Scénario référence'!$B$9+'Scénario référence'!$B$10)*70+IF((45+25*(1-EXP(-0.0175*A91)))&lt;70,'Scénario référence'!$B$16*(45+25*(1-EXP(-0.0175*A91))),70*'Scénario référence'!$B$16)+IF((32+38*(1-EXP(-0.0175*A91)))&lt;70,'Scénario référence'!$B$18*(32+38*(1-EXP(-0.0175*A91))),70*'Scénario référence'!$B$18)</f>
        <v>70</v>
      </c>
      <c r="FA91" s="12">
        <f>IF(A91&gt;30,10,('Scénario référence'!$B$16+'Scénario référence'!$B$17+'Scénario référence'!$B$18+'Scénario référence'!$B$9+'Scénario référence'!$B$10)*A91*10/30+('Scénario référence'!$F$8+'Scénario référence'!$F$9)*10)</f>
        <v>10</v>
      </c>
      <c r="FB91" s="12" t="e">
        <f>VLOOKUP(A91,'Données projet'!$A$217:$I$237,2,0)</f>
        <v>#N/A</v>
      </c>
      <c r="FC91" s="12" t="e">
        <f>VLOOKUP(A91,'Données projet'!$A$217:$I$237,9,0)</f>
        <v>#N/A</v>
      </c>
      <c r="FD91" s="12">
        <f t="array" ref="FD91">INDEX(FC:FC,MIN(IF(ISNUMBER(FC91:FC287),ROW(FC91:FC287),"")))</f>
        <v>10.9</v>
      </c>
      <c r="FE91" s="12">
        <f>IF('Données projet'!$A$218&gt;35,FE90+FD91-FM90,IF(A91&lt;'Données projet'!$A$218,$FB$205^A91,IF(A91='Données projet'!$A$218,'Données projet'!$B$218,FE90+FD91-FM90)))</f>
        <v>399.2</v>
      </c>
      <c r="FF91" s="17">
        <f>FE91*VLOOKUP('Données projet'!$B$16,Paramètres!$A$1:$I$89,3,0)*VLOOKUP('Données projet'!$B$16,Paramètres!$A$1:$I$89,5,0)</f>
        <v>342.5136</v>
      </c>
      <c r="FG91" s="13">
        <f t="shared" si="101"/>
        <v>80.019049258793871</v>
      </c>
      <c r="FH91" s="20">
        <f t="shared" si="76"/>
        <v>735.91103079239929</v>
      </c>
      <c r="FI91" s="59">
        <f t="shared" si="77"/>
        <v>1029.2443641257325</v>
      </c>
      <c r="FJ91" s="59">
        <f ca="1">AVERAGE(OFFSET($FI$3,0,0,'Données projet'!$E$16+1,1))-AVERAGE(OFFSET($H$3,0,0,'Données projet'!$E$16+1,1))</f>
        <v>383.97627237444709</v>
      </c>
      <c r="FK91" s="59">
        <f t="shared" si="102"/>
        <v>203.35476578922339</v>
      </c>
      <c r="FL91" s="15">
        <f>IF(ISNA(VLOOKUP(A91,'Données projet'!$A$217:$I$237,3,0)),0,VLOOKUP(A91,'Données projet'!$A$217:$I$237,3,0))</f>
        <v>0</v>
      </c>
      <c r="FM91" s="15">
        <f>IF(ISNA(VLOOKUP(A91,'Données projet'!$A$217:$I$237,4,0)),0,VLOOKUP(A91,'Données projet'!$A$217:$I$237,4,0))</f>
        <v>0</v>
      </c>
      <c r="FN91" s="16">
        <f>IF(ISNA(VLOOKUP(A91,'Données projet'!$A$217:$I$237,5,0)),0%,VLOOKUP(A91,'Données projet'!$A$217:$I$237,5,0)*VLOOKUP('Données projet'!$B$16,Paramètres!$A$1:$I$89,7,0))</f>
        <v>0</v>
      </c>
      <c r="FO91" s="16">
        <f>IF(ISNA(VLOOKUP(A91,'Données projet'!$A$217:$I$237,6,0)),0%,VLOOKUP(A91,'Données projet'!$A$217:$I$237,6,0)*VLOOKUP('Données projet'!$B$16,Paramètres!$A$1:$I$89,7,0))</f>
        <v>0</v>
      </c>
      <c r="FP91" s="16">
        <f>IF(ISNA(VLOOKUP(A91,'Données projet'!$A$217:$I$237,7,0)),0%,VLOOKUP(A91,'Données projet'!$A$217:$I$237,7,0))</f>
        <v>0</v>
      </c>
      <c r="FQ91" s="21">
        <f>EXP(-LN(2)/35)*FQ90+(1-EXP(-LN(2)/35))/(LN(2)/35)*FM91*FN91*VLOOKUP('Données projet'!$B$16,Paramètres!$A$1:$I$89,3,0)*0.475*44/12</f>
        <v>1.6337455818755924</v>
      </c>
      <c r="FR91" s="21">
        <f>EXP(-LN(2)/25)*FR90+(1-EXP(-LN(2)/25))/(LN(2)/25)*Calculateur!FM91*Calculateur!FO91*VLOOKUP('Données projet'!$B$16,Paramètres!$A$1:$I$89,3,0)*0.475*44/12</f>
        <v>1.1798470252228279</v>
      </c>
      <c r="FS91" s="21">
        <f>EXP(-LN(2)/2)*FS90+(1-EXP(-LN(2)/2))/(LN(2)/2)*FM91*FP91*VLOOKUP('Données projet'!$B$16,Paramètres!$A$1:$I$89,3,0)*0.475*44/12</f>
        <v>3.1006134174372799E-8</v>
      </c>
      <c r="FT91" s="22">
        <f t="shared" si="78"/>
        <v>2.8135926381045544</v>
      </c>
      <c r="FU91" s="75">
        <f>('Scénario référence'!$F$8+'Scénario référence'!$F$9+'Scénario référence'!$B$17+'Scénario référence'!$B$9+'Scénario référence'!$B$10)*70+IF((45+25*(1-EXP(-0.0175*A91)))&lt;70,'Scénario référence'!$B$16*(45+25*(1-EXP(-0.0175*A91))),70*'Scénario référence'!$B$16)+IF((32+38*(1-EXP(-0.0175*A91)))&lt;70,'Scénario référence'!$B$18*(32+38*(1-EXP(-0.0175*A91))),70*'Scénario référence'!$B$18)</f>
        <v>70</v>
      </c>
      <c r="FV91" s="12">
        <f>IF(A91&gt;30,10,('Scénario référence'!$B$16+'Scénario référence'!$B$17+'Scénario référence'!$B$18+'Scénario référence'!$B$9+'Scénario référence'!$B$10)*A91*10/30+('Scénario référence'!$F$8+'Scénario référence'!$F$9)*10)</f>
        <v>10</v>
      </c>
      <c r="FW91" s="12" t="e">
        <f>VLOOKUP(A91,'Données projet'!$A$243:$I$263,2,0)</f>
        <v>#N/A</v>
      </c>
      <c r="FX91" s="12" t="e">
        <f>VLOOKUP(A91,'Données projet'!$A$243:$I$263,9,0)</f>
        <v>#N/A</v>
      </c>
      <c r="FY91" s="12">
        <f t="array" ref="FY91">INDEX(FX:FX,MIN(IF(ISNUMBER(FX91:FX287),ROW(FX91:FX287),"")))</f>
        <v>7.4950142450142483</v>
      </c>
      <c r="FZ91" s="12">
        <f>IF('Données projet'!$A$244&gt;35,FZ90+FY91-GH90,IF(A91&lt;'Données projet'!$A$244,$FW$205^A91,IF(A91='Données projet'!$A$244,'Données projet'!$B$244,FZ90+FY91-GH90)))</f>
        <v>288.36396011396022</v>
      </c>
      <c r="GA91" s="17">
        <f>FZ91*VLOOKUP('Données projet'!$B$17,Paramètres!$A$1:$I$89,3,0)*VLOOKUP('Données projet'!$B$17,Paramètres!$A$1:$I$89,5,0)</f>
        <v>310.39496666666679</v>
      </c>
      <c r="GB91" s="13">
        <f t="shared" si="103"/>
        <v>73.351308818391132</v>
      </c>
      <c r="GC91" s="20">
        <f t="shared" si="79"/>
        <v>668.3580964698092</v>
      </c>
      <c r="GD91" s="59">
        <f t="shared" si="80"/>
        <v>961.69142980314246</v>
      </c>
      <c r="GE91" s="59">
        <f ca="1">AVERAGE(OFFSET($GD$3,0,0,'Données projet'!$E$17+1,1))-AVERAGE(OFFSET($H$3,0,0,'Données projet'!$E$17+1,1))</f>
        <v>286.77702855541287</v>
      </c>
      <c r="GF91" s="59">
        <f t="shared" si="104"/>
        <v>227.12211541860779</v>
      </c>
      <c r="GG91" s="15">
        <f>IF(ISNA(VLOOKUP(A91,'Données projet'!$A$243:$I$263,3,0)),0,VLOOKUP(A91,'Données projet'!$A$243:$I$263,3,0))</f>
        <v>0</v>
      </c>
      <c r="GH91" s="15">
        <f>IF(ISNA(VLOOKUP(A91,'Données projet'!$A$243:$I$263,4,0)),0,VLOOKUP(A91,'Données projet'!$A$243:$I$263,4,0))</f>
        <v>0</v>
      </c>
      <c r="GI91" s="16">
        <f>IF(ISNA(VLOOKUP(A91,'Données projet'!$A$243:$I$263,5,0)),0%,VLOOKUP(A91,'Données projet'!$A$243:$I$263,5,0)*VLOOKUP('Données projet'!$B$17,Paramètres!$A$1:$I$89,7,0))</f>
        <v>0</v>
      </c>
      <c r="GJ91" s="16">
        <f>IF(ISNA(VLOOKUP(A91,'Données projet'!$A$243:$I$263,6,0)),0%,VLOOKUP(A91,'Données projet'!$A$243:$I$263,6,0)*VLOOKUP('Données projet'!$B$17,Paramètres!$A$1:$I$89,7,0))</f>
        <v>0</v>
      </c>
      <c r="GK91" s="16">
        <f>IF(ISNA(VLOOKUP(A91,'Données projet'!$A$243:$I$263,7,0)),0%,VLOOKUP(A91,'Données projet'!$A$243:$I$263,7,0))</f>
        <v>0</v>
      </c>
      <c r="GL91" s="21">
        <f>EXP(-LN(2)/35)*GL90+(1-EXP(-LN(2)/35))/(LN(2)/35)*GH91*GI91*VLOOKUP('Données projet'!$B$17,Paramètres!$A$1:$I$89,3,0)*0.475*44/12</f>
        <v>0</v>
      </c>
      <c r="GM91" s="21">
        <f>EXP(-LN(2)/25)*GM90+(1-EXP(-LN(2)/25))/(LN(2)/25)*Calculateur!GH91*Calculateur!GJ91*VLOOKUP('Données projet'!$B$17,Paramètres!$A$1:$I$89,3,0)*0.475*44/12</f>
        <v>0</v>
      </c>
      <c r="GN91" s="21">
        <f>EXP(-LN(2)/2)*GN90+(1-EXP(-LN(2)/2))/(LN(2)/2)*GH91*GK91*VLOOKUP('Données projet'!$B$17,Paramètres!$A$1:$I$89,3,0)*0.475*44/12</f>
        <v>0</v>
      </c>
      <c r="GO91" s="21">
        <f t="shared" si="81"/>
        <v>0</v>
      </c>
      <c r="GP91" s="75">
        <f>('Scénario référence'!$F$8+'Scénario référence'!$F$9+'Scénario référence'!$B$17+'Scénario référence'!$B$9+'Scénario référence'!$B$10)*70+IF((45+25*(1-EXP(-0.0175*A91)))&lt;70,'Scénario référence'!$B$16*(45+25*(1-EXP(-0.0175*A91))),70*'Scénario référence'!$B$16)+IF((32+38*(1-EXP(-0.0175*A91)))&lt;70,'Scénario référence'!$B$18*(32+38*(1-EXP(-0.0175*A91))),70*'Scénario référence'!$B$18)</f>
        <v>70</v>
      </c>
      <c r="GQ91" s="12">
        <f>IF(A91&gt;30,10,('Scénario référence'!$B$16+'Scénario référence'!$B$17+'Scénario référence'!$B$18+'Scénario référence'!$B$9+'Scénario référence'!$B$10)*A91*10/30+('Scénario référence'!$F$8+'Scénario référence'!$F$9)*10)</f>
        <v>10</v>
      </c>
      <c r="GR91" s="12" t="e">
        <f>VLOOKUP(A91,'Données projet'!$A$269:$I$289,2,0)</f>
        <v>#N/A</v>
      </c>
      <c r="GS91" s="12" t="e">
        <f>VLOOKUP(A91,'Données projet'!$A$269:$I$289,9,0)</f>
        <v>#N/A</v>
      </c>
      <c r="GT91" s="12">
        <f t="array" ref="GT91">INDEX(GS:GS,MIN(IF(ISNUMBER(GS91:GS287),ROW(GS91:GS287),"")))</f>
        <v>7.4950142450142483</v>
      </c>
      <c r="GU91" s="12">
        <f>IF('Données projet'!$A$270&gt;35,GU90+GT91-HC90,IF(A91&lt;'Données projet'!$A$270,$GR$205^A91,IF(A91='Données projet'!$A$270,'Données projet'!$B$270,GU90+GT91-HC90)))</f>
        <v>288.36396011396022</v>
      </c>
      <c r="GV91" s="17">
        <f>GU91*VLOOKUP('Données projet'!$B$18,Paramètres!$A$1:$I$89,3,0)*VLOOKUP('Données projet'!$B$18,Paramètres!$A$1:$I$89,5,0)</f>
        <v>310.39496666666679</v>
      </c>
      <c r="GW91" s="13">
        <f t="shared" si="105"/>
        <v>73.351308818391132</v>
      </c>
      <c r="GX91" s="20">
        <f t="shared" si="82"/>
        <v>668.3580964698092</v>
      </c>
      <c r="GY91" s="59">
        <f t="shared" si="83"/>
        <v>961.69142980314246</v>
      </c>
      <c r="GZ91" s="59">
        <f ca="1">AVERAGE(OFFSET($GY$3,0,0,'Données projet'!$E$18+1,1))-AVERAGE(OFFSET($H$3,0,0,'Données projet'!$E$18+1,1))</f>
        <v>286.77702855541287</v>
      </c>
      <c r="HA91" s="59">
        <f t="shared" si="106"/>
        <v>227.12211541860779</v>
      </c>
      <c r="HB91" s="15">
        <f>IF(ISNA(VLOOKUP(A91,'Données projet'!$A$269:$I$289,3,0)),0,VLOOKUP(A91,'Données projet'!$A$269:$I$289,3,0))</f>
        <v>0</v>
      </c>
      <c r="HC91" s="15">
        <f>IF(ISNA(VLOOKUP(A91,'Données projet'!$A$269:$I$289,4,0)),0,VLOOKUP(A91,'Données projet'!$A$269:$I$289,4,0))</f>
        <v>0</v>
      </c>
      <c r="HD91" s="16">
        <f>IF(ISNA(VLOOKUP(A91,'Données projet'!$A$269:$I$289,5,0)),0%,VLOOKUP(A91,'Données projet'!$A$269:$I$289,5,0)*VLOOKUP('Données projet'!$B$18,Paramètres!$A$1:$I$89,7,0))</f>
        <v>0</v>
      </c>
      <c r="HE91" s="16">
        <f>IF(ISNA(VLOOKUP(A91,'Données projet'!$A$269:$I$289,6,0)),0%,VLOOKUP(A91,'Données projet'!$A$269:$I$289,6,0)*VLOOKUP('Données projet'!$B$18,Paramètres!$A$1:$I$89,7,0))</f>
        <v>0</v>
      </c>
      <c r="HF91" s="16">
        <f>IF(ISNA(VLOOKUP(A91,'Données projet'!$A$269:$I$289,7,0)),0%,VLOOKUP(A91,'Données projet'!$A$269:$I$289,7,0))</f>
        <v>0</v>
      </c>
      <c r="HG91" s="21">
        <f>EXP(-LN(2)/35)*HG90+(1-EXP(-LN(2)/35))/(LN(2)/35)*HC91*HD91*VLOOKUP('Données projet'!$B$18,Paramètres!$A$1:$I$89,3,0)*0.475*44/12</f>
        <v>0</v>
      </c>
      <c r="HH91" s="21">
        <f>EXP(-LN(2)/25)*HH90+(1-EXP(-LN(2)/25))/(LN(2)/25)*Calculateur!HC91*Calculateur!HE91*VLOOKUP('Données projet'!$B$18,Paramètres!$A$1:$I$89,3,0)*0.475*44/12</f>
        <v>0</v>
      </c>
      <c r="HI91" s="21">
        <f>EXP(-LN(2)/2)*HI90+(1-EXP(-LN(2)/2))/(LN(2)/2)*HC91*HF91*VLOOKUP('Données projet'!$B$18,Paramètres!$A$1:$I$89,3,0)*0.475*44/12</f>
        <v>0</v>
      </c>
      <c r="HJ91" s="22">
        <f t="shared" si="84"/>
        <v>0</v>
      </c>
    </row>
    <row r="92" spans="1:218" x14ac:dyDescent="0.25">
      <c r="A92" s="10">
        <f t="shared" si="85"/>
        <v>89</v>
      </c>
      <c r="B92" s="73">
        <f>'Scénario référence'!$B$16*5+'Scénario référence'!$B$17*0+'Scénario référence'!$B$18*5</f>
        <v>0</v>
      </c>
      <c r="C92" s="19">
        <f>Calculateur!C91+'Scénario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79.138800000000117</v>
      </c>
      <c r="D92" s="11">
        <f t="shared" si="86"/>
        <v>21.926483794395363</v>
      </c>
      <c r="E9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92" s="11">
        <f>IF(OR('Scénario référence'!$F$8&gt;0,'Scénario référence'!$F$9&gt;0),('Scénario référence'!$F$8+'Scénario référence'!$F$9)*10,0)</f>
        <v>10</v>
      </c>
      <c r="G92" s="11">
        <f>'Scénario référence'!$B$8*B92*44/12+'Scénario référence'!$B$9*(C92+D92)/0.475*44/12+'Scénario référence'!$B$10*(C92+D92)/0.475*44/12+'Scénario référence'!$F$8*(C92+D92)/0.475*44/12+'Scénario référence'!$F$9*(C92+D92)/0.475*44/12</f>
        <v>780.15306788656164</v>
      </c>
      <c r="H92" s="67">
        <f t="shared" si="56"/>
        <v>469.35536927523879</v>
      </c>
      <c r="I92" s="70">
        <f>('Scénario référence'!$F$8+'Scénario référence'!$F$9+'Scénario référence'!$B$17+'Scénario référence'!$B$9+'Scénario référence'!$B$10)*70+IF((45+25*(1-EXP(-0.0175*A92)))&lt;70,'Scénario référence'!$B$16*(45+25*(1-EXP(-0.0175*A92))),70*'Scénario référence'!$B$16)+IF((32+38*(1-EXP(-0.0175*A92)))&lt;70,'Scénario référence'!$B$18*(32+38*(1-EXP(-0.0175*A92))),70*'Scénario référence'!$B$18)</f>
        <v>70</v>
      </c>
      <c r="J92" s="13">
        <f>IF(A92&gt;30,10,('Scénario référence'!$B$16+'Scénario référence'!$B$17+'Scénario référence'!$B$18+'Scénario référence'!$B$9+'Scénario référence'!$B$10)*A92*10/30+('Scénario référence'!$F$8+'Scénario référence'!$F$9)*10)</f>
        <v>10</v>
      </c>
      <c r="K92" s="12" t="e">
        <f>VLOOKUP(A92,'Données projet'!$A$35:$I$55,2,0)</f>
        <v>#N/A</v>
      </c>
      <c r="L92" s="12" t="e">
        <f>VLOOKUP(A92,'Données projet'!$A$35:$I$55,9,0)</f>
        <v>#N/A</v>
      </c>
      <c r="M92" s="12">
        <f t="array" ref="M92">INDEX(L:L,MIN(IF(ISNUMBER(L92:L288),ROW(L92:L288),"")))</f>
        <v>0</v>
      </c>
      <c r="N92" s="13">
        <f>IF('Données projet'!$A$36&gt;35,N91+M92-V91,IF(A92&lt;'Données projet'!$A$36,$K$205^A92,IF(A92='Données projet'!$A$36,'Données projet'!$B$36,N91+M92-V91)))</f>
        <v>-2.2737367544323206E-13</v>
      </c>
      <c r="O92" s="13">
        <f>N92*VLOOKUP('Données projet'!$B$9,Paramètres!$A$1:$I$89,3,0)*VLOOKUP('Données projet'!$B$9,Paramètres!$A$1:$I$89,5,0)</f>
        <v>-1.2710188457276673E-13</v>
      </c>
      <c r="P92" s="13" t="e">
        <f t="shared" si="87"/>
        <v>#NUM!</v>
      </c>
      <c r="Q92" s="20" t="e">
        <f t="shared" si="54"/>
        <v>#NUM!</v>
      </c>
      <c r="R92" s="59" t="e">
        <f t="shared" si="55"/>
        <v>#NUM!</v>
      </c>
      <c r="S92" s="59">
        <f ca="1">AVERAGE(OFFSET($R$3,0,0,'Données projet'!$E$9+1,1))-AVERAGE(OFFSET($H$3,0,0,'Données projet'!$E$9+1,1))</f>
        <v>255.5374979188561</v>
      </c>
      <c r="T92" s="59">
        <f t="shared" si="88"/>
        <v>343.10418468620901</v>
      </c>
      <c r="U92" s="15">
        <f>IF(ISNA(VLOOKUP(A92,'Données projet'!$A$35:$I$55,3,0)),0,VLOOKUP(A92,'Données projet'!$A$35:$I$55,3,0))</f>
        <v>0</v>
      </c>
      <c r="V92" s="15">
        <f>IF(ISNA(VLOOKUP(A92,'Données projet'!$A$35:$I$55,4,0)),0,VLOOKUP(A92,'Données projet'!$A$35:$I$55,4,0))</f>
        <v>0</v>
      </c>
      <c r="W92" s="16">
        <f>IF(ISNA(VLOOKUP(A92,'Données projet'!$A$35:$I$55,5,0)),0%,VLOOKUP(A92,'Données projet'!$A$35:$I$55,5,0)*VLOOKUP('Données projet'!$B$9,Paramètres!$A$1:$I$89,7,0))</f>
        <v>0</v>
      </c>
      <c r="X92" s="16">
        <f>IF(ISNA(VLOOKUP(A92,'Données projet'!$A$35:$I$55,6,0)),0%,VLOOKUP(A92,'Données projet'!$A$35:$I$55,6,0)*VLOOKUP('Données projet'!$B$9,Paramètres!$A$1:$I$89,7,0))</f>
        <v>0</v>
      </c>
      <c r="Y92" s="16">
        <f>IF(ISNA(VLOOKUP(A92,'Données projet'!$A$35:$I$55,7,0)),0%,VLOOKUP(A92,'Données projet'!$A$35:$I$55,7,0))</f>
        <v>0</v>
      </c>
      <c r="Z92" s="21">
        <f>EXP(-LN(2)/35)*Z91+(1-EXP(-LN(2)/35))/(LN(2)/35)*V92*W92*VLOOKUP('Données projet'!$B$9,Paramètres!$A$1:$I$89,3,0)*0.475*44/12</f>
        <v>0.96053602151258444</v>
      </c>
      <c r="AA92" s="21">
        <f>EXP(-LN(2)/25)*AA91+(1-EXP(-LN(2)/25))/(LN(2)/25)*Calculateur!V92*Calculateur!X92*VLOOKUP('Données projet'!$B$9,Paramètres!$A$1:$I$89,3,0)*0.475*44/12</f>
        <v>3.1089171491269849</v>
      </c>
      <c r="AB92" s="21">
        <f>EXP(-LN(2)/2)*AB91+(1-EXP(-LN(2)/2))/(LN(2)/2)*V92*Y92*VLOOKUP('Données projet'!$B$9,Paramètres!$A$1:$I$89,3,0)*0.475*44/12</f>
        <v>2.229373461700009E-9</v>
      </c>
      <c r="AC92" s="22">
        <f t="shared" si="57"/>
        <v>4.0694531728689425</v>
      </c>
      <c r="AD92" s="13">
        <f>('Scénario référence'!$F$8+'Scénario référence'!$F$9+'Scénario référence'!$B$17+'Scénario référence'!$B$9+'Scénario référence'!$B$10)*70+IF((45+25*(1-EXP(-0.0175*A92)))&lt;70,'Scénario référence'!$B$16*(45+25*(1-EXP(-0.0175*A92))),70*'Scénario référence'!$B$16)+IF((32+38*(1-EXP(-0.0175*A92)))&lt;70,'Scénario référence'!$B$18*(32+38*(1-EXP(-0.0175*A92))),70*'Scénario référence'!$B$18)</f>
        <v>70</v>
      </c>
      <c r="AE92" s="13">
        <f>IF(A92&gt;30,10,('Scénario référence'!$B$16+'Scénario référence'!$B$17+'Scénario référence'!$B$18+'Scénario référence'!$B$9+'Scénario référence'!$B$10)*A92*10/30+('Scénario référence'!$F$8+'Scénario référence'!$F$9)*10)</f>
        <v>10</v>
      </c>
      <c r="AF92" s="12" t="e">
        <f>VLOOKUP(A92,'Données projet'!$A$61:$I$81,2,0)</f>
        <v>#N/A</v>
      </c>
      <c r="AG92" s="12" t="e">
        <f>VLOOKUP(A92,'Données projet'!$A$61:$I$81,9,0)</f>
        <v>#N/A</v>
      </c>
      <c r="AH92" s="12">
        <f t="array" ref="AH92">INDEX(AG:AG,MIN(IF(ISNUMBER(AG92:AG288),ROW(AG92:AG288),"")))</f>
        <v>0</v>
      </c>
      <c r="AI92" s="13">
        <f>IF('Données projet'!$A$62&gt;35,AI91+AH92-AQ91,IF(A92&lt;'Données projet'!$A$62,$AF$205^A92,IF(A92='Données projet'!$A$62,'Données projet'!$B$62,AI91+AH92-AQ91)))</f>
        <v>0</v>
      </c>
      <c r="AJ92" s="13">
        <f>AI92*VLOOKUP('Données projet'!$B$10,Paramètres!$A$1:$I$89,3,0)*VLOOKUP('Données projet'!$B$10,Paramètres!$A$1:$I$89,5,0)</f>
        <v>0</v>
      </c>
      <c r="AK92" s="13" t="e">
        <f t="shared" si="89"/>
        <v>#NUM!</v>
      </c>
      <c r="AL92" s="20" t="e">
        <f t="shared" si="58"/>
        <v>#NUM!</v>
      </c>
      <c r="AM92" s="59" t="e">
        <f t="shared" si="59"/>
        <v>#NUM!</v>
      </c>
      <c r="AN92" s="59">
        <f ca="1">AVERAGE(OFFSET($AM$3,0,0,'Données projet'!$E$10+1,1))-AVERAGE(OFFSET($H$3,0,0,'Données projet'!$E$10+1,1))</f>
        <v>261.78489480911571</v>
      </c>
      <c r="AO92" s="59">
        <f t="shared" si="90"/>
        <v>297.50513563712764</v>
      </c>
      <c r="AP92" s="15">
        <f>IF(ISNA(VLOOKUP(A92,'Données projet'!$A$61:$I$81,3,0)),0,VLOOKUP(A92,'Données projet'!$A$61:$I$81,3,0))</f>
        <v>0</v>
      </c>
      <c r="AQ92" s="15">
        <f>IF(ISNA(VLOOKUP(A92,'Données projet'!$A$61:$I$81,4,0)),0,VLOOKUP(A92,'Données projet'!$A$61:$I$81,4,0))</f>
        <v>0</v>
      </c>
      <c r="AR92" s="16">
        <f>IF(ISNA(VLOOKUP(A92,'Données projet'!$A$61:$I$81,5,0)),0%,VLOOKUP(A92,'Données projet'!$A$61:$I$81,5,0)*VLOOKUP('Données projet'!$B$10,Paramètres!$A$1:$I$89,7,0))</f>
        <v>0</v>
      </c>
      <c r="AS92" s="16">
        <f>IF(ISNA(VLOOKUP(A92,'Données projet'!$A$61:$I$81,6,0)),0%,VLOOKUP(A92,'Données projet'!$A$61:$I$81,6,0)*VLOOKUP('Données projet'!$B$10,Paramètres!$A$1:$I$89,7,0))</f>
        <v>0</v>
      </c>
      <c r="AT92" s="16">
        <f>IF(ISNA(VLOOKUP(A92,'Données projet'!$A$61:$I$81,7,0)),0%,VLOOKUP(A92,'Données projet'!$A$61:$I$81,7,0))</f>
        <v>0</v>
      </c>
      <c r="AU92" s="21">
        <f>EXP(-LN(2)/35)*AU91+(1-EXP(-LN(2)/35))/(LN(2)/35)*AQ92*AR92*VLOOKUP('Données projet'!$B$10,Paramètres!$A$1:$I$89,3,0)*0.475*44/12</f>
        <v>2.5937189443945519</v>
      </c>
      <c r="AV92" s="21">
        <f>EXP(-LN(2)/25)*AV91+(1-EXP(-LN(2)/25))/(LN(2)/25)*Calculateur!AQ92*Calculateur!AS92*VLOOKUP('Données projet'!$B$10,Paramètres!$A$1:$I$89,3,0)*0.475*44/12</f>
        <v>5.4288034398365896</v>
      </c>
      <c r="AW92" s="21">
        <f>EXP(-LN(2)/2)*AW91+(1-EXP(-LN(2)/2))/(LN(2)/2)*AQ92*AT92*VLOOKUP('Données projet'!$B$10,Paramètres!$A$1:$I$89,3,0)*0.475*44/12</f>
        <v>3.2138540822899847E-8</v>
      </c>
      <c r="AX92" s="21">
        <f t="shared" si="60"/>
        <v>8.0225224163696822</v>
      </c>
      <c r="AY92" s="74">
        <f>('Scénario référence'!$F$8+'Scénario référence'!$F$9+'Scénario référence'!$B$17+'Scénario référence'!$B$9+'Scénario référence'!$B$10)*70+IF((45+25*(1-EXP(-0.0175*A92)))&lt;70,'Scénario référence'!$B$16*(45+25*(1-EXP(-0.0175*A92))),70*'Scénario référence'!$B$16)+IF((32+38*(1-EXP(-0.0175*A92)))&lt;70,'Scénario référence'!$B$18*(32+38*(1-EXP(-0.0175*A92))),70*'Scénario référence'!$B$18)</f>
        <v>70</v>
      </c>
      <c r="AZ92" s="12">
        <f>IF(A92&gt;30,10,('Scénario référence'!$B$16+'Scénario référence'!$B$17+'Scénario référence'!$B$18+'Scénario référence'!$B$9+'Scénario référence'!$B$10)*A92*10/30+('Scénario référence'!$F$8+'Scénario référence'!$F$9)*10)</f>
        <v>10</v>
      </c>
      <c r="BA92" s="12" t="e">
        <f>VLOOKUP(A92,'Données projet'!$A$87:$I$107,2,0)</f>
        <v>#N/A</v>
      </c>
      <c r="BB92" s="12" t="e">
        <f>VLOOKUP(A92,'Données projet'!$A$87:$I$107,9,0)</f>
        <v>#N/A</v>
      </c>
      <c r="BC92" s="12">
        <f t="array" ref="BC92">INDEX(BB:BB,MIN(IF(ISNUMBER(BB92:BB288),ROW(BB92:BB288),"")))</f>
        <v>12.5</v>
      </c>
      <c r="BD92" s="12">
        <f>IF('Données projet'!$A$88&gt;35,BD91+BC92-BL91,IF(A92&lt;'Données projet'!$A$88,$BA$205^A92,IF(A92='Données projet'!$A$88,'Données projet'!$B$88,BD91+BC92-BL91)))</f>
        <v>624.49999999999955</v>
      </c>
      <c r="BE92" s="13">
        <f>BD92*VLOOKUP('Données projet'!$B$11,Paramètres!$A$1:$I$89,3,0)*VLOOKUP('Données projet'!$B$11,Paramètres!$A$1:$I$89,5,0)</f>
        <v>373.45099999999979</v>
      </c>
      <c r="BF92" s="13">
        <f t="shared" si="91"/>
        <v>86.372938978761937</v>
      </c>
      <c r="BG92" s="20">
        <f t="shared" si="61"/>
        <v>800.86002705467661</v>
      </c>
      <c r="BH92" s="59">
        <f t="shared" si="62"/>
        <v>1094.19336038801</v>
      </c>
      <c r="BI92" s="59">
        <f ca="1">AVERAGE(OFFSET($BH$3,0,0,'Données projet'!$E$11+1,1))-AVERAGE(OFFSET($H$3,0,0,'Données projet'!$E$11+1,1))</f>
        <v>316.58509520829671</v>
      </c>
      <c r="BJ92" s="59">
        <f t="shared" si="92"/>
        <v>240.71332110643596</v>
      </c>
      <c r="BK92" s="15">
        <f>IF(ISNA(VLOOKUP(A92,'Données projet'!$A$87:$I$107,3,0)),0,VLOOKUP(A92,'Données projet'!$A$87:$I$107,3,0))</f>
        <v>0</v>
      </c>
      <c r="BL92" s="15">
        <f>IF(ISNA(VLOOKUP(A92,'Données projet'!$A$87:$I$107,4,0)),0,VLOOKUP(A92,'Données projet'!$A$87:$I$107,4,0))</f>
        <v>0</v>
      </c>
      <c r="BM92" s="16">
        <f>IF(ISNA(VLOOKUP(A92,'Données projet'!$A$87:$I$107,5,0)),0%,VLOOKUP(A92,'Données projet'!$A$87:$I$107,5,0)*VLOOKUP('Données projet'!$B$11,Paramètres!$A$1:$I$89,7,0))</f>
        <v>0</v>
      </c>
      <c r="BN92" s="16">
        <f>IF(ISNA(VLOOKUP(A92,'Données projet'!$A$87:$I$107,6,0)),0%,VLOOKUP(A92,'Données projet'!$A$87:$I$107,6,0)*VLOOKUP('Données projet'!$B$11,Paramètres!$A$1:$I$89,7,0))</f>
        <v>0</v>
      </c>
      <c r="BO92" s="16">
        <f>IF(ISNA(VLOOKUP(A92,'Données projet'!$A$87:$I$107,7,0)),0%,VLOOKUP(A92,'Données projet'!$A$87:$I$107,7,0))</f>
        <v>0</v>
      </c>
      <c r="BP92" s="21">
        <f>EXP(-LN(2)/35)*BP91+(1-EXP(-LN(2)/35))/(LN(2)/35)*BL92*BM92*VLOOKUP('Données projet'!$B$11,Paramètres!$A$1:$I$89,3,0)*0.475*44/12</f>
        <v>0.78786142786389568</v>
      </c>
      <c r="BQ92" s="21">
        <f>EXP(-LN(2)/25)*BQ91+(1-EXP(-LN(2)/25))/(LN(2)/25)*Calculateur!BL92*Calculateur!BN92*VLOOKUP('Données projet'!$B$11,Paramètres!$A$1:$I$89,3,0)*0.475*44/12</f>
        <v>2.9740569263850354</v>
      </c>
      <c r="BR92" s="21">
        <f>EXP(-LN(2)/2)*BR91+(1-EXP(-LN(2)/2))/(LN(2)/2)*BL92*BO92*VLOOKUP('Données projet'!$B$11,Paramètres!$A$1:$I$89,3,0)*0.475*44/12</f>
        <v>2.8896067775180023E-8</v>
      </c>
      <c r="BS92" s="22">
        <f t="shared" si="63"/>
        <v>3.7619183831449989</v>
      </c>
      <c r="BT92" s="75">
        <f>('Scénario référence'!$F$8+'Scénario référence'!$F$9+'Scénario référence'!$B$17+'Scénario référence'!$B$9+'Scénario référence'!$B$10)*70+IF((45+25*(1-EXP(-0.0175*A92)))&lt;70,'Scénario référence'!$B$16*(45+25*(1-EXP(-0.0175*A92))),70*'Scénario référence'!$B$16)+IF((32+38*(1-EXP(-0.0175*A92)))&lt;70,'Scénario référence'!$B$18*(32+38*(1-EXP(-0.0175*A92))),70*'Scénario référence'!$B$18)</f>
        <v>70</v>
      </c>
      <c r="BU92" s="12">
        <f>IF(A92&gt;30,10,('Scénario référence'!$B$16+'Scénario référence'!$B$17+'Scénario référence'!$B$18+'Scénario référence'!$B$9+'Scénario référence'!$B$10)*A92*10/30+('Scénario référence'!$F$8+'Scénario référence'!$F$9)*10)</f>
        <v>10</v>
      </c>
      <c r="BV92" s="12" t="e">
        <f>VLOOKUP(A92,'Données projet'!$A$113:$I$133,2,0)</f>
        <v>#N/A</v>
      </c>
      <c r="BW92" s="12" t="e">
        <f>VLOOKUP(A92,'Données projet'!$A$113:$I$133,9,0)</f>
        <v>#N/A</v>
      </c>
      <c r="BX92" s="12">
        <f t="array" ref="BX92">INDEX(BW:BW,MIN(IF(ISNUMBER(BW92:BW288),ROW(BW92:BW288),"")))</f>
        <v>3.8</v>
      </c>
      <c r="BY92" s="12">
        <f>IF('Données projet'!$A$114&gt;35,BY91+BX92-CG91,IF(A92&lt;'Données projet'!$A$114,$BV$205^A92,IF(A92='Données projet'!$A$114,'Données projet'!$B$114,BY91+BX92-CG91)))</f>
        <v>350.19999999999976</v>
      </c>
      <c r="BZ92" s="13">
        <f>BY92*VLOOKUP('Données projet'!$B$12,Paramètres!$A$1:$I$89,3,0)*VLOOKUP('Données projet'!$B$12,Paramètres!$A$1:$I$89,5,0)</f>
        <v>200.31439999999989</v>
      </c>
      <c r="CA92" s="13">
        <f t="shared" si="93"/>
        <v>49.813257011552288</v>
      </c>
      <c r="CB92" s="20">
        <f t="shared" si="64"/>
        <v>435.6390026284534</v>
      </c>
      <c r="CC92" s="59">
        <f t="shared" si="65"/>
        <v>728.97233596178671</v>
      </c>
      <c r="CD92" s="59">
        <f ca="1">AVERAGE(OFFSET($CC$3,0,0,'Données projet'!$E$12+1,1))-AVERAGE(OFFSET($H$3,0,0,'Données projet'!$E$12+1,1))</f>
        <v>188.64374818906128</v>
      </c>
      <c r="CE92" s="59">
        <f t="shared" si="94"/>
        <v>211.95157880548652</v>
      </c>
      <c r="CF92" s="15">
        <f>IF(ISNA(VLOOKUP(A92,'Données projet'!$A$113:$I$133,3,0)),0,VLOOKUP(A92,'Données projet'!$A$113:$I$133,3,0))</f>
        <v>0</v>
      </c>
      <c r="CG92" s="15">
        <f>IF(ISNA(VLOOKUP(A92,'Données projet'!$A$113:$I$133,4,0)),0,VLOOKUP(A92,'Données projet'!$A$113:$I$133,4,0))</f>
        <v>0</v>
      </c>
      <c r="CH92" s="16">
        <f>IF(ISNA(VLOOKUP(A92,'Données projet'!$A$113:$I$133,5,0)),0%,VLOOKUP(A92,'Données projet'!$A$113:$I$133,5,0)*VLOOKUP('Données projet'!$B$12,Paramètres!$A$1:$I$89,7,0))</f>
        <v>0</v>
      </c>
      <c r="CI92" s="16">
        <f>IF(ISNA(VLOOKUP(A92,'Données projet'!$A$113:$I$133,6,0)),0%,VLOOKUP(A92,'Données projet'!$A$113:$I$133,6,0)*VLOOKUP('Données projet'!$B$12,Paramètres!$A$1:$I$89,7,0))</f>
        <v>0</v>
      </c>
      <c r="CJ92" s="16">
        <f>IF(ISNA(VLOOKUP(A92,'Données projet'!$A$113:$I$133,7,0)),0%,VLOOKUP(A92,'Données projet'!$A$113:$I$133,7,0))</f>
        <v>0</v>
      </c>
      <c r="CK92" s="21">
        <f>EXP(-LN(2)/35)*CK91+(1-EXP(-LN(2)/35))/(LN(2)/35)*CG92*CH92*VLOOKUP('Données projet'!$B$12,Paramètres!$A$1:$I$89,3,0)*0.475*44/12</f>
        <v>0.76422076040196585</v>
      </c>
      <c r="CL92" s="21">
        <f>EXP(-LN(2)/25)*CL91+(1-EXP(-LN(2)/25))/(LN(2)/25)*Calculateur!CG92*Calculateur!CI92*VLOOKUP('Données projet'!$B$12,Paramètres!$A$1:$I$89,3,0)*0.475*44/12</f>
        <v>2.7992497170048529</v>
      </c>
      <c r="CM92" s="21">
        <f>EXP(-LN(2)/2)*CM91+(1-EXP(-LN(2)/2))/(LN(2)/2)*CG92*CJ92*VLOOKUP('Données projet'!$B$12,Paramètres!$A$1:$I$89,3,0)*0.475*44/12</f>
        <v>2.7983580778342065E-8</v>
      </c>
      <c r="CN92" s="22">
        <f t="shared" si="66"/>
        <v>3.5634705053903994</v>
      </c>
      <c r="CO92" s="75">
        <f>('Scénario référence'!$F$8+'Scénario référence'!$F$9+'Scénario référence'!$B$17+'Scénario référence'!$B$9+'Scénario référence'!$B$10)*70+IF((45+25*(1-EXP(-0.0175*A92)))&lt;70,'Scénario référence'!$B$16*(45+25*(1-EXP(-0.0175*A92))),70*'Scénario référence'!$B$16)+IF((32+38*(1-EXP(-0.0175*A92)))&lt;70,'Scénario référence'!$B$18*(32+38*(1-EXP(-0.0175*A92))),70*'Scénario référence'!$B$18)</f>
        <v>70</v>
      </c>
      <c r="CP92" s="12">
        <f>IF(A92&gt;30,10,('Scénario référence'!$B$16+'Scénario référence'!$B$17+'Scénario référence'!$B$18+'Scénario référence'!$B$9+'Scénario référence'!$B$10)*A92*10/30+('Scénario référence'!$F$8+'Scénario référence'!$F$9)*10)</f>
        <v>10</v>
      </c>
      <c r="CQ92" s="12" t="e">
        <f>VLOOKUP(A92,'Données projet'!$A$139:$I$159,2,0)</f>
        <v>#N/A</v>
      </c>
      <c r="CR92" s="12" t="e">
        <f>VLOOKUP(A92,'Données projet'!$A$139:$I$159,9,0)</f>
        <v>#N/A</v>
      </c>
      <c r="CS92" s="12">
        <f t="array" ref="CS92">INDEX(CR:CR,MIN(IF(ISNUMBER(CR92:CR288),ROW(CR92:CR288),"")))</f>
        <v>0</v>
      </c>
      <c r="CT92" s="12">
        <f>IF('Données projet'!$A$140&gt;35,CT91+CS92-DB91,IF(A92&lt;'Données projet'!$A$140,$CQ$205^A92,IF(A92='Données projet'!$A$140,'Données projet'!$B$140,CT91+CS92-DB91)))</f>
        <v>0</v>
      </c>
      <c r="CU92" s="17" t="e">
        <f>CT92*VLOOKUP('Données projet'!$B$13,Paramètres!$A$1:$I$89,3,0)*VLOOKUP('Données projet'!$B$13,Paramètres!$A$1:$I$89,5,0)</f>
        <v>#N/A</v>
      </c>
      <c r="CV92" s="13" t="e">
        <f t="shared" si="95"/>
        <v>#N/A</v>
      </c>
      <c r="CW92" s="20" t="e">
        <f t="shared" si="67"/>
        <v>#N/A</v>
      </c>
      <c r="CX92" s="59" t="e">
        <f t="shared" si="68"/>
        <v>#N/A</v>
      </c>
      <c r="CY92" s="59" t="e">
        <f ca="1">AVERAGE(OFFSET($CX$3,0,0,'Données projet'!$E$13+1,1))-AVERAGE(OFFSET($H$3,0,0,'Données projet'!$E$13+1,1))</f>
        <v>#N/A</v>
      </c>
      <c r="CZ92" s="59" t="e">
        <f t="shared" si="96"/>
        <v>#N/A</v>
      </c>
      <c r="DA92" s="15">
        <f>IF(ISNA(VLOOKUP(A92,'Données projet'!$A$139:$I$159,3,0)),0,VLOOKUP(A92,'Données projet'!$A$139:$I$159,3,0))</f>
        <v>0</v>
      </c>
      <c r="DB92" s="15">
        <f>IF(ISNA(VLOOKUP(A92,'Données projet'!$A$139:$I$159,4,0)),0,VLOOKUP(A92,'Données projet'!$A$139:$I$159,4,0))</f>
        <v>0</v>
      </c>
      <c r="DC92" s="16">
        <f>IF(ISNA(VLOOKUP(A92,'Données projet'!$A$139:$I$159,5,0)),0%,VLOOKUP(A92,'Données projet'!$A$139:$I$159,5,0)*VLOOKUP('Données projet'!$B$13,Paramètres!$A$1:$I$89,7,0))</f>
        <v>0</v>
      </c>
      <c r="DD92" s="16">
        <f>IF(ISNA(VLOOKUP(A92,'Données projet'!$A$139:$I$159,6,0)),0%,VLOOKUP(A92,'Données projet'!$A$139:$I$159,6,0)*VLOOKUP('Données projet'!$B$13,Paramètres!$A$1:$I$89,7,0))</f>
        <v>0</v>
      </c>
      <c r="DE92" s="16">
        <f>IF(ISNA(VLOOKUP(A92,'Données projet'!$A$139:$I$159,7,0)),0%,VLOOKUP(A92,'Données projet'!$A$139:$I$159,7,0))</f>
        <v>0</v>
      </c>
      <c r="DF92" s="21" t="e">
        <f>EXP(-LN(2)/35)*DF91+(1-EXP(-LN(2)/35))/(LN(2)/35)*DB92*DC92*VLOOKUP('Données projet'!$B$13,Paramètres!$A$1:$I$89,3,0)*0.475*44/12</f>
        <v>#N/A</v>
      </c>
      <c r="DG92" s="21" t="e">
        <f>EXP(-LN(2)/25)*DG91+(1-EXP(-LN(2)/25))/(LN(2)/25)*Calculateur!DB92*Calculateur!DD92*VLOOKUP('Données projet'!$B$13,Paramètres!$A$1:$I$89,3,0)*0.475*44/12</f>
        <v>#N/A</v>
      </c>
      <c r="DH92" s="21" t="e">
        <f>EXP(-LN(2)/2)*DH91+(1-EXP(-LN(2)/2))/(LN(2)/2)*DB92*DE92*VLOOKUP('Données projet'!$B$13,Paramètres!$A$1:$I$89,3,0)*0.475*44/12</f>
        <v>#N/A</v>
      </c>
      <c r="DI92" s="22" t="e">
        <f t="shared" si="69"/>
        <v>#N/A</v>
      </c>
      <c r="DJ92" s="75">
        <f>('Scénario référence'!$F$8+'Scénario référence'!$F$9+'Scénario référence'!$B$17+'Scénario référence'!$B$9+'Scénario référence'!$B$10)*70+IF((45+25*(1-EXP(-0.0175*A92)))&lt;70,'Scénario référence'!$B$16*(45+25*(1-EXP(-0.0175*A92))),70*'Scénario référence'!$B$16)+IF((32+38*(1-EXP(-0.0175*A92)))&lt;70,'Scénario référence'!$B$18*(32+38*(1-EXP(-0.0175*A92))),70*'Scénario référence'!$B$18)</f>
        <v>70</v>
      </c>
      <c r="DK92" s="12">
        <f>IF(A92&gt;30,10,('Scénario référence'!$B$16+'Scénario référence'!$B$17+'Scénario référence'!$B$18+'Scénario référence'!$B$9+'Scénario référence'!$B$10)*A92*10/30+('Scénario référence'!$F$8+'Scénario référence'!$F$9)*10)</f>
        <v>10</v>
      </c>
      <c r="DL92" s="12" t="e">
        <f>VLOOKUP(A92,'Données projet'!$A$165:$I$185,2,0)</f>
        <v>#N/A</v>
      </c>
      <c r="DM92" s="12" t="e">
        <f>VLOOKUP(A92,'Données projet'!$A$165:$I$185,9,0)</f>
        <v>#N/A</v>
      </c>
      <c r="DN92" s="12">
        <f t="array" ref="DN92">INDEX(DM:DM,MIN(IF(ISNUMBER(DM92:DM288),ROW(DM92:DM288),"")))</f>
        <v>4</v>
      </c>
      <c r="DO92" s="12">
        <f>IF('Données projet'!$A$166&gt;35,DO91+DN92-DW91,IF(A92&lt;'Données projet'!$A$166,$DL$205^A92,IF(A92='Données projet'!$A$166,'Données projet'!$B$166,DO91+DN92-DW91)))</f>
        <v>295.00000000000017</v>
      </c>
      <c r="DP92" s="17">
        <f>DO92*VLOOKUP('Données projet'!$B$14,Paramètres!$A$1:$I$89,3,0)*VLOOKUP('Données projet'!$B$14,Paramètres!$A$1:$I$89,5,0)</f>
        <v>193.28400000000011</v>
      </c>
      <c r="DQ92" s="13">
        <f t="shared" si="97"/>
        <v>48.265272920234025</v>
      </c>
      <c r="DR92" s="20">
        <f t="shared" si="70"/>
        <v>420.69831700274108</v>
      </c>
      <c r="DS92" s="59">
        <f t="shared" si="71"/>
        <v>714.03165033607434</v>
      </c>
      <c r="DT92" s="59">
        <f ca="1">AVERAGE(OFFSET($DS$3,0,0,'Données projet'!$E$14+1,1))-AVERAGE(OFFSET($H$3,0,0,'Données projet'!$E$14+1,1))</f>
        <v>188.68915783955595</v>
      </c>
      <c r="DU92" s="59">
        <f t="shared" si="98"/>
        <v>240.82467772396944</v>
      </c>
      <c r="DV92" s="15">
        <f>IF(ISNA(VLOOKUP(A92,'Données projet'!$A$165:$I$185,3,0)),0,VLOOKUP(A92,'Données projet'!$A$165:$I$185,3,0))</f>
        <v>0</v>
      </c>
      <c r="DW92" s="15">
        <f>IF(ISNA(VLOOKUP(A92,'Données projet'!$A$165:$I$185,4,0)),0,VLOOKUP(A92,'Données projet'!$A$165:$I$185,4,0))</f>
        <v>0</v>
      </c>
      <c r="DX92" s="16">
        <f>IF(ISNA(VLOOKUP(A92,'Données projet'!$A$165:$I$185,5,0)),0%,VLOOKUP(A92,'Données projet'!$A$165:$I$185,5,0)*VLOOKUP('Données projet'!$B$14,Paramètres!$A$1:$I$89,7,0))</f>
        <v>0</v>
      </c>
      <c r="DY92" s="16">
        <f>IF(ISNA(VLOOKUP(A92,'Données projet'!$A$165:$I$185,6,0)),0%,VLOOKUP(A92,'Données projet'!$A$165:$I$185,6,0)*VLOOKUP('Données projet'!$B$14,Paramètres!$A$1:$I$89,7,0))</f>
        <v>0</v>
      </c>
      <c r="DZ92" s="16">
        <f>IF(ISNA(VLOOKUP(A92,'Données projet'!$A$165:$I$185,7,0)),0%,VLOOKUP(A92,'Données projet'!$A$165:$I$185,7,0))</f>
        <v>0</v>
      </c>
      <c r="EA92" s="21">
        <f>EXP(-LN(2)/35)*EA91+(1-EXP(-LN(2)/35))/(LN(2)/35)*DW92*DX92*VLOOKUP('Données projet'!$B$14,Paramètres!$A$1:$I$89,3,0)*0.475*44/12</f>
        <v>0.48407080993474688</v>
      </c>
      <c r="EB92" s="21">
        <f>EXP(-LN(2)/25)*EB91+(1-EXP(-LN(2)/25))/(LN(2)/25)*Calculateur!DW92*Calculateur!DY92*VLOOKUP('Données projet'!$B$14,Paramètres!$A$1:$I$89,3,0)*0.475*44/12</f>
        <v>1.5657369190575876</v>
      </c>
      <c r="EC92" s="21">
        <f>EXP(-LN(2)/2)*EC91+(1-EXP(-LN(2)/2))/(LN(2)/2)*DW92*DZ92*VLOOKUP('Données projet'!$B$14,Paramètres!$A$1:$I$89,3,0)*0.475*44/12</f>
        <v>1.8434515221604297E-8</v>
      </c>
      <c r="ED92" s="22">
        <f t="shared" si="72"/>
        <v>2.0498077474268497</v>
      </c>
      <c r="EE92" s="75">
        <f>('Scénario référence'!$F$8+'Scénario référence'!$F$9+'Scénario référence'!$B$17+'Scénario référence'!$B$9+'Scénario référence'!$B$10)*70+IF((45+25*(1-EXP(-0.0175*A92)))&lt;70,'Scénario référence'!$B$16*(45+25*(1-EXP(-0.0175*A92))),70*'Scénario référence'!$B$16)+IF((32+38*(1-EXP(-0.0175*A92)))&lt;70,'Scénario référence'!$B$18*(32+38*(1-EXP(-0.0175*A92))),70*'Scénario référence'!$B$18)</f>
        <v>70</v>
      </c>
      <c r="EF92" s="12">
        <f>IF(A92&gt;30,10,('Scénario référence'!$B$16+'Scénario référence'!$B$17+'Scénario référence'!$B$18+'Scénario référence'!$B$9+'Scénario référence'!$B$10)*A92*10/30+('Scénario référence'!$F$8+'Scénario référence'!$F$9)*10)</f>
        <v>10</v>
      </c>
      <c r="EG92" s="12" t="e">
        <f>VLOOKUP(A92,'Données projet'!$A$191:$I$211,2,0)</f>
        <v>#N/A</v>
      </c>
      <c r="EH92" s="12" t="e">
        <f>VLOOKUP(A92,'Données projet'!$A$191:$I$211,9,0)</f>
        <v>#N/A</v>
      </c>
      <c r="EI92" s="12">
        <f t="array" ref="EI92">INDEX(EH:EH,MIN(IF(ISNUMBER(EH92:EH288),ROW(EH92:EH288),"")))</f>
        <v>4.7</v>
      </c>
      <c r="EJ92" s="12">
        <f>IF('Données projet'!$A$192&gt;35,EJ91+EI92-ER91,IF(A92&lt;'Données projet'!$A$192,$EG$205^A92,IF(A92='Données projet'!$A$192,'Données projet'!$B$192,EJ91+EI92-ER91)))</f>
        <v>302.29999999999973</v>
      </c>
      <c r="EK92" s="17">
        <f>EJ92*VLOOKUP('Données projet'!$B$15,Paramètres!$A$1:$I$89,3,0)*VLOOKUP('Données projet'!$B$15,Paramètres!$A$1:$I$89,5,0)</f>
        <v>245.22575999999978</v>
      </c>
      <c r="EL92" s="13">
        <f t="shared" si="99"/>
        <v>59.562464790785356</v>
      </c>
      <c r="EM92" s="20">
        <f t="shared" si="73"/>
        <v>530.83949151061745</v>
      </c>
      <c r="EN92" s="59">
        <f t="shared" si="74"/>
        <v>824.17282484395082</v>
      </c>
      <c r="EO92" s="59">
        <f ca="1">AVERAGE(OFFSET($EN$3,0,0,'Données projet'!$E$15+1,1))-AVERAGE(OFFSET($H$3,0,0,'Données projet'!$E$15+1,1))</f>
        <v>205.5272583787887</v>
      </c>
      <c r="EP92" s="59">
        <f t="shared" si="100"/>
        <v>180.54762778843178</v>
      </c>
      <c r="EQ92" s="15">
        <f>IF(ISNA(VLOOKUP(A92,'Données projet'!$A$191:$I$211,3,0)),0,VLOOKUP(A92,'Données projet'!$A$191:$I$211,3,0))</f>
        <v>0</v>
      </c>
      <c r="ER92" s="15">
        <f>IF(ISNA(VLOOKUP(A92,'Données projet'!$A$191:$I$211,4,0)),0,VLOOKUP(A92,'Données projet'!$A$191:$I$211,4,0))</f>
        <v>0</v>
      </c>
      <c r="ES92" s="16">
        <f>IF(ISNA(VLOOKUP(A92,'Données projet'!$A$191:$I$211,5,0)),0%,VLOOKUP(A92,'Données projet'!$A$191:$I$211,5,0)*VLOOKUP('Données projet'!$B$15,Paramètres!$A$1:$I$89,7,0))</f>
        <v>0</v>
      </c>
      <c r="ET92" s="16">
        <f>IF(ISNA(VLOOKUP(A92,'Données projet'!$A$191:$I$211,6,0)),0%,VLOOKUP(A92,'Données projet'!$A$191:$I$211,6,0)*VLOOKUP('Données projet'!$B$15,Paramètres!$A$1:$I$89,7,0))</f>
        <v>0</v>
      </c>
      <c r="EU92" s="16">
        <f>IF(ISNA(VLOOKUP(A92,'Données projet'!$A$191:$I$211,7,0)),0%,VLOOKUP(A92,'Données projet'!$A$191:$I$211,7,0))</f>
        <v>0</v>
      </c>
      <c r="EV92" s="21">
        <f>EXP(-LN(2)/35)*EV91+(1-EXP(-LN(2)/35))/(LN(2)/35)*ER92*ES92*VLOOKUP('Données projet'!$B$15,Paramètres!$A$1:$I$89,3,0)*0.475*44/12</f>
        <v>0.31164939763417981</v>
      </c>
      <c r="EW92" s="21">
        <f>EXP(-LN(2)/25)*EW91+(1-EXP(-LN(2)/25))/(LN(2)/25)*Calculateur!ER92*Calculateur!ET92*VLOOKUP('Données projet'!$B$15,Paramètres!$A$1:$I$89,3,0)*0.475*44/12</f>
        <v>1.1305095536997654</v>
      </c>
      <c r="EX92" s="21">
        <f>EXP(-LN(2)/2)*EX91+(1-EXP(-LN(2)/2))/(LN(2)/2)*ER92*EU92*VLOOKUP('Données projet'!$B$15,Paramètres!$A$1:$I$89,3,0)*0.475*44/12</f>
        <v>1.1936362236952431E-8</v>
      </c>
      <c r="EY92" s="22">
        <f t="shared" si="75"/>
        <v>1.4421589632703076</v>
      </c>
      <c r="EZ92" s="75">
        <f>('Scénario référence'!$F$8+'Scénario référence'!$F$9+'Scénario référence'!$B$17+'Scénario référence'!$B$9+'Scénario référence'!$B$10)*70+IF((45+25*(1-EXP(-0.0175*A92)))&lt;70,'Scénario référence'!$B$16*(45+25*(1-EXP(-0.0175*A92))),70*'Scénario référence'!$B$16)+IF((32+38*(1-EXP(-0.0175*A92)))&lt;70,'Scénario référence'!$B$18*(32+38*(1-EXP(-0.0175*A92))),70*'Scénario référence'!$B$18)</f>
        <v>70</v>
      </c>
      <c r="FA92" s="12">
        <f>IF(A92&gt;30,10,('Scénario référence'!$B$16+'Scénario référence'!$B$17+'Scénario référence'!$B$18+'Scénario référence'!$B$9+'Scénario référence'!$B$10)*A92*10/30+('Scénario référence'!$F$8+'Scénario référence'!$F$9)*10)</f>
        <v>10</v>
      </c>
      <c r="FB92" s="12" t="e">
        <f>VLOOKUP(A92,'Données projet'!$A$217:$I$237,2,0)</f>
        <v>#N/A</v>
      </c>
      <c r="FC92" s="12" t="e">
        <f>VLOOKUP(A92,'Données projet'!$A$217:$I$237,9,0)</f>
        <v>#N/A</v>
      </c>
      <c r="FD92" s="12">
        <f t="array" ref="FD92">INDEX(FC:FC,MIN(IF(ISNUMBER(FC92:FC288),ROW(FC92:FC288),"")))</f>
        <v>10.9</v>
      </c>
      <c r="FE92" s="12">
        <f>IF('Données projet'!$A$218&gt;35,FE91+FD92-FM91,IF(A92&lt;'Données projet'!$A$218,$FB$205^A92,IF(A92='Données projet'!$A$218,'Données projet'!$B$218,FE91+FD92-FM91)))</f>
        <v>410.09999999999997</v>
      </c>
      <c r="FF92" s="17">
        <f>FE92*VLOOKUP('Données projet'!$B$16,Paramètres!$A$1:$I$89,3,0)*VLOOKUP('Données projet'!$B$16,Paramètres!$A$1:$I$89,5,0)</f>
        <v>351.86580000000004</v>
      </c>
      <c r="FG92" s="13">
        <f t="shared" si="101"/>
        <v>81.946579874679898</v>
      </c>
      <c r="FH92" s="20">
        <f t="shared" si="76"/>
        <v>755.55656161506749</v>
      </c>
      <c r="FI92" s="59">
        <f t="shared" si="77"/>
        <v>1048.8898949484008</v>
      </c>
      <c r="FJ92" s="59">
        <f ca="1">AVERAGE(OFFSET($FI$3,0,0,'Données projet'!$E$16+1,1))-AVERAGE(OFFSET($H$3,0,0,'Données projet'!$E$16+1,1))</f>
        <v>383.97627237444709</v>
      </c>
      <c r="FK92" s="59">
        <f t="shared" si="102"/>
        <v>203.35476578922339</v>
      </c>
      <c r="FL92" s="15">
        <f>IF(ISNA(VLOOKUP(A92,'Données projet'!$A$217:$I$237,3,0)),0,VLOOKUP(A92,'Données projet'!$A$217:$I$237,3,0))</f>
        <v>0</v>
      </c>
      <c r="FM92" s="15">
        <f>IF(ISNA(VLOOKUP(A92,'Données projet'!$A$217:$I$237,4,0)),0,VLOOKUP(A92,'Données projet'!$A$217:$I$237,4,0))</f>
        <v>0</v>
      </c>
      <c r="FN92" s="16">
        <f>IF(ISNA(VLOOKUP(A92,'Données projet'!$A$217:$I$237,5,0)),0%,VLOOKUP(A92,'Données projet'!$A$217:$I$237,5,0)*VLOOKUP('Données projet'!$B$16,Paramètres!$A$1:$I$89,7,0))</f>
        <v>0</v>
      </c>
      <c r="FO92" s="16">
        <f>IF(ISNA(VLOOKUP(A92,'Données projet'!$A$217:$I$237,6,0)),0%,VLOOKUP(A92,'Données projet'!$A$217:$I$237,6,0)*VLOOKUP('Données projet'!$B$16,Paramètres!$A$1:$I$89,7,0))</f>
        <v>0</v>
      </c>
      <c r="FP92" s="16">
        <f>IF(ISNA(VLOOKUP(A92,'Données projet'!$A$217:$I$237,7,0)),0%,VLOOKUP(A92,'Données projet'!$A$217:$I$237,7,0))</f>
        <v>0</v>
      </c>
      <c r="FQ92" s="21">
        <f>EXP(-LN(2)/35)*FQ91+(1-EXP(-LN(2)/35))/(LN(2)/35)*FM92*FN92*VLOOKUP('Données projet'!$B$16,Paramètres!$A$1:$I$89,3,0)*0.475*44/12</f>
        <v>1.6017088275014222</v>
      </c>
      <c r="FR92" s="21">
        <f>EXP(-LN(2)/25)*FR91+(1-EXP(-LN(2)/25))/(LN(2)/25)*Calculateur!FM92*Calculateur!FO92*VLOOKUP('Données projet'!$B$16,Paramètres!$A$1:$I$89,3,0)*0.475*44/12</f>
        <v>1.1475840462726512</v>
      </c>
      <c r="FS92" s="21">
        <f>EXP(-LN(2)/2)*FS91+(1-EXP(-LN(2)/2))/(LN(2)/2)*FM92*FP92*VLOOKUP('Données projet'!$B$16,Paramètres!$A$1:$I$89,3,0)*0.475*44/12</f>
        <v>2.1924647733078961E-8</v>
      </c>
      <c r="FT92" s="22">
        <f t="shared" si="78"/>
        <v>2.749292895698721</v>
      </c>
      <c r="FU92" s="75">
        <f>('Scénario référence'!$F$8+'Scénario référence'!$F$9+'Scénario référence'!$B$17+'Scénario référence'!$B$9+'Scénario référence'!$B$10)*70+IF((45+25*(1-EXP(-0.0175*A92)))&lt;70,'Scénario référence'!$B$16*(45+25*(1-EXP(-0.0175*A92))),70*'Scénario référence'!$B$16)+IF((32+38*(1-EXP(-0.0175*A92)))&lt;70,'Scénario référence'!$B$18*(32+38*(1-EXP(-0.0175*A92))),70*'Scénario référence'!$B$18)</f>
        <v>70</v>
      </c>
      <c r="FV92" s="12">
        <f>IF(A92&gt;30,10,('Scénario référence'!$B$16+'Scénario référence'!$B$17+'Scénario référence'!$B$18+'Scénario référence'!$B$9+'Scénario référence'!$B$10)*A92*10/30+('Scénario référence'!$F$8+'Scénario référence'!$F$9)*10)</f>
        <v>10</v>
      </c>
      <c r="FW92" s="12">
        <f>VLOOKUP(A92,'Données projet'!$A$243:$I$263,2,0)</f>
        <v>295.85897435897436</v>
      </c>
      <c r="FX92" s="12">
        <f>VLOOKUP(A92,'Données projet'!$A$243:$I$263,9,0)</f>
        <v>7.4950142450142483</v>
      </c>
      <c r="FY92" s="12">
        <f t="array" ref="FY92">INDEX(FX:FX,MIN(IF(ISNUMBER(FX92:FX288),ROW(FX92:FX288),"")))</f>
        <v>7.4950142450142483</v>
      </c>
      <c r="FZ92" s="12">
        <f>IF('Données projet'!$A$244&gt;35,FZ91+FY92-GH91,IF(A92&lt;'Données projet'!$A$244,$FW$205^A92,IF(A92='Données projet'!$A$244,'Données projet'!$B$244,FZ91+FY92-GH91)))</f>
        <v>295.85897435897448</v>
      </c>
      <c r="GA92" s="17">
        <f>FZ92*VLOOKUP('Données projet'!$B$17,Paramètres!$A$1:$I$89,3,0)*VLOOKUP('Données projet'!$B$17,Paramètres!$A$1:$I$89,5,0)</f>
        <v>318.46260000000012</v>
      </c>
      <c r="GB92" s="13">
        <f t="shared" si="103"/>
        <v>75.033378088660626</v>
      </c>
      <c r="GC92" s="20">
        <f t="shared" si="79"/>
        <v>685.33882850441751</v>
      </c>
      <c r="GD92" s="59">
        <f t="shared" si="80"/>
        <v>978.67216183775076</v>
      </c>
      <c r="GE92" s="59">
        <f ca="1">AVERAGE(OFFSET($GD$3,0,0,'Données projet'!$E$17+1,1))-AVERAGE(OFFSET($H$3,0,0,'Données projet'!$E$17+1,1))</f>
        <v>286.77702855541287</v>
      </c>
      <c r="GF92" s="59">
        <f t="shared" si="104"/>
        <v>227.12211541860779</v>
      </c>
      <c r="GG92" s="15">
        <f>IF(ISNA(VLOOKUP(A92,'Données projet'!$A$243:$I$263,3,0)),0,VLOOKUP(A92,'Données projet'!$A$243:$I$263,3,0))</f>
        <v>8</v>
      </c>
      <c r="GH92" s="15">
        <f>IF(ISNA(VLOOKUP(A92,'Données projet'!$A$243:$I$263,4,0)),0,VLOOKUP(A92,'Données projet'!$A$243:$I$263,4,0))</f>
        <v>49.391025641025635</v>
      </c>
      <c r="GI92" s="16">
        <f>IF(ISNA(VLOOKUP(A92,'Données projet'!$A$243:$I$263,5,0)),0%,VLOOKUP(A92,'Données projet'!$A$243:$I$263,5,0)*VLOOKUP('Données projet'!$B$17,Paramètres!$A$1:$I$89,7,0))</f>
        <v>0</v>
      </c>
      <c r="GJ92" s="16">
        <f>IF(ISNA(VLOOKUP(A92,'Données projet'!$A$243:$I$263,6,0)),0%,VLOOKUP(A92,'Données projet'!$A$243:$I$263,6,0)*VLOOKUP('Données projet'!$B$17,Paramètres!$A$1:$I$89,7,0))</f>
        <v>0</v>
      </c>
      <c r="GK92" s="16">
        <f>IF(ISNA(VLOOKUP(A92,'Données projet'!$A$243:$I$263,7,0)),0%,VLOOKUP(A92,'Données projet'!$A$243:$I$263,7,0))</f>
        <v>0</v>
      </c>
      <c r="GL92" s="21">
        <f>EXP(-LN(2)/35)*GL91+(1-EXP(-LN(2)/35))/(LN(2)/35)*GH92*GI92*VLOOKUP('Données projet'!$B$17,Paramètres!$A$1:$I$89,3,0)*0.475*44/12</f>
        <v>0</v>
      </c>
      <c r="GM92" s="21">
        <f>EXP(-LN(2)/25)*GM91+(1-EXP(-LN(2)/25))/(LN(2)/25)*Calculateur!GH92*Calculateur!GJ92*VLOOKUP('Données projet'!$B$17,Paramètres!$A$1:$I$89,3,0)*0.475*44/12</f>
        <v>0</v>
      </c>
      <c r="GN92" s="21">
        <f>EXP(-LN(2)/2)*GN91+(1-EXP(-LN(2)/2))/(LN(2)/2)*GH92*GK92*VLOOKUP('Données projet'!$B$17,Paramètres!$A$1:$I$89,3,0)*0.475*44/12</f>
        <v>0</v>
      </c>
      <c r="GO92" s="21">
        <f t="shared" si="81"/>
        <v>0</v>
      </c>
      <c r="GP92" s="75">
        <f>('Scénario référence'!$F$8+'Scénario référence'!$F$9+'Scénario référence'!$B$17+'Scénario référence'!$B$9+'Scénario référence'!$B$10)*70+IF((45+25*(1-EXP(-0.0175*A92)))&lt;70,'Scénario référence'!$B$16*(45+25*(1-EXP(-0.0175*A92))),70*'Scénario référence'!$B$16)+IF((32+38*(1-EXP(-0.0175*A92)))&lt;70,'Scénario référence'!$B$18*(32+38*(1-EXP(-0.0175*A92))),70*'Scénario référence'!$B$18)</f>
        <v>70</v>
      </c>
      <c r="GQ92" s="12">
        <f>IF(A92&gt;30,10,('Scénario référence'!$B$16+'Scénario référence'!$B$17+'Scénario référence'!$B$18+'Scénario référence'!$B$9+'Scénario référence'!$B$10)*A92*10/30+('Scénario référence'!$F$8+'Scénario référence'!$F$9)*10)</f>
        <v>10</v>
      </c>
      <c r="GR92" s="12">
        <f>VLOOKUP(A92,'Données projet'!$A$269:$I$289,2,0)</f>
        <v>295.85897435897436</v>
      </c>
      <c r="GS92" s="12">
        <f>VLOOKUP(A92,'Données projet'!$A$269:$I$289,9,0)</f>
        <v>7.4950142450142483</v>
      </c>
      <c r="GT92" s="12">
        <f t="array" ref="GT92">INDEX(GS:GS,MIN(IF(ISNUMBER(GS92:GS288),ROW(GS92:GS288),"")))</f>
        <v>7.4950142450142483</v>
      </c>
      <c r="GU92" s="12">
        <f>IF('Données projet'!$A$270&gt;35,GU91+GT92-HC91,IF(A92&lt;'Données projet'!$A$270,$GR$205^A92,IF(A92='Données projet'!$A$270,'Données projet'!$B$270,GU91+GT92-HC91)))</f>
        <v>295.85897435897448</v>
      </c>
      <c r="GV92" s="17">
        <f>GU92*VLOOKUP('Données projet'!$B$18,Paramètres!$A$1:$I$89,3,0)*VLOOKUP('Données projet'!$B$18,Paramètres!$A$1:$I$89,5,0)</f>
        <v>318.46260000000012</v>
      </c>
      <c r="GW92" s="13">
        <f t="shared" si="105"/>
        <v>75.033378088660626</v>
      </c>
      <c r="GX92" s="20">
        <f t="shared" si="82"/>
        <v>685.33882850441751</v>
      </c>
      <c r="GY92" s="59">
        <f t="shared" si="83"/>
        <v>978.67216183775076</v>
      </c>
      <c r="GZ92" s="59">
        <f ca="1">AVERAGE(OFFSET($GY$3,0,0,'Données projet'!$E$18+1,1))-AVERAGE(OFFSET($H$3,0,0,'Données projet'!$E$18+1,1))</f>
        <v>286.77702855541287</v>
      </c>
      <c r="HA92" s="59">
        <f t="shared" si="106"/>
        <v>227.12211541860779</v>
      </c>
      <c r="HB92" s="15">
        <f>IF(ISNA(VLOOKUP(A92,'Données projet'!$A$269:$I$289,3,0)),0,VLOOKUP(A92,'Données projet'!$A$269:$I$289,3,0))</f>
        <v>8</v>
      </c>
      <c r="HC92" s="15">
        <f>IF(ISNA(VLOOKUP(A92,'Données projet'!$A$269:$I$289,4,0)),0,VLOOKUP(A92,'Données projet'!$A$269:$I$289,4,0))</f>
        <v>49.391025641025635</v>
      </c>
      <c r="HD92" s="16">
        <f>IF(ISNA(VLOOKUP(A92,'Données projet'!$A$269:$I$289,5,0)),0%,VLOOKUP(A92,'Données projet'!$A$269:$I$289,5,0)*VLOOKUP('Données projet'!$B$18,Paramètres!$A$1:$I$89,7,0))</f>
        <v>0</v>
      </c>
      <c r="HE92" s="16">
        <f>IF(ISNA(VLOOKUP(A92,'Données projet'!$A$269:$I$289,6,0)),0%,VLOOKUP(A92,'Données projet'!$A$269:$I$289,6,0)*VLOOKUP('Données projet'!$B$18,Paramètres!$A$1:$I$89,7,0))</f>
        <v>0</v>
      </c>
      <c r="HF92" s="16">
        <f>IF(ISNA(VLOOKUP(A92,'Données projet'!$A$269:$I$289,7,0)),0%,VLOOKUP(A92,'Données projet'!$A$269:$I$289,7,0))</f>
        <v>0</v>
      </c>
      <c r="HG92" s="21">
        <f>EXP(-LN(2)/35)*HG91+(1-EXP(-LN(2)/35))/(LN(2)/35)*HC92*HD92*VLOOKUP('Données projet'!$B$18,Paramètres!$A$1:$I$89,3,0)*0.475*44/12</f>
        <v>0</v>
      </c>
      <c r="HH92" s="21">
        <f>EXP(-LN(2)/25)*HH91+(1-EXP(-LN(2)/25))/(LN(2)/25)*Calculateur!HC92*Calculateur!HE92*VLOOKUP('Données projet'!$B$18,Paramètres!$A$1:$I$89,3,0)*0.475*44/12</f>
        <v>0</v>
      </c>
      <c r="HI92" s="21">
        <f>EXP(-LN(2)/2)*HI91+(1-EXP(-LN(2)/2))/(LN(2)/2)*HC92*HF92*VLOOKUP('Données projet'!$B$18,Paramètres!$A$1:$I$89,3,0)*0.475*44/12</f>
        <v>0</v>
      </c>
      <c r="HJ92" s="22">
        <f t="shared" si="84"/>
        <v>0</v>
      </c>
    </row>
    <row r="93" spans="1:218" x14ac:dyDescent="0.25">
      <c r="A93" s="10">
        <f t="shared" si="85"/>
        <v>90</v>
      </c>
      <c r="B93" s="73">
        <f>'Scénario référence'!$B$16*5+'Scénario référence'!$B$17*0+'Scénario référence'!$B$18*5</f>
        <v>0</v>
      </c>
      <c r="C93" s="19">
        <f>Calculateur!C92+'Scénario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80.028000000000119</v>
      </c>
      <c r="D93" s="11">
        <f t="shared" si="86"/>
        <v>22.144030134787187</v>
      </c>
      <c r="E9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93" s="11">
        <f>IF(OR('Scénario référence'!$F$8&gt;0,'Scénario référence'!$F$9&gt;0),('Scénario référence'!$F$8+'Scénario référence'!$F$9)*10,0)</f>
        <v>10</v>
      </c>
      <c r="G93" s="11">
        <f>'Scénario référence'!$B$8*B93*44/12+'Scénario référence'!$B$9*(C93+D93)/0.475*44/12+'Scénario référence'!$B$10*(C93+D93)/0.475*44/12+'Scénario référence'!$F$8*(C93+D93)/0.475*44/12+'Scénario référence'!$F$9*(C93+D93)/0.475*44/12</f>
        <v>788.69637297028794</v>
      </c>
      <c r="H93" s="67">
        <f t="shared" si="56"/>
        <v>471.2829524847545</v>
      </c>
      <c r="I93" s="70">
        <f>('Scénario référence'!$F$8+'Scénario référence'!$F$9+'Scénario référence'!$B$17+'Scénario référence'!$B$9+'Scénario référence'!$B$10)*70+IF((45+25*(1-EXP(-0.0175*A93)))&lt;70,'Scénario référence'!$B$16*(45+25*(1-EXP(-0.0175*A93))),70*'Scénario référence'!$B$16)+IF((32+38*(1-EXP(-0.0175*A93)))&lt;70,'Scénario référence'!$B$18*(32+38*(1-EXP(-0.0175*A93))),70*'Scénario référence'!$B$18)</f>
        <v>70</v>
      </c>
      <c r="J93" s="13">
        <f>IF(A93&gt;30,10,('Scénario référence'!$B$16+'Scénario référence'!$B$17+'Scénario référence'!$B$18+'Scénario référence'!$B$9+'Scénario référence'!$B$10)*A93*10/30+('Scénario référence'!$F$8+'Scénario référence'!$F$9)*10)</f>
        <v>10</v>
      </c>
      <c r="K93" s="12" t="e">
        <f>VLOOKUP(A93,'Données projet'!$A$35:$I$55,2,0)</f>
        <v>#N/A</v>
      </c>
      <c r="L93" s="12" t="e">
        <f>VLOOKUP(A93,'Données projet'!$A$35:$I$55,9,0)</f>
        <v>#N/A</v>
      </c>
      <c r="M93" s="12">
        <f t="array" ref="M93">INDEX(L:L,MIN(IF(ISNUMBER(L93:L289),ROW(L93:L289),"")))</f>
        <v>0</v>
      </c>
      <c r="N93" s="13">
        <f>IF('Données projet'!$A$36&gt;35,N92+M93-V92,IF(A93&lt;'Données projet'!$A$36,$K$205^A93,IF(A93='Données projet'!$A$36,'Données projet'!$B$36,N92+M93-V92)))</f>
        <v>-2.2737367544323206E-13</v>
      </c>
      <c r="O93" s="13">
        <f>N93*VLOOKUP('Données projet'!$B$9,Paramètres!$A$1:$I$89,3,0)*VLOOKUP('Données projet'!$B$9,Paramètres!$A$1:$I$89,5,0)</f>
        <v>-1.2710188457276673E-13</v>
      </c>
      <c r="P93" s="13" t="e">
        <f t="shared" si="87"/>
        <v>#NUM!</v>
      </c>
      <c r="Q93" s="20" t="e">
        <f t="shared" si="54"/>
        <v>#NUM!</v>
      </c>
      <c r="R93" s="59" t="e">
        <f t="shared" si="55"/>
        <v>#NUM!</v>
      </c>
      <c r="S93" s="59">
        <f ca="1">AVERAGE(OFFSET($R$3,0,0,'Données projet'!$E$9+1,1))-AVERAGE(OFFSET($H$3,0,0,'Données projet'!$E$9+1,1))</f>
        <v>255.5374979188561</v>
      </c>
      <c r="T93" s="59">
        <f t="shared" si="88"/>
        <v>343.10418468620901</v>
      </c>
      <c r="U93" s="15">
        <f>IF(ISNA(VLOOKUP(A93,'Données projet'!$A$35:$I$55,3,0)),0,VLOOKUP(A93,'Données projet'!$A$35:$I$55,3,0))</f>
        <v>0</v>
      </c>
      <c r="V93" s="15">
        <f>IF(ISNA(VLOOKUP(A93,'Données projet'!$A$35:$I$55,4,0)),0,VLOOKUP(A93,'Données projet'!$A$35:$I$55,4,0))</f>
        <v>0</v>
      </c>
      <c r="W93" s="16">
        <f>IF(ISNA(VLOOKUP(A93,'Données projet'!$A$35:$I$55,5,0)),0%,VLOOKUP(A93,'Données projet'!$A$35:$I$55,5,0)*VLOOKUP('Données projet'!$B$9,Paramètres!$A$1:$I$89,7,0))</f>
        <v>0</v>
      </c>
      <c r="X93" s="16">
        <f>IF(ISNA(VLOOKUP(A93,'Données projet'!$A$35:$I$55,6,0)),0%,VLOOKUP(A93,'Données projet'!$A$35:$I$55,6,0)*VLOOKUP('Données projet'!$B$9,Paramètres!$A$1:$I$89,7,0))</f>
        <v>0</v>
      </c>
      <c r="Y93" s="16">
        <f>IF(ISNA(VLOOKUP(A93,'Données projet'!$A$35:$I$55,7,0)),0%,VLOOKUP(A93,'Données projet'!$A$35:$I$55,7,0))</f>
        <v>0</v>
      </c>
      <c r="Z93" s="21">
        <f>EXP(-LN(2)/35)*Z92+(1-EXP(-LN(2)/35))/(LN(2)/35)*V93*W93*VLOOKUP('Données projet'!$B$9,Paramètres!$A$1:$I$89,3,0)*0.475*44/12</f>
        <v>0.94170049599984595</v>
      </c>
      <c r="AA93" s="21">
        <f>EXP(-LN(2)/25)*AA92+(1-EXP(-LN(2)/25))/(LN(2)/25)*Calculateur!V93*Calculateur!X93*VLOOKUP('Données projet'!$B$9,Paramètres!$A$1:$I$89,3,0)*0.475*44/12</f>
        <v>3.02390364619326</v>
      </c>
      <c r="AB93" s="21">
        <f>EXP(-LN(2)/2)*AB92+(1-EXP(-LN(2)/2))/(LN(2)/2)*V93*Y93*VLOOKUP('Données projet'!$B$9,Paramètres!$A$1:$I$89,3,0)*0.475*44/12</f>
        <v>1.5764050925654043E-9</v>
      </c>
      <c r="AC93" s="22">
        <f t="shared" si="57"/>
        <v>3.9656041437695113</v>
      </c>
      <c r="AD93" s="13">
        <f>('Scénario référence'!$F$8+'Scénario référence'!$F$9+'Scénario référence'!$B$17+'Scénario référence'!$B$9+'Scénario référence'!$B$10)*70+IF((45+25*(1-EXP(-0.0175*A93)))&lt;70,'Scénario référence'!$B$16*(45+25*(1-EXP(-0.0175*A93))),70*'Scénario référence'!$B$16)+IF((32+38*(1-EXP(-0.0175*A93)))&lt;70,'Scénario référence'!$B$18*(32+38*(1-EXP(-0.0175*A93))),70*'Scénario référence'!$B$18)</f>
        <v>70</v>
      </c>
      <c r="AE93" s="13">
        <f>IF(A93&gt;30,10,('Scénario référence'!$B$16+'Scénario référence'!$B$17+'Scénario référence'!$B$18+'Scénario référence'!$B$9+'Scénario référence'!$B$10)*A93*10/30+('Scénario référence'!$F$8+'Scénario référence'!$F$9)*10)</f>
        <v>10</v>
      </c>
      <c r="AF93" s="12" t="e">
        <f>VLOOKUP(A93,'Données projet'!$A$61:$I$81,2,0)</f>
        <v>#N/A</v>
      </c>
      <c r="AG93" s="12" t="e">
        <f>VLOOKUP(A93,'Données projet'!$A$61:$I$81,9,0)</f>
        <v>#N/A</v>
      </c>
      <c r="AH93" s="12">
        <f t="array" ref="AH93">INDEX(AG:AG,MIN(IF(ISNUMBER(AG93:AG289),ROW(AG93:AG289),"")))</f>
        <v>0</v>
      </c>
      <c r="AI93" s="13">
        <f>IF('Données projet'!$A$62&gt;35,AI92+AH93-AQ92,IF(A93&lt;'Données projet'!$A$62,$AF$205^A93,IF(A93='Données projet'!$A$62,'Données projet'!$B$62,AI92+AH93-AQ92)))</f>
        <v>0</v>
      </c>
      <c r="AJ93" s="13">
        <f>AI93*VLOOKUP('Données projet'!$B$10,Paramètres!$A$1:$I$89,3,0)*VLOOKUP('Données projet'!$B$10,Paramètres!$A$1:$I$89,5,0)</f>
        <v>0</v>
      </c>
      <c r="AK93" s="13" t="e">
        <f t="shared" si="89"/>
        <v>#NUM!</v>
      </c>
      <c r="AL93" s="20" t="e">
        <f t="shared" si="58"/>
        <v>#NUM!</v>
      </c>
      <c r="AM93" s="59" t="e">
        <f t="shared" si="59"/>
        <v>#NUM!</v>
      </c>
      <c r="AN93" s="59">
        <f ca="1">AVERAGE(OFFSET($AM$3,0,0,'Données projet'!$E$10+1,1))-AVERAGE(OFFSET($H$3,0,0,'Données projet'!$E$10+1,1))</f>
        <v>261.78489480911571</v>
      </c>
      <c r="AO93" s="59">
        <f t="shared" si="90"/>
        <v>297.50513563712764</v>
      </c>
      <c r="AP93" s="15">
        <f>IF(ISNA(VLOOKUP(A93,'Données projet'!$A$61:$I$81,3,0)),0,VLOOKUP(A93,'Données projet'!$A$61:$I$81,3,0))</f>
        <v>0</v>
      </c>
      <c r="AQ93" s="15">
        <f>IF(ISNA(VLOOKUP(A93,'Données projet'!$A$61:$I$81,4,0)),0,VLOOKUP(A93,'Données projet'!$A$61:$I$81,4,0))</f>
        <v>0</v>
      </c>
      <c r="AR93" s="16">
        <f>IF(ISNA(VLOOKUP(A93,'Données projet'!$A$61:$I$81,5,0)),0%,VLOOKUP(A93,'Données projet'!$A$61:$I$81,5,0)*VLOOKUP('Données projet'!$B$10,Paramètres!$A$1:$I$89,7,0))</f>
        <v>0</v>
      </c>
      <c r="AS93" s="16">
        <f>IF(ISNA(VLOOKUP(A93,'Données projet'!$A$61:$I$81,6,0)),0%,VLOOKUP(A93,'Données projet'!$A$61:$I$81,6,0)*VLOOKUP('Données projet'!$B$10,Paramètres!$A$1:$I$89,7,0))</f>
        <v>0</v>
      </c>
      <c r="AT93" s="16">
        <f>IF(ISNA(VLOOKUP(A93,'Données projet'!$A$61:$I$81,7,0)),0%,VLOOKUP(A93,'Données projet'!$A$61:$I$81,7,0))</f>
        <v>0</v>
      </c>
      <c r="AU93" s="21">
        <f>EXP(-LN(2)/35)*AU92+(1-EXP(-LN(2)/35))/(LN(2)/35)*AQ93*AR93*VLOOKUP('Données projet'!$B$10,Paramètres!$A$1:$I$89,3,0)*0.475*44/12</f>
        <v>2.5428576979073201</v>
      </c>
      <c r="AV93" s="21">
        <f>EXP(-LN(2)/25)*AV92+(1-EXP(-LN(2)/25))/(LN(2)/25)*Calculateur!AQ93*Calculateur!AS93*VLOOKUP('Données projet'!$B$10,Paramètres!$A$1:$I$89,3,0)*0.475*44/12</f>
        <v>5.2803525242858926</v>
      </c>
      <c r="AW93" s="21">
        <f>EXP(-LN(2)/2)*AW92+(1-EXP(-LN(2)/2))/(LN(2)/2)*AQ93*AT93*VLOOKUP('Données projet'!$B$10,Paramètres!$A$1:$I$89,3,0)*0.475*44/12</f>
        <v>2.2725380153313167E-8</v>
      </c>
      <c r="AX93" s="21">
        <f t="shared" si="60"/>
        <v>7.8232102449185925</v>
      </c>
      <c r="AY93" s="74">
        <f>('Scénario référence'!$F$8+'Scénario référence'!$F$9+'Scénario référence'!$B$17+'Scénario référence'!$B$9+'Scénario référence'!$B$10)*70+IF((45+25*(1-EXP(-0.0175*A93)))&lt;70,'Scénario référence'!$B$16*(45+25*(1-EXP(-0.0175*A93))),70*'Scénario référence'!$B$16)+IF((32+38*(1-EXP(-0.0175*A93)))&lt;70,'Scénario référence'!$B$18*(32+38*(1-EXP(-0.0175*A93))),70*'Scénario référence'!$B$18)</f>
        <v>70</v>
      </c>
      <c r="AZ93" s="12">
        <f>IF(A93&gt;30,10,('Scénario référence'!$B$16+'Scénario référence'!$B$17+'Scénario référence'!$B$18+'Scénario référence'!$B$9+'Scénario référence'!$B$10)*A93*10/30+('Scénario référence'!$F$8+'Scénario référence'!$F$9)*10)</f>
        <v>10</v>
      </c>
      <c r="BA93" s="12">
        <f>VLOOKUP(A93,'Données projet'!$A$87:$I$107,2,0)</f>
        <v>637</v>
      </c>
      <c r="BB93" s="12">
        <f>VLOOKUP(A93,'Données projet'!$A$87:$I$107,9,0)</f>
        <v>12.5</v>
      </c>
      <c r="BC93" s="12">
        <f t="array" ref="BC93">INDEX(BB:BB,MIN(IF(ISNUMBER(BB93:BB289),ROW(BB93:BB289),"")))</f>
        <v>12.5</v>
      </c>
      <c r="BD93" s="12">
        <f>IF('Données projet'!$A$88&gt;35,BD92+BC93-BL92,IF(A93&lt;'Données projet'!$A$88,$BA$205^A93,IF(A93='Données projet'!$A$88,'Données projet'!$B$88,BD92+BC93-BL92)))</f>
        <v>636.99999999999955</v>
      </c>
      <c r="BE93" s="13">
        <f>BD93*VLOOKUP('Données projet'!$B$11,Paramètres!$A$1:$I$89,3,0)*VLOOKUP('Données projet'!$B$11,Paramètres!$A$1:$I$89,5,0)</f>
        <v>380.92599999999976</v>
      </c>
      <c r="BF93" s="13">
        <f t="shared" si="91"/>
        <v>87.898777201244229</v>
      </c>
      <c r="BG93" s="20">
        <f t="shared" si="61"/>
        <v>816.53648695883328</v>
      </c>
      <c r="BH93" s="59">
        <f t="shared" si="62"/>
        <v>1109.8698202921667</v>
      </c>
      <c r="BI93" s="59">
        <f ca="1">AVERAGE(OFFSET($BH$3,0,0,'Données projet'!$E$11+1,1))-AVERAGE(OFFSET($H$3,0,0,'Données projet'!$E$11+1,1))</f>
        <v>316.58509520829671</v>
      </c>
      <c r="BJ93" s="59">
        <f t="shared" si="92"/>
        <v>240.71332110643596</v>
      </c>
      <c r="BK93" s="15">
        <f>IF(ISNA(VLOOKUP(A93,'Données projet'!$A$87:$I$107,3,0)),0,VLOOKUP(A93,'Données projet'!$A$87:$I$107,3,0))</f>
        <v>8</v>
      </c>
      <c r="BL93" s="15">
        <f>IF(ISNA(VLOOKUP(A93,'Données projet'!$A$87:$I$107,4,0)),0,VLOOKUP(A93,'Données projet'!$A$87:$I$107,4,0))</f>
        <v>83</v>
      </c>
      <c r="BM93" s="16">
        <f>IF(ISNA(VLOOKUP(A93,'Données projet'!$A$87:$I$107,5,0)),0%,VLOOKUP(A93,'Données projet'!$A$87:$I$107,5,0)*VLOOKUP('Données projet'!$B$11,Paramètres!$A$1:$I$89,7,0))</f>
        <v>0</v>
      </c>
      <c r="BN93" s="16">
        <f>IF(ISNA(VLOOKUP(A93,'Données projet'!$A$87:$I$107,6,0)),0%,VLOOKUP(A93,'Données projet'!$A$87:$I$107,6,0)*VLOOKUP('Données projet'!$B$11,Paramètres!$A$1:$I$89,7,0))</f>
        <v>0</v>
      </c>
      <c r="BO93" s="16">
        <f>IF(ISNA(VLOOKUP(A93,'Données projet'!$A$87:$I$107,7,0)),0%,VLOOKUP(A93,'Données projet'!$A$87:$I$107,7,0))</f>
        <v>0</v>
      </c>
      <c r="BP93" s="21">
        <f>EXP(-LN(2)/35)*BP92+(1-EXP(-LN(2)/35))/(LN(2)/35)*BL93*BM93*VLOOKUP('Données projet'!$B$11,Paramètres!$A$1:$I$89,3,0)*0.475*44/12</f>
        <v>0.77241194581150552</v>
      </c>
      <c r="BQ93" s="21">
        <f>EXP(-LN(2)/25)*BQ92+(1-EXP(-LN(2)/25))/(LN(2)/25)*Calculateur!BL93*Calculateur!BN93*VLOOKUP('Données projet'!$B$11,Paramètres!$A$1:$I$89,3,0)*0.475*44/12</f>
        <v>2.8927311833341802</v>
      </c>
      <c r="BR93" s="21">
        <f>EXP(-LN(2)/2)*BR92+(1-EXP(-LN(2)/2))/(LN(2)/2)*BL93*BO93*VLOOKUP('Données projet'!$B$11,Paramètres!$A$1:$I$89,3,0)*0.475*44/12</f>
        <v>2.043260547345587E-8</v>
      </c>
      <c r="BS93" s="22">
        <f t="shared" si="63"/>
        <v>3.6651431495782911</v>
      </c>
      <c r="BT93" s="75">
        <f>('Scénario référence'!$F$8+'Scénario référence'!$F$9+'Scénario référence'!$B$17+'Scénario référence'!$B$9+'Scénario référence'!$B$10)*70+IF((45+25*(1-EXP(-0.0175*A93)))&lt;70,'Scénario référence'!$B$16*(45+25*(1-EXP(-0.0175*A93))),70*'Scénario référence'!$B$16)+IF((32+38*(1-EXP(-0.0175*A93)))&lt;70,'Scénario référence'!$B$18*(32+38*(1-EXP(-0.0175*A93))),70*'Scénario référence'!$B$18)</f>
        <v>70</v>
      </c>
      <c r="BU93" s="12">
        <f>IF(A93&gt;30,10,('Scénario référence'!$B$16+'Scénario référence'!$B$17+'Scénario référence'!$B$18+'Scénario référence'!$B$9+'Scénario référence'!$B$10)*A93*10/30+('Scénario référence'!$F$8+'Scénario référence'!$F$9)*10)</f>
        <v>10</v>
      </c>
      <c r="BV93" s="12">
        <f>VLOOKUP(A93,'Données projet'!$A$113:$I$133,2,0)</f>
        <v>354</v>
      </c>
      <c r="BW93" s="12">
        <f>VLOOKUP(A93,'Données projet'!$A$113:$I$133,9,0)</f>
        <v>3.8</v>
      </c>
      <c r="BX93" s="12">
        <f t="array" ref="BX93">INDEX(BW:BW,MIN(IF(ISNUMBER(BW93:BW289),ROW(BW93:BW289),"")))</f>
        <v>3.8</v>
      </c>
      <c r="BY93" s="12">
        <f>IF('Données projet'!$A$114&gt;35,BY92+BX93-CG92,IF(A93&lt;'Données projet'!$A$114,$BV$205^A93,IF(A93='Données projet'!$A$114,'Données projet'!$B$114,BY92+BX93-CG92)))</f>
        <v>353.99999999999977</v>
      </c>
      <c r="BZ93" s="13">
        <f>BY93*VLOOKUP('Données projet'!$B$12,Paramètres!$A$1:$I$89,3,0)*VLOOKUP('Données projet'!$B$12,Paramètres!$A$1:$I$89,5,0)</f>
        <v>202.48799999999989</v>
      </c>
      <c r="CA93" s="13">
        <f t="shared" si="93"/>
        <v>50.290560763566887</v>
      </c>
      <c r="CB93" s="20">
        <f t="shared" si="64"/>
        <v>440.25599332987878</v>
      </c>
      <c r="CC93" s="59">
        <f t="shared" si="65"/>
        <v>733.58932666321209</v>
      </c>
      <c r="CD93" s="59">
        <f ca="1">AVERAGE(OFFSET($CC$3,0,0,'Données projet'!$E$12+1,1))-AVERAGE(OFFSET($H$3,0,0,'Données projet'!$E$12+1,1))</f>
        <v>188.64374818906128</v>
      </c>
      <c r="CE93" s="59">
        <f t="shared" si="94"/>
        <v>211.95157880548652</v>
      </c>
      <c r="CF93" s="15">
        <f>IF(ISNA(VLOOKUP(A93,'Données projet'!$A$113:$I$133,3,0)),0,VLOOKUP(A93,'Données projet'!$A$113:$I$133,3,0))</f>
        <v>8</v>
      </c>
      <c r="CG93" s="15">
        <f>IF(ISNA(VLOOKUP(A93,'Données projet'!$A$113:$I$133,4,0)),0,VLOOKUP(A93,'Données projet'!$A$113:$I$133,4,0))</f>
        <v>28</v>
      </c>
      <c r="CH93" s="16">
        <f>IF(ISNA(VLOOKUP(A93,'Données projet'!$A$113:$I$133,5,0)),0%,VLOOKUP(A93,'Données projet'!$A$113:$I$133,5,0)*VLOOKUP('Données projet'!$B$12,Paramètres!$A$1:$I$89,7,0))</f>
        <v>0</v>
      </c>
      <c r="CI93" s="16">
        <f>IF(ISNA(VLOOKUP(A93,'Données projet'!$A$113:$I$133,6,0)),0%,VLOOKUP(A93,'Données projet'!$A$113:$I$133,6,0)*VLOOKUP('Données projet'!$B$12,Paramètres!$A$1:$I$89,7,0))</f>
        <v>0</v>
      </c>
      <c r="CJ93" s="16">
        <f>IF(ISNA(VLOOKUP(A93,'Données projet'!$A$113:$I$133,7,0)),0%,VLOOKUP(A93,'Données projet'!$A$113:$I$133,7,0))</f>
        <v>0</v>
      </c>
      <c r="CK93" s="21">
        <f>EXP(-LN(2)/35)*CK92+(1-EXP(-LN(2)/35))/(LN(2)/35)*CG93*CH93*VLOOKUP('Données projet'!$B$12,Paramètres!$A$1:$I$89,3,0)*0.475*44/12</f>
        <v>0.74923485741912077</v>
      </c>
      <c r="CL93" s="21">
        <f>EXP(-LN(2)/25)*CL92+(1-EXP(-LN(2)/25))/(LN(2)/25)*Calculateur!CG93*Calculateur!CI93*VLOOKUP('Données projet'!$B$12,Paramètres!$A$1:$I$89,3,0)*0.475*44/12</f>
        <v>2.7227040862872105</v>
      </c>
      <c r="CM93" s="21">
        <f>EXP(-LN(2)/2)*CM92+(1-EXP(-LN(2)/2))/(LN(2)/2)*CG93*CJ93*VLOOKUP('Données projet'!$B$12,Paramètres!$A$1:$I$89,3,0)*0.475*44/12</f>
        <v>1.97873797302472E-8</v>
      </c>
      <c r="CN93" s="22">
        <f t="shared" si="66"/>
        <v>3.4719389634937112</v>
      </c>
      <c r="CO93" s="75">
        <f>('Scénario référence'!$F$8+'Scénario référence'!$F$9+'Scénario référence'!$B$17+'Scénario référence'!$B$9+'Scénario référence'!$B$10)*70+IF((45+25*(1-EXP(-0.0175*A93)))&lt;70,'Scénario référence'!$B$16*(45+25*(1-EXP(-0.0175*A93))),70*'Scénario référence'!$B$16)+IF((32+38*(1-EXP(-0.0175*A93)))&lt;70,'Scénario référence'!$B$18*(32+38*(1-EXP(-0.0175*A93))),70*'Scénario référence'!$B$18)</f>
        <v>70</v>
      </c>
      <c r="CP93" s="12">
        <f>IF(A93&gt;30,10,('Scénario référence'!$B$16+'Scénario référence'!$B$17+'Scénario référence'!$B$18+'Scénario référence'!$B$9+'Scénario référence'!$B$10)*A93*10/30+('Scénario référence'!$F$8+'Scénario référence'!$F$9)*10)</f>
        <v>10</v>
      </c>
      <c r="CQ93" s="12" t="e">
        <f>VLOOKUP(A93,'Données projet'!$A$139:$I$159,2,0)</f>
        <v>#N/A</v>
      </c>
      <c r="CR93" s="12" t="e">
        <f>VLOOKUP(A93,'Données projet'!$A$139:$I$159,9,0)</f>
        <v>#N/A</v>
      </c>
      <c r="CS93" s="12">
        <f t="array" ref="CS93">INDEX(CR:CR,MIN(IF(ISNUMBER(CR93:CR289),ROW(CR93:CR289),"")))</f>
        <v>0</v>
      </c>
      <c r="CT93" s="12">
        <f>IF('Données projet'!$A$140&gt;35,CT92+CS93-DB92,IF(A93&lt;'Données projet'!$A$140,$CQ$205^A93,IF(A93='Données projet'!$A$140,'Données projet'!$B$140,CT92+CS93-DB92)))</f>
        <v>0</v>
      </c>
      <c r="CU93" s="17" t="e">
        <f>CT93*VLOOKUP('Données projet'!$B$13,Paramètres!$A$1:$I$89,3,0)*VLOOKUP('Données projet'!$B$13,Paramètres!$A$1:$I$89,5,0)</f>
        <v>#N/A</v>
      </c>
      <c r="CV93" s="13" t="e">
        <f t="shared" si="95"/>
        <v>#N/A</v>
      </c>
      <c r="CW93" s="20" t="e">
        <f t="shared" si="67"/>
        <v>#N/A</v>
      </c>
      <c r="CX93" s="59" t="e">
        <f t="shared" si="68"/>
        <v>#N/A</v>
      </c>
      <c r="CY93" s="59" t="e">
        <f ca="1">AVERAGE(OFFSET($CX$3,0,0,'Données projet'!$E$13+1,1))-AVERAGE(OFFSET($H$3,0,0,'Données projet'!$E$13+1,1))</f>
        <v>#N/A</v>
      </c>
      <c r="CZ93" s="59" t="e">
        <f t="shared" si="96"/>
        <v>#N/A</v>
      </c>
      <c r="DA93" s="15">
        <f>IF(ISNA(VLOOKUP(A93,'Données projet'!$A$139:$I$159,3,0)),0,VLOOKUP(A93,'Données projet'!$A$139:$I$159,3,0))</f>
        <v>0</v>
      </c>
      <c r="DB93" s="15">
        <f>IF(ISNA(VLOOKUP(A93,'Données projet'!$A$139:$I$159,4,0)),0,VLOOKUP(A93,'Données projet'!$A$139:$I$159,4,0))</f>
        <v>0</v>
      </c>
      <c r="DC93" s="16">
        <f>IF(ISNA(VLOOKUP(A93,'Données projet'!$A$139:$I$159,5,0)),0%,VLOOKUP(A93,'Données projet'!$A$139:$I$159,5,0)*VLOOKUP('Données projet'!$B$13,Paramètres!$A$1:$I$89,7,0))</f>
        <v>0</v>
      </c>
      <c r="DD93" s="16">
        <f>IF(ISNA(VLOOKUP(A93,'Données projet'!$A$139:$I$159,6,0)),0%,VLOOKUP(A93,'Données projet'!$A$139:$I$159,6,0)*VLOOKUP('Données projet'!$B$13,Paramètres!$A$1:$I$89,7,0))</f>
        <v>0</v>
      </c>
      <c r="DE93" s="16">
        <f>IF(ISNA(VLOOKUP(A93,'Données projet'!$A$139:$I$159,7,0)),0%,VLOOKUP(A93,'Données projet'!$A$139:$I$159,7,0))</f>
        <v>0</v>
      </c>
      <c r="DF93" s="21" t="e">
        <f>EXP(-LN(2)/35)*DF92+(1-EXP(-LN(2)/35))/(LN(2)/35)*DB93*DC93*VLOOKUP('Données projet'!$B$13,Paramètres!$A$1:$I$89,3,0)*0.475*44/12</f>
        <v>#N/A</v>
      </c>
      <c r="DG93" s="21" t="e">
        <f>EXP(-LN(2)/25)*DG92+(1-EXP(-LN(2)/25))/(LN(2)/25)*Calculateur!DB93*Calculateur!DD93*VLOOKUP('Données projet'!$B$13,Paramètres!$A$1:$I$89,3,0)*0.475*44/12</f>
        <v>#N/A</v>
      </c>
      <c r="DH93" s="21" t="e">
        <f>EXP(-LN(2)/2)*DH92+(1-EXP(-LN(2)/2))/(LN(2)/2)*DB93*DE93*VLOOKUP('Données projet'!$B$13,Paramètres!$A$1:$I$89,3,0)*0.475*44/12</f>
        <v>#N/A</v>
      </c>
      <c r="DI93" s="22" t="e">
        <f t="shared" si="69"/>
        <v>#N/A</v>
      </c>
      <c r="DJ93" s="75">
        <f>('Scénario référence'!$F$8+'Scénario référence'!$F$9+'Scénario référence'!$B$17+'Scénario référence'!$B$9+'Scénario référence'!$B$10)*70+IF((45+25*(1-EXP(-0.0175*A93)))&lt;70,'Scénario référence'!$B$16*(45+25*(1-EXP(-0.0175*A93))),70*'Scénario référence'!$B$16)+IF((32+38*(1-EXP(-0.0175*A93)))&lt;70,'Scénario référence'!$B$18*(32+38*(1-EXP(-0.0175*A93))),70*'Scénario référence'!$B$18)</f>
        <v>70</v>
      </c>
      <c r="DK93" s="12">
        <f>IF(A93&gt;30,10,('Scénario référence'!$B$16+'Scénario référence'!$B$17+'Scénario référence'!$B$18+'Scénario référence'!$B$9+'Scénario référence'!$B$10)*A93*10/30+('Scénario référence'!$F$8+'Scénario référence'!$F$9)*10)</f>
        <v>10</v>
      </c>
      <c r="DL93" s="12">
        <f>VLOOKUP(A93,'Données projet'!$A$165:$I$185,2,0)</f>
        <v>299</v>
      </c>
      <c r="DM93" s="12">
        <f>VLOOKUP(A93,'Données projet'!$A$165:$I$185,9,0)</f>
        <v>4</v>
      </c>
      <c r="DN93" s="12">
        <f t="array" ref="DN93">INDEX(DM:DM,MIN(IF(ISNUMBER(DM93:DM289),ROW(DM93:DM289),"")))</f>
        <v>4</v>
      </c>
      <c r="DO93" s="12">
        <f>IF('Données projet'!$A$166&gt;35,DO92+DN93-DW92,IF(A93&lt;'Données projet'!$A$166,$DL$205^A93,IF(A93='Données projet'!$A$166,'Données projet'!$B$166,DO92+DN93-DW92)))</f>
        <v>299.00000000000017</v>
      </c>
      <c r="DP93" s="17">
        <f>DO93*VLOOKUP('Données projet'!$B$14,Paramètres!$A$1:$I$89,3,0)*VLOOKUP('Données projet'!$B$14,Paramètres!$A$1:$I$89,5,0)</f>
        <v>195.90480000000011</v>
      </c>
      <c r="DQ93" s="13">
        <f t="shared" si="97"/>
        <v>48.843085918490004</v>
      </c>
      <c r="DR93" s="20">
        <f t="shared" si="70"/>
        <v>426.2692346413703</v>
      </c>
      <c r="DS93" s="59">
        <f t="shared" si="71"/>
        <v>719.60256797470356</v>
      </c>
      <c r="DT93" s="59">
        <f ca="1">AVERAGE(OFFSET($DS$3,0,0,'Données projet'!$E$14+1,1))-AVERAGE(OFFSET($H$3,0,0,'Données projet'!$E$14+1,1))</f>
        <v>188.68915783955595</v>
      </c>
      <c r="DU93" s="59">
        <f t="shared" si="98"/>
        <v>240.82467772396944</v>
      </c>
      <c r="DV93" s="15">
        <f>IF(ISNA(VLOOKUP(A93,'Données projet'!$A$165:$I$185,3,0)),0,VLOOKUP(A93,'Données projet'!$A$165:$I$185,3,0))</f>
        <v>8</v>
      </c>
      <c r="DW93" s="15">
        <f>IF(ISNA(VLOOKUP(A93,'Données projet'!$A$165:$I$185,4,0)),0,VLOOKUP(A93,'Données projet'!$A$165:$I$185,4,0))</f>
        <v>31</v>
      </c>
      <c r="DX93" s="16">
        <f>IF(ISNA(VLOOKUP(A93,'Données projet'!$A$165:$I$185,5,0)),0%,VLOOKUP(A93,'Données projet'!$A$165:$I$185,5,0)*VLOOKUP('Données projet'!$B$14,Paramètres!$A$1:$I$89,7,0))</f>
        <v>0</v>
      </c>
      <c r="DY93" s="16">
        <f>IF(ISNA(VLOOKUP(A93,'Données projet'!$A$165:$I$185,6,0)),0%,VLOOKUP(A93,'Données projet'!$A$165:$I$185,6,0)*VLOOKUP('Données projet'!$B$14,Paramètres!$A$1:$I$89,7,0))</f>
        <v>0</v>
      </c>
      <c r="DZ93" s="16">
        <f>IF(ISNA(VLOOKUP(A93,'Données projet'!$A$165:$I$185,7,0)),0%,VLOOKUP(A93,'Données projet'!$A$165:$I$185,7,0))</f>
        <v>0</v>
      </c>
      <c r="EA93" s="21">
        <f>EXP(-LN(2)/35)*EA92+(1-EXP(-LN(2)/35))/(LN(2)/35)*DW93*DX93*VLOOKUP('Données projet'!$B$14,Paramètres!$A$1:$I$89,3,0)*0.475*44/12</f>
        <v>0.47457847660596664</v>
      </c>
      <c r="EB93" s="21">
        <f>EXP(-LN(2)/25)*EB92+(1-EXP(-LN(2)/25))/(LN(2)/25)*Calculateur!DW93*Calculateur!DY93*VLOOKUP('Données projet'!$B$14,Paramètres!$A$1:$I$89,3,0)*0.475*44/12</f>
        <v>1.5229217606674319</v>
      </c>
      <c r="EC93" s="21">
        <f>EXP(-LN(2)/2)*EC92+(1-EXP(-LN(2)/2))/(LN(2)/2)*DW93*DZ93*VLOOKUP('Données projet'!$B$14,Paramètres!$A$1:$I$89,3,0)*0.475*44/12</f>
        <v>1.3035170721083029E-8</v>
      </c>
      <c r="ED93" s="22">
        <f t="shared" si="72"/>
        <v>1.9975002503085693</v>
      </c>
      <c r="EE93" s="75">
        <f>('Scénario référence'!$F$8+'Scénario référence'!$F$9+'Scénario référence'!$B$17+'Scénario référence'!$B$9+'Scénario référence'!$B$10)*70+IF((45+25*(1-EXP(-0.0175*A93)))&lt;70,'Scénario référence'!$B$16*(45+25*(1-EXP(-0.0175*A93))),70*'Scénario référence'!$B$16)+IF((32+38*(1-EXP(-0.0175*A93)))&lt;70,'Scénario référence'!$B$18*(32+38*(1-EXP(-0.0175*A93))),70*'Scénario référence'!$B$18)</f>
        <v>70</v>
      </c>
      <c r="EF93" s="12">
        <f>IF(A93&gt;30,10,('Scénario référence'!$B$16+'Scénario référence'!$B$17+'Scénario référence'!$B$18+'Scénario référence'!$B$9+'Scénario référence'!$B$10)*A93*10/30+('Scénario référence'!$F$8+'Scénario référence'!$F$9)*10)</f>
        <v>10</v>
      </c>
      <c r="EG93" s="12">
        <f>VLOOKUP(A93,'Données projet'!$A$191:$I$211,2,0)</f>
        <v>307</v>
      </c>
      <c r="EH93" s="12">
        <f>VLOOKUP(A93,'Données projet'!$A$191:$I$211,9,0)</f>
        <v>4.7</v>
      </c>
      <c r="EI93" s="12">
        <f t="array" ref="EI93">INDEX(EH:EH,MIN(IF(ISNUMBER(EH93:EH289),ROW(EH93:EH289),"")))</f>
        <v>4.7</v>
      </c>
      <c r="EJ93" s="12">
        <f>IF('Données projet'!$A$192&gt;35,EJ92+EI93-ER92,IF(A93&lt;'Données projet'!$A$192,$EG$205^A93,IF(A93='Données projet'!$A$192,'Données projet'!$B$192,EJ92+EI93-ER92)))</f>
        <v>306.99999999999972</v>
      </c>
      <c r="EK93" s="17">
        <f>EJ93*VLOOKUP('Données projet'!$B$15,Paramètres!$A$1:$I$89,3,0)*VLOOKUP('Données projet'!$B$15,Paramètres!$A$1:$I$89,5,0)</f>
        <v>249.03839999999977</v>
      </c>
      <c r="EL93" s="13">
        <f t="shared" si="99"/>
        <v>60.379982523339947</v>
      </c>
      <c r="EM93" s="20">
        <f t="shared" si="73"/>
        <v>538.9036828948166</v>
      </c>
      <c r="EN93" s="59">
        <f t="shared" si="74"/>
        <v>832.23701622814997</v>
      </c>
      <c r="EO93" s="59">
        <f ca="1">AVERAGE(OFFSET($EN$3,0,0,'Données projet'!$E$15+1,1))-AVERAGE(OFFSET($H$3,0,0,'Données projet'!$E$15+1,1))</f>
        <v>205.5272583787887</v>
      </c>
      <c r="EP93" s="59">
        <f t="shared" si="100"/>
        <v>180.54762778843178</v>
      </c>
      <c r="EQ93" s="15">
        <f>IF(ISNA(VLOOKUP(A93,'Données projet'!$A$191:$I$211,3,0)),0,VLOOKUP(A93,'Données projet'!$A$191:$I$211,3,0))</f>
        <v>8</v>
      </c>
      <c r="ER93" s="15">
        <f>IF(ISNA(VLOOKUP(A93,'Données projet'!$A$191:$I$211,4,0)),0,VLOOKUP(A93,'Données projet'!$A$191:$I$211,4,0))</f>
        <v>31</v>
      </c>
      <c r="ES93" s="16">
        <f>IF(ISNA(VLOOKUP(A93,'Données projet'!$A$191:$I$211,5,0)),0%,VLOOKUP(A93,'Données projet'!$A$191:$I$211,5,0)*VLOOKUP('Données projet'!$B$15,Paramètres!$A$1:$I$89,7,0))</f>
        <v>0</v>
      </c>
      <c r="ET93" s="16">
        <f>IF(ISNA(VLOOKUP(A93,'Données projet'!$A$191:$I$211,6,0)),0%,VLOOKUP(A93,'Données projet'!$A$191:$I$211,6,0)*VLOOKUP('Données projet'!$B$15,Paramètres!$A$1:$I$89,7,0))</f>
        <v>0</v>
      </c>
      <c r="EU93" s="16">
        <f>IF(ISNA(VLOOKUP(A93,'Données projet'!$A$191:$I$211,7,0)),0%,VLOOKUP(A93,'Données projet'!$A$191:$I$211,7,0))</f>
        <v>0</v>
      </c>
      <c r="EV93" s="21">
        <f>EXP(-LN(2)/35)*EV92+(1-EXP(-LN(2)/35))/(LN(2)/35)*ER93*ES93*VLOOKUP('Données projet'!$B$15,Paramètres!$A$1:$I$89,3,0)*0.475*44/12</f>
        <v>0.30553814303393656</v>
      </c>
      <c r="EW93" s="21">
        <f>EXP(-LN(2)/25)*EW92+(1-EXP(-LN(2)/25))/(LN(2)/25)*Calculateur!ER93*Calculateur!ET93*VLOOKUP('Données projet'!$B$15,Paramètres!$A$1:$I$89,3,0)*0.475*44/12</f>
        <v>1.0995957105029317</v>
      </c>
      <c r="EX93" s="21">
        <f>EXP(-LN(2)/2)*EX92+(1-EXP(-LN(2)/2))/(LN(2)/2)*ER93*EU93*VLOOKUP('Données projet'!$B$15,Paramètres!$A$1:$I$89,3,0)*0.475*44/12</f>
        <v>8.4402826804480913E-9</v>
      </c>
      <c r="EY93" s="22">
        <f t="shared" si="75"/>
        <v>1.405133861977151</v>
      </c>
      <c r="EZ93" s="75">
        <f>('Scénario référence'!$F$8+'Scénario référence'!$F$9+'Scénario référence'!$B$17+'Scénario référence'!$B$9+'Scénario référence'!$B$10)*70+IF((45+25*(1-EXP(-0.0175*A93)))&lt;70,'Scénario référence'!$B$16*(45+25*(1-EXP(-0.0175*A93))),70*'Scénario référence'!$B$16)+IF((32+38*(1-EXP(-0.0175*A93)))&lt;70,'Scénario référence'!$B$18*(32+38*(1-EXP(-0.0175*A93))),70*'Scénario référence'!$B$18)</f>
        <v>70</v>
      </c>
      <c r="FA93" s="12">
        <f>IF(A93&gt;30,10,('Scénario référence'!$B$16+'Scénario référence'!$B$17+'Scénario référence'!$B$18+'Scénario référence'!$B$9+'Scénario référence'!$B$10)*A93*10/30+('Scénario référence'!$F$8+'Scénario référence'!$F$9)*10)</f>
        <v>10</v>
      </c>
      <c r="FB93" s="12">
        <f>VLOOKUP(A93,'Données projet'!$A$217:$I$237,2,0)</f>
        <v>421</v>
      </c>
      <c r="FC93" s="12">
        <f>VLOOKUP(A93,'Données projet'!$A$217:$I$237,9,0)</f>
        <v>10.9</v>
      </c>
      <c r="FD93" s="12">
        <f t="array" ref="FD93">INDEX(FC:FC,MIN(IF(ISNUMBER(FC93:FC289),ROW(FC93:FC289),"")))</f>
        <v>10.9</v>
      </c>
      <c r="FE93" s="12">
        <f>IF('Données projet'!$A$218&gt;35,FE92+FD93-FM92,IF(A93&lt;'Données projet'!$A$218,$FB$205^A93,IF(A93='Données projet'!$A$218,'Données projet'!$B$218,FE92+FD93-FM92)))</f>
        <v>420.99999999999994</v>
      </c>
      <c r="FF93" s="17">
        <f>FE93*VLOOKUP('Données projet'!$B$16,Paramètres!$A$1:$I$89,3,0)*VLOOKUP('Données projet'!$B$16,Paramètres!$A$1:$I$89,5,0)</f>
        <v>361.21799999999996</v>
      </c>
      <c r="FG93" s="13">
        <f t="shared" si="101"/>
        <v>83.868155605284571</v>
      </c>
      <c r="FH93" s="20">
        <f t="shared" si="76"/>
        <v>775.19172101253719</v>
      </c>
      <c r="FI93" s="59">
        <f t="shared" si="77"/>
        <v>1068.5250543458706</v>
      </c>
      <c r="FJ93" s="59">
        <f ca="1">AVERAGE(OFFSET($FI$3,0,0,'Données projet'!$E$16+1,1))-AVERAGE(OFFSET($H$3,0,0,'Données projet'!$E$16+1,1))</f>
        <v>383.97627237444709</v>
      </c>
      <c r="FK93" s="59">
        <f t="shared" si="102"/>
        <v>203.35476578922339</v>
      </c>
      <c r="FL93" s="15">
        <f>IF(ISNA(VLOOKUP(A93,'Données projet'!$A$217:$I$237,3,0)),0,VLOOKUP(A93,'Données projet'!$A$217:$I$237,3,0))</f>
        <v>8</v>
      </c>
      <c r="FM93" s="15">
        <f>IF(ISNA(VLOOKUP(A93,'Données projet'!$A$217:$I$237,4,0)),0,VLOOKUP(A93,'Données projet'!$A$217:$I$237,4,0))</f>
        <v>82</v>
      </c>
      <c r="FN93" s="16">
        <f>IF(ISNA(VLOOKUP(A93,'Données projet'!$A$217:$I$237,5,0)),0%,VLOOKUP(A93,'Données projet'!$A$217:$I$237,5,0)*VLOOKUP('Données projet'!$B$16,Paramètres!$A$1:$I$89,7,0))</f>
        <v>0</v>
      </c>
      <c r="FO93" s="16">
        <f>IF(ISNA(VLOOKUP(A93,'Données projet'!$A$217:$I$237,6,0)),0%,VLOOKUP(A93,'Données projet'!$A$217:$I$237,6,0)*VLOOKUP('Données projet'!$B$16,Paramètres!$A$1:$I$89,7,0))</f>
        <v>0</v>
      </c>
      <c r="FP93" s="16">
        <f>IF(ISNA(VLOOKUP(A93,'Données projet'!$A$217:$I$237,7,0)),0%,VLOOKUP(A93,'Données projet'!$A$217:$I$237,7,0))</f>
        <v>0</v>
      </c>
      <c r="FQ93" s="21">
        <f>EXP(-LN(2)/35)*FQ92+(1-EXP(-LN(2)/35))/(LN(2)/35)*FM93*FN93*VLOOKUP('Données projet'!$B$16,Paramètres!$A$1:$I$89,3,0)*0.475*44/12</f>
        <v>1.5703002943400386</v>
      </c>
      <c r="FR93" s="21">
        <f>EXP(-LN(2)/25)*FR92+(1-EXP(-LN(2)/25))/(LN(2)/25)*Calculateur!FM93*Calculateur!FO93*VLOOKUP('Données projet'!$B$16,Paramètres!$A$1:$I$89,3,0)*0.475*44/12</f>
        <v>1.1162033001785034</v>
      </c>
      <c r="FS93" s="21">
        <f>EXP(-LN(2)/2)*FS92+(1-EXP(-LN(2)/2))/(LN(2)/2)*FM93*FP93*VLOOKUP('Données projet'!$B$16,Paramètres!$A$1:$I$89,3,0)*0.475*44/12</f>
        <v>1.55030670871864E-8</v>
      </c>
      <c r="FT93" s="22">
        <f t="shared" si="78"/>
        <v>2.6865036100216093</v>
      </c>
      <c r="FU93" s="75">
        <f>('Scénario référence'!$F$8+'Scénario référence'!$F$9+'Scénario référence'!$B$17+'Scénario référence'!$B$9+'Scénario référence'!$B$10)*70+IF((45+25*(1-EXP(-0.0175*A93)))&lt;70,'Scénario référence'!$B$16*(45+25*(1-EXP(-0.0175*A93))),70*'Scénario référence'!$B$16)+IF((32+38*(1-EXP(-0.0175*A93)))&lt;70,'Scénario référence'!$B$18*(32+38*(1-EXP(-0.0175*A93))),70*'Scénario référence'!$B$18)</f>
        <v>70</v>
      </c>
      <c r="FV93" s="12">
        <f>IF(A93&gt;30,10,('Scénario référence'!$B$16+'Scénario référence'!$B$17+'Scénario référence'!$B$18+'Scénario référence'!$B$9+'Scénario référence'!$B$10)*A93*10/30+('Scénario référence'!$F$8+'Scénario référence'!$F$9)*10)</f>
        <v>10</v>
      </c>
      <c r="FW93" s="12" t="e">
        <f>VLOOKUP(A93,'Données projet'!$A$243:$I$263,2,0)</f>
        <v>#N/A</v>
      </c>
      <c r="FX93" s="12" t="e">
        <f>VLOOKUP(A93,'Données projet'!$A$243:$I$263,9,0)</f>
        <v>#N/A</v>
      </c>
      <c r="FY93" s="12">
        <f t="array" ref="FY93">INDEX(FX:FX,MIN(IF(ISNUMBER(FX93:FX289),ROW(FX93:FX289),"")))</f>
        <v>7.1782051282051267</v>
      </c>
      <c r="FZ93" s="12">
        <f>IF('Données projet'!$A$244&gt;35,FZ92+FY93-GH92,IF(A93&lt;'Données projet'!$A$244,$FW$205^A93,IF(A93='Données projet'!$A$244,'Données projet'!$B$244,FZ92+FY93-GH92)))</f>
        <v>253.64615384615399</v>
      </c>
      <c r="GA93" s="17">
        <f>FZ93*VLOOKUP('Données projet'!$B$17,Paramètres!$A$1:$I$89,3,0)*VLOOKUP('Données projet'!$B$17,Paramètres!$A$1:$I$89,5,0)</f>
        <v>273.02472000000017</v>
      </c>
      <c r="GB93" s="13">
        <f t="shared" si="103"/>
        <v>65.490774415169966</v>
      </c>
      <c r="GC93" s="20">
        <f t="shared" si="79"/>
        <v>589.58115277308787</v>
      </c>
      <c r="GD93" s="59">
        <f t="shared" si="80"/>
        <v>882.91448610642124</v>
      </c>
      <c r="GE93" s="59">
        <f ca="1">AVERAGE(OFFSET($GD$3,0,0,'Données projet'!$E$17+1,1))-AVERAGE(OFFSET($H$3,0,0,'Données projet'!$E$17+1,1))</f>
        <v>286.77702855541287</v>
      </c>
      <c r="GF93" s="59">
        <f t="shared" si="104"/>
        <v>227.12211541860779</v>
      </c>
      <c r="GG93" s="15">
        <f>IF(ISNA(VLOOKUP(A93,'Données projet'!$A$243:$I$263,3,0)),0,VLOOKUP(A93,'Données projet'!$A$243:$I$263,3,0))</f>
        <v>0</v>
      </c>
      <c r="GH93" s="15">
        <f>IF(ISNA(VLOOKUP(A93,'Données projet'!$A$243:$I$263,4,0)),0,VLOOKUP(A93,'Données projet'!$A$243:$I$263,4,0))</f>
        <v>0</v>
      </c>
      <c r="GI93" s="16">
        <f>IF(ISNA(VLOOKUP(A93,'Données projet'!$A$243:$I$263,5,0)),0%,VLOOKUP(A93,'Données projet'!$A$243:$I$263,5,0)*VLOOKUP('Données projet'!$B$17,Paramètres!$A$1:$I$89,7,0))</f>
        <v>0</v>
      </c>
      <c r="GJ93" s="16">
        <f>IF(ISNA(VLOOKUP(A93,'Données projet'!$A$243:$I$263,6,0)),0%,VLOOKUP(A93,'Données projet'!$A$243:$I$263,6,0)*VLOOKUP('Données projet'!$B$17,Paramètres!$A$1:$I$89,7,0))</f>
        <v>0</v>
      </c>
      <c r="GK93" s="16">
        <f>IF(ISNA(VLOOKUP(A93,'Données projet'!$A$243:$I$263,7,0)),0%,VLOOKUP(A93,'Données projet'!$A$243:$I$263,7,0))</f>
        <v>0</v>
      </c>
      <c r="GL93" s="21">
        <f>EXP(-LN(2)/35)*GL92+(1-EXP(-LN(2)/35))/(LN(2)/35)*GH93*GI93*VLOOKUP('Données projet'!$B$17,Paramètres!$A$1:$I$89,3,0)*0.475*44/12</f>
        <v>0</v>
      </c>
      <c r="GM93" s="21">
        <f>EXP(-LN(2)/25)*GM92+(1-EXP(-LN(2)/25))/(LN(2)/25)*Calculateur!GH93*Calculateur!GJ93*VLOOKUP('Données projet'!$B$17,Paramètres!$A$1:$I$89,3,0)*0.475*44/12</f>
        <v>0</v>
      </c>
      <c r="GN93" s="21">
        <f>EXP(-LN(2)/2)*GN92+(1-EXP(-LN(2)/2))/(LN(2)/2)*GH93*GK93*VLOOKUP('Données projet'!$B$17,Paramètres!$A$1:$I$89,3,0)*0.475*44/12</f>
        <v>0</v>
      </c>
      <c r="GO93" s="21">
        <f t="shared" si="81"/>
        <v>0</v>
      </c>
      <c r="GP93" s="75">
        <f>('Scénario référence'!$F$8+'Scénario référence'!$F$9+'Scénario référence'!$B$17+'Scénario référence'!$B$9+'Scénario référence'!$B$10)*70+IF((45+25*(1-EXP(-0.0175*A93)))&lt;70,'Scénario référence'!$B$16*(45+25*(1-EXP(-0.0175*A93))),70*'Scénario référence'!$B$16)+IF((32+38*(1-EXP(-0.0175*A93)))&lt;70,'Scénario référence'!$B$18*(32+38*(1-EXP(-0.0175*A93))),70*'Scénario référence'!$B$18)</f>
        <v>70</v>
      </c>
      <c r="GQ93" s="12">
        <f>IF(A93&gt;30,10,('Scénario référence'!$B$16+'Scénario référence'!$B$17+'Scénario référence'!$B$18+'Scénario référence'!$B$9+'Scénario référence'!$B$10)*A93*10/30+('Scénario référence'!$F$8+'Scénario référence'!$F$9)*10)</f>
        <v>10</v>
      </c>
      <c r="GR93" s="12" t="e">
        <f>VLOOKUP(A93,'Données projet'!$A$269:$I$289,2,0)</f>
        <v>#N/A</v>
      </c>
      <c r="GS93" s="12" t="e">
        <f>VLOOKUP(A93,'Données projet'!$A$269:$I$289,9,0)</f>
        <v>#N/A</v>
      </c>
      <c r="GT93" s="12">
        <f t="array" ref="GT93">INDEX(GS:GS,MIN(IF(ISNUMBER(GS93:GS289),ROW(GS93:GS289),"")))</f>
        <v>7.1782051282051267</v>
      </c>
      <c r="GU93" s="12">
        <f>IF('Données projet'!$A$270&gt;35,GU92+GT93-HC92,IF(A93&lt;'Données projet'!$A$270,$GR$205^A93,IF(A93='Données projet'!$A$270,'Données projet'!$B$270,GU92+GT93-HC92)))</f>
        <v>253.64615384615399</v>
      </c>
      <c r="GV93" s="17">
        <f>GU93*VLOOKUP('Données projet'!$B$18,Paramètres!$A$1:$I$89,3,0)*VLOOKUP('Données projet'!$B$18,Paramètres!$A$1:$I$89,5,0)</f>
        <v>273.02472000000017</v>
      </c>
      <c r="GW93" s="13">
        <f t="shared" si="105"/>
        <v>65.490774415169966</v>
      </c>
      <c r="GX93" s="20">
        <f t="shared" si="82"/>
        <v>589.58115277308787</v>
      </c>
      <c r="GY93" s="59">
        <f t="shared" si="83"/>
        <v>882.91448610642124</v>
      </c>
      <c r="GZ93" s="59">
        <f ca="1">AVERAGE(OFFSET($GY$3,0,0,'Données projet'!$E$18+1,1))-AVERAGE(OFFSET($H$3,0,0,'Données projet'!$E$18+1,1))</f>
        <v>286.77702855541287</v>
      </c>
      <c r="HA93" s="59">
        <f t="shared" si="106"/>
        <v>227.12211541860779</v>
      </c>
      <c r="HB93" s="15">
        <f>IF(ISNA(VLOOKUP(A93,'Données projet'!$A$269:$I$289,3,0)),0,VLOOKUP(A93,'Données projet'!$A$269:$I$289,3,0))</f>
        <v>0</v>
      </c>
      <c r="HC93" s="15">
        <f>IF(ISNA(VLOOKUP(A93,'Données projet'!$A$269:$I$289,4,0)),0,VLOOKUP(A93,'Données projet'!$A$269:$I$289,4,0))</f>
        <v>0</v>
      </c>
      <c r="HD93" s="16">
        <f>IF(ISNA(VLOOKUP(A93,'Données projet'!$A$269:$I$289,5,0)),0%,VLOOKUP(A93,'Données projet'!$A$269:$I$289,5,0)*VLOOKUP('Données projet'!$B$18,Paramètres!$A$1:$I$89,7,0))</f>
        <v>0</v>
      </c>
      <c r="HE93" s="16">
        <f>IF(ISNA(VLOOKUP(A93,'Données projet'!$A$269:$I$289,6,0)),0%,VLOOKUP(A93,'Données projet'!$A$269:$I$289,6,0)*VLOOKUP('Données projet'!$B$18,Paramètres!$A$1:$I$89,7,0))</f>
        <v>0</v>
      </c>
      <c r="HF93" s="16">
        <f>IF(ISNA(VLOOKUP(A93,'Données projet'!$A$269:$I$289,7,0)),0%,VLOOKUP(A93,'Données projet'!$A$269:$I$289,7,0))</f>
        <v>0</v>
      </c>
      <c r="HG93" s="21">
        <f>EXP(-LN(2)/35)*HG92+(1-EXP(-LN(2)/35))/(LN(2)/35)*HC93*HD93*VLOOKUP('Données projet'!$B$18,Paramètres!$A$1:$I$89,3,0)*0.475*44/12</f>
        <v>0</v>
      </c>
      <c r="HH93" s="21">
        <f>EXP(-LN(2)/25)*HH92+(1-EXP(-LN(2)/25))/(LN(2)/25)*Calculateur!HC93*Calculateur!HE93*VLOOKUP('Données projet'!$B$18,Paramètres!$A$1:$I$89,3,0)*0.475*44/12</f>
        <v>0</v>
      </c>
      <c r="HI93" s="21">
        <f>EXP(-LN(2)/2)*HI92+(1-EXP(-LN(2)/2))/(LN(2)/2)*HC93*HF93*VLOOKUP('Données projet'!$B$18,Paramètres!$A$1:$I$89,3,0)*0.475*44/12</f>
        <v>0</v>
      </c>
      <c r="HJ93" s="22">
        <f t="shared" si="84"/>
        <v>0</v>
      </c>
    </row>
    <row r="94" spans="1:218" x14ac:dyDescent="0.25">
      <c r="A94" s="10">
        <f t="shared" si="85"/>
        <v>91</v>
      </c>
      <c r="B94" s="73">
        <f>'Scénario référence'!$B$16*5+'Scénario référence'!$B$17*0+'Scénario référence'!$B$18*5</f>
        <v>0</v>
      </c>
      <c r="C94" s="19">
        <f>Calculateur!C93+'Scénario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80.917200000000122</v>
      </c>
      <c r="D94" s="11">
        <f t="shared" si="86"/>
        <v>22.361295290994477</v>
      </c>
      <c r="E9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94" s="11">
        <f>IF(OR('Scénario référence'!$F$8&gt;0,'Scénario référence'!$F$9&gt;0),('Scénario référence'!$F$8+'Scénario référence'!$F$9)*10,0)</f>
        <v>10</v>
      </c>
      <c r="G94" s="11">
        <f>'Scénario référence'!$B$8*B94*44/12+'Scénario référence'!$B$9*(C94+D94)/0.475*44/12+'Scénario référence'!$B$10*(C94+D94)/0.475*44/12+'Scénario référence'!$F$8*(C94+D94)/0.475*44/12+'Scénario référence'!$F$9*(C94+D94)/0.475*44/12</f>
        <v>797.23750750943202</v>
      </c>
      <c r="H94" s="67">
        <f t="shared" si="56"/>
        <v>473.21004596514888</v>
      </c>
      <c r="I94" s="70">
        <f>('Scénario référence'!$F$8+'Scénario référence'!$F$9+'Scénario référence'!$B$17+'Scénario référence'!$B$9+'Scénario référence'!$B$10)*70+IF((45+25*(1-EXP(-0.0175*A94)))&lt;70,'Scénario référence'!$B$16*(45+25*(1-EXP(-0.0175*A94))),70*'Scénario référence'!$B$16)+IF((32+38*(1-EXP(-0.0175*A94)))&lt;70,'Scénario référence'!$B$18*(32+38*(1-EXP(-0.0175*A94))),70*'Scénario référence'!$B$18)</f>
        <v>70</v>
      </c>
      <c r="J94" s="13">
        <f>IF(A94&gt;30,10,('Scénario référence'!$B$16+'Scénario référence'!$B$17+'Scénario référence'!$B$18+'Scénario référence'!$B$9+'Scénario référence'!$B$10)*A94*10/30+('Scénario référence'!$F$8+'Scénario référence'!$F$9)*10)</f>
        <v>10</v>
      </c>
      <c r="K94" s="12" t="e">
        <f>VLOOKUP(A94,'Données projet'!$A$35:$I$55,2,0)</f>
        <v>#N/A</v>
      </c>
      <c r="L94" s="12" t="e">
        <f>VLOOKUP(A94,'Données projet'!$A$35:$I$55,9,0)</f>
        <v>#N/A</v>
      </c>
      <c r="M94" s="12">
        <f t="array" ref="M94">INDEX(L:L,MIN(IF(ISNUMBER(L94:L290),ROW(L94:L290),"")))</f>
        <v>0</v>
      </c>
      <c r="N94" s="13">
        <f>IF('Données projet'!$A$36&gt;35,N93+M94-V93,IF(A94&lt;'Données projet'!$A$36,$K$205^A94,IF(A94='Données projet'!$A$36,'Données projet'!$B$36,N93+M94-V93)))</f>
        <v>-2.2737367544323206E-13</v>
      </c>
      <c r="O94" s="13">
        <f>N94*VLOOKUP('Données projet'!$B$9,Paramètres!$A$1:$I$89,3,0)*VLOOKUP('Données projet'!$B$9,Paramètres!$A$1:$I$89,5,0)</f>
        <v>-1.2710188457276673E-13</v>
      </c>
      <c r="P94" s="13" t="e">
        <f t="shared" si="87"/>
        <v>#NUM!</v>
      </c>
      <c r="Q94" s="20" t="e">
        <f t="shared" si="54"/>
        <v>#NUM!</v>
      </c>
      <c r="R94" s="59" t="e">
        <f t="shared" si="55"/>
        <v>#NUM!</v>
      </c>
      <c r="S94" s="59">
        <f ca="1">AVERAGE(OFFSET($R$3,0,0,'Données projet'!$E$9+1,1))-AVERAGE(OFFSET($H$3,0,0,'Données projet'!$E$9+1,1))</f>
        <v>255.5374979188561</v>
      </c>
      <c r="T94" s="59">
        <f t="shared" si="88"/>
        <v>343.10418468620901</v>
      </c>
      <c r="U94" s="15">
        <f>IF(ISNA(VLOOKUP(A94,'Données projet'!$A$35:$I$55,3,0)),0,VLOOKUP(A94,'Données projet'!$A$35:$I$55,3,0))</f>
        <v>0</v>
      </c>
      <c r="V94" s="15">
        <f>IF(ISNA(VLOOKUP(A94,'Données projet'!$A$35:$I$55,4,0)),0,VLOOKUP(A94,'Données projet'!$A$35:$I$55,4,0))</f>
        <v>0</v>
      </c>
      <c r="W94" s="16">
        <f>IF(ISNA(VLOOKUP(A94,'Données projet'!$A$35:$I$55,5,0)),0%,VLOOKUP(A94,'Données projet'!$A$35:$I$55,5,0)*VLOOKUP('Données projet'!$B$9,Paramètres!$A$1:$I$89,7,0))</f>
        <v>0</v>
      </c>
      <c r="X94" s="16">
        <f>IF(ISNA(VLOOKUP(A94,'Données projet'!$A$35:$I$55,6,0)),0%,VLOOKUP(A94,'Données projet'!$A$35:$I$55,6,0)*VLOOKUP('Données projet'!$B$9,Paramètres!$A$1:$I$89,7,0))</f>
        <v>0</v>
      </c>
      <c r="Y94" s="16">
        <f>IF(ISNA(VLOOKUP(A94,'Données projet'!$A$35:$I$55,7,0)),0%,VLOOKUP(A94,'Données projet'!$A$35:$I$55,7,0))</f>
        <v>0</v>
      </c>
      <c r="Z94" s="21">
        <f>EXP(-LN(2)/35)*Z93+(1-EXP(-LN(2)/35))/(LN(2)/35)*V94*W94*VLOOKUP('Données projet'!$B$9,Paramètres!$A$1:$I$89,3,0)*0.475*44/12</f>
        <v>0.92323432365387614</v>
      </c>
      <c r="AA94" s="21">
        <f>EXP(-LN(2)/25)*AA93+(1-EXP(-LN(2)/25))/(LN(2)/25)*Calculateur!V94*Calculateur!X94*VLOOKUP('Données projet'!$B$9,Paramètres!$A$1:$I$89,3,0)*0.475*44/12</f>
        <v>2.9412148419679238</v>
      </c>
      <c r="AB94" s="21">
        <f>EXP(-LN(2)/2)*AB93+(1-EXP(-LN(2)/2))/(LN(2)/2)*V94*Y94*VLOOKUP('Données projet'!$B$9,Paramètres!$A$1:$I$89,3,0)*0.475*44/12</f>
        <v>1.1146867308500045E-9</v>
      </c>
      <c r="AC94" s="22">
        <f t="shared" si="57"/>
        <v>3.8644491667364864</v>
      </c>
      <c r="AD94" s="13">
        <f>('Scénario référence'!$F$8+'Scénario référence'!$F$9+'Scénario référence'!$B$17+'Scénario référence'!$B$9+'Scénario référence'!$B$10)*70+IF((45+25*(1-EXP(-0.0175*A94)))&lt;70,'Scénario référence'!$B$16*(45+25*(1-EXP(-0.0175*A94))),70*'Scénario référence'!$B$16)+IF((32+38*(1-EXP(-0.0175*A94)))&lt;70,'Scénario référence'!$B$18*(32+38*(1-EXP(-0.0175*A94))),70*'Scénario référence'!$B$18)</f>
        <v>70</v>
      </c>
      <c r="AE94" s="13">
        <f>IF(A94&gt;30,10,('Scénario référence'!$B$16+'Scénario référence'!$B$17+'Scénario référence'!$B$18+'Scénario référence'!$B$9+'Scénario référence'!$B$10)*A94*10/30+('Scénario référence'!$F$8+'Scénario référence'!$F$9)*10)</f>
        <v>10</v>
      </c>
      <c r="AF94" s="12" t="e">
        <f>VLOOKUP(A94,'Données projet'!$A$61:$I$81,2,0)</f>
        <v>#N/A</v>
      </c>
      <c r="AG94" s="12" t="e">
        <f>VLOOKUP(A94,'Données projet'!$A$61:$I$81,9,0)</f>
        <v>#N/A</v>
      </c>
      <c r="AH94" s="12">
        <f t="array" ref="AH94">INDEX(AG:AG,MIN(IF(ISNUMBER(AG94:AG290),ROW(AG94:AG290),"")))</f>
        <v>0</v>
      </c>
      <c r="AI94" s="13">
        <f>IF('Données projet'!$A$62&gt;35,AI93+AH94-AQ93,IF(A94&lt;'Données projet'!$A$62,$AF$205^A94,IF(A94='Données projet'!$A$62,'Données projet'!$B$62,AI93+AH94-AQ93)))</f>
        <v>0</v>
      </c>
      <c r="AJ94" s="13">
        <f>AI94*VLOOKUP('Données projet'!$B$10,Paramètres!$A$1:$I$89,3,0)*VLOOKUP('Données projet'!$B$10,Paramètres!$A$1:$I$89,5,0)</f>
        <v>0</v>
      </c>
      <c r="AK94" s="13" t="e">
        <f t="shared" si="89"/>
        <v>#NUM!</v>
      </c>
      <c r="AL94" s="20" t="e">
        <f t="shared" si="58"/>
        <v>#NUM!</v>
      </c>
      <c r="AM94" s="59" t="e">
        <f t="shared" si="59"/>
        <v>#NUM!</v>
      </c>
      <c r="AN94" s="59">
        <f ca="1">AVERAGE(OFFSET($AM$3,0,0,'Données projet'!$E$10+1,1))-AVERAGE(OFFSET($H$3,0,0,'Données projet'!$E$10+1,1))</f>
        <v>261.78489480911571</v>
      </c>
      <c r="AO94" s="59">
        <f t="shared" si="90"/>
        <v>297.50513563712764</v>
      </c>
      <c r="AP94" s="15">
        <f>IF(ISNA(VLOOKUP(A94,'Données projet'!$A$61:$I$81,3,0)),0,VLOOKUP(A94,'Données projet'!$A$61:$I$81,3,0))</f>
        <v>0</v>
      </c>
      <c r="AQ94" s="15">
        <f>IF(ISNA(VLOOKUP(A94,'Données projet'!$A$61:$I$81,4,0)),0,VLOOKUP(A94,'Données projet'!$A$61:$I$81,4,0))</f>
        <v>0</v>
      </c>
      <c r="AR94" s="16">
        <f>IF(ISNA(VLOOKUP(A94,'Données projet'!$A$61:$I$81,5,0)),0%,VLOOKUP(A94,'Données projet'!$A$61:$I$81,5,0)*VLOOKUP('Données projet'!$B$10,Paramètres!$A$1:$I$89,7,0))</f>
        <v>0</v>
      </c>
      <c r="AS94" s="16">
        <f>IF(ISNA(VLOOKUP(A94,'Données projet'!$A$61:$I$81,6,0)),0%,VLOOKUP(A94,'Données projet'!$A$61:$I$81,6,0)*VLOOKUP('Données projet'!$B$10,Paramètres!$A$1:$I$89,7,0))</f>
        <v>0</v>
      </c>
      <c r="AT94" s="16">
        <f>IF(ISNA(VLOOKUP(A94,'Données projet'!$A$61:$I$81,7,0)),0%,VLOOKUP(A94,'Données projet'!$A$61:$I$81,7,0))</f>
        <v>0</v>
      </c>
      <c r="AU94" s="21">
        <f>EXP(-LN(2)/35)*AU93+(1-EXP(-LN(2)/35))/(LN(2)/35)*AQ94*AR94*VLOOKUP('Données projet'!$B$10,Paramètres!$A$1:$I$89,3,0)*0.475*44/12</f>
        <v>2.4929938094414057</v>
      </c>
      <c r="AV94" s="21">
        <f>EXP(-LN(2)/25)*AV93+(1-EXP(-LN(2)/25))/(LN(2)/25)*Calculateur!AQ94*Calculateur!AS94*VLOOKUP('Données projet'!$B$10,Paramètres!$A$1:$I$89,3,0)*0.475*44/12</f>
        <v>5.1359610068276238</v>
      </c>
      <c r="AW94" s="21">
        <f>EXP(-LN(2)/2)*AW93+(1-EXP(-LN(2)/2))/(LN(2)/2)*AQ94*AT94*VLOOKUP('Données projet'!$B$10,Paramètres!$A$1:$I$89,3,0)*0.475*44/12</f>
        <v>1.6069270411449923E-8</v>
      </c>
      <c r="AX94" s="21">
        <f t="shared" si="60"/>
        <v>7.6289548323382999</v>
      </c>
      <c r="AY94" s="74">
        <f>('Scénario référence'!$F$8+'Scénario référence'!$F$9+'Scénario référence'!$B$17+'Scénario référence'!$B$9+'Scénario référence'!$B$10)*70+IF((45+25*(1-EXP(-0.0175*A94)))&lt;70,'Scénario référence'!$B$16*(45+25*(1-EXP(-0.0175*A94))),70*'Scénario référence'!$B$16)+IF((32+38*(1-EXP(-0.0175*A94)))&lt;70,'Scénario référence'!$B$18*(32+38*(1-EXP(-0.0175*A94))),70*'Scénario référence'!$B$18)</f>
        <v>70</v>
      </c>
      <c r="AZ94" s="12">
        <f>IF(A94&gt;30,10,('Scénario référence'!$B$16+'Scénario référence'!$B$17+'Scénario référence'!$B$18+'Scénario référence'!$B$9+'Scénario référence'!$B$10)*A94*10/30+('Scénario référence'!$F$8+'Scénario référence'!$F$9)*10)</f>
        <v>10</v>
      </c>
      <c r="BA94" s="12" t="e">
        <f>VLOOKUP(A94,'Données projet'!$A$87:$I$107,2,0)</f>
        <v>#N/A</v>
      </c>
      <c r="BB94" s="12" t="e">
        <f>VLOOKUP(A94,'Données projet'!$A$87:$I$107,9,0)</f>
        <v>#N/A</v>
      </c>
      <c r="BC94" s="12">
        <f t="array" ref="BC94">INDEX(BB:BB,MIN(IF(ISNUMBER(BB94:BB290),ROW(BB94:BB290),"")))</f>
        <v>0</v>
      </c>
      <c r="BD94" s="12">
        <f>IF('Données projet'!$A$88&gt;35,BD93+BC94-BL93,IF(A94&lt;'Données projet'!$A$88,$BA$205^A94,IF(A94='Données projet'!$A$88,'Données projet'!$B$88,BD93+BC94-BL93)))</f>
        <v>553.99999999999955</v>
      </c>
      <c r="BE94" s="13">
        <f>BD94*VLOOKUP('Données projet'!$B$11,Paramètres!$A$1:$I$89,3,0)*VLOOKUP('Données projet'!$B$11,Paramètres!$A$1:$I$89,5,0)</f>
        <v>331.29199999999975</v>
      </c>
      <c r="BF94" s="13">
        <f t="shared" si="91"/>
        <v>77.698110787752</v>
      </c>
      <c r="BG94" s="20">
        <f t="shared" si="61"/>
        <v>712.32444295533423</v>
      </c>
      <c r="BH94" s="59">
        <f t="shared" si="62"/>
        <v>1005.6577762886675</v>
      </c>
      <c r="BI94" s="59">
        <f ca="1">AVERAGE(OFFSET($BH$3,0,0,'Données projet'!$E$11+1,1))-AVERAGE(OFFSET($H$3,0,0,'Données projet'!$E$11+1,1))</f>
        <v>316.58509520829671</v>
      </c>
      <c r="BJ94" s="59">
        <f t="shared" si="92"/>
        <v>240.71332110643596</v>
      </c>
      <c r="BK94" s="15">
        <f>IF(ISNA(VLOOKUP(A94,'Données projet'!$A$87:$I$107,3,0)),0,VLOOKUP(A94,'Données projet'!$A$87:$I$107,3,0))</f>
        <v>0</v>
      </c>
      <c r="BL94" s="15">
        <f>IF(ISNA(VLOOKUP(A94,'Données projet'!$A$87:$I$107,4,0)),0,VLOOKUP(A94,'Données projet'!$A$87:$I$107,4,0))</f>
        <v>0</v>
      </c>
      <c r="BM94" s="16">
        <f>IF(ISNA(VLOOKUP(A94,'Données projet'!$A$87:$I$107,5,0)),0%,VLOOKUP(A94,'Données projet'!$A$87:$I$107,5,0)*VLOOKUP('Données projet'!$B$11,Paramètres!$A$1:$I$89,7,0))</f>
        <v>0</v>
      </c>
      <c r="BN94" s="16">
        <f>IF(ISNA(VLOOKUP(A94,'Données projet'!$A$87:$I$107,6,0)),0%,VLOOKUP(A94,'Données projet'!$A$87:$I$107,6,0)*VLOOKUP('Données projet'!$B$11,Paramètres!$A$1:$I$89,7,0))</f>
        <v>0</v>
      </c>
      <c r="BO94" s="16">
        <f>IF(ISNA(VLOOKUP(A94,'Données projet'!$A$87:$I$107,7,0)),0%,VLOOKUP(A94,'Données projet'!$A$87:$I$107,7,0))</f>
        <v>0</v>
      </c>
      <c r="BP94" s="21">
        <f>EXP(-LN(2)/35)*BP93+(1-EXP(-LN(2)/35))/(LN(2)/35)*BL94*BM94*VLOOKUP('Données projet'!$B$11,Paramètres!$A$1:$I$89,3,0)*0.475*44/12</f>
        <v>0.75726541867890917</v>
      </c>
      <c r="BQ94" s="21">
        <f>EXP(-LN(2)/25)*BQ93+(1-EXP(-LN(2)/25))/(LN(2)/25)*Calculateur!BL94*Calculateur!BN94*VLOOKUP('Données projet'!$B$11,Paramètres!$A$1:$I$89,3,0)*0.475*44/12</f>
        <v>2.8136292970037857</v>
      </c>
      <c r="BR94" s="21">
        <f>EXP(-LN(2)/2)*BR93+(1-EXP(-LN(2)/2))/(LN(2)/2)*BL94*BO94*VLOOKUP('Données projet'!$B$11,Paramètres!$A$1:$I$89,3,0)*0.475*44/12</f>
        <v>1.4448033887590015E-8</v>
      </c>
      <c r="BS94" s="22">
        <f t="shared" si="63"/>
        <v>3.5708947301307288</v>
      </c>
      <c r="BT94" s="75">
        <f>('Scénario référence'!$F$8+'Scénario référence'!$F$9+'Scénario référence'!$B$17+'Scénario référence'!$B$9+'Scénario référence'!$B$10)*70+IF((45+25*(1-EXP(-0.0175*A94)))&lt;70,'Scénario référence'!$B$16*(45+25*(1-EXP(-0.0175*A94))),70*'Scénario référence'!$B$16)+IF((32+38*(1-EXP(-0.0175*A94)))&lt;70,'Scénario référence'!$B$18*(32+38*(1-EXP(-0.0175*A94))),70*'Scénario référence'!$B$18)</f>
        <v>70</v>
      </c>
      <c r="BU94" s="12">
        <f>IF(A94&gt;30,10,('Scénario référence'!$B$16+'Scénario référence'!$B$17+'Scénario référence'!$B$18+'Scénario référence'!$B$9+'Scénario référence'!$B$10)*A94*10/30+('Scénario référence'!$F$8+'Scénario référence'!$F$9)*10)</f>
        <v>10</v>
      </c>
      <c r="BV94" s="12" t="e">
        <f>VLOOKUP(A94,'Données projet'!$A$113:$I$133,2,0)</f>
        <v>#N/A</v>
      </c>
      <c r="BW94" s="12" t="e">
        <f>VLOOKUP(A94,'Données projet'!$A$113:$I$133,9,0)</f>
        <v>#N/A</v>
      </c>
      <c r="BX94" s="12">
        <f t="array" ref="BX94">INDEX(BW:BW,MIN(IF(ISNUMBER(BW94:BW290),ROW(BW94:BW290),"")))</f>
        <v>3.5</v>
      </c>
      <c r="BY94" s="12">
        <f>IF('Données projet'!$A$114&gt;35,BY93+BX94-CG93,IF(A94&lt;'Données projet'!$A$114,$BV$205^A94,IF(A94='Données projet'!$A$114,'Données projet'!$B$114,BY93+BX94-CG93)))</f>
        <v>329.49999999999977</v>
      </c>
      <c r="BZ94" s="13">
        <f>BY94*VLOOKUP('Données projet'!$B$12,Paramètres!$A$1:$I$89,3,0)*VLOOKUP('Données projet'!$B$12,Paramètres!$A$1:$I$89,5,0)</f>
        <v>188.47399999999988</v>
      </c>
      <c r="CA94" s="13">
        <f t="shared" si="93"/>
        <v>47.202417741581009</v>
      </c>
      <c r="CB94" s="20">
        <f t="shared" si="64"/>
        <v>410.46976089992</v>
      </c>
      <c r="CC94" s="59">
        <f t="shared" si="65"/>
        <v>703.80309423325332</v>
      </c>
      <c r="CD94" s="59">
        <f ca="1">AVERAGE(OFFSET($CC$3,0,0,'Données projet'!$E$12+1,1))-AVERAGE(OFFSET($H$3,0,0,'Données projet'!$E$12+1,1))</f>
        <v>188.64374818906128</v>
      </c>
      <c r="CE94" s="59">
        <f t="shared" si="94"/>
        <v>211.95157880548652</v>
      </c>
      <c r="CF94" s="15">
        <f>IF(ISNA(VLOOKUP(A94,'Données projet'!$A$113:$I$133,3,0)),0,VLOOKUP(A94,'Données projet'!$A$113:$I$133,3,0))</f>
        <v>0</v>
      </c>
      <c r="CG94" s="15">
        <f>IF(ISNA(VLOOKUP(A94,'Données projet'!$A$113:$I$133,4,0)),0,VLOOKUP(A94,'Données projet'!$A$113:$I$133,4,0))</f>
        <v>0</v>
      </c>
      <c r="CH94" s="16">
        <f>IF(ISNA(VLOOKUP(A94,'Données projet'!$A$113:$I$133,5,0)),0%,VLOOKUP(A94,'Données projet'!$A$113:$I$133,5,0)*VLOOKUP('Données projet'!$B$12,Paramètres!$A$1:$I$89,7,0))</f>
        <v>0</v>
      </c>
      <c r="CI94" s="16">
        <f>IF(ISNA(VLOOKUP(A94,'Données projet'!$A$113:$I$133,6,0)),0%,VLOOKUP(A94,'Données projet'!$A$113:$I$133,6,0)*VLOOKUP('Données projet'!$B$12,Paramètres!$A$1:$I$89,7,0))</f>
        <v>0</v>
      </c>
      <c r="CJ94" s="16">
        <f>IF(ISNA(VLOOKUP(A94,'Données projet'!$A$113:$I$133,7,0)),0%,VLOOKUP(A94,'Données projet'!$A$113:$I$133,7,0))</f>
        <v>0</v>
      </c>
      <c r="CK94" s="21">
        <f>EXP(-LN(2)/35)*CK93+(1-EXP(-LN(2)/35))/(LN(2)/35)*CG94*CH94*VLOOKUP('Données projet'!$B$12,Paramètres!$A$1:$I$89,3,0)*0.475*44/12</f>
        <v>0.734542818853271</v>
      </c>
      <c r="CL94" s="21">
        <f>EXP(-LN(2)/25)*CL93+(1-EXP(-LN(2)/25))/(LN(2)/25)*Calculateur!CG94*Calculateur!CI94*VLOOKUP('Données projet'!$B$12,Paramètres!$A$1:$I$89,3,0)*0.475*44/12</f>
        <v>2.6482515998669016</v>
      </c>
      <c r="CM94" s="21">
        <f>EXP(-LN(2)/2)*CM93+(1-EXP(-LN(2)/2))/(LN(2)/2)*CG94*CJ94*VLOOKUP('Données projet'!$B$12,Paramètres!$A$1:$I$89,3,0)*0.475*44/12</f>
        <v>1.3991790389171033E-8</v>
      </c>
      <c r="CN94" s="22">
        <f t="shared" si="66"/>
        <v>3.3827944327119632</v>
      </c>
      <c r="CO94" s="75">
        <f>('Scénario référence'!$F$8+'Scénario référence'!$F$9+'Scénario référence'!$B$17+'Scénario référence'!$B$9+'Scénario référence'!$B$10)*70+IF((45+25*(1-EXP(-0.0175*A94)))&lt;70,'Scénario référence'!$B$16*(45+25*(1-EXP(-0.0175*A94))),70*'Scénario référence'!$B$16)+IF((32+38*(1-EXP(-0.0175*A94)))&lt;70,'Scénario référence'!$B$18*(32+38*(1-EXP(-0.0175*A94))),70*'Scénario référence'!$B$18)</f>
        <v>70</v>
      </c>
      <c r="CP94" s="12">
        <f>IF(A94&gt;30,10,('Scénario référence'!$B$16+'Scénario référence'!$B$17+'Scénario référence'!$B$18+'Scénario référence'!$B$9+'Scénario référence'!$B$10)*A94*10/30+('Scénario référence'!$F$8+'Scénario référence'!$F$9)*10)</f>
        <v>10</v>
      </c>
      <c r="CQ94" s="12" t="e">
        <f>VLOOKUP(A94,'Données projet'!$A$139:$I$159,2,0)</f>
        <v>#N/A</v>
      </c>
      <c r="CR94" s="12" t="e">
        <f>VLOOKUP(A94,'Données projet'!$A$139:$I$159,9,0)</f>
        <v>#N/A</v>
      </c>
      <c r="CS94" s="12">
        <f t="array" ref="CS94">INDEX(CR:CR,MIN(IF(ISNUMBER(CR94:CR290),ROW(CR94:CR290),"")))</f>
        <v>0</v>
      </c>
      <c r="CT94" s="12">
        <f>IF('Données projet'!$A$140&gt;35,CT93+CS94-DB93,IF(A94&lt;'Données projet'!$A$140,$CQ$205^A94,IF(A94='Données projet'!$A$140,'Données projet'!$B$140,CT93+CS94-DB93)))</f>
        <v>0</v>
      </c>
      <c r="CU94" s="17" t="e">
        <f>CT94*VLOOKUP('Données projet'!$B$13,Paramètres!$A$1:$I$89,3,0)*VLOOKUP('Données projet'!$B$13,Paramètres!$A$1:$I$89,5,0)</f>
        <v>#N/A</v>
      </c>
      <c r="CV94" s="13" t="e">
        <f t="shared" si="95"/>
        <v>#N/A</v>
      </c>
      <c r="CW94" s="20" t="e">
        <f t="shared" si="67"/>
        <v>#N/A</v>
      </c>
      <c r="CX94" s="59" t="e">
        <f t="shared" si="68"/>
        <v>#N/A</v>
      </c>
      <c r="CY94" s="59" t="e">
        <f ca="1">AVERAGE(OFFSET($CX$3,0,0,'Données projet'!$E$13+1,1))-AVERAGE(OFFSET($H$3,0,0,'Données projet'!$E$13+1,1))</f>
        <v>#N/A</v>
      </c>
      <c r="CZ94" s="59" t="e">
        <f t="shared" si="96"/>
        <v>#N/A</v>
      </c>
      <c r="DA94" s="15">
        <f>IF(ISNA(VLOOKUP(A94,'Données projet'!$A$139:$I$159,3,0)),0,VLOOKUP(A94,'Données projet'!$A$139:$I$159,3,0))</f>
        <v>0</v>
      </c>
      <c r="DB94" s="15">
        <f>IF(ISNA(VLOOKUP(A94,'Données projet'!$A$139:$I$159,4,0)),0,VLOOKUP(A94,'Données projet'!$A$139:$I$159,4,0))</f>
        <v>0</v>
      </c>
      <c r="DC94" s="16">
        <f>IF(ISNA(VLOOKUP(A94,'Données projet'!$A$139:$I$159,5,0)),0%,VLOOKUP(A94,'Données projet'!$A$139:$I$159,5,0)*VLOOKUP('Données projet'!$B$13,Paramètres!$A$1:$I$89,7,0))</f>
        <v>0</v>
      </c>
      <c r="DD94" s="16">
        <f>IF(ISNA(VLOOKUP(A94,'Données projet'!$A$139:$I$159,6,0)),0%,VLOOKUP(A94,'Données projet'!$A$139:$I$159,6,0)*VLOOKUP('Données projet'!$B$13,Paramètres!$A$1:$I$89,7,0))</f>
        <v>0</v>
      </c>
      <c r="DE94" s="16">
        <f>IF(ISNA(VLOOKUP(A94,'Données projet'!$A$139:$I$159,7,0)),0%,VLOOKUP(A94,'Données projet'!$A$139:$I$159,7,0))</f>
        <v>0</v>
      </c>
      <c r="DF94" s="21" t="e">
        <f>EXP(-LN(2)/35)*DF93+(1-EXP(-LN(2)/35))/(LN(2)/35)*DB94*DC94*VLOOKUP('Données projet'!$B$13,Paramètres!$A$1:$I$89,3,0)*0.475*44/12</f>
        <v>#N/A</v>
      </c>
      <c r="DG94" s="21" t="e">
        <f>EXP(-LN(2)/25)*DG93+(1-EXP(-LN(2)/25))/(LN(2)/25)*Calculateur!DB94*Calculateur!DD94*VLOOKUP('Données projet'!$B$13,Paramètres!$A$1:$I$89,3,0)*0.475*44/12</f>
        <v>#N/A</v>
      </c>
      <c r="DH94" s="21" t="e">
        <f>EXP(-LN(2)/2)*DH93+(1-EXP(-LN(2)/2))/(LN(2)/2)*DB94*DE94*VLOOKUP('Données projet'!$B$13,Paramètres!$A$1:$I$89,3,0)*0.475*44/12</f>
        <v>#N/A</v>
      </c>
      <c r="DI94" s="22" t="e">
        <f t="shared" si="69"/>
        <v>#N/A</v>
      </c>
      <c r="DJ94" s="75">
        <f>('Scénario référence'!$F$8+'Scénario référence'!$F$9+'Scénario référence'!$B$17+'Scénario référence'!$B$9+'Scénario référence'!$B$10)*70+IF((45+25*(1-EXP(-0.0175*A94)))&lt;70,'Scénario référence'!$B$16*(45+25*(1-EXP(-0.0175*A94))),70*'Scénario référence'!$B$16)+IF((32+38*(1-EXP(-0.0175*A94)))&lt;70,'Scénario référence'!$B$18*(32+38*(1-EXP(-0.0175*A94))),70*'Scénario référence'!$B$18)</f>
        <v>70</v>
      </c>
      <c r="DK94" s="12">
        <f>IF(A94&gt;30,10,('Scénario référence'!$B$16+'Scénario référence'!$B$17+'Scénario référence'!$B$18+'Scénario référence'!$B$9+'Scénario référence'!$B$10)*A94*10/30+('Scénario référence'!$F$8+'Scénario référence'!$F$9)*10)</f>
        <v>10</v>
      </c>
      <c r="DL94" s="12" t="e">
        <f>VLOOKUP(A94,'Données projet'!$A$165:$I$185,2,0)</f>
        <v>#N/A</v>
      </c>
      <c r="DM94" s="12" t="e">
        <f>VLOOKUP(A94,'Données projet'!$A$165:$I$185,9,0)</f>
        <v>#N/A</v>
      </c>
      <c r="DN94" s="12">
        <f t="array" ref="DN94">INDEX(DM:DM,MIN(IF(ISNUMBER(DM94:DM290),ROW(DM94:DM290),"")))</f>
        <v>0</v>
      </c>
      <c r="DO94" s="12">
        <f>IF('Données projet'!$A$166&gt;35,DO93+DN94-DW93,IF(A94&lt;'Données projet'!$A$166,$DL$205^A94,IF(A94='Données projet'!$A$166,'Données projet'!$B$166,DO93+DN94-DW93)))</f>
        <v>268.00000000000017</v>
      </c>
      <c r="DP94" s="17">
        <f>DO94*VLOOKUP('Données projet'!$B$14,Paramètres!$A$1:$I$89,3,0)*VLOOKUP('Données projet'!$B$14,Paramètres!$A$1:$I$89,5,0)</f>
        <v>175.59360000000012</v>
      </c>
      <c r="DQ94" s="13">
        <f t="shared" si="97"/>
        <v>44.340433728638573</v>
      </c>
      <c r="DR94" s="20">
        <f t="shared" si="70"/>
        <v>383.05177541071242</v>
      </c>
      <c r="DS94" s="59">
        <f t="shared" si="71"/>
        <v>676.38510874404574</v>
      </c>
      <c r="DT94" s="59">
        <f ca="1">AVERAGE(OFFSET($DS$3,0,0,'Données projet'!$E$14+1,1))-AVERAGE(OFFSET($H$3,0,0,'Données projet'!$E$14+1,1))</f>
        <v>188.68915783955595</v>
      </c>
      <c r="DU94" s="59">
        <f t="shared" si="98"/>
        <v>240.82467772396944</v>
      </c>
      <c r="DV94" s="15">
        <f>IF(ISNA(VLOOKUP(A94,'Données projet'!$A$165:$I$185,3,0)),0,VLOOKUP(A94,'Données projet'!$A$165:$I$185,3,0))</f>
        <v>0</v>
      </c>
      <c r="DW94" s="15">
        <f>IF(ISNA(VLOOKUP(A94,'Données projet'!$A$165:$I$185,4,0)),0,VLOOKUP(A94,'Données projet'!$A$165:$I$185,4,0))</f>
        <v>0</v>
      </c>
      <c r="DX94" s="16">
        <f>IF(ISNA(VLOOKUP(A94,'Données projet'!$A$165:$I$185,5,0)),0%,VLOOKUP(A94,'Données projet'!$A$165:$I$185,5,0)*VLOOKUP('Données projet'!$B$14,Paramètres!$A$1:$I$89,7,0))</f>
        <v>0</v>
      </c>
      <c r="DY94" s="16">
        <f>IF(ISNA(VLOOKUP(A94,'Données projet'!$A$165:$I$185,6,0)),0%,VLOOKUP(A94,'Données projet'!$A$165:$I$185,6,0)*VLOOKUP('Données projet'!$B$14,Paramètres!$A$1:$I$89,7,0))</f>
        <v>0</v>
      </c>
      <c r="DZ94" s="16">
        <f>IF(ISNA(VLOOKUP(A94,'Données projet'!$A$165:$I$185,7,0)),0%,VLOOKUP(A94,'Données projet'!$A$165:$I$185,7,0))</f>
        <v>0</v>
      </c>
      <c r="EA94" s="21">
        <f>EXP(-LN(2)/35)*EA93+(1-EXP(-LN(2)/35))/(LN(2)/35)*DW94*DX94*VLOOKUP('Données projet'!$B$14,Paramètres!$A$1:$I$89,3,0)*0.475*44/12</f>
        <v>0.46527228214401212</v>
      </c>
      <c r="EB94" s="21">
        <f>EXP(-LN(2)/25)*EB93+(1-EXP(-LN(2)/25))/(LN(2)/25)*Calculateur!DW94*Calculateur!DY94*VLOOKUP('Données projet'!$B$14,Paramètres!$A$1:$I$89,3,0)*0.475*44/12</f>
        <v>1.4812773850350063</v>
      </c>
      <c r="EC94" s="21">
        <f>EXP(-LN(2)/2)*EC93+(1-EXP(-LN(2)/2))/(LN(2)/2)*DW94*DZ94*VLOOKUP('Données projet'!$B$14,Paramètres!$A$1:$I$89,3,0)*0.475*44/12</f>
        <v>9.2172576108021484E-9</v>
      </c>
      <c r="ED94" s="22">
        <f t="shared" si="72"/>
        <v>1.946549676396276</v>
      </c>
      <c r="EE94" s="75">
        <f>('Scénario référence'!$F$8+'Scénario référence'!$F$9+'Scénario référence'!$B$17+'Scénario référence'!$B$9+'Scénario référence'!$B$10)*70+IF((45+25*(1-EXP(-0.0175*A94)))&lt;70,'Scénario référence'!$B$16*(45+25*(1-EXP(-0.0175*A94))),70*'Scénario référence'!$B$16)+IF((32+38*(1-EXP(-0.0175*A94)))&lt;70,'Scénario référence'!$B$18*(32+38*(1-EXP(-0.0175*A94))),70*'Scénario référence'!$B$18)</f>
        <v>70</v>
      </c>
      <c r="EF94" s="12">
        <f>IF(A94&gt;30,10,('Scénario référence'!$B$16+'Scénario référence'!$B$17+'Scénario référence'!$B$18+'Scénario référence'!$B$9+'Scénario référence'!$B$10)*A94*10/30+('Scénario référence'!$F$8+'Scénario référence'!$F$9)*10)</f>
        <v>10</v>
      </c>
      <c r="EG94" s="12" t="e">
        <f>VLOOKUP(A94,'Données projet'!$A$191:$I$211,2,0)</f>
        <v>#N/A</v>
      </c>
      <c r="EH94" s="12" t="e">
        <f>VLOOKUP(A94,'Données projet'!$A$191:$I$211,9,0)</f>
        <v>#N/A</v>
      </c>
      <c r="EI94" s="12">
        <f t="array" ref="EI94">INDEX(EH:EH,MIN(IF(ISNUMBER(EH94:EH290),ROW(EH94:EH290),"")))</f>
        <v>0</v>
      </c>
      <c r="EJ94" s="12">
        <f>IF('Données projet'!$A$192&gt;35,EJ93+EI94-ER93,IF(A94&lt;'Données projet'!$A$192,$EG$205^A94,IF(A94='Données projet'!$A$192,'Données projet'!$B$192,EJ93+EI94-ER93)))</f>
        <v>275.99999999999972</v>
      </c>
      <c r="EK94" s="17">
        <f>EJ94*VLOOKUP('Données projet'!$B$15,Paramètres!$A$1:$I$89,3,0)*VLOOKUP('Données projet'!$B$15,Paramètres!$A$1:$I$89,5,0)</f>
        <v>223.8911999999998</v>
      </c>
      <c r="EL94" s="13">
        <f t="shared" si="99"/>
        <v>54.95975389514858</v>
      </c>
      <c r="EM94" s="20">
        <f t="shared" si="73"/>
        <v>485.66541136738346</v>
      </c>
      <c r="EN94" s="59">
        <f t="shared" si="74"/>
        <v>778.99874470071677</v>
      </c>
      <c r="EO94" s="59">
        <f ca="1">AVERAGE(OFFSET($EN$3,0,0,'Données projet'!$E$15+1,1))-AVERAGE(OFFSET($H$3,0,0,'Données projet'!$E$15+1,1))</f>
        <v>205.5272583787887</v>
      </c>
      <c r="EP94" s="59">
        <f t="shared" si="100"/>
        <v>180.54762778843178</v>
      </c>
      <c r="EQ94" s="15">
        <f>IF(ISNA(VLOOKUP(A94,'Données projet'!$A$191:$I$211,3,0)),0,VLOOKUP(A94,'Données projet'!$A$191:$I$211,3,0))</f>
        <v>0</v>
      </c>
      <c r="ER94" s="15">
        <f>IF(ISNA(VLOOKUP(A94,'Données projet'!$A$191:$I$211,4,0)),0,VLOOKUP(A94,'Données projet'!$A$191:$I$211,4,0))</f>
        <v>0</v>
      </c>
      <c r="ES94" s="16">
        <f>IF(ISNA(VLOOKUP(A94,'Données projet'!$A$191:$I$211,5,0)),0%,VLOOKUP(A94,'Données projet'!$A$191:$I$211,5,0)*VLOOKUP('Données projet'!$B$15,Paramètres!$A$1:$I$89,7,0))</f>
        <v>0</v>
      </c>
      <c r="ET94" s="16">
        <f>IF(ISNA(VLOOKUP(A94,'Données projet'!$A$191:$I$211,6,0)),0%,VLOOKUP(A94,'Données projet'!$A$191:$I$211,6,0)*VLOOKUP('Données projet'!$B$15,Paramètres!$A$1:$I$89,7,0))</f>
        <v>0</v>
      </c>
      <c r="EU94" s="16">
        <f>IF(ISNA(VLOOKUP(A94,'Données projet'!$A$191:$I$211,7,0)),0%,VLOOKUP(A94,'Données projet'!$A$191:$I$211,7,0))</f>
        <v>0</v>
      </c>
      <c r="EV94" s="21">
        <f>EXP(-LN(2)/35)*EV93+(1-EXP(-LN(2)/35))/(LN(2)/35)*ER94*ES94*VLOOKUP('Données projet'!$B$15,Paramètres!$A$1:$I$89,3,0)*0.475*44/12</f>
        <v>0.29954672640890678</v>
      </c>
      <c r="EW94" s="21">
        <f>EXP(-LN(2)/25)*EW93+(1-EXP(-LN(2)/25))/(LN(2)/25)*Calculateur!ER94*Calculateur!ET94*VLOOKUP('Données projet'!$B$15,Paramètres!$A$1:$I$89,3,0)*0.475*44/12</f>
        <v>1.0695272079740037</v>
      </c>
      <c r="EX94" s="21">
        <f>EXP(-LN(2)/2)*EX93+(1-EXP(-LN(2)/2))/(LN(2)/2)*ER94*EU94*VLOOKUP('Données projet'!$B$15,Paramètres!$A$1:$I$89,3,0)*0.475*44/12</f>
        <v>5.9681811184762154E-9</v>
      </c>
      <c r="EY94" s="22">
        <f t="shared" si="75"/>
        <v>1.3690739403510914</v>
      </c>
      <c r="EZ94" s="75">
        <f>('Scénario référence'!$F$8+'Scénario référence'!$F$9+'Scénario référence'!$B$17+'Scénario référence'!$B$9+'Scénario référence'!$B$10)*70+IF((45+25*(1-EXP(-0.0175*A94)))&lt;70,'Scénario référence'!$B$16*(45+25*(1-EXP(-0.0175*A94))),70*'Scénario référence'!$B$16)+IF((32+38*(1-EXP(-0.0175*A94)))&lt;70,'Scénario référence'!$B$18*(32+38*(1-EXP(-0.0175*A94))),70*'Scénario référence'!$B$18)</f>
        <v>70</v>
      </c>
      <c r="FA94" s="12">
        <f>IF(A94&gt;30,10,('Scénario référence'!$B$16+'Scénario référence'!$B$17+'Scénario référence'!$B$18+'Scénario référence'!$B$9+'Scénario référence'!$B$10)*A94*10/30+('Scénario référence'!$F$8+'Scénario référence'!$F$9)*10)</f>
        <v>10</v>
      </c>
      <c r="FB94" s="12" t="e">
        <f>VLOOKUP(A94,'Données projet'!$A$217:$I$237,2,0)</f>
        <v>#N/A</v>
      </c>
      <c r="FC94" s="12" t="e">
        <f>VLOOKUP(A94,'Données projet'!$A$217:$I$237,9,0)</f>
        <v>#N/A</v>
      </c>
      <c r="FD94" s="12">
        <f t="array" ref="FD94">INDEX(FC:FC,MIN(IF(ISNUMBER(FC94:FC290),ROW(FC94:FC290),"")))</f>
        <v>9.6999999999999993</v>
      </c>
      <c r="FE94" s="12">
        <f>IF('Données projet'!$A$218&gt;35,FE93+FD94-FM93,IF(A94&lt;'Données projet'!$A$218,$FB$205^A94,IF(A94='Données projet'!$A$218,'Données projet'!$B$218,FE93+FD94-FM93)))</f>
        <v>348.69999999999993</v>
      </c>
      <c r="FF94" s="17">
        <f>FE94*VLOOKUP('Données projet'!$B$16,Paramètres!$A$1:$I$89,3,0)*VLOOKUP('Données projet'!$B$16,Paramètres!$A$1:$I$89,5,0)</f>
        <v>299.18459999999993</v>
      </c>
      <c r="FG94" s="13">
        <f t="shared" si="101"/>
        <v>71.005497247983655</v>
      </c>
      <c r="FH94" s="20">
        <f t="shared" si="76"/>
        <v>644.74775270690475</v>
      </c>
      <c r="FI94" s="59">
        <f t="shared" si="77"/>
        <v>938.08108604023801</v>
      </c>
      <c r="FJ94" s="59">
        <f ca="1">AVERAGE(OFFSET($FI$3,0,0,'Données projet'!$E$16+1,1))-AVERAGE(OFFSET($H$3,0,0,'Données projet'!$E$16+1,1))</f>
        <v>383.97627237444709</v>
      </c>
      <c r="FK94" s="59">
        <f t="shared" si="102"/>
        <v>203.35476578922339</v>
      </c>
      <c r="FL94" s="15">
        <f>IF(ISNA(VLOOKUP(A94,'Données projet'!$A$217:$I$237,3,0)),0,VLOOKUP(A94,'Données projet'!$A$217:$I$237,3,0))</f>
        <v>0</v>
      </c>
      <c r="FM94" s="15">
        <f>IF(ISNA(VLOOKUP(A94,'Données projet'!$A$217:$I$237,4,0)),0,VLOOKUP(A94,'Données projet'!$A$217:$I$237,4,0))</f>
        <v>0</v>
      </c>
      <c r="FN94" s="16">
        <f>IF(ISNA(VLOOKUP(A94,'Données projet'!$A$217:$I$237,5,0)),0%,VLOOKUP(A94,'Données projet'!$A$217:$I$237,5,0)*VLOOKUP('Données projet'!$B$16,Paramètres!$A$1:$I$89,7,0))</f>
        <v>0</v>
      </c>
      <c r="FO94" s="16">
        <f>IF(ISNA(VLOOKUP(A94,'Données projet'!$A$217:$I$237,6,0)),0%,VLOOKUP(A94,'Données projet'!$A$217:$I$237,6,0)*VLOOKUP('Données projet'!$B$16,Paramètres!$A$1:$I$89,7,0))</f>
        <v>0</v>
      </c>
      <c r="FP94" s="16">
        <f>IF(ISNA(VLOOKUP(A94,'Données projet'!$A$217:$I$237,7,0)),0%,VLOOKUP(A94,'Données projet'!$A$217:$I$237,7,0))</f>
        <v>0</v>
      </c>
      <c r="FQ94" s="21">
        <f>EXP(-LN(2)/35)*FQ93+(1-EXP(-LN(2)/35))/(LN(2)/35)*FM94*FN94*VLOOKUP('Données projet'!$B$16,Paramètres!$A$1:$I$89,3,0)*0.475*44/12</f>
        <v>1.5395076633566362</v>
      </c>
      <c r="FR94" s="21">
        <f>EXP(-LN(2)/25)*FR93+(1-EXP(-LN(2)/25))/(LN(2)/25)*Calculateur!FM94*Calculateur!FO94*VLOOKUP('Données projet'!$B$16,Paramètres!$A$1:$I$89,3,0)*0.475*44/12</f>
        <v>1.0856806622365418</v>
      </c>
      <c r="FS94" s="21">
        <f>EXP(-LN(2)/2)*FS93+(1-EXP(-LN(2)/2))/(LN(2)/2)*FM94*FP94*VLOOKUP('Données projet'!$B$16,Paramètres!$A$1:$I$89,3,0)*0.475*44/12</f>
        <v>1.096232386653948E-8</v>
      </c>
      <c r="FT94" s="22">
        <f t="shared" si="78"/>
        <v>2.6251883365555018</v>
      </c>
      <c r="FU94" s="75">
        <f>('Scénario référence'!$F$8+'Scénario référence'!$F$9+'Scénario référence'!$B$17+'Scénario référence'!$B$9+'Scénario référence'!$B$10)*70+IF((45+25*(1-EXP(-0.0175*A94)))&lt;70,'Scénario référence'!$B$16*(45+25*(1-EXP(-0.0175*A94))),70*'Scénario référence'!$B$16)+IF((32+38*(1-EXP(-0.0175*A94)))&lt;70,'Scénario référence'!$B$18*(32+38*(1-EXP(-0.0175*A94))),70*'Scénario référence'!$B$18)</f>
        <v>70</v>
      </c>
      <c r="FV94" s="12">
        <f>IF(A94&gt;30,10,('Scénario référence'!$B$16+'Scénario référence'!$B$17+'Scénario référence'!$B$18+'Scénario référence'!$B$9+'Scénario référence'!$B$10)*A94*10/30+('Scénario référence'!$F$8+'Scénario référence'!$F$9)*10)</f>
        <v>10</v>
      </c>
      <c r="FW94" s="12" t="e">
        <f>VLOOKUP(A94,'Données projet'!$A$243:$I$263,2,0)</f>
        <v>#N/A</v>
      </c>
      <c r="FX94" s="12" t="e">
        <f>VLOOKUP(A94,'Données projet'!$A$243:$I$263,9,0)</f>
        <v>#N/A</v>
      </c>
      <c r="FY94" s="12">
        <f t="array" ref="FY94">INDEX(FX:FX,MIN(IF(ISNUMBER(FX94:FX290),ROW(FX94:FX290),"")))</f>
        <v>7.1782051282051267</v>
      </c>
      <c r="FZ94" s="12">
        <f>IF('Données projet'!$A$244&gt;35,FZ93+FY94-GH93,IF(A94&lt;'Données projet'!$A$244,$FW$205^A94,IF(A94='Données projet'!$A$244,'Données projet'!$B$244,FZ93+FY94-GH93)))</f>
        <v>260.82435897435914</v>
      </c>
      <c r="GA94" s="17">
        <f>FZ94*VLOOKUP('Données projet'!$B$17,Paramètres!$A$1:$I$89,3,0)*VLOOKUP('Données projet'!$B$17,Paramètres!$A$1:$I$89,5,0)</f>
        <v>280.75134000000014</v>
      </c>
      <c r="GB94" s="13">
        <f t="shared" si="103"/>
        <v>67.125763849450863</v>
      </c>
      <c r="GC94" s="20">
        <f t="shared" si="79"/>
        <v>605.88595587112718</v>
      </c>
      <c r="GD94" s="59">
        <f t="shared" si="80"/>
        <v>899.21928920446044</v>
      </c>
      <c r="GE94" s="59">
        <f ca="1">AVERAGE(OFFSET($GD$3,0,0,'Données projet'!$E$17+1,1))-AVERAGE(OFFSET($H$3,0,0,'Données projet'!$E$17+1,1))</f>
        <v>286.77702855541287</v>
      </c>
      <c r="GF94" s="59">
        <f t="shared" si="104"/>
        <v>227.12211541860779</v>
      </c>
      <c r="GG94" s="15">
        <f>IF(ISNA(VLOOKUP(A94,'Données projet'!$A$243:$I$263,3,0)),0,VLOOKUP(A94,'Données projet'!$A$243:$I$263,3,0))</f>
        <v>0</v>
      </c>
      <c r="GH94" s="15">
        <f>IF(ISNA(VLOOKUP(A94,'Données projet'!$A$243:$I$263,4,0)),0,VLOOKUP(A94,'Données projet'!$A$243:$I$263,4,0))</f>
        <v>0</v>
      </c>
      <c r="GI94" s="16">
        <f>IF(ISNA(VLOOKUP(A94,'Données projet'!$A$243:$I$263,5,0)),0%,VLOOKUP(A94,'Données projet'!$A$243:$I$263,5,0)*VLOOKUP('Données projet'!$B$17,Paramètres!$A$1:$I$89,7,0))</f>
        <v>0</v>
      </c>
      <c r="GJ94" s="16">
        <f>IF(ISNA(VLOOKUP(A94,'Données projet'!$A$243:$I$263,6,0)),0%,VLOOKUP(A94,'Données projet'!$A$243:$I$263,6,0)*VLOOKUP('Données projet'!$B$17,Paramètres!$A$1:$I$89,7,0))</f>
        <v>0</v>
      </c>
      <c r="GK94" s="16">
        <f>IF(ISNA(VLOOKUP(A94,'Données projet'!$A$243:$I$263,7,0)),0%,VLOOKUP(A94,'Données projet'!$A$243:$I$263,7,0))</f>
        <v>0</v>
      </c>
      <c r="GL94" s="21">
        <f>EXP(-LN(2)/35)*GL93+(1-EXP(-LN(2)/35))/(LN(2)/35)*GH94*GI94*VLOOKUP('Données projet'!$B$17,Paramètres!$A$1:$I$89,3,0)*0.475*44/12</f>
        <v>0</v>
      </c>
      <c r="GM94" s="21">
        <f>EXP(-LN(2)/25)*GM93+(1-EXP(-LN(2)/25))/(LN(2)/25)*Calculateur!GH94*Calculateur!GJ94*VLOOKUP('Données projet'!$B$17,Paramètres!$A$1:$I$89,3,0)*0.475*44/12</f>
        <v>0</v>
      </c>
      <c r="GN94" s="21">
        <f>EXP(-LN(2)/2)*GN93+(1-EXP(-LN(2)/2))/(LN(2)/2)*GH94*GK94*VLOOKUP('Données projet'!$B$17,Paramètres!$A$1:$I$89,3,0)*0.475*44/12</f>
        <v>0</v>
      </c>
      <c r="GO94" s="21">
        <f t="shared" si="81"/>
        <v>0</v>
      </c>
      <c r="GP94" s="75">
        <f>('Scénario référence'!$F$8+'Scénario référence'!$F$9+'Scénario référence'!$B$17+'Scénario référence'!$B$9+'Scénario référence'!$B$10)*70+IF((45+25*(1-EXP(-0.0175*A94)))&lt;70,'Scénario référence'!$B$16*(45+25*(1-EXP(-0.0175*A94))),70*'Scénario référence'!$B$16)+IF((32+38*(1-EXP(-0.0175*A94)))&lt;70,'Scénario référence'!$B$18*(32+38*(1-EXP(-0.0175*A94))),70*'Scénario référence'!$B$18)</f>
        <v>70</v>
      </c>
      <c r="GQ94" s="12">
        <f>IF(A94&gt;30,10,('Scénario référence'!$B$16+'Scénario référence'!$B$17+'Scénario référence'!$B$18+'Scénario référence'!$B$9+'Scénario référence'!$B$10)*A94*10/30+('Scénario référence'!$F$8+'Scénario référence'!$F$9)*10)</f>
        <v>10</v>
      </c>
      <c r="GR94" s="12" t="e">
        <f>VLOOKUP(A94,'Données projet'!$A$269:$I$289,2,0)</f>
        <v>#N/A</v>
      </c>
      <c r="GS94" s="12" t="e">
        <f>VLOOKUP(A94,'Données projet'!$A$269:$I$289,9,0)</f>
        <v>#N/A</v>
      </c>
      <c r="GT94" s="12">
        <f t="array" ref="GT94">INDEX(GS:GS,MIN(IF(ISNUMBER(GS94:GS290),ROW(GS94:GS290),"")))</f>
        <v>7.1782051282051267</v>
      </c>
      <c r="GU94" s="12">
        <f>IF('Données projet'!$A$270&gt;35,GU93+GT94-HC93,IF(A94&lt;'Données projet'!$A$270,$GR$205^A94,IF(A94='Données projet'!$A$270,'Données projet'!$B$270,GU93+GT94-HC93)))</f>
        <v>260.82435897435914</v>
      </c>
      <c r="GV94" s="17">
        <f>GU94*VLOOKUP('Données projet'!$B$18,Paramètres!$A$1:$I$89,3,0)*VLOOKUP('Données projet'!$B$18,Paramètres!$A$1:$I$89,5,0)</f>
        <v>280.75134000000014</v>
      </c>
      <c r="GW94" s="13">
        <f t="shared" si="105"/>
        <v>67.125763849450863</v>
      </c>
      <c r="GX94" s="20">
        <f t="shared" si="82"/>
        <v>605.88595587112718</v>
      </c>
      <c r="GY94" s="59">
        <f t="shared" si="83"/>
        <v>899.21928920446044</v>
      </c>
      <c r="GZ94" s="59">
        <f ca="1">AVERAGE(OFFSET($GY$3,0,0,'Données projet'!$E$18+1,1))-AVERAGE(OFFSET($H$3,0,0,'Données projet'!$E$18+1,1))</f>
        <v>286.77702855541287</v>
      </c>
      <c r="HA94" s="59">
        <f t="shared" si="106"/>
        <v>227.12211541860779</v>
      </c>
      <c r="HB94" s="15">
        <f>IF(ISNA(VLOOKUP(A94,'Données projet'!$A$269:$I$289,3,0)),0,VLOOKUP(A94,'Données projet'!$A$269:$I$289,3,0))</f>
        <v>0</v>
      </c>
      <c r="HC94" s="15">
        <f>IF(ISNA(VLOOKUP(A94,'Données projet'!$A$269:$I$289,4,0)),0,VLOOKUP(A94,'Données projet'!$A$269:$I$289,4,0))</f>
        <v>0</v>
      </c>
      <c r="HD94" s="16">
        <f>IF(ISNA(VLOOKUP(A94,'Données projet'!$A$269:$I$289,5,0)),0%,VLOOKUP(A94,'Données projet'!$A$269:$I$289,5,0)*VLOOKUP('Données projet'!$B$18,Paramètres!$A$1:$I$89,7,0))</f>
        <v>0</v>
      </c>
      <c r="HE94" s="16">
        <f>IF(ISNA(VLOOKUP(A94,'Données projet'!$A$269:$I$289,6,0)),0%,VLOOKUP(A94,'Données projet'!$A$269:$I$289,6,0)*VLOOKUP('Données projet'!$B$18,Paramètres!$A$1:$I$89,7,0))</f>
        <v>0</v>
      </c>
      <c r="HF94" s="16">
        <f>IF(ISNA(VLOOKUP(A94,'Données projet'!$A$269:$I$289,7,0)),0%,VLOOKUP(A94,'Données projet'!$A$269:$I$289,7,0))</f>
        <v>0</v>
      </c>
      <c r="HG94" s="21">
        <f>EXP(-LN(2)/35)*HG93+(1-EXP(-LN(2)/35))/(LN(2)/35)*HC94*HD94*VLOOKUP('Données projet'!$B$18,Paramètres!$A$1:$I$89,3,0)*0.475*44/12</f>
        <v>0</v>
      </c>
      <c r="HH94" s="21">
        <f>EXP(-LN(2)/25)*HH93+(1-EXP(-LN(2)/25))/(LN(2)/25)*Calculateur!HC94*Calculateur!HE94*VLOOKUP('Données projet'!$B$18,Paramètres!$A$1:$I$89,3,0)*0.475*44/12</f>
        <v>0</v>
      </c>
      <c r="HI94" s="21">
        <f>EXP(-LN(2)/2)*HI93+(1-EXP(-LN(2)/2))/(LN(2)/2)*HC94*HF94*VLOOKUP('Données projet'!$B$18,Paramètres!$A$1:$I$89,3,0)*0.475*44/12</f>
        <v>0</v>
      </c>
      <c r="HJ94" s="22">
        <f t="shared" si="84"/>
        <v>0</v>
      </c>
    </row>
    <row r="95" spans="1:218" x14ac:dyDescent="0.25">
      <c r="A95" s="10">
        <f t="shared" si="85"/>
        <v>92</v>
      </c>
      <c r="B95" s="73">
        <f>'Scénario référence'!$B$16*5+'Scénario référence'!$B$17*0+'Scénario référence'!$B$18*5</f>
        <v>0</v>
      </c>
      <c r="C95" s="19">
        <f>Calculateur!C94+'Scénario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81.806400000000124</v>
      </c>
      <c r="D95" s="11">
        <f t="shared" si="86"/>
        <v>22.578282710556053</v>
      </c>
      <c r="E9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95" s="11">
        <f>IF(OR('Scénario référence'!$F$8&gt;0,'Scénario référence'!$F$9&gt;0),('Scénario référence'!$F$8+'Scénario référence'!$F$9)*10,0)</f>
        <v>10</v>
      </c>
      <c r="G95" s="11">
        <f>'Scénario référence'!$B$8*B95*44/12+'Scénario référence'!$B$9*(C95+D95)/0.475*44/12+'Scénario référence'!$B$10*(C95+D95)/0.475*44/12+'Scénario référence'!$F$8*(C95+D95)/0.475*44/12+'Scénario référence'!$F$9*(C95+D95)/0.475*44/12</f>
        <v>805.77649811657409</v>
      </c>
      <c r="H95" s="67">
        <f t="shared" si="56"/>
        <v>475.1366557208853</v>
      </c>
      <c r="I95" s="70">
        <f>('Scénario référence'!$F$8+'Scénario référence'!$F$9+'Scénario référence'!$B$17+'Scénario référence'!$B$9+'Scénario référence'!$B$10)*70+IF((45+25*(1-EXP(-0.0175*A95)))&lt;70,'Scénario référence'!$B$16*(45+25*(1-EXP(-0.0175*A95))),70*'Scénario référence'!$B$16)+IF((32+38*(1-EXP(-0.0175*A95)))&lt;70,'Scénario référence'!$B$18*(32+38*(1-EXP(-0.0175*A95))),70*'Scénario référence'!$B$18)</f>
        <v>70</v>
      </c>
      <c r="J95" s="13">
        <f>IF(A95&gt;30,10,('Scénario référence'!$B$16+'Scénario référence'!$B$17+'Scénario référence'!$B$18+'Scénario référence'!$B$9+'Scénario référence'!$B$10)*A95*10/30+('Scénario référence'!$F$8+'Scénario référence'!$F$9)*10)</f>
        <v>10</v>
      </c>
      <c r="K95" s="12" t="e">
        <f>VLOOKUP(A95,'Données projet'!$A$35:$I$55,2,0)</f>
        <v>#N/A</v>
      </c>
      <c r="L95" s="12" t="e">
        <f>VLOOKUP(A95,'Données projet'!$A$35:$I$55,9,0)</f>
        <v>#N/A</v>
      </c>
      <c r="M95" s="12">
        <f t="array" ref="M95">INDEX(L:L,MIN(IF(ISNUMBER(L95:L291),ROW(L95:L291),"")))</f>
        <v>0</v>
      </c>
      <c r="N95" s="13">
        <f>IF('Données projet'!$A$36&gt;35,N94+M95-V94,IF(A95&lt;'Données projet'!$A$36,$K$205^A95,IF(A95='Données projet'!$A$36,'Données projet'!$B$36,N94+M95-V94)))</f>
        <v>-2.2737367544323206E-13</v>
      </c>
      <c r="O95" s="13">
        <f>N95*VLOOKUP('Données projet'!$B$9,Paramètres!$A$1:$I$89,3,0)*VLOOKUP('Données projet'!$B$9,Paramètres!$A$1:$I$89,5,0)</f>
        <v>-1.2710188457276673E-13</v>
      </c>
      <c r="P95" s="13" t="e">
        <f t="shared" si="87"/>
        <v>#NUM!</v>
      </c>
      <c r="Q95" s="20" t="e">
        <f t="shared" si="54"/>
        <v>#NUM!</v>
      </c>
      <c r="R95" s="59" t="e">
        <f t="shared" si="55"/>
        <v>#NUM!</v>
      </c>
      <c r="S95" s="59">
        <f ca="1">AVERAGE(OFFSET($R$3,0,0,'Données projet'!$E$9+1,1))-AVERAGE(OFFSET($H$3,0,0,'Données projet'!$E$9+1,1))</f>
        <v>255.5374979188561</v>
      </c>
      <c r="T95" s="59">
        <f t="shared" si="88"/>
        <v>343.10418468620901</v>
      </c>
      <c r="U95" s="15">
        <f>IF(ISNA(VLOOKUP(A95,'Données projet'!$A$35:$I$55,3,0)),0,VLOOKUP(A95,'Données projet'!$A$35:$I$55,3,0))</f>
        <v>0</v>
      </c>
      <c r="V95" s="15">
        <f>IF(ISNA(VLOOKUP(A95,'Données projet'!$A$35:$I$55,4,0)),0,VLOOKUP(A95,'Données projet'!$A$35:$I$55,4,0))</f>
        <v>0</v>
      </c>
      <c r="W95" s="16">
        <f>IF(ISNA(VLOOKUP(A95,'Données projet'!$A$35:$I$55,5,0)),0%,VLOOKUP(A95,'Données projet'!$A$35:$I$55,5,0)*VLOOKUP('Données projet'!$B$9,Paramètres!$A$1:$I$89,7,0))</f>
        <v>0</v>
      </c>
      <c r="X95" s="16">
        <f>IF(ISNA(VLOOKUP(A95,'Données projet'!$A$35:$I$55,6,0)),0%,VLOOKUP(A95,'Données projet'!$A$35:$I$55,6,0)*VLOOKUP('Données projet'!$B$9,Paramètres!$A$1:$I$89,7,0))</f>
        <v>0</v>
      </c>
      <c r="Y95" s="16">
        <f>IF(ISNA(VLOOKUP(A95,'Données projet'!$A$35:$I$55,7,0)),0%,VLOOKUP(A95,'Données projet'!$A$35:$I$55,7,0))</f>
        <v>0</v>
      </c>
      <c r="Z95" s="21">
        <f>EXP(-LN(2)/35)*Z94+(1-EXP(-LN(2)/35))/(LN(2)/35)*V95*W95*VLOOKUP('Données projet'!$B$9,Paramètres!$A$1:$I$89,3,0)*0.475*44/12</f>
        <v>0.90513026168435784</v>
      </c>
      <c r="AA95" s="21">
        <f>EXP(-LN(2)/25)*AA94+(1-EXP(-LN(2)/25))/(LN(2)/25)*Calculateur!V95*Calculateur!X95*VLOOKUP('Données projet'!$B$9,Paramètres!$A$1:$I$89,3,0)*0.475*44/12</f>
        <v>2.8607871674425445</v>
      </c>
      <c r="AB95" s="21">
        <f>EXP(-LN(2)/2)*AB94+(1-EXP(-LN(2)/2))/(LN(2)/2)*V95*Y95*VLOOKUP('Données projet'!$B$9,Paramètres!$A$1:$I$89,3,0)*0.475*44/12</f>
        <v>7.8820254628270214E-10</v>
      </c>
      <c r="AC95" s="22">
        <f t="shared" si="57"/>
        <v>3.7659174299151048</v>
      </c>
      <c r="AD95" s="13">
        <f>('Scénario référence'!$F$8+'Scénario référence'!$F$9+'Scénario référence'!$B$17+'Scénario référence'!$B$9+'Scénario référence'!$B$10)*70+IF((45+25*(1-EXP(-0.0175*A95)))&lt;70,'Scénario référence'!$B$16*(45+25*(1-EXP(-0.0175*A95))),70*'Scénario référence'!$B$16)+IF((32+38*(1-EXP(-0.0175*A95)))&lt;70,'Scénario référence'!$B$18*(32+38*(1-EXP(-0.0175*A95))),70*'Scénario référence'!$B$18)</f>
        <v>70</v>
      </c>
      <c r="AE95" s="13">
        <f>IF(A95&gt;30,10,('Scénario référence'!$B$16+'Scénario référence'!$B$17+'Scénario référence'!$B$18+'Scénario référence'!$B$9+'Scénario référence'!$B$10)*A95*10/30+('Scénario référence'!$F$8+'Scénario référence'!$F$9)*10)</f>
        <v>10</v>
      </c>
      <c r="AF95" s="12" t="e">
        <f>VLOOKUP(A95,'Données projet'!$A$61:$I$81,2,0)</f>
        <v>#N/A</v>
      </c>
      <c r="AG95" s="12" t="e">
        <f>VLOOKUP(A95,'Données projet'!$A$61:$I$81,9,0)</f>
        <v>#N/A</v>
      </c>
      <c r="AH95" s="12">
        <f t="array" ref="AH95">INDEX(AG:AG,MIN(IF(ISNUMBER(AG95:AG291),ROW(AG95:AG291),"")))</f>
        <v>0</v>
      </c>
      <c r="AI95" s="13">
        <f>IF('Données projet'!$A$62&gt;35,AI94+AH95-AQ94,IF(A95&lt;'Données projet'!$A$62,$AF$205^A95,IF(A95='Données projet'!$A$62,'Données projet'!$B$62,AI94+AH95-AQ94)))</f>
        <v>0</v>
      </c>
      <c r="AJ95" s="13">
        <f>AI95*VLOOKUP('Données projet'!$B$10,Paramètres!$A$1:$I$89,3,0)*VLOOKUP('Données projet'!$B$10,Paramètres!$A$1:$I$89,5,0)</f>
        <v>0</v>
      </c>
      <c r="AK95" s="13" t="e">
        <f t="shared" si="89"/>
        <v>#NUM!</v>
      </c>
      <c r="AL95" s="20" t="e">
        <f t="shared" si="58"/>
        <v>#NUM!</v>
      </c>
      <c r="AM95" s="59" t="e">
        <f t="shared" si="59"/>
        <v>#NUM!</v>
      </c>
      <c r="AN95" s="59">
        <f ca="1">AVERAGE(OFFSET($AM$3,0,0,'Données projet'!$E$10+1,1))-AVERAGE(OFFSET($H$3,0,0,'Données projet'!$E$10+1,1))</f>
        <v>261.78489480911571</v>
      </c>
      <c r="AO95" s="59">
        <f t="shared" si="90"/>
        <v>297.50513563712764</v>
      </c>
      <c r="AP95" s="15">
        <f>IF(ISNA(VLOOKUP(A95,'Données projet'!$A$61:$I$81,3,0)),0,VLOOKUP(A95,'Données projet'!$A$61:$I$81,3,0))</f>
        <v>0</v>
      </c>
      <c r="AQ95" s="15">
        <f>IF(ISNA(VLOOKUP(A95,'Données projet'!$A$61:$I$81,4,0)),0,VLOOKUP(A95,'Données projet'!$A$61:$I$81,4,0))</f>
        <v>0</v>
      </c>
      <c r="AR95" s="16">
        <f>IF(ISNA(VLOOKUP(A95,'Données projet'!$A$61:$I$81,5,0)),0%,VLOOKUP(A95,'Données projet'!$A$61:$I$81,5,0)*VLOOKUP('Données projet'!$B$10,Paramètres!$A$1:$I$89,7,0))</f>
        <v>0</v>
      </c>
      <c r="AS95" s="16">
        <f>IF(ISNA(VLOOKUP(A95,'Données projet'!$A$61:$I$81,6,0)),0%,VLOOKUP(A95,'Données projet'!$A$61:$I$81,6,0)*VLOOKUP('Données projet'!$B$10,Paramètres!$A$1:$I$89,7,0))</f>
        <v>0</v>
      </c>
      <c r="AT95" s="16">
        <f>IF(ISNA(VLOOKUP(A95,'Données projet'!$A$61:$I$81,7,0)),0%,VLOOKUP(A95,'Données projet'!$A$61:$I$81,7,0))</f>
        <v>0</v>
      </c>
      <c r="AU95" s="21">
        <f>EXP(-LN(2)/35)*AU94+(1-EXP(-LN(2)/35))/(LN(2)/35)*AQ95*AR95*VLOOKUP('Données projet'!$B$10,Paramètres!$A$1:$I$89,3,0)*0.475*44/12</f>
        <v>2.4441077214143392</v>
      </c>
      <c r="AV95" s="21">
        <f>EXP(-LN(2)/25)*AV94+(1-EXP(-LN(2)/25))/(LN(2)/25)*Calculateur!AQ95*Calculateur!AS95*VLOOKUP('Données projet'!$B$10,Paramètres!$A$1:$I$89,3,0)*0.475*44/12</f>
        <v>4.9955178830074711</v>
      </c>
      <c r="AW95" s="21">
        <f>EXP(-LN(2)/2)*AW94+(1-EXP(-LN(2)/2))/(LN(2)/2)*AQ95*AT95*VLOOKUP('Données projet'!$B$10,Paramètres!$A$1:$I$89,3,0)*0.475*44/12</f>
        <v>1.1362690076656584E-8</v>
      </c>
      <c r="AX95" s="21">
        <f t="shared" si="60"/>
        <v>7.4396256157845002</v>
      </c>
      <c r="AY95" s="74">
        <f>('Scénario référence'!$F$8+'Scénario référence'!$F$9+'Scénario référence'!$B$17+'Scénario référence'!$B$9+'Scénario référence'!$B$10)*70+IF((45+25*(1-EXP(-0.0175*A95)))&lt;70,'Scénario référence'!$B$16*(45+25*(1-EXP(-0.0175*A95))),70*'Scénario référence'!$B$16)+IF((32+38*(1-EXP(-0.0175*A95)))&lt;70,'Scénario référence'!$B$18*(32+38*(1-EXP(-0.0175*A95))),70*'Scénario référence'!$B$18)</f>
        <v>70</v>
      </c>
      <c r="AZ95" s="12">
        <f>IF(A95&gt;30,10,('Scénario référence'!$B$16+'Scénario référence'!$B$17+'Scénario référence'!$B$18+'Scénario référence'!$B$9+'Scénario référence'!$B$10)*A95*10/30+('Scénario référence'!$F$8+'Scénario référence'!$F$9)*10)</f>
        <v>10</v>
      </c>
      <c r="BA95" s="12" t="e">
        <f>VLOOKUP(A95,'Données projet'!$A$87:$I$107,2,0)</f>
        <v>#N/A</v>
      </c>
      <c r="BB95" s="12" t="e">
        <f>VLOOKUP(A95,'Données projet'!$A$87:$I$107,9,0)</f>
        <v>#N/A</v>
      </c>
      <c r="BC95" s="12">
        <f t="array" ref="BC95">INDEX(BB:BB,MIN(IF(ISNUMBER(BB95:BB291),ROW(BB95:BB291),"")))</f>
        <v>0</v>
      </c>
      <c r="BD95" s="12">
        <f>IF('Données projet'!$A$88&gt;35,BD94+BC95-BL94,IF(A95&lt;'Données projet'!$A$88,$BA$205^A95,IF(A95='Données projet'!$A$88,'Données projet'!$B$88,BD94+BC95-BL94)))</f>
        <v>553.99999999999955</v>
      </c>
      <c r="BE95" s="13">
        <f>BD95*VLOOKUP('Données projet'!$B$11,Paramètres!$A$1:$I$89,3,0)*VLOOKUP('Données projet'!$B$11,Paramètres!$A$1:$I$89,5,0)</f>
        <v>331.29199999999975</v>
      </c>
      <c r="BF95" s="13">
        <f t="shared" si="91"/>
        <v>77.698110787752</v>
      </c>
      <c r="BG95" s="20">
        <f t="shared" si="61"/>
        <v>712.32444295533423</v>
      </c>
      <c r="BH95" s="59">
        <f t="shared" si="62"/>
        <v>1005.6577762886675</v>
      </c>
      <c r="BI95" s="59">
        <f ca="1">AVERAGE(OFFSET($BH$3,0,0,'Données projet'!$E$11+1,1))-AVERAGE(OFFSET($H$3,0,0,'Données projet'!$E$11+1,1))</f>
        <v>316.58509520829671</v>
      </c>
      <c r="BJ95" s="59">
        <f t="shared" si="92"/>
        <v>240.71332110643596</v>
      </c>
      <c r="BK95" s="15">
        <f>IF(ISNA(VLOOKUP(A95,'Données projet'!$A$87:$I$107,3,0)),0,VLOOKUP(A95,'Données projet'!$A$87:$I$107,3,0))</f>
        <v>0</v>
      </c>
      <c r="BL95" s="15">
        <f>IF(ISNA(VLOOKUP(A95,'Données projet'!$A$87:$I$107,4,0)),0,VLOOKUP(A95,'Données projet'!$A$87:$I$107,4,0))</f>
        <v>0</v>
      </c>
      <c r="BM95" s="16">
        <f>IF(ISNA(VLOOKUP(A95,'Données projet'!$A$87:$I$107,5,0)),0%,VLOOKUP(A95,'Données projet'!$A$87:$I$107,5,0)*VLOOKUP('Données projet'!$B$11,Paramètres!$A$1:$I$89,7,0))</f>
        <v>0</v>
      </c>
      <c r="BN95" s="16">
        <f>IF(ISNA(VLOOKUP(A95,'Données projet'!$A$87:$I$107,6,0)),0%,VLOOKUP(A95,'Données projet'!$A$87:$I$107,6,0)*VLOOKUP('Données projet'!$B$11,Paramètres!$A$1:$I$89,7,0))</f>
        <v>0</v>
      </c>
      <c r="BO95" s="16">
        <f>IF(ISNA(VLOOKUP(A95,'Données projet'!$A$87:$I$107,7,0)),0%,VLOOKUP(A95,'Données projet'!$A$87:$I$107,7,0))</f>
        <v>0</v>
      </c>
      <c r="BP95" s="21">
        <f>EXP(-LN(2)/35)*BP94+(1-EXP(-LN(2)/35))/(LN(2)/35)*BL95*BM95*VLOOKUP('Données projet'!$B$11,Paramètres!$A$1:$I$89,3,0)*0.475*44/12</f>
        <v>0.74241590570491367</v>
      </c>
      <c r="BQ95" s="21">
        <f>EXP(-LN(2)/25)*BQ94+(1-EXP(-LN(2)/25))/(LN(2)/25)*Calculateur!BL95*Calculateur!BN95*VLOOKUP('Données projet'!$B$11,Paramètres!$A$1:$I$89,3,0)*0.475*44/12</f>
        <v>2.736690455914883</v>
      </c>
      <c r="BR95" s="21">
        <f>EXP(-LN(2)/2)*BR94+(1-EXP(-LN(2)/2))/(LN(2)/2)*BL95*BO95*VLOOKUP('Données projet'!$B$11,Paramètres!$A$1:$I$89,3,0)*0.475*44/12</f>
        <v>1.0216302736727937E-8</v>
      </c>
      <c r="BS95" s="22">
        <f t="shared" si="63"/>
        <v>3.4791063718360995</v>
      </c>
      <c r="BT95" s="75">
        <f>('Scénario référence'!$F$8+'Scénario référence'!$F$9+'Scénario référence'!$B$17+'Scénario référence'!$B$9+'Scénario référence'!$B$10)*70+IF((45+25*(1-EXP(-0.0175*A95)))&lt;70,'Scénario référence'!$B$16*(45+25*(1-EXP(-0.0175*A95))),70*'Scénario référence'!$B$16)+IF((32+38*(1-EXP(-0.0175*A95)))&lt;70,'Scénario référence'!$B$18*(32+38*(1-EXP(-0.0175*A95))),70*'Scénario référence'!$B$18)</f>
        <v>70</v>
      </c>
      <c r="BU95" s="12">
        <f>IF(A95&gt;30,10,('Scénario référence'!$B$16+'Scénario référence'!$B$17+'Scénario référence'!$B$18+'Scénario référence'!$B$9+'Scénario référence'!$B$10)*A95*10/30+('Scénario référence'!$F$8+'Scénario référence'!$F$9)*10)</f>
        <v>10</v>
      </c>
      <c r="BV95" s="12" t="e">
        <f>VLOOKUP(A95,'Données projet'!$A$113:$I$133,2,0)</f>
        <v>#N/A</v>
      </c>
      <c r="BW95" s="12" t="e">
        <f>VLOOKUP(A95,'Données projet'!$A$113:$I$133,9,0)</f>
        <v>#N/A</v>
      </c>
      <c r="BX95" s="12">
        <f t="array" ref="BX95">INDEX(BW:BW,MIN(IF(ISNUMBER(BW95:BW291),ROW(BW95:BW291),"")))</f>
        <v>3.5</v>
      </c>
      <c r="BY95" s="12">
        <f>IF('Données projet'!$A$114&gt;35,BY94+BX95-CG94,IF(A95&lt;'Données projet'!$A$114,$BV$205^A95,IF(A95='Données projet'!$A$114,'Données projet'!$B$114,BY94+BX95-CG94)))</f>
        <v>332.99999999999977</v>
      </c>
      <c r="BZ95" s="13">
        <f>BY95*VLOOKUP('Données projet'!$B$12,Paramètres!$A$1:$I$89,3,0)*VLOOKUP('Données projet'!$B$12,Paramètres!$A$1:$I$89,5,0)</f>
        <v>190.47599999999989</v>
      </c>
      <c r="CA95" s="13">
        <f t="shared" si="93"/>
        <v>47.645174362968312</v>
      </c>
      <c r="CB95" s="20">
        <f t="shared" si="64"/>
        <v>414.7277120155029</v>
      </c>
      <c r="CC95" s="59">
        <f t="shared" si="65"/>
        <v>708.06104534883616</v>
      </c>
      <c r="CD95" s="59">
        <f ca="1">AVERAGE(OFFSET($CC$3,0,0,'Données projet'!$E$12+1,1))-AVERAGE(OFFSET($H$3,0,0,'Données projet'!$E$12+1,1))</f>
        <v>188.64374818906128</v>
      </c>
      <c r="CE95" s="59">
        <f t="shared" si="94"/>
        <v>211.95157880548652</v>
      </c>
      <c r="CF95" s="15">
        <f>IF(ISNA(VLOOKUP(A95,'Données projet'!$A$113:$I$133,3,0)),0,VLOOKUP(A95,'Données projet'!$A$113:$I$133,3,0))</f>
        <v>0</v>
      </c>
      <c r="CG95" s="15">
        <f>IF(ISNA(VLOOKUP(A95,'Données projet'!$A$113:$I$133,4,0)),0,VLOOKUP(A95,'Données projet'!$A$113:$I$133,4,0))</f>
        <v>0</v>
      </c>
      <c r="CH95" s="16">
        <f>IF(ISNA(VLOOKUP(A95,'Données projet'!$A$113:$I$133,5,0)),0%,VLOOKUP(A95,'Données projet'!$A$113:$I$133,5,0)*VLOOKUP('Données projet'!$B$12,Paramètres!$A$1:$I$89,7,0))</f>
        <v>0</v>
      </c>
      <c r="CI95" s="16">
        <f>IF(ISNA(VLOOKUP(A95,'Données projet'!$A$113:$I$133,6,0)),0%,VLOOKUP(A95,'Données projet'!$A$113:$I$133,6,0)*VLOOKUP('Données projet'!$B$12,Paramètres!$A$1:$I$89,7,0))</f>
        <v>0</v>
      </c>
      <c r="CJ95" s="16">
        <f>IF(ISNA(VLOOKUP(A95,'Données projet'!$A$113:$I$133,7,0)),0%,VLOOKUP(A95,'Données projet'!$A$113:$I$133,7,0))</f>
        <v>0</v>
      </c>
      <c r="CK95" s="21">
        <f>EXP(-LN(2)/35)*CK94+(1-EXP(-LN(2)/35))/(LN(2)/35)*CG95*CH95*VLOOKUP('Données projet'!$B$12,Paramètres!$A$1:$I$89,3,0)*0.475*44/12</f>
        <v>0.72013888220243882</v>
      </c>
      <c r="CL95" s="21">
        <f>EXP(-LN(2)/25)*CL94+(1-EXP(-LN(2)/25))/(LN(2)/25)*Calculateur!CG95*Calculateur!CI95*VLOOKUP('Données projet'!$B$12,Paramètres!$A$1:$I$89,3,0)*0.475*44/12</f>
        <v>2.575835020603042</v>
      </c>
      <c r="CM95" s="21">
        <f>EXP(-LN(2)/2)*CM94+(1-EXP(-LN(2)/2))/(LN(2)/2)*CG95*CJ95*VLOOKUP('Données projet'!$B$12,Paramètres!$A$1:$I$89,3,0)*0.475*44/12</f>
        <v>9.8936898651235999E-9</v>
      </c>
      <c r="CN95" s="22">
        <f t="shared" si="66"/>
        <v>3.2959739126991709</v>
      </c>
      <c r="CO95" s="75">
        <f>('Scénario référence'!$F$8+'Scénario référence'!$F$9+'Scénario référence'!$B$17+'Scénario référence'!$B$9+'Scénario référence'!$B$10)*70+IF((45+25*(1-EXP(-0.0175*A95)))&lt;70,'Scénario référence'!$B$16*(45+25*(1-EXP(-0.0175*A95))),70*'Scénario référence'!$B$16)+IF((32+38*(1-EXP(-0.0175*A95)))&lt;70,'Scénario référence'!$B$18*(32+38*(1-EXP(-0.0175*A95))),70*'Scénario référence'!$B$18)</f>
        <v>70</v>
      </c>
      <c r="CP95" s="12">
        <f>IF(A95&gt;30,10,('Scénario référence'!$B$16+'Scénario référence'!$B$17+'Scénario référence'!$B$18+'Scénario référence'!$B$9+'Scénario référence'!$B$10)*A95*10/30+('Scénario référence'!$F$8+'Scénario référence'!$F$9)*10)</f>
        <v>10</v>
      </c>
      <c r="CQ95" s="12" t="e">
        <f>VLOOKUP(A95,'Données projet'!$A$139:$I$159,2,0)</f>
        <v>#N/A</v>
      </c>
      <c r="CR95" s="12" t="e">
        <f>VLOOKUP(A95,'Données projet'!$A$139:$I$159,9,0)</f>
        <v>#N/A</v>
      </c>
      <c r="CS95" s="12">
        <f t="array" ref="CS95">INDEX(CR:CR,MIN(IF(ISNUMBER(CR95:CR291),ROW(CR95:CR291),"")))</f>
        <v>0</v>
      </c>
      <c r="CT95" s="12">
        <f>IF('Données projet'!$A$140&gt;35,CT94+CS95-DB94,IF(A95&lt;'Données projet'!$A$140,$CQ$205^A95,IF(A95='Données projet'!$A$140,'Données projet'!$B$140,CT94+CS95-DB94)))</f>
        <v>0</v>
      </c>
      <c r="CU95" s="17" t="e">
        <f>CT95*VLOOKUP('Données projet'!$B$13,Paramètres!$A$1:$I$89,3,0)*VLOOKUP('Données projet'!$B$13,Paramètres!$A$1:$I$89,5,0)</f>
        <v>#N/A</v>
      </c>
      <c r="CV95" s="13" t="e">
        <f t="shared" si="95"/>
        <v>#N/A</v>
      </c>
      <c r="CW95" s="20" t="e">
        <f t="shared" si="67"/>
        <v>#N/A</v>
      </c>
      <c r="CX95" s="59" t="e">
        <f t="shared" si="68"/>
        <v>#N/A</v>
      </c>
      <c r="CY95" s="59" t="e">
        <f ca="1">AVERAGE(OFFSET($CX$3,0,0,'Données projet'!$E$13+1,1))-AVERAGE(OFFSET($H$3,0,0,'Données projet'!$E$13+1,1))</f>
        <v>#N/A</v>
      </c>
      <c r="CZ95" s="59" t="e">
        <f t="shared" si="96"/>
        <v>#N/A</v>
      </c>
      <c r="DA95" s="15">
        <f>IF(ISNA(VLOOKUP(A95,'Données projet'!$A$139:$I$159,3,0)),0,VLOOKUP(A95,'Données projet'!$A$139:$I$159,3,0))</f>
        <v>0</v>
      </c>
      <c r="DB95" s="15">
        <f>IF(ISNA(VLOOKUP(A95,'Données projet'!$A$139:$I$159,4,0)),0,VLOOKUP(A95,'Données projet'!$A$139:$I$159,4,0))</f>
        <v>0</v>
      </c>
      <c r="DC95" s="16">
        <f>IF(ISNA(VLOOKUP(A95,'Données projet'!$A$139:$I$159,5,0)),0%,VLOOKUP(A95,'Données projet'!$A$139:$I$159,5,0)*VLOOKUP('Données projet'!$B$13,Paramètres!$A$1:$I$89,7,0))</f>
        <v>0</v>
      </c>
      <c r="DD95" s="16">
        <f>IF(ISNA(VLOOKUP(A95,'Données projet'!$A$139:$I$159,6,0)),0%,VLOOKUP(A95,'Données projet'!$A$139:$I$159,6,0)*VLOOKUP('Données projet'!$B$13,Paramètres!$A$1:$I$89,7,0))</f>
        <v>0</v>
      </c>
      <c r="DE95" s="16">
        <f>IF(ISNA(VLOOKUP(A95,'Données projet'!$A$139:$I$159,7,0)),0%,VLOOKUP(A95,'Données projet'!$A$139:$I$159,7,0))</f>
        <v>0</v>
      </c>
      <c r="DF95" s="21" t="e">
        <f>EXP(-LN(2)/35)*DF94+(1-EXP(-LN(2)/35))/(LN(2)/35)*DB95*DC95*VLOOKUP('Données projet'!$B$13,Paramètres!$A$1:$I$89,3,0)*0.475*44/12</f>
        <v>#N/A</v>
      </c>
      <c r="DG95" s="21" t="e">
        <f>EXP(-LN(2)/25)*DG94+(1-EXP(-LN(2)/25))/(LN(2)/25)*Calculateur!DB95*Calculateur!DD95*VLOOKUP('Données projet'!$B$13,Paramètres!$A$1:$I$89,3,0)*0.475*44/12</f>
        <v>#N/A</v>
      </c>
      <c r="DH95" s="21" t="e">
        <f>EXP(-LN(2)/2)*DH94+(1-EXP(-LN(2)/2))/(LN(2)/2)*DB95*DE95*VLOOKUP('Données projet'!$B$13,Paramètres!$A$1:$I$89,3,0)*0.475*44/12</f>
        <v>#N/A</v>
      </c>
      <c r="DI95" s="22" t="e">
        <f t="shared" si="69"/>
        <v>#N/A</v>
      </c>
      <c r="DJ95" s="75">
        <f>('Scénario référence'!$F$8+'Scénario référence'!$F$9+'Scénario référence'!$B$17+'Scénario référence'!$B$9+'Scénario référence'!$B$10)*70+IF((45+25*(1-EXP(-0.0175*A95)))&lt;70,'Scénario référence'!$B$16*(45+25*(1-EXP(-0.0175*A95))),70*'Scénario référence'!$B$16)+IF((32+38*(1-EXP(-0.0175*A95)))&lt;70,'Scénario référence'!$B$18*(32+38*(1-EXP(-0.0175*A95))),70*'Scénario référence'!$B$18)</f>
        <v>70</v>
      </c>
      <c r="DK95" s="12">
        <f>IF(A95&gt;30,10,('Scénario référence'!$B$16+'Scénario référence'!$B$17+'Scénario référence'!$B$18+'Scénario référence'!$B$9+'Scénario référence'!$B$10)*A95*10/30+('Scénario référence'!$F$8+'Scénario référence'!$F$9)*10)</f>
        <v>10</v>
      </c>
      <c r="DL95" s="12" t="e">
        <f>VLOOKUP(A95,'Données projet'!$A$165:$I$185,2,0)</f>
        <v>#N/A</v>
      </c>
      <c r="DM95" s="12" t="e">
        <f>VLOOKUP(A95,'Données projet'!$A$165:$I$185,9,0)</f>
        <v>#N/A</v>
      </c>
      <c r="DN95" s="12">
        <f t="array" ref="DN95">INDEX(DM:DM,MIN(IF(ISNUMBER(DM95:DM291),ROW(DM95:DM291),"")))</f>
        <v>0</v>
      </c>
      <c r="DO95" s="12">
        <f>IF('Données projet'!$A$166&gt;35,DO94+DN95-DW94,IF(A95&lt;'Données projet'!$A$166,$DL$205^A95,IF(A95='Données projet'!$A$166,'Données projet'!$B$166,DO94+DN95-DW94)))</f>
        <v>268.00000000000017</v>
      </c>
      <c r="DP95" s="17">
        <f>DO95*VLOOKUP('Données projet'!$B$14,Paramètres!$A$1:$I$89,3,0)*VLOOKUP('Données projet'!$B$14,Paramètres!$A$1:$I$89,5,0)</f>
        <v>175.59360000000012</v>
      </c>
      <c r="DQ95" s="13">
        <f t="shared" si="97"/>
        <v>44.340433728638573</v>
      </c>
      <c r="DR95" s="20">
        <f t="shared" si="70"/>
        <v>383.05177541071242</v>
      </c>
      <c r="DS95" s="59">
        <f t="shared" si="71"/>
        <v>676.38510874404574</v>
      </c>
      <c r="DT95" s="59">
        <f ca="1">AVERAGE(OFFSET($DS$3,0,0,'Données projet'!$E$14+1,1))-AVERAGE(OFFSET($H$3,0,0,'Données projet'!$E$14+1,1))</f>
        <v>188.68915783955595</v>
      </c>
      <c r="DU95" s="59">
        <f t="shared" si="98"/>
        <v>240.82467772396944</v>
      </c>
      <c r="DV95" s="15">
        <f>IF(ISNA(VLOOKUP(A95,'Données projet'!$A$165:$I$185,3,0)),0,VLOOKUP(A95,'Données projet'!$A$165:$I$185,3,0))</f>
        <v>0</v>
      </c>
      <c r="DW95" s="15">
        <f>IF(ISNA(VLOOKUP(A95,'Données projet'!$A$165:$I$185,4,0)),0,VLOOKUP(A95,'Données projet'!$A$165:$I$185,4,0))</f>
        <v>0</v>
      </c>
      <c r="DX95" s="16">
        <f>IF(ISNA(VLOOKUP(A95,'Données projet'!$A$165:$I$185,5,0)),0%,VLOOKUP(A95,'Données projet'!$A$165:$I$185,5,0)*VLOOKUP('Données projet'!$B$14,Paramètres!$A$1:$I$89,7,0))</f>
        <v>0</v>
      </c>
      <c r="DY95" s="16">
        <f>IF(ISNA(VLOOKUP(A95,'Données projet'!$A$165:$I$185,6,0)),0%,VLOOKUP(A95,'Données projet'!$A$165:$I$185,6,0)*VLOOKUP('Données projet'!$B$14,Paramètres!$A$1:$I$89,7,0))</f>
        <v>0</v>
      </c>
      <c r="DZ95" s="16">
        <f>IF(ISNA(VLOOKUP(A95,'Données projet'!$A$165:$I$185,7,0)),0%,VLOOKUP(A95,'Données projet'!$A$165:$I$185,7,0))</f>
        <v>0</v>
      </c>
      <c r="EA95" s="21">
        <f>EXP(-LN(2)/35)*EA94+(1-EXP(-LN(2)/35))/(LN(2)/35)*DW95*DX95*VLOOKUP('Données projet'!$B$14,Paramètres!$A$1:$I$89,3,0)*0.475*44/12</f>
        <v>0.4561485764792384</v>
      </c>
      <c r="EB95" s="21">
        <f>EXP(-LN(2)/25)*EB94+(1-EXP(-LN(2)/25))/(LN(2)/25)*Calculateur!DW95*Calculateur!DY95*VLOOKUP('Données projet'!$B$14,Paramètres!$A$1:$I$89,3,0)*0.475*44/12</f>
        <v>1.4407717770442319</v>
      </c>
      <c r="EC95" s="21">
        <f>EXP(-LN(2)/2)*EC94+(1-EXP(-LN(2)/2))/(LN(2)/2)*DW95*DZ95*VLOOKUP('Données projet'!$B$14,Paramètres!$A$1:$I$89,3,0)*0.475*44/12</f>
        <v>6.5175853605415147E-9</v>
      </c>
      <c r="ED95" s="22">
        <f t="shared" si="72"/>
        <v>1.8969203600410556</v>
      </c>
      <c r="EE95" s="75">
        <f>('Scénario référence'!$F$8+'Scénario référence'!$F$9+'Scénario référence'!$B$17+'Scénario référence'!$B$9+'Scénario référence'!$B$10)*70+IF((45+25*(1-EXP(-0.0175*A95)))&lt;70,'Scénario référence'!$B$16*(45+25*(1-EXP(-0.0175*A95))),70*'Scénario référence'!$B$16)+IF((32+38*(1-EXP(-0.0175*A95)))&lt;70,'Scénario référence'!$B$18*(32+38*(1-EXP(-0.0175*A95))),70*'Scénario référence'!$B$18)</f>
        <v>70</v>
      </c>
      <c r="EF95" s="12">
        <f>IF(A95&gt;30,10,('Scénario référence'!$B$16+'Scénario référence'!$B$17+'Scénario référence'!$B$18+'Scénario référence'!$B$9+'Scénario référence'!$B$10)*A95*10/30+('Scénario référence'!$F$8+'Scénario référence'!$F$9)*10)</f>
        <v>10</v>
      </c>
      <c r="EG95" s="12" t="e">
        <f>VLOOKUP(A95,'Données projet'!$A$191:$I$211,2,0)</f>
        <v>#N/A</v>
      </c>
      <c r="EH95" s="12" t="e">
        <f>VLOOKUP(A95,'Données projet'!$A$191:$I$211,9,0)</f>
        <v>#N/A</v>
      </c>
      <c r="EI95" s="12">
        <f t="array" ref="EI95">INDEX(EH:EH,MIN(IF(ISNUMBER(EH95:EH291),ROW(EH95:EH291),"")))</f>
        <v>0</v>
      </c>
      <c r="EJ95" s="12">
        <f>IF('Données projet'!$A$192&gt;35,EJ94+EI95-ER94,IF(A95&lt;'Données projet'!$A$192,$EG$205^A95,IF(A95='Données projet'!$A$192,'Données projet'!$B$192,EJ94+EI95-ER94)))</f>
        <v>275.99999999999972</v>
      </c>
      <c r="EK95" s="17">
        <f>EJ95*VLOOKUP('Données projet'!$B$15,Paramètres!$A$1:$I$89,3,0)*VLOOKUP('Données projet'!$B$15,Paramètres!$A$1:$I$89,5,0)</f>
        <v>223.8911999999998</v>
      </c>
      <c r="EL95" s="13">
        <f t="shared" si="99"/>
        <v>54.95975389514858</v>
      </c>
      <c r="EM95" s="20">
        <f t="shared" si="73"/>
        <v>485.66541136738346</v>
      </c>
      <c r="EN95" s="59">
        <f t="shared" si="74"/>
        <v>778.99874470071677</v>
      </c>
      <c r="EO95" s="59">
        <f ca="1">AVERAGE(OFFSET($EN$3,0,0,'Données projet'!$E$15+1,1))-AVERAGE(OFFSET($H$3,0,0,'Données projet'!$E$15+1,1))</f>
        <v>205.5272583787887</v>
      </c>
      <c r="EP95" s="59">
        <f t="shared" si="100"/>
        <v>180.54762778843178</v>
      </c>
      <c r="EQ95" s="15">
        <f>IF(ISNA(VLOOKUP(A95,'Données projet'!$A$191:$I$211,3,0)),0,VLOOKUP(A95,'Données projet'!$A$191:$I$211,3,0))</f>
        <v>0</v>
      </c>
      <c r="ER95" s="15">
        <f>IF(ISNA(VLOOKUP(A95,'Données projet'!$A$191:$I$211,4,0)),0,VLOOKUP(A95,'Données projet'!$A$191:$I$211,4,0))</f>
        <v>0</v>
      </c>
      <c r="ES95" s="16">
        <f>IF(ISNA(VLOOKUP(A95,'Données projet'!$A$191:$I$211,5,0)),0%,VLOOKUP(A95,'Données projet'!$A$191:$I$211,5,0)*VLOOKUP('Données projet'!$B$15,Paramètres!$A$1:$I$89,7,0))</f>
        <v>0</v>
      </c>
      <c r="ET95" s="16">
        <f>IF(ISNA(VLOOKUP(A95,'Données projet'!$A$191:$I$211,6,0)),0%,VLOOKUP(A95,'Données projet'!$A$191:$I$211,6,0)*VLOOKUP('Données projet'!$B$15,Paramètres!$A$1:$I$89,7,0))</f>
        <v>0</v>
      </c>
      <c r="EU95" s="16">
        <f>IF(ISNA(VLOOKUP(A95,'Données projet'!$A$191:$I$211,7,0)),0%,VLOOKUP(A95,'Données projet'!$A$191:$I$211,7,0))</f>
        <v>0</v>
      </c>
      <c r="EV95" s="21">
        <f>EXP(-LN(2)/35)*EV94+(1-EXP(-LN(2)/35))/(LN(2)/35)*ER95*ES95*VLOOKUP('Données projet'!$B$15,Paramètres!$A$1:$I$89,3,0)*0.475*44/12</f>
        <v>0.29367279780949057</v>
      </c>
      <c r="EW95" s="21">
        <f>EXP(-LN(2)/25)*EW94+(1-EXP(-LN(2)/25))/(LN(2)/25)*Calculateur!ER95*Calculateur!ET95*VLOOKUP('Données projet'!$B$15,Paramètres!$A$1:$I$89,3,0)*0.475*44/12</f>
        <v>1.0402809302279632</v>
      </c>
      <c r="EX95" s="21">
        <f>EXP(-LN(2)/2)*EX94+(1-EXP(-LN(2)/2))/(LN(2)/2)*ER95*EU95*VLOOKUP('Données projet'!$B$15,Paramètres!$A$1:$I$89,3,0)*0.475*44/12</f>
        <v>4.2201413402240456E-9</v>
      </c>
      <c r="EY95" s="22">
        <f t="shared" si="75"/>
        <v>1.3339537322575952</v>
      </c>
      <c r="EZ95" s="75">
        <f>('Scénario référence'!$F$8+'Scénario référence'!$F$9+'Scénario référence'!$B$17+'Scénario référence'!$B$9+'Scénario référence'!$B$10)*70+IF((45+25*(1-EXP(-0.0175*A95)))&lt;70,'Scénario référence'!$B$16*(45+25*(1-EXP(-0.0175*A95))),70*'Scénario référence'!$B$16)+IF((32+38*(1-EXP(-0.0175*A95)))&lt;70,'Scénario référence'!$B$18*(32+38*(1-EXP(-0.0175*A95))),70*'Scénario référence'!$B$18)</f>
        <v>70</v>
      </c>
      <c r="FA95" s="12">
        <f>IF(A95&gt;30,10,('Scénario référence'!$B$16+'Scénario référence'!$B$17+'Scénario référence'!$B$18+'Scénario référence'!$B$9+'Scénario référence'!$B$10)*A95*10/30+('Scénario référence'!$F$8+'Scénario référence'!$F$9)*10)</f>
        <v>10</v>
      </c>
      <c r="FB95" s="12" t="e">
        <f>VLOOKUP(A95,'Données projet'!$A$217:$I$237,2,0)</f>
        <v>#N/A</v>
      </c>
      <c r="FC95" s="12" t="e">
        <f>VLOOKUP(A95,'Données projet'!$A$217:$I$237,9,0)</f>
        <v>#N/A</v>
      </c>
      <c r="FD95" s="12">
        <f t="array" ref="FD95">INDEX(FC:FC,MIN(IF(ISNUMBER(FC95:FC291),ROW(FC95:FC291),"")))</f>
        <v>9.6999999999999993</v>
      </c>
      <c r="FE95" s="12">
        <f>IF('Données projet'!$A$218&gt;35,FE94+FD95-FM94,IF(A95&lt;'Données projet'!$A$218,$FB$205^A95,IF(A95='Données projet'!$A$218,'Données projet'!$B$218,FE94+FD95-FM94)))</f>
        <v>358.39999999999992</v>
      </c>
      <c r="FF95" s="17">
        <f>FE95*VLOOKUP('Données projet'!$B$16,Paramètres!$A$1:$I$89,3,0)*VLOOKUP('Données projet'!$B$16,Paramètres!$A$1:$I$89,5,0)</f>
        <v>307.50719999999995</v>
      </c>
      <c r="FG95" s="13">
        <f t="shared" si="101"/>
        <v>72.74798994294045</v>
      </c>
      <c r="FH95" s="20">
        <f t="shared" si="76"/>
        <v>662.27778915062117</v>
      </c>
      <c r="FI95" s="59">
        <f t="shared" si="77"/>
        <v>955.61112248395443</v>
      </c>
      <c r="FJ95" s="59">
        <f ca="1">AVERAGE(OFFSET($FI$3,0,0,'Données projet'!$E$16+1,1))-AVERAGE(OFFSET($H$3,0,0,'Données projet'!$E$16+1,1))</f>
        <v>383.97627237444709</v>
      </c>
      <c r="FK95" s="59">
        <f t="shared" si="102"/>
        <v>203.35476578922339</v>
      </c>
      <c r="FL95" s="15">
        <f>IF(ISNA(VLOOKUP(A95,'Données projet'!$A$217:$I$237,3,0)),0,VLOOKUP(A95,'Données projet'!$A$217:$I$237,3,0))</f>
        <v>0</v>
      </c>
      <c r="FM95" s="15">
        <f>IF(ISNA(VLOOKUP(A95,'Données projet'!$A$217:$I$237,4,0)),0,VLOOKUP(A95,'Données projet'!$A$217:$I$237,4,0))</f>
        <v>0</v>
      </c>
      <c r="FN95" s="16">
        <f>IF(ISNA(VLOOKUP(A95,'Données projet'!$A$217:$I$237,5,0)),0%,VLOOKUP(A95,'Données projet'!$A$217:$I$237,5,0)*VLOOKUP('Données projet'!$B$16,Paramètres!$A$1:$I$89,7,0))</f>
        <v>0</v>
      </c>
      <c r="FO95" s="16">
        <f>IF(ISNA(VLOOKUP(A95,'Données projet'!$A$217:$I$237,6,0)),0%,VLOOKUP(A95,'Données projet'!$A$217:$I$237,6,0)*VLOOKUP('Données projet'!$B$16,Paramètres!$A$1:$I$89,7,0))</f>
        <v>0</v>
      </c>
      <c r="FP95" s="16">
        <f>IF(ISNA(VLOOKUP(A95,'Données projet'!$A$217:$I$237,7,0)),0%,VLOOKUP(A95,'Données projet'!$A$217:$I$237,7,0))</f>
        <v>0</v>
      </c>
      <c r="FQ95" s="21">
        <f>EXP(-LN(2)/35)*FQ94+(1-EXP(-LN(2)/35))/(LN(2)/35)*FM95*FN95*VLOOKUP('Données projet'!$B$16,Paramètres!$A$1:$I$89,3,0)*0.475*44/12</f>
        <v>1.5093188570851681</v>
      </c>
      <c r="FR95" s="21">
        <f>EXP(-LN(2)/25)*FR94+(1-EXP(-LN(2)/25))/(LN(2)/25)*Calculateur!FM95*Calculateur!FO95*VLOOKUP('Données projet'!$B$16,Paramètres!$A$1:$I$89,3,0)*0.475*44/12</f>
        <v>1.0559926674342188</v>
      </c>
      <c r="FS95" s="21">
        <f>EXP(-LN(2)/2)*FS94+(1-EXP(-LN(2)/2))/(LN(2)/2)*FM95*FP95*VLOOKUP('Données projet'!$B$16,Paramètres!$A$1:$I$89,3,0)*0.475*44/12</f>
        <v>7.7515335435931999E-9</v>
      </c>
      <c r="FT95" s="22">
        <f t="shared" si="78"/>
        <v>2.5653115322709206</v>
      </c>
      <c r="FU95" s="75">
        <f>('Scénario référence'!$F$8+'Scénario référence'!$F$9+'Scénario référence'!$B$17+'Scénario référence'!$B$9+'Scénario référence'!$B$10)*70+IF((45+25*(1-EXP(-0.0175*A95)))&lt;70,'Scénario référence'!$B$16*(45+25*(1-EXP(-0.0175*A95))),70*'Scénario référence'!$B$16)+IF((32+38*(1-EXP(-0.0175*A95)))&lt;70,'Scénario référence'!$B$18*(32+38*(1-EXP(-0.0175*A95))),70*'Scénario référence'!$B$18)</f>
        <v>70</v>
      </c>
      <c r="FV95" s="12">
        <f>IF(A95&gt;30,10,('Scénario référence'!$B$16+'Scénario référence'!$B$17+'Scénario référence'!$B$18+'Scénario référence'!$B$9+'Scénario référence'!$B$10)*A95*10/30+('Scénario référence'!$F$8+'Scénario référence'!$F$9)*10)</f>
        <v>10</v>
      </c>
      <c r="FW95" s="12" t="e">
        <f>VLOOKUP(A95,'Données projet'!$A$243:$I$263,2,0)</f>
        <v>#N/A</v>
      </c>
      <c r="FX95" s="12" t="e">
        <f>VLOOKUP(A95,'Données projet'!$A$243:$I$263,9,0)</f>
        <v>#N/A</v>
      </c>
      <c r="FY95" s="12">
        <f t="array" ref="FY95">INDEX(FX:FX,MIN(IF(ISNUMBER(FX95:FX291),ROW(FX95:FX291),"")))</f>
        <v>7.1782051282051267</v>
      </c>
      <c r="FZ95" s="12">
        <f>IF('Données projet'!$A$244&gt;35,FZ94+FY95-GH94,IF(A95&lt;'Données projet'!$A$244,$FW$205^A95,IF(A95='Données projet'!$A$244,'Données projet'!$B$244,FZ94+FY95-GH94)))</f>
        <v>268.00256410256429</v>
      </c>
      <c r="GA95" s="17">
        <f>FZ95*VLOOKUP('Données projet'!$B$17,Paramètres!$A$1:$I$89,3,0)*VLOOKUP('Données projet'!$B$17,Paramètres!$A$1:$I$89,5,0)</f>
        <v>288.47796000000017</v>
      </c>
      <c r="GB95" s="13">
        <f t="shared" si="103"/>
        <v>68.75552332642107</v>
      </c>
      <c r="GC95" s="20">
        <f t="shared" si="79"/>
        <v>622.1816501268504</v>
      </c>
      <c r="GD95" s="59">
        <f t="shared" si="80"/>
        <v>915.51498346018366</v>
      </c>
      <c r="GE95" s="59">
        <f ca="1">AVERAGE(OFFSET($GD$3,0,0,'Données projet'!$E$17+1,1))-AVERAGE(OFFSET($H$3,0,0,'Données projet'!$E$17+1,1))</f>
        <v>286.77702855541287</v>
      </c>
      <c r="GF95" s="59">
        <f t="shared" si="104"/>
        <v>227.12211541860779</v>
      </c>
      <c r="GG95" s="15">
        <f>IF(ISNA(VLOOKUP(A95,'Données projet'!$A$243:$I$263,3,0)),0,VLOOKUP(A95,'Données projet'!$A$243:$I$263,3,0))</f>
        <v>0</v>
      </c>
      <c r="GH95" s="15">
        <f>IF(ISNA(VLOOKUP(A95,'Données projet'!$A$243:$I$263,4,0)),0,VLOOKUP(A95,'Données projet'!$A$243:$I$263,4,0))</f>
        <v>0</v>
      </c>
      <c r="GI95" s="16">
        <f>IF(ISNA(VLOOKUP(A95,'Données projet'!$A$243:$I$263,5,0)),0%,VLOOKUP(A95,'Données projet'!$A$243:$I$263,5,0)*VLOOKUP('Données projet'!$B$17,Paramètres!$A$1:$I$89,7,0))</f>
        <v>0</v>
      </c>
      <c r="GJ95" s="16">
        <f>IF(ISNA(VLOOKUP(A95,'Données projet'!$A$243:$I$263,6,0)),0%,VLOOKUP(A95,'Données projet'!$A$243:$I$263,6,0)*VLOOKUP('Données projet'!$B$17,Paramètres!$A$1:$I$89,7,0))</f>
        <v>0</v>
      </c>
      <c r="GK95" s="16">
        <f>IF(ISNA(VLOOKUP(A95,'Données projet'!$A$243:$I$263,7,0)),0%,VLOOKUP(A95,'Données projet'!$A$243:$I$263,7,0))</f>
        <v>0</v>
      </c>
      <c r="GL95" s="21">
        <f>EXP(-LN(2)/35)*GL94+(1-EXP(-LN(2)/35))/(LN(2)/35)*GH95*GI95*VLOOKUP('Données projet'!$B$17,Paramètres!$A$1:$I$89,3,0)*0.475*44/12</f>
        <v>0</v>
      </c>
      <c r="GM95" s="21">
        <f>EXP(-LN(2)/25)*GM94+(1-EXP(-LN(2)/25))/(LN(2)/25)*Calculateur!GH95*Calculateur!GJ95*VLOOKUP('Données projet'!$B$17,Paramètres!$A$1:$I$89,3,0)*0.475*44/12</f>
        <v>0</v>
      </c>
      <c r="GN95" s="21">
        <f>EXP(-LN(2)/2)*GN94+(1-EXP(-LN(2)/2))/(LN(2)/2)*GH95*GK95*VLOOKUP('Données projet'!$B$17,Paramètres!$A$1:$I$89,3,0)*0.475*44/12</f>
        <v>0</v>
      </c>
      <c r="GO95" s="21">
        <f t="shared" si="81"/>
        <v>0</v>
      </c>
      <c r="GP95" s="75">
        <f>('Scénario référence'!$F$8+'Scénario référence'!$F$9+'Scénario référence'!$B$17+'Scénario référence'!$B$9+'Scénario référence'!$B$10)*70+IF((45+25*(1-EXP(-0.0175*A95)))&lt;70,'Scénario référence'!$B$16*(45+25*(1-EXP(-0.0175*A95))),70*'Scénario référence'!$B$16)+IF((32+38*(1-EXP(-0.0175*A95)))&lt;70,'Scénario référence'!$B$18*(32+38*(1-EXP(-0.0175*A95))),70*'Scénario référence'!$B$18)</f>
        <v>70</v>
      </c>
      <c r="GQ95" s="12">
        <f>IF(A95&gt;30,10,('Scénario référence'!$B$16+'Scénario référence'!$B$17+'Scénario référence'!$B$18+'Scénario référence'!$B$9+'Scénario référence'!$B$10)*A95*10/30+('Scénario référence'!$F$8+'Scénario référence'!$F$9)*10)</f>
        <v>10</v>
      </c>
      <c r="GR95" s="12" t="e">
        <f>VLOOKUP(A95,'Données projet'!$A$269:$I$289,2,0)</f>
        <v>#N/A</v>
      </c>
      <c r="GS95" s="12" t="e">
        <f>VLOOKUP(A95,'Données projet'!$A$269:$I$289,9,0)</f>
        <v>#N/A</v>
      </c>
      <c r="GT95" s="12">
        <f t="array" ref="GT95">INDEX(GS:GS,MIN(IF(ISNUMBER(GS95:GS291),ROW(GS95:GS291),"")))</f>
        <v>7.1782051282051267</v>
      </c>
      <c r="GU95" s="12">
        <f>IF('Données projet'!$A$270&gt;35,GU94+GT95-HC94,IF(A95&lt;'Données projet'!$A$270,$GR$205^A95,IF(A95='Données projet'!$A$270,'Données projet'!$B$270,GU94+GT95-HC94)))</f>
        <v>268.00256410256429</v>
      </c>
      <c r="GV95" s="17">
        <f>GU95*VLOOKUP('Données projet'!$B$18,Paramètres!$A$1:$I$89,3,0)*VLOOKUP('Données projet'!$B$18,Paramètres!$A$1:$I$89,5,0)</f>
        <v>288.47796000000017</v>
      </c>
      <c r="GW95" s="13">
        <f t="shared" si="105"/>
        <v>68.75552332642107</v>
      </c>
      <c r="GX95" s="20">
        <f t="shared" si="82"/>
        <v>622.1816501268504</v>
      </c>
      <c r="GY95" s="59">
        <f t="shared" si="83"/>
        <v>915.51498346018366</v>
      </c>
      <c r="GZ95" s="59">
        <f ca="1">AVERAGE(OFFSET($GY$3,0,0,'Données projet'!$E$18+1,1))-AVERAGE(OFFSET($H$3,0,0,'Données projet'!$E$18+1,1))</f>
        <v>286.77702855541287</v>
      </c>
      <c r="HA95" s="59">
        <f t="shared" si="106"/>
        <v>227.12211541860779</v>
      </c>
      <c r="HB95" s="15">
        <f>IF(ISNA(VLOOKUP(A95,'Données projet'!$A$269:$I$289,3,0)),0,VLOOKUP(A95,'Données projet'!$A$269:$I$289,3,0))</f>
        <v>0</v>
      </c>
      <c r="HC95" s="15">
        <f>IF(ISNA(VLOOKUP(A95,'Données projet'!$A$269:$I$289,4,0)),0,VLOOKUP(A95,'Données projet'!$A$269:$I$289,4,0))</f>
        <v>0</v>
      </c>
      <c r="HD95" s="16">
        <f>IF(ISNA(VLOOKUP(A95,'Données projet'!$A$269:$I$289,5,0)),0%,VLOOKUP(A95,'Données projet'!$A$269:$I$289,5,0)*VLOOKUP('Données projet'!$B$18,Paramètres!$A$1:$I$89,7,0))</f>
        <v>0</v>
      </c>
      <c r="HE95" s="16">
        <f>IF(ISNA(VLOOKUP(A95,'Données projet'!$A$269:$I$289,6,0)),0%,VLOOKUP(A95,'Données projet'!$A$269:$I$289,6,0)*VLOOKUP('Données projet'!$B$18,Paramètres!$A$1:$I$89,7,0))</f>
        <v>0</v>
      </c>
      <c r="HF95" s="16">
        <f>IF(ISNA(VLOOKUP(A95,'Données projet'!$A$269:$I$289,7,0)),0%,VLOOKUP(A95,'Données projet'!$A$269:$I$289,7,0))</f>
        <v>0</v>
      </c>
      <c r="HG95" s="21">
        <f>EXP(-LN(2)/35)*HG94+(1-EXP(-LN(2)/35))/(LN(2)/35)*HC95*HD95*VLOOKUP('Données projet'!$B$18,Paramètres!$A$1:$I$89,3,0)*0.475*44/12</f>
        <v>0</v>
      </c>
      <c r="HH95" s="21">
        <f>EXP(-LN(2)/25)*HH94+(1-EXP(-LN(2)/25))/(LN(2)/25)*Calculateur!HC95*Calculateur!HE95*VLOOKUP('Données projet'!$B$18,Paramètres!$A$1:$I$89,3,0)*0.475*44/12</f>
        <v>0</v>
      </c>
      <c r="HI95" s="21">
        <f>EXP(-LN(2)/2)*HI94+(1-EXP(-LN(2)/2))/(LN(2)/2)*HC95*HF95*VLOOKUP('Données projet'!$B$18,Paramètres!$A$1:$I$89,3,0)*0.475*44/12</f>
        <v>0</v>
      </c>
      <c r="HJ95" s="22">
        <f t="shared" si="84"/>
        <v>0</v>
      </c>
    </row>
    <row r="96" spans="1:218" x14ac:dyDescent="0.25">
      <c r="A96" s="10">
        <f t="shared" si="85"/>
        <v>93</v>
      </c>
      <c r="B96" s="73">
        <f>'Scénario référence'!$B$16*5+'Scénario référence'!$B$17*0+'Scénario référence'!$B$18*5</f>
        <v>0</v>
      </c>
      <c r="C96" s="19">
        <f>Calculateur!C95+'Scénario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82.695600000000127</v>
      </c>
      <c r="D96" s="11">
        <f t="shared" si="86"/>
        <v>22.794995761747877</v>
      </c>
      <c r="E9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96" s="11">
        <f>IF(OR('Scénario référence'!$F$8&gt;0,'Scénario référence'!$F$9&gt;0),('Scénario référence'!$F$8+'Scénario référence'!$F$9)*10,0)</f>
        <v>10</v>
      </c>
      <c r="G96" s="11">
        <f>'Scénario référence'!$B$8*B96*44/12+'Scénario référence'!$B$9*(C96+D96)/0.475*44/12+'Scénario référence'!$B$10*(C96+D96)/0.475*44/12+'Scénario référence'!$F$8*(C96+D96)/0.475*44/12+'Scénario référence'!$F$9*(C96+D96)/0.475*44/12</f>
        <v>814.31337079244076</v>
      </c>
      <c r="H96" s="67">
        <f t="shared" si="56"/>
        <v>477.06278761837774</v>
      </c>
      <c r="I96" s="70">
        <f>('Scénario référence'!$F$8+'Scénario référence'!$F$9+'Scénario référence'!$B$17+'Scénario référence'!$B$9+'Scénario référence'!$B$10)*70+IF((45+25*(1-EXP(-0.0175*A96)))&lt;70,'Scénario référence'!$B$16*(45+25*(1-EXP(-0.0175*A96))),70*'Scénario référence'!$B$16)+IF((32+38*(1-EXP(-0.0175*A96)))&lt;70,'Scénario référence'!$B$18*(32+38*(1-EXP(-0.0175*A96))),70*'Scénario référence'!$B$18)</f>
        <v>70</v>
      </c>
      <c r="J96" s="13">
        <f>IF(A96&gt;30,10,('Scénario référence'!$B$16+'Scénario référence'!$B$17+'Scénario référence'!$B$18+'Scénario référence'!$B$9+'Scénario référence'!$B$10)*A96*10/30+('Scénario référence'!$F$8+'Scénario référence'!$F$9)*10)</f>
        <v>10</v>
      </c>
      <c r="K96" s="12" t="e">
        <f>VLOOKUP(A96,'Données projet'!$A$35:$I$55,2,0)</f>
        <v>#N/A</v>
      </c>
      <c r="L96" s="12" t="e">
        <f>VLOOKUP(A96,'Données projet'!$A$35:$I$55,9,0)</f>
        <v>#N/A</v>
      </c>
      <c r="M96" s="12">
        <f t="array" ref="M96">INDEX(L:L,MIN(IF(ISNUMBER(L96:L292),ROW(L96:L292),"")))</f>
        <v>0</v>
      </c>
      <c r="N96" s="13">
        <f>IF('Données projet'!$A$36&gt;35,N95+M96-V95,IF(A96&lt;'Données projet'!$A$36,$K$205^A96,IF(A96='Données projet'!$A$36,'Données projet'!$B$36,N95+M96-V95)))</f>
        <v>-2.2737367544323206E-13</v>
      </c>
      <c r="O96" s="13">
        <f>N96*VLOOKUP('Données projet'!$B$9,Paramètres!$A$1:$I$89,3,0)*VLOOKUP('Données projet'!$B$9,Paramètres!$A$1:$I$89,5,0)</f>
        <v>-1.2710188457276673E-13</v>
      </c>
      <c r="P96" s="13" t="e">
        <f t="shared" si="87"/>
        <v>#NUM!</v>
      </c>
      <c r="Q96" s="20" t="e">
        <f t="shared" si="54"/>
        <v>#NUM!</v>
      </c>
      <c r="R96" s="59" t="e">
        <f t="shared" si="55"/>
        <v>#NUM!</v>
      </c>
      <c r="S96" s="59">
        <f ca="1">AVERAGE(OFFSET($R$3,0,0,'Données projet'!$E$9+1,1))-AVERAGE(OFFSET($H$3,0,0,'Données projet'!$E$9+1,1))</f>
        <v>255.5374979188561</v>
      </c>
      <c r="T96" s="59">
        <f t="shared" si="88"/>
        <v>343.10418468620901</v>
      </c>
      <c r="U96" s="15">
        <f>IF(ISNA(VLOOKUP(A96,'Données projet'!$A$35:$I$55,3,0)),0,VLOOKUP(A96,'Données projet'!$A$35:$I$55,3,0))</f>
        <v>0</v>
      </c>
      <c r="V96" s="15">
        <f>IF(ISNA(VLOOKUP(A96,'Données projet'!$A$35:$I$55,4,0)),0,VLOOKUP(A96,'Données projet'!$A$35:$I$55,4,0))</f>
        <v>0</v>
      </c>
      <c r="W96" s="16">
        <f>IF(ISNA(VLOOKUP(A96,'Données projet'!$A$35:$I$55,5,0)),0%,VLOOKUP(A96,'Données projet'!$A$35:$I$55,5,0)*VLOOKUP('Données projet'!$B$9,Paramètres!$A$1:$I$89,7,0))</f>
        <v>0</v>
      </c>
      <c r="X96" s="16">
        <f>IF(ISNA(VLOOKUP(A96,'Données projet'!$A$35:$I$55,6,0)),0%,VLOOKUP(A96,'Données projet'!$A$35:$I$55,6,0)*VLOOKUP('Données projet'!$B$9,Paramètres!$A$1:$I$89,7,0))</f>
        <v>0</v>
      </c>
      <c r="Y96" s="16">
        <f>IF(ISNA(VLOOKUP(A96,'Données projet'!$A$35:$I$55,7,0)),0%,VLOOKUP(A96,'Données projet'!$A$35:$I$55,7,0))</f>
        <v>0</v>
      </c>
      <c r="Z96" s="21">
        <f>EXP(-LN(2)/35)*Z95+(1-EXP(-LN(2)/35))/(LN(2)/35)*V96*W96*VLOOKUP('Données projet'!$B$9,Paramètres!$A$1:$I$89,3,0)*0.475*44/12</f>
        <v>0.88738120932767439</v>
      </c>
      <c r="AA96" s="21">
        <f>EXP(-LN(2)/25)*AA95+(1-EXP(-LN(2)/25))/(LN(2)/25)*Calculateur!V96*Calculateur!X96*VLOOKUP('Données projet'!$B$9,Paramètres!$A$1:$I$89,3,0)*0.475*44/12</f>
        <v>2.7825587919065695</v>
      </c>
      <c r="AB96" s="21">
        <f>EXP(-LN(2)/2)*AB95+(1-EXP(-LN(2)/2))/(LN(2)/2)*V96*Y96*VLOOKUP('Données projet'!$B$9,Paramètres!$A$1:$I$89,3,0)*0.475*44/12</f>
        <v>5.5734336542500225E-10</v>
      </c>
      <c r="AC96" s="22">
        <f t="shared" si="57"/>
        <v>3.6699400017915873</v>
      </c>
      <c r="AD96" s="13">
        <f>('Scénario référence'!$F$8+'Scénario référence'!$F$9+'Scénario référence'!$B$17+'Scénario référence'!$B$9+'Scénario référence'!$B$10)*70+IF((45+25*(1-EXP(-0.0175*A96)))&lt;70,'Scénario référence'!$B$16*(45+25*(1-EXP(-0.0175*A96))),70*'Scénario référence'!$B$16)+IF((32+38*(1-EXP(-0.0175*A96)))&lt;70,'Scénario référence'!$B$18*(32+38*(1-EXP(-0.0175*A96))),70*'Scénario référence'!$B$18)</f>
        <v>70</v>
      </c>
      <c r="AE96" s="13">
        <f>IF(A96&gt;30,10,('Scénario référence'!$B$16+'Scénario référence'!$B$17+'Scénario référence'!$B$18+'Scénario référence'!$B$9+'Scénario référence'!$B$10)*A96*10/30+('Scénario référence'!$F$8+'Scénario référence'!$F$9)*10)</f>
        <v>10</v>
      </c>
      <c r="AF96" s="12" t="e">
        <f>VLOOKUP(A96,'Données projet'!$A$61:$I$81,2,0)</f>
        <v>#N/A</v>
      </c>
      <c r="AG96" s="12" t="e">
        <f>VLOOKUP(A96,'Données projet'!$A$61:$I$81,9,0)</f>
        <v>#N/A</v>
      </c>
      <c r="AH96" s="12">
        <f t="array" ref="AH96">INDEX(AG:AG,MIN(IF(ISNUMBER(AG96:AG292),ROW(AG96:AG292),"")))</f>
        <v>0</v>
      </c>
      <c r="AI96" s="13">
        <f>IF('Données projet'!$A$62&gt;35,AI95+AH96-AQ95,IF(A96&lt;'Données projet'!$A$62,$AF$205^A96,IF(A96='Données projet'!$A$62,'Données projet'!$B$62,AI95+AH96-AQ95)))</f>
        <v>0</v>
      </c>
      <c r="AJ96" s="13">
        <f>AI96*VLOOKUP('Données projet'!$B$10,Paramètres!$A$1:$I$89,3,0)*VLOOKUP('Données projet'!$B$10,Paramètres!$A$1:$I$89,5,0)</f>
        <v>0</v>
      </c>
      <c r="AK96" s="13" t="e">
        <f t="shared" si="89"/>
        <v>#NUM!</v>
      </c>
      <c r="AL96" s="20" t="e">
        <f t="shared" si="58"/>
        <v>#NUM!</v>
      </c>
      <c r="AM96" s="59" t="e">
        <f t="shared" si="59"/>
        <v>#NUM!</v>
      </c>
      <c r="AN96" s="59">
        <f ca="1">AVERAGE(OFFSET($AM$3,0,0,'Données projet'!$E$10+1,1))-AVERAGE(OFFSET($H$3,0,0,'Données projet'!$E$10+1,1))</f>
        <v>261.78489480911571</v>
      </c>
      <c r="AO96" s="59">
        <f t="shared" si="90"/>
        <v>297.50513563712764</v>
      </c>
      <c r="AP96" s="15">
        <f>IF(ISNA(VLOOKUP(A96,'Données projet'!$A$61:$I$81,3,0)),0,VLOOKUP(A96,'Données projet'!$A$61:$I$81,3,0))</f>
        <v>0</v>
      </c>
      <c r="AQ96" s="15">
        <f>IF(ISNA(VLOOKUP(A96,'Données projet'!$A$61:$I$81,4,0)),0,VLOOKUP(A96,'Données projet'!$A$61:$I$81,4,0))</f>
        <v>0</v>
      </c>
      <c r="AR96" s="16">
        <f>IF(ISNA(VLOOKUP(A96,'Données projet'!$A$61:$I$81,5,0)),0%,VLOOKUP(A96,'Données projet'!$A$61:$I$81,5,0)*VLOOKUP('Données projet'!$B$10,Paramètres!$A$1:$I$89,7,0))</f>
        <v>0</v>
      </c>
      <c r="AS96" s="16">
        <f>IF(ISNA(VLOOKUP(A96,'Données projet'!$A$61:$I$81,6,0)),0%,VLOOKUP(A96,'Données projet'!$A$61:$I$81,6,0)*VLOOKUP('Données projet'!$B$10,Paramètres!$A$1:$I$89,7,0))</f>
        <v>0</v>
      </c>
      <c r="AT96" s="16">
        <f>IF(ISNA(VLOOKUP(A96,'Données projet'!$A$61:$I$81,7,0)),0%,VLOOKUP(A96,'Données projet'!$A$61:$I$81,7,0))</f>
        <v>0</v>
      </c>
      <c r="AU96" s="21">
        <f>EXP(-LN(2)/35)*AU95+(1-EXP(-LN(2)/35))/(LN(2)/35)*AQ96*AR96*VLOOKUP('Données projet'!$B$10,Paramètres!$A$1:$I$89,3,0)*0.475*44/12</f>
        <v>2.3961802597559139</v>
      </c>
      <c r="AV96" s="21">
        <f>EXP(-LN(2)/25)*AV95+(1-EXP(-LN(2)/25))/(LN(2)/25)*Calculateur!AQ96*Calculateur!AS96*VLOOKUP('Données projet'!$B$10,Paramètres!$A$1:$I$89,3,0)*0.475*44/12</f>
        <v>4.8589151837937639</v>
      </c>
      <c r="AW96" s="21">
        <f>EXP(-LN(2)/2)*AW95+(1-EXP(-LN(2)/2))/(LN(2)/2)*AQ96*AT96*VLOOKUP('Données projet'!$B$10,Paramètres!$A$1:$I$89,3,0)*0.475*44/12</f>
        <v>8.0346352057249617E-9</v>
      </c>
      <c r="AX96" s="21">
        <f t="shared" si="60"/>
        <v>7.2550954515843129</v>
      </c>
      <c r="AY96" s="74">
        <f>('Scénario référence'!$F$8+'Scénario référence'!$F$9+'Scénario référence'!$B$17+'Scénario référence'!$B$9+'Scénario référence'!$B$10)*70+IF((45+25*(1-EXP(-0.0175*A96)))&lt;70,'Scénario référence'!$B$16*(45+25*(1-EXP(-0.0175*A96))),70*'Scénario référence'!$B$16)+IF((32+38*(1-EXP(-0.0175*A96)))&lt;70,'Scénario référence'!$B$18*(32+38*(1-EXP(-0.0175*A96))),70*'Scénario référence'!$B$18)</f>
        <v>70</v>
      </c>
      <c r="AZ96" s="12">
        <f>IF(A96&gt;30,10,('Scénario référence'!$B$16+'Scénario référence'!$B$17+'Scénario référence'!$B$18+'Scénario référence'!$B$9+'Scénario référence'!$B$10)*A96*10/30+('Scénario référence'!$F$8+'Scénario référence'!$F$9)*10)</f>
        <v>10</v>
      </c>
      <c r="BA96" s="12" t="e">
        <f>VLOOKUP(A96,'Données projet'!$A$87:$I$107,2,0)</f>
        <v>#N/A</v>
      </c>
      <c r="BB96" s="12" t="e">
        <f>VLOOKUP(A96,'Données projet'!$A$87:$I$107,9,0)</f>
        <v>#N/A</v>
      </c>
      <c r="BC96" s="12">
        <f t="array" ref="BC96">INDEX(BB:BB,MIN(IF(ISNUMBER(BB96:BB292),ROW(BB96:BB292),"")))</f>
        <v>0</v>
      </c>
      <c r="BD96" s="12">
        <f>IF('Données projet'!$A$88&gt;35,BD95+BC96-BL95,IF(A96&lt;'Données projet'!$A$88,$BA$205^A96,IF(A96='Données projet'!$A$88,'Données projet'!$B$88,BD95+BC96-BL95)))</f>
        <v>553.99999999999955</v>
      </c>
      <c r="BE96" s="13">
        <f>BD96*VLOOKUP('Données projet'!$B$11,Paramètres!$A$1:$I$89,3,0)*VLOOKUP('Données projet'!$B$11,Paramètres!$A$1:$I$89,5,0)</f>
        <v>331.29199999999975</v>
      </c>
      <c r="BF96" s="13">
        <f t="shared" si="91"/>
        <v>77.698110787752</v>
      </c>
      <c r="BG96" s="20">
        <f t="shared" si="61"/>
        <v>712.32444295533423</v>
      </c>
      <c r="BH96" s="59">
        <f t="shared" si="62"/>
        <v>1005.6577762886675</v>
      </c>
      <c r="BI96" s="59">
        <f ca="1">AVERAGE(OFFSET($BH$3,0,0,'Données projet'!$E$11+1,1))-AVERAGE(OFFSET($H$3,0,0,'Données projet'!$E$11+1,1))</f>
        <v>316.58509520829671</v>
      </c>
      <c r="BJ96" s="59">
        <f t="shared" si="92"/>
        <v>240.71332110643596</v>
      </c>
      <c r="BK96" s="15">
        <f>IF(ISNA(VLOOKUP(A96,'Données projet'!$A$87:$I$107,3,0)),0,VLOOKUP(A96,'Données projet'!$A$87:$I$107,3,0))</f>
        <v>0</v>
      </c>
      <c r="BL96" s="15">
        <f>IF(ISNA(VLOOKUP(A96,'Données projet'!$A$87:$I$107,4,0)),0,VLOOKUP(A96,'Données projet'!$A$87:$I$107,4,0))</f>
        <v>0</v>
      </c>
      <c r="BM96" s="16">
        <f>IF(ISNA(VLOOKUP(A96,'Données projet'!$A$87:$I$107,5,0)),0%,VLOOKUP(A96,'Données projet'!$A$87:$I$107,5,0)*VLOOKUP('Données projet'!$B$11,Paramètres!$A$1:$I$89,7,0))</f>
        <v>0</v>
      </c>
      <c r="BN96" s="16">
        <f>IF(ISNA(VLOOKUP(A96,'Données projet'!$A$87:$I$107,6,0)),0%,VLOOKUP(A96,'Données projet'!$A$87:$I$107,6,0)*VLOOKUP('Données projet'!$B$11,Paramètres!$A$1:$I$89,7,0))</f>
        <v>0</v>
      </c>
      <c r="BO96" s="16">
        <f>IF(ISNA(VLOOKUP(A96,'Données projet'!$A$87:$I$107,7,0)),0%,VLOOKUP(A96,'Données projet'!$A$87:$I$107,7,0))</f>
        <v>0</v>
      </c>
      <c r="BP96" s="21">
        <f>EXP(-LN(2)/35)*BP95+(1-EXP(-LN(2)/35))/(LN(2)/35)*BL96*BM96*VLOOKUP('Données projet'!$B$11,Paramètres!$A$1:$I$89,3,0)*0.475*44/12</f>
        <v>0.72785758262302969</v>
      </c>
      <c r="BQ96" s="21">
        <f>EXP(-LN(2)/25)*BQ95+(1-EXP(-LN(2)/25))/(LN(2)/25)*Calculateur!BL96*Calculateur!BN96*VLOOKUP('Données projet'!$B$11,Paramètres!$A$1:$I$89,3,0)*0.475*44/12</f>
        <v>2.661855511481594</v>
      </c>
      <c r="BR96" s="21">
        <f>EXP(-LN(2)/2)*BR95+(1-EXP(-LN(2)/2))/(LN(2)/2)*BL96*BO96*VLOOKUP('Données projet'!$B$11,Paramètres!$A$1:$I$89,3,0)*0.475*44/12</f>
        <v>7.2240169437950083E-9</v>
      </c>
      <c r="BS96" s="22">
        <f t="shared" si="63"/>
        <v>3.3897131013286406</v>
      </c>
      <c r="BT96" s="75">
        <f>('Scénario référence'!$F$8+'Scénario référence'!$F$9+'Scénario référence'!$B$17+'Scénario référence'!$B$9+'Scénario référence'!$B$10)*70+IF((45+25*(1-EXP(-0.0175*A96)))&lt;70,'Scénario référence'!$B$16*(45+25*(1-EXP(-0.0175*A96))),70*'Scénario référence'!$B$16)+IF((32+38*(1-EXP(-0.0175*A96)))&lt;70,'Scénario référence'!$B$18*(32+38*(1-EXP(-0.0175*A96))),70*'Scénario référence'!$B$18)</f>
        <v>70</v>
      </c>
      <c r="BU96" s="12">
        <f>IF(A96&gt;30,10,('Scénario référence'!$B$16+'Scénario référence'!$B$17+'Scénario référence'!$B$18+'Scénario référence'!$B$9+'Scénario référence'!$B$10)*A96*10/30+('Scénario référence'!$F$8+'Scénario référence'!$F$9)*10)</f>
        <v>10</v>
      </c>
      <c r="BV96" s="12" t="e">
        <f>VLOOKUP(A96,'Données projet'!$A$113:$I$133,2,0)</f>
        <v>#N/A</v>
      </c>
      <c r="BW96" s="12" t="e">
        <f>VLOOKUP(A96,'Données projet'!$A$113:$I$133,9,0)</f>
        <v>#N/A</v>
      </c>
      <c r="BX96" s="12">
        <f t="array" ref="BX96">INDEX(BW:BW,MIN(IF(ISNUMBER(BW96:BW292),ROW(BW96:BW292),"")))</f>
        <v>3.5</v>
      </c>
      <c r="BY96" s="12">
        <f>IF('Données projet'!$A$114&gt;35,BY95+BX96-CG95,IF(A96&lt;'Données projet'!$A$114,$BV$205^A96,IF(A96='Données projet'!$A$114,'Données projet'!$B$114,BY95+BX96-CG95)))</f>
        <v>336.49999999999977</v>
      </c>
      <c r="BZ96" s="13">
        <f>BY96*VLOOKUP('Données projet'!$B$12,Paramètres!$A$1:$I$89,3,0)*VLOOKUP('Données projet'!$B$12,Paramètres!$A$1:$I$89,5,0)</f>
        <v>192.47799999999987</v>
      </c>
      <c r="CA96" s="13">
        <f t="shared" si="93"/>
        <v>48.087389626209038</v>
      </c>
      <c r="CB96" s="20">
        <f t="shared" si="64"/>
        <v>418.98472026564718</v>
      </c>
      <c r="CC96" s="59">
        <f t="shared" si="65"/>
        <v>712.31805359898044</v>
      </c>
      <c r="CD96" s="59">
        <f ca="1">AVERAGE(OFFSET($CC$3,0,0,'Données projet'!$E$12+1,1))-AVERAGE(OFFSET($H$3,0,0,'Données projet'!$E$12+1,1))</f>
        <v>188.64374818906128</v>
      </c>
      <c r="CE96" s="59">
        <f t="shared" si="94"/>
        <v>211.95157880548652</v>
      </c>
      <c r="CF96" s="15">
        <f>IF(ISNA(VLOOKUP(A96,'Données projet'!$A$113:$I$133,3,0)),0,VLOOKUP(A96,'Données projet'!$A$113:$I$133,3,0))</f>
        <v>0</v>
      </c>
      <c r="CG96" s="15">
        <f>IF(ISNA(VLOOKUP(A96,'Données projet'!$A$113:$I$133,4,0)),0,VLOOKUP(A96,'Données projet'!$A$113:$I$133,4,0))</f>
        <v>0</v>
      </c>
      <c r="CH96" s="16">
        <f>IF(ISNA(VLOOKUP(A96,'Données projet'!$A$113:$I$133,5,0)),0%,VLOOKUP(A96,'Données projet'!$A$113:$I$133,5,0)*VLOOKUP('Données projet'!$B$12,Paramètres!$A$1:$I$89,7,0))</f>
        <v>0</v>
      </c>
      <c r="CI96" s="16">
        <f>IF(ISNA(VLOOKUP(A96,'Données projet'!$A$113:$I$133,6,0)),0%,VLOOKUP(A96,'Données projet'!$A$113:$I$133,6,0)*VLOOKUP('Données projet'!$B$12,Paramètres!$A$1:$I$89,7,0))</f>
        <v>0</v>
      </c>
      <c r="CJ96" s="16">
        <f>IF(ISNA(VLOOKUP(A96,'Données projet'!$A$113:$I$133,7,0)),0%,VLOOKUP(A96,'Données projet'!$A$113:$I$133,7,0))</f>
        <v>0</v>
      </c>
      <c r="CK96" s="21">
        <f>EXP(-LN(2)/35)*CK95+(1-EXP(-LN(2)/35))/(LN(2)/35)*CG96*CH96*VLOOKUP('Données projet'!$B$12,Paramètres!$A$1:$I$89,3,0)*0.475*44/12</f>
        <v>0.7060173979637957</v>
      </c>
      <c r="CL96" s="21">
        <f>EXP(-LN(2)/25)*CL95+(1-EXP(-LN(2)/25))/(LN(2)/25)*Calculateur!CG96*Calculateur!CI96*VLOOKUP('Données projet'!$B$12,Paramètres!$A$1:$I$89,3,0)*0.475*44/12</f>
        <v>2.5053986765073755</v>
      </c>
      <c r="CM96" s="21">
        <f>EXP(-LN(2)/2)*CM95+(1-EXP(-LN(2)/2))/(LN(2)/2)*CG96*CJ96*VLOOKUP('Données projet'!$B$12,Paramètres!$A$1:$I$89,3,0)*0.475*44/12</f>
        <v>6.9958951945855163E-9</v>
      </c>
      <c r="CN96" s="22">
        <f t="shared" si="66"/>
        <v>3.2114160814670663</v>
      </c>
      <c r="CO96" s="75">
        <f>('Scénario référence'!$F$8+'Scénario référence'!$F$9+'Scénario référence'!$B$17+'Scénario référence'!$B$9+'Scénario référence'!$B$10)*70+IF((45+25*(1-EXP(-0.0175*A96)))&lt;70,'Scénario référence'!$B$16*(45+25*(1-EXP(-0.0175*A96))),70*'Scénario référence'!$B$16)+IF((32+38*(1-EXP(-0.0175*A96)))&lt;70,'Scénario référence'!$B$18*(32+38*(1-EXP(-0.0175*A96))),70*'Scénario référence'!$B$18)</f>
        <v>70</v>
      </c>
      <c r="CP96" s="12">
        <f>IF(A96&gt;30,10,('Scénario référence'!$B$16+'Scénario référence'!$B$17+'Scénario référence'!$B$18+'Scénario référence'!$B$9+'Scénario référence'!$B$10)*A96*10/30+('Scénario référence'!$F$8+'Scénario référence'!$F$9)*10)</f>
        <v>10</v>
      </c>
      <c r="CQ96" s="12" t="e">
        <f>VLOOKUP(A96,'Données projet'!$A$139:$I$159,2,0)</f>
        <v>#N/A</v>
      </c>
      <c r="CR96" s="12" t="e">
        <f>VLOOKUP(A96,'Données projet'!$A$139:$I$159,9,0)</f>
        <v>#N/A</v>
      </c>
      <c r="CS96" s="12">
        <f t="array" ref="CS96">INDEX(CR:CR,MIN(IF(ISNUMBER(CR96:CR292),ROW(CR96:CR292),"")))</f>
        <v>0</v>
      </c>
      <c r="CT96" s="12">
        <f>IF('Données projet'!$A$140&gt;35,CT95+CS96-DB95,IF(A96&lt;'Données projet'!$A$140,$CQ$205^A96,IF(A96='Données projet'!$A$140,'Données projet'!$B$140,CT95+CS96-DB95)))</f>
        <v>0</v>
      </c>
      <c r="CU96" s="17" t="e">
        <f>CT96*VLOOKUP('Données projet'!$B$13,Paramètres!$A$1:$I$89,3,0)*VLOOKUP('Données projet'!$B$13,Paramètres!$A$1:$I$89,5,0)</f>
        <v>#N/A</v>
      </c>
      <c r="CV96" s="13" t="e">
        <f t="shared" si="95"/>
        <v>#N/A</v>
      </c>
      <c r="CW96" s="20" t="e">
        <f t="shared" si="67"/>
        <v>#N/A</v>
      </c>
      <c r="CX96" s="59" t="e">
        <f t="shared" si="68"/>
        <v>#N/A</v>
      </c>
      <c r="CY96" s="59" t="e">
        <f ca="1">AVERAGE(OFFSET($CX$3,0,0,'Données projet'!$E$13+1,1))-AVERAGE(OFFSET($H$3,0,0,'Données projet'!$E$13+1,1))</f>
        <v>#N/A</v>
      </c>
      <c r="CZ96" s="59" t="e">
        <f t="shared" si="96"/>
        <v>#N/A</v>
      </c>
      <c r="DA96" s="15">
        <f>IF(ISNA(VLOOKUP(A96,'Données projet'!$A$139:$I$159,3,0)),0,VLOOKUP(A96,'Données projet'!$A$139:$I$159,3,0))</f>
        <v>0</v>
      </c>
      <c r="DB96" s="15">
        <f>IF(ISNA(VLOOKUP(A96,'Données projet'!$A$139:$I$159,4,0)),0,VLOOKUP(A96,'Données projet'!$A$139:$I$159,4,0))</f>
        <v>0</v>
      </c>
      <c r="DC96" s="16">
        <f>IF(ISNA(VLOOKUP(A96,'Données projet'!$A$139:$I$159,5,0)),0%,VLOOKUP(A96,'Données projet'!$A$139:$I$159,5,0)*VLOOKUP('Données projet'!$B$13,Paramètres!$A$1:$I$89,7,0))</f>
        <v>0</v>
      </c>
      <c r="DD96" s="16">
        <f>IF(ISNA(VLOOKUP(A96,'Données projet'!$A$139:$I$159,6,0)),0%,VLOOKUP(A96,'Données projet'!$A$139:$I$159,6,0)*VLOOKUP('Données projet'!$B$13,Paramètres!$A$1:$I$89,7,0))</f>
        <v>0</v>
      </c>
      <c r="DE96" s="16">
        <f>IF(ISNA(VLOOKUP(A96,'Données projet'!$A$139:$I$159,7,0)),0%,VLOOKUP(A96,'Données projet'!$A$139:$I$159,7,0))</f>
        <v>0</v>
      </c>
      <c r="DF96" s="21" t="e">
        <f>EXP(-LN(2)/35)*DF95+(1-EXP(-LN(2)/35))/(LN(2)/35)*DB96*DC96*VLOOKUP('Données projet'!$B$13,Paramètres!$A$1:$I$89,3,0)*0.475*44/12</f>
        <v>#N/A</v>
      </c>
      <c r="DG96" s="21" t="e">
        <f>EXP(-LN(2)/25)*DG95+(1-EXP(-LN(2)/25))/(LN(2)/25)*Calculateur!DB96*Calculateur!DD96*VLOOKUP('Données projet'!$B$13,Paramètres!$A$1:$I$89,3,0)*0.475*44/12</f>
        <v>#N/A</v>
      </c>
      <c r="DH96" s="21" t="e">
        <f>EXP(-LN(2)/2)*DH95+(1-EXP(-LN(2)/2))/(LN(2)/2)*DB96*DE96*VLOOKUP('Données projet'!$B$13,Paramètres!$A$1:$I$89,3,0)*0.475*44/12</f>
        <v>#N/A</v>
      </c>
      <c r="DI96" s="22" t="e">
        <f t="shared" si="69"/>
        <v>#N/A</v>
      </c>
      <c r="DJ96" s="75">
        <f>('Scénario référence'!$F$8+'Scénario référence'!$F$9+'Scénario référence'!$B$17+'Scénario référence'!$B$9+'Scénario référence'!$B$10)*70+IF((45+25*(1-EXP(-0.0175*A96)))&lt;70,'Scénario référence'!$B$16*(45+25*(1-EXP(-0.0175*A96))),70*'Scénario référence'!$B$16)+IF((32+38*(1-EXP(-0.0175*A96)))&lt;70,'Scénario référence'!$B$18*(32+38*(1-EXP(-0.0175*A96))),70*'Scénario référence'!$B$18)</f>
        <v>70</v>
      </c>
      <c r="DK96" s="12">
        <f>IF(A96&gt;30,10,('Scénario référence'!$B$16+'Scénario référence'!$B$17+'Scénario référence'!$B$18+'Scénario référence'!$B$9+'Scénario référence'!$B$10)*A96*10/30+('Scénario référence'!$F$8+'Scénario référence'!$F$9)*10)</f>
        <v>10</v>
      </c>
      <c r="DL96" s="12" t="e">
        <f>VLOOKUP(A96,'Données projet'!$A$165:$I$185,2,0)</f>
        <v>#N/A</v>
      </c>
      <c r="DM96" s="12" t="e">
        <f>VLOOKUP(A96,'Données projet'!$A$165:$I$185,9,0)</f>
        <v>#N/A</v>
      </c>
      <c r="DN96" s="12">
        <f t="array" ref="DN96">INDEX(DM:DM,MIN(IF(ISNUMBER(DM96:DM292),ROW(DM96:DM292),"")))</f>
        <v>0</v>
      </c>
      <c r="DO96" s="12">
        <f>IF('Données projet'!$A$166&gt;35,DO95+DN96-DW95,IF(A96&lt;'Données projet'!$A$166,$DL$205^A96,IF(A96='Données projet'!$A$166,'Données projet'!$B$166,DO95+DN96-DW95)))</f>
        <v>268.00000000000017</v>
      </c>
      <c r="DP96" s="17">
        <f>DO96*VLOOKUP('Données projet'!$B$14,Paramètres!$A$1:$I$89,3,0)*VLOOKUP('Données projet'!$B$14,Paramètres!$A$1:$I$89,5,0)</f>
        <v>175.59360000000012</v>
      </c>
      <c r="DQ96" s="13">
        <f t="shared" si="97"/>
        <v>44.340433728638573</v>
      </c>
      <c r="DR96" s="20">
        <f t="shared" si="70"/>
        <v>383.05177541071242</v>
      </c>
      <c r="DS96" s="59">
        <f t="shared" si="71"/>
        <v>676.38510874404574</v>
      </c>
      <c r="DT96" s="59">
        <f ca="1">AVERAGE(OFFSET($DS$3,0,0,'Données projet'!$E$14+1,1))-AVERAGE(OFFSET($H$3,0,0,'Données projet'!$E$14+1,1))</f>
        <v>188.68915783955595</v>
      </c>
      <c r="DU96" s="59">
        <f t="shared" si="98"/>
        <v>240.82467772396944</v>
      </c>
      <c r="DV96" s="15">
        <f>IF(ISNA(VLOOKUP(A96,'Données projet'!$A$165:$I$185,3,0)),0,VLOOKUP(A96,'Données projet'!$A$165:$I$185,3,0))</f>
        <v>0</v>
      </c>
      <c r="DW96" s="15">
        <f>IF(ISNA(VLOOKUP(A96,'Données projet'!$A$165:$I$185,4,0)),0,VLOOKUP(A96,'Données projet'!$A$165:$I$185,4,0))</f>
        <v>0</v>
      </c>
      <c r="DX96" s="16">
        <f>IF(ISNA(VLOOKUP(A96,'Données projet'!$A$165:$I$185,5,0)),0%,VLOOKUP(A96,'Données projet'!$A$165:$I$185,5,0)*VLOOKUP('Données projet'!$B$14,Paramètres!$A$1:$I$89,7,0))</f>
        <v>0</v>
      </c>
      <c r="DY96" s="16">
        <f>IF(ISNA(VLOOKUP(A96,'Données projet'!$A$165:$I$185,6,0)),0%,VLOOKUP(A96,'Données projet'!$A$165:$I$185,6,0)*VLOOKUP('Données projet'!$B$14,Paramètres!$A$1:$I$89,7,0))</f>
        <v>0</v>
      </c>
      <c r="DZ96" s="16">
        <f>IF(ISNA(VLOOKUP(A96,'Données projet'!$A$165:$I$185,7,0)),0%,VLOOKUP(A96,'Données projet'!$A$165:$I$185,7,0))</f>
        <v>0</v>
      </c>
      <c r="EA96" s="21">
        <f>EXP(-LN(2)/35)*EA95+(1-EXP(-LN(2)/35))/(LN(2)/35)*DW96*DX96*VLOOKUP('Données projet'!$B$14,Paramètres!$A$1:$I$89,3,0)*0.475*44/12</f>
        <v>0.44720378111763992</v>
      </c>
      <c r="EB96" s="21">
        <f>EXP(-LN(2)/25)*EB95+(1-EXP(-LN(2)/25))/(LN(2)/25)*Calculateur!DW96*Calculateur!DY96*VLOOKUP('Données projet'!$B$14,Paramètres!$A$1:$I$89,3,0)*0.475*44/12</f>
        <v>1.4013737970340625</v>
      </c>
      <c r="EC96" s="21">
        <f>EXP(-LN(2)/2)*EC95+(1-EXP(-LN(2)/2))/(LN(2)/2)*DW96*DZ96*VLOOKUP('Données projet'!$B$14,Paramètres!$A$1:$I$89,3,0)*0.475*44/12</f>
        <v>4.6086288054010742E-9</v>
      </c>
      <c r="ED96" s="22">
        <f t="shared" si="72"/>
        <v>1.8485775827603312</v>
      </c>
      <c r="EE96" s="75">
        <f>('Scénario référence'!$F$8+'Scénario référence'!$F$9+'Scénario référence'!$B$17+'Scénario référence'!$B$9+'Scénario référence'!$B$10)*70+IF((45+25*(1-EXP(-0.0175*A96)))&lt;70,'Scénario référence'!$B$16*(45+25*(1-EXP(-0.0175*A96))),70*'Scénario référence'!$B$16)+IF((32+38*(1-EXP(-0.0175*A96)))&lt;70,'Scénario référence'!$B$18*(32+38*(1-EXP(-0.0175*A96))),70*'Scénario référence'!$B$18)</f>
        <v>70</v>
      </c>
      <c r="EF96" s="12">
        <f>IF(A96&gt;30,10,('Scénario référence'!$B$16+'Scénario référence'!$B$17+'Scénario référence'!$B$18+'Scénario référence'!$B$9+'Scénario référence'!$B$10)*A96*10/30+('Scénario référence'!$F$8+'Scénario référence'!$F$9)*10)</f>
        <v>10</v>
      </c>
      <c r="EG96" s="12" t="e">
        <f>VLOOKUP(A96,'Données projet'!$A$191:$I$211,2,0)</f>
        <v>#N/A</v>
      </c>
      <c r="EH96" s="12" t="e">
        <f>VLOOKUP(A96,'Données projet'!$A$191:$I$211,9,0)</f>
        <v>#N/A</v>
      </c>
      <c r="EI96" s="12">
        <f t="array" ref="EI96">INDEX(EH:EH,MIN(IF(ISNUMBER(EH96:EH292),ROW(EH96:EH292),"")))</f>
        <v>0</v>
      </c>
      <c r="EJ96" s="12">
        <f>IF('Données projet'!$A$192&gt;35,EJ95+EI96-ER95,IF(A96&lt;'Données projet'!$A$192,$EG$205^A96,IF(A96='Données projet'!$A$192,'Données projet'!$B$192,EJ95+EI96-ER95)))</f>
        <v>275.99999999999972</v>
      </c>
      <c r="EK96" s="17">
        <f>EJ96*VLOOKUP('Données projet'!$B$15,Paramètres!$A$1:$I$89,3,0)*VLOOKUP('Données projet'!$B$15,Paramètres!$A$1:$I$89,5,0)</f>
        <v>223.8911999999998</v>
      </c>
      <c r="EL96" s="13">
        <f t="shared" si="99"/>
        <v>54.95975389514858</v>
      </c>
      <c r="EM96" s="20">
        <f t="shared" si="73"/>
        <v>485.66541136738346</v>
      </c>
      <c r="EN96" s="59">
        <f t="shared" si="74"/>
        <v>778.99874470071677</v>
      </c>
      <c r="EO96" s="59">
        <f ca="1">AVERAGE(OFFSET($EN$3,0,0,'Données projet'!$E$15+1,1))-AVERAGE(OFFSET($H$3,0,0,'Données projet'!$E$15+1,1))</f>
        <v>205.5272583787887</v>
      </c>
      <c r="EP96" s="59">
        <f t="shared" si="100"/>
        <v>180.54762778843178</v>
      </c>
      <c r="EQ96" s="15">
        <f>IF(ISNA(VLOOKUP(A96,'Données projet'!$A$191:$I$211,3,0)),0,VLOOKUP(A96,'Données projet'!$A$191:$I$211,3,0))</f>
        <v>0</v>
      </c>
      <c r="ER96" s="15">
        <f>IF(ISNA(VLOOKUP(A96,'Données projet'!$A$191:$I$211,4,0)),0,VLOOKUP(A96,'Données projet'!$A$191:$I$211,4,0))</f>
        <v>0</v>
      </c>
      <c r="ES96" s="16">
        <f>IF(ISNA(VLOOKUP(A96,'Données projet'!$A$191:$I$211,5,0)),0%,VLOOKUP(A96,'Données projet'!$A$191:$I$211,5,0)*VLOOKUP('Données projet'!$B$15,Paramètres!$A$1:$I$89,7,0))</f>
        <v>0</v>
      </c>
      <c r="ET96" s="16">
        <f>IF(ISNA(VLOOKUP(A96,'Données projet'!$A$191:$I$211,6,0)),0%,VLOOKUP(A96,'Données projet'!$A$191:$I$211,6,0)*VLOOKUP('Données projet'!$B$15,Paramètres!$A$1:$I$89,7,0))</f>
        <v>0</v>
      </c>
      <c r="EU96" s="16">
        <f>IF(ISNA(VLOOKUP(A96,'Données projet'!$A$191:$I$211,7,0)),0%,VLOOKUP(A96,'Données projet'!$A$191:$I$211,7,0))</f>
        <v>0</v>
      </c>
      <c r="EV96" s="21">
        <f>EXP(-LN(2)/35)*EV95+(1-EXP(-LN(2)/35))/(LN(2)/35)*ER96*ES96*VLOOKUP('Données projet'!$B$15,Paramètres!$A$1:$I$89,3,0)*0.475*44/12</f>
        <v>0.28791405336716624</v>
      </c>
      <c r="EW96" s="21">
        <f>EXP(-LN(2)/25)*EW95+(1-EXP(-LN(2)/25))/(LN(2)/25)*Calculateur!ER96*Calculateur!ET96*VLOOKUP('Données projet'!$B$15,Paramètres!$A$1:$I$89,3,0)*0.475*44/12</f>
        <v>1.011834393484883</v>
      </c>
      <c r="EX96" s="21">
        <f>EXP(-LN(2)/2)*EX95+(1-EXP(-LN(2)/2))/(LN(2)/2)*ER96*EU96*VLOOKUP('Données projet'!$B$15,Paramètres!$A$1:$I$89,3,0)*0.475*44/12</f>
        <v>2.9840905592381077E-9</v>
      </c>
      <c r="EY96" s="22">
        <f t="shared" si="75"/>
        <v>1.2997484498361398</v>
      </c>
      <c r="EZ96" s="75">
        <f>('Scénario référence'!$F$8+'Scénario référence'!$F$9+'Scénario référence'!$B$17+'Scénario référence'!$B$9+'Scénario référence'!$B$10)*70+IF((45+25*(1-EXP(-0.0175*A96)))&lt;70,'Scénario référence'!$B$16*(45+25*(1-EXP(-0.0175*A96))),70*'Scénario référence'!$B$16)+IF((32+38*(1-EXP(-0.0175*A96)))&lt;70,'Scénario référence'!$B$18*(32+38*(1-EXP(-0.0175*A96))),70*'Scénario référence'!$B$18)</f>
        <v>70</v>
      </c>
      <c r="FA96" s="12">
        <f>IF(A96&gt;30,10,('Scénario référence'!$B$16+'Scénario référence'!$B$17+'Scénario référence'!$B$18+'Scénario référence'!$B$9+'Scénario référence'!$B$10)*A96*10/30+('Scénario référence'!$F$8+'Scénario référence'!$F$9)*10)</f>
        <v>10</v>
      </c>
      <c r="FB96" s="12" t="e">
        <f>VLOOKUP(A96,'Données projet'!$A$217:$I$237,2,0)</f>
        <v>#N/A</v>
      </c>
      <c r="FC96" s="12" t="e">
        <f>VLOOKUP(A96,'Données projet'!$A$217:$I$237,9,0)</f>
        <v>#N/A</v>
      </c>
      <c r="FD96" s="12">
        <f t="array" ref="FD96">INDEX(FC:FC,MIN(IF(ISNUMBER(FC96:FC292),ROW(FC96:FC292),"")))</f>
        <v>9.6999999999999993</v>
      </c>
      <c r="FE96" s="12">
        <f>IF('Données projet'!$A$218&gt;35,FE95+FD96-FM95,IF(A96&lt;'Données projet'!$A$218,$FB$205^A96,IF(A96='Données projet'!$A$218,'Données projet'!$B$218,FE95+FD96-FM95)))</f>
        <v>368.09999999999991</v>
      </c>
      <c r="FF96" s="17">
        <f>FE96*VLOOKUP('Données projet'!$B$16,Paramètres!$A$1:$I$89,3,0)*VLOOKUP('Données projet'!$B$16,Paramètres!$A$1:$I$89,5,0)</f>
        <v>315.82979999999992</v>
      </c>
      <c r="FG96" s="13">
        <f t="shared" si="101"/>
        <v>74.485001133032682</v>
      </c>
      <c r="FH96" s="20">
        <f t="shared" si="76"/>
        <v>679.79827864003175</v>
      </c>
      <c r="FI96" s="59">
        <f t="shared" si="77"/>
        <v>973.13161197336512</v>
      </c>
      <c r="FJ96" s="59">
        <f ca="1">AVERAGE(OFFSET($FI$3,0,0,'Données projet'!$E$16+1,1))-AVERAGE(OFFSET($H$3,0,0,'Données projet'!$E$16+1,1))</f>
        <v>383.97627237444709</v>
      </c>
      <c r="FK96" s="59">
        <f t="shared" si="102"/>
        <v>203.35476578922339</v>
      </c>
      <c r="FL96" s="15">
        <f>IF(ISNA(VLOOKUP(A96,'Données projet'!$A$217:$I$237,3,0)),0,VLOOKUP(A96,'Données projet'!$A$217:$I$237,3,0))</f>
        <v>0</v>
      </c>
      <c r="FM96" s="15">
        <f>IF(ISNA(VLOOKUP(A96,'Données projet'!$A$217:$I$237,4,0)),0,VLOOKUP(A96,'Données projet'!$A$217:$I$237,4,0))</f>
        <v>0</v>
      </c>
      <c r="FN96" s="16">
        <f>IF(ISNA(VLOOKUP(A96,'Données projet'!$A$217:$I$237,5,0)),0%,VLOOKUP(A96,'Données projet'!$A$217:$I$237,5,0)*VLOOKUP('Données projet'!$B$16,Paramètres!$A$1:$I$89,7,0))</f>
        <v>0</v>
      </c>
      <c r="FO96" s="16">
        <f>IF(ISNA(VLOOKUP(A96,'Données projet'!$A$217:$I$237,6,0)),0%,VLOOKUP(A96,'Données projet'!$A$217:$I$237,6,0)*VLOOKUP('Données projet'!$B$16,Paramètres!$A$1:$I$89,7,0))</f>
        <v>0</v>
      </c>
      <c r="FP96" s="16">
        <f>IF(ISNA(VLOOKUP(A96,'Données projet'!$A$217:$I$237,7,0)),0%,VLOOKUP(A96,'Données projet'!$A$217:$I$237,7,0))</f>
        <v>0</v>
      </c>
      <c r="FQ96" s="21">
        <f>EXP(-LN(2)/35)*FQ95+(1-EXP(-LN(2)/35))/(LN(2)/35)*FM96*FN96*VLOOKUP('Données projet'!$B$16,Paramètres!$A$1:$I$89,3,0)*0.475*44/12</f>
        <v>1.4797220348913298</v>
      </c>
      <c r="FR96" s="21">
        <f>EXP(-LN(2)/25)*FR95+(1-EXP(-LN(2)/25))/(LN(2)/25)*Calculateur!FM96*Calculateur!FO96*VLOOKUP('Données projet'!$B$16,Paramètres!$A$1:$I$89,3,0)*0.475*44/12</f>
        <v>1.0271164924109892</v>
      </c>
      <c r="FS96" s="21">
        <f>EXP(-LN(2)/2)*FS95+(1-EXP(-LN(2)/2))/(LN(2)/2)*FM96*FP96*VLOOKUP('Données projet'!$B$16,Paramètres!$A$1:$I$89,3,0)*0.475*44/12</f>
        <v>5.4811619332697402E-9</v>
      </c>
      <c r="FT96" s="22">
        <f t="shared" si="78"/>
        <v>2.506838532783481</v>
      </c>
      <c r="FU96" s="75">
        <f>('Scénario référence'!$F$8+'Scénario référence'!$F$9+'Scénario référence'!$B$17+'Scénario référence'!$B$9+'Scénario référence'!$B$10)*70+IF((45+25*(1-EXP(-0.0175*A96)))&lt;70,'Scénario référence'!$B$16*(45+25*(1-EXP(-0.0175*A96))),70*'Scénario référence'!$B$16)+IF((32+38*(1-EXP(-0.0175*A96)))&lt;70,'Scénario référence'!$B$18*(32+38*(1-EXP(-0.0175*A96))),70*'Scénario référence'!$B$18)</f>
        <v>70</v>
      </c>
      <c r="FV96" s="12">
        <f>IF(A96&gt;30,10,('Scénario référence'!$B$16+'Scénario référence'!$B$17+'Scénario référence'!$B$18+'Scénario référence'!$B$9+'Scénario référence'!$B$10)*A96*10/30+('Scénario référence'!$F$8+'Scénario référence'!$F$9)*10)</f>
        <v>10</v>
      </c>
      <c r="FW96" s="12" t="e">
        <f>VLOOKUP(A96,'Données projet'!$A$243:$I$263,2,0)</f>
        <v>#N/A</v>
      </c>
      <c r="FX96" s="12" t="e">
        <f>VLOOKUP(A96,'Données projet'!$A$243:$I$263,9,0)</f>
        <v>#N/A</v>
      </c>
      <c r="FY96" s="12">
        <f t="array" ref="FY96">INDEX(FX:FX,MIN(IF(ISNUMBER(FX96:FX292),ROW(FX96:FX292),"")))</f>
        <v>7.1782051282051267</v>
      </c>
      <c r="FZ96" s="12">
        <f>IF('Données projet'!$A$244&gt;35,FZ95+FY96-GH95,IF(A96&lt;'Données projet'!$A$244,$FW$205^A96,IF(A96='Données projet'!$A$244,'Données projet'!$B$244,FZ95+FY96-GH95)))</f>
        <v>275.18076923076944</v>
      </c>
      <c r="GA96" s="17">
        <f>FZ96*VLOOKUP('Données projet'!$B$17,Paramètres!$A$1:$I$89,3,0)*VLOOKUP('Données projet'!$B$17,Paramètres!$A$1:$I$89,5,0)</f>
        <v>296.20458000000019</v>
      </c>
      <c r="GB96" s="13">
        <f t="shared" si="103"/>
        <v>70.380209025290199</v>
      </c>
      <c r="GC96" s="20">
        <f t="shared" si="79"/>
        <v>638.46850755238074</v>
      </c>
      <c r="GD96" s="59">
        <f t="shared" si="80"/>
        <v>931.801840885714</v>
      </c>
      <c r="GE96" s="59">
        <f ca="1">AVERAGE(OFFSET($GD$3,0,0,'Données projet'!$E$17+1,1))-AVERAGE(OFFSET($H$3,0,0,'Données projet'!$E$17+1,1))</f>
        <v>286.77702855541287</v>
      </c>
      <c r="GF96" s="59">
        <f t="shared" si="104"/>
        <v>227.12211541860779</v>
      </c>
      <c r="GG96" s="15">
        <f>IF(ISNA(VLOOKUP(A96,'Données projet'!$A$243:$I$263,3,0)),0,VLOOKUP(A96,'Données projet'!$A$243:$I$263,3,0))</f>
        <v>0</v>
      </c>
      <c r="GH96" s="15">
        <f>IF(ISNA(VLOOKUP(A96,'Données projet'!$A$243:$I$263,4,0)),0,VLOOKUP(A96,'Données projet'!$A$243:$I$263,4,0))</f>
        <v>0</v>
      </c>
      <c r="GI96" s="16">
        <f>IF(ISNA(VLOOKUP(A96,'Données projet'!$A$243:$I$263,5,0)),0%,VLOOKUP(A96,'Données projet'!$A$243:$I$263,5,0)*VLOOKUP('Données projet'!$B$17,Paramètres!$A$1:$I$89,7,0))</f>
        <v>0</v>
      </c>
      <c r="GJ96" s="16">
        <f>IF(ISNA(VLOOKUP(A96,'Données projet'!$A$243:$I$263,6,0)),0%,VLOOKUP(A96,'Données projet'!$A$243:$I$263,6,0)*VLOOKUP('Données projet'!$B$17,Paramètres!$A$1:$I$89,7,0))</f>
        <v>0</v>
      </c>
      <c r="GK96" s="16">
        <f>IF(ISNA(VLOOKUP(A96,'Données projet'!$A$243:$I$263,7,0)),0%,VLOOKUP(A96,'Données projet'!$A$243:$I$263,7,0))</f>
        <v>0</v>
      </c>
      <c r="GL96" s="21">
        <f>EXP(-LN(2)/35)*GL95+(1-EXP(-LN(2)/35))/(LN(2)/35)*GH96*GI96*VLOOKUP('Données projet'!$B$17,Paramètres!$A$1:$I$89,3,0)*0.475*44/12</f>
        <v>0</v>
      </c>
      <c r="GM96" s="21">
        <f>EXP(-LN(2)/25)*GM95+(1-EXP(-LN(2)/25))/(LN(2)/25)*Calculateur!GH96*Calculateur!GJ96*VLOOKUP('Données projet'!$B$17,Paramètres!$A$1:$I$89,3,0)*0.475*44/12</f>
        <v>0</v>
      </c>
      <c r="GN96" s="21">
        <f>EXP(-LN(2)/2)*GN95+(1-EXP(-LN(2)/2))/(LN(2)/2)*GH96*GK96*VLOOKUP('Données projet'!$B$17,Paramètres!$A$1:$I$89,3,0)*0.475*44/12</f>
        <v>0</v>
      </c>
      <c r="GO96" s="21">
        <f t="shared" si="81"/>
        <v>0</v>
      </c>
      <c r="GP96" s="75">
        <f>('Scénario référence'!$F$8+'Scénario référence'!$F$9+'Scénario référence'!$B$17+'Scénario référence'!$B$9+'Scénario référence'!$B$10)*70+IF((45+25*(1-EXP(-0.0175*A96)))&lt;70,'Scénario référence'!$B$16*(45+25*(1-EXP(-0.0175*A96))),70*'Scénario référence'!$B$16)+IF((32+38*(1-EXP(-0.0175*A96)))&lt;70,'Scénario référence'!$B$18*(32+38*(1-EXP(-0.0175*A96))),70*'Scénario référence'!$B$18)</f>
        <v>70</v>
      </c>
      <c r="GQ96" s="12">
        <f>IF(A96&gt;30,10,('Scénario référence'!$B$16+'Scénario référence'!$B$17+'Scénario référence'!$B$18+'Scénario référence'!$B$9+'Scénario référence'!$B$10)*A96*10/30+('Scénario référence'!$F$8+'Scénario référence'!$F$9)*10)</f>
        <v>10</v>
      </c>
      <c r="GR96" s="12" t="e">
        <f>VLOOKUP(A96,'Données projet'!$A$269:$I$289,2,0)</f>
        <v>#N/A</v>
      </c>
      <c r="GS96" s="12" t="e">
        <f>VLOOKUP(A96,'Données projet'!$A$269:$I$289,9,0)</f>
        <v>#N/A</v>
      </c>
      <c r="GT96" s="12">
        <f t="array" ref="GT96">INDEX(GS:GS,MIN(IF(ISNUMBER(GS96:GS292),ROW(GS96:GS292),"")))</f>
        <v>7.1782051282051267</v>
      </c>
      <c r="GU96" s="12">
        <f>IF('Données projet'!$A$270&gt;35,GU95+GT96-HC95,IF(A96&lt;'Données projet'!$A$270,$GR$205^A96,IF(A96='Données projet'!$A$270,'Données projet'!$B$270,GU95+GT96-HC95)))</f>
        <v>275.18076923076944</v>
      </c>
      <c r="GV96" s="17">
        <f>GU96*VLOOKUP('Données projet'!$B$18,Paramètres!$A$1:$I$89,3,0)*VLOOKUP('Données projet'!$B$18,Paramètres!$A$1:$I$89,5,0)</f>
        <v>296.20458000000019</v>
      </c>
      <c r="GW96" s="13">
        <f t="shared" si="105"/>
        <v>70.380209025290199</v>
      </c>
      <c r="GX96" s="20">
        <f t="shared" si="82"/>
        <v>638.46850755238074</v>
      </c>
      <c r="GY96" s="59">
        <f t="shared" si="83"/>
        <v>931.801840885714</v>
      </c>
      <c r="GZ96" s="59">
        <f ca="1">AVERAGE(OFFSET($GY$3,0,0,'Données projet'!$E$18+1,1))-AVERAGE(OFFSET($H$3,0,0,'Données projet'!$E$18+1,1))</f>
        <v>286.77702855541287</v>
      </c>
      <c r="HA96" s="59">
        <f t="shared" si="106"/>
        <v>227.12211541860779</v>
      </c>
      <c r="HB96" s="15">
        <f>IF(ISNA(VLOOKUP(A96,'Données projet'!$A$269:$I$289,3,0)),0,VLOOKUP(A96,'Données projet'!$A$269:$I$289,3,0))</f>
        <v>0</v>
      </c>
      <c r="HC96" s="15">
        <f>IF(ISNA(VLOOKUP(A96,'Données projet'!$A$269:$I$289,4,0)),0,VLOOKUP(A96,'Données projet'!$A$269:$I$289,4,0))</f>
        <v>0</v>
      </c>
      <c r="HD96" s="16">
        <f>IF(ISNA(VLOOKUP(A96,'Données projet'!$A$269:$I$289,5,0)),0%,VLOOKUP(A96,'Données projet'!$A$269:$I$289,5,0)*VLOOKUP('Données projet'!$B$18,Paramètres!$A$1:$I$89,7,0))</f>
        <v>0</v>
      </c>
      <c r="HE96" s="16">
        <f>IF(ISNA(VLOOKUP(A96,'Données projet'!$A$269:$I$289,6,0)),0%,VLOOKUP(A96,'Données projet'!$A$269:$I$289,6,0)*VLOOKUP('Données projet'!$B$18,Paramètres!$A$1:$I$89,7,0))</f>
        <v>0</v>
      </c>
      <c r="HF96" s="16">
        <f>IF(ISNA(VLOOKUP(A96,'Données projet'!$A$269:$I$289,7,0)),0%,VLOOKUP(A96,'Données projet'!$A$269:$I$289,7,0))</f>
        <v>0</v>
      </c>
      <c r="HG96" s="21">
        <f>EXP(-LN(2)/35)*HG95+(1-EXP(-LN(2)/35))/(LN(2)/35)*HC96*HD96*VLOOKUP('Données projet'!$B$18,Paramètres!$A$1:$I$89,3,0)*0.475*44/12</f>
        <v>0</v>
      </c>
      <c r="HH96" s="21">
        <f>EXP(-LN(2)/25)*HH95+(1-EXP(-LN(2)/25))/(LN(2)/25)*Calculateur!HC96*Calculateur!HE96*VLOOKUP('Données projet'!$B$18,Paramètres!$A$1:$I$89,3,0)*0.475*44/12</f>
        <v>0</v>
      </c>
      <c r="HI96" s="21">
        <f>EXP(-LN(2)/2)*HI95+(1-EXP(-LN(2)/2))/(LN(2)/2)*HC96*HF96*VLOOKUP('Données projet'!$B$18,Paramètres!$A$1:$I$89,3,0)*0.475*44/12</f>
        <v>0</v>
      </c>
      <c r="HJ96" s="22">
        <f t="shared" si="84"/>
        <v>0</v>
      </c>
    </row>
    <row r="97" spans="1:218" x14ac:dyDescent="0.25">
      <c r="A97" s="10">
        <f t="shared" si="85"/>
        <v>94</v>
      </c>
      <c r="B97" s="73">
        <f>'Scénario référence'!$B$16*5+'Scénario référence'!$B$17*0+'Scénario référence'!$B$18*5</f>
        <v>0</v>
      </c>
      <c r="C97" s="19">
        <f>Calculateur!C96+'Scénario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83.584800000000129</v>
      </c>
      <c r="D97" s="11">
        <f t="shared" si="86"/>
        <v>23.011437736237649</v>
      </c>
      <c r="E9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97" s="11">
        <f>IF(OR('Scénario référence'!$F$8&gt;0,'Scénario référence'!$F$9&gt;0),('Scénario référence'!$F$8+'Scénario référence'!$F$9)*10,0)</f>
        <v>10</v>
      </c>
      <c r="G97" s="11">
        <f>'Scénario référence'!$B$8*B97*44/12+'Scénario référence'!$B$9*(C97+D97)/0.475*44/12+'Scénario référence'!$B$10*(C97+D97)/0.475*44/12+'Scénario référence'!$F$8*(C97+D97)/0.475*44/12+'Scénario référence'!$F$9*(C97+D97)/0.475*44/12</f>
        <v>822.84815094639691</v>
      </c>
      <c r="H97" s="67">
        <f t="shared" si="56"/>
        <v>478.98844739061411</v>
      </c>
      <c r="I97" s="70">
        <f>('Scénario référence'!$F$8+'Scénario référence'!$F$9+'Scénario référence'!$B$17+'Scénario référence'!$B$9+'Scénario référence'!$B$10)*70+IF((45+25*(1-EXP(-0.0175*A97)))&lt;70,'Scénario référence'!$B$16*(45+25*(1-EXP(-0.0175*A97))),70*'Scénario référence'!$B$16)+IF((32+38*(1-EXP(-0.0175*A97)))&lt;70,'Scénario référence'!$B$18*(32+38*(1-EXP(-0.0175*A97))),70*'Scénario référence'!$B$18)</f>
        <v>70</v>
      </c>
      <c r="J97" s="13">
        <f>IF(A97&gt;30,10,('Scénario référence'!$B$16+'Scénario référence'!$B$17+'Scénario référence'!$B$18+'Scénario référence'!$B$9+'Scénario référence'!$B$10)*A97*10/30+('Scénario référence'!$F$8+'Scénario référence'!$F$9)*10)</f>
        <v>10</v>
      </c>
      <c r="K97" s="12" t="e">
        <f>VLOOKUP(A97,'Données projet'!$A$35:$I$55,2,0)</f>
        <v>#N/A</v>
      </c>
      <c r="L97" s="12" t="e">
        <f>VLOOKUP(A97,'Données projet'!$A$35:$I$55,9,0)</f>
        <v>#N/A</v>
      </c>
      <c r="M97" s="12">
        <f t="array" ref="M97">INDEX(L:L,MIN(IF(ISNUMBER(L97:L293),ROW(L97:L293),"")))</f>
        <v>0</v>
      </c>
      <c r="N97" s="13">
        <f>IF('Données projet'!$A$36&gt;35,N96+M97-V96,IF(A97&lt;'Données projet'!$A$36,$K$205^A97,IF(A97='Données projet'!$A$36,'Données projet'!$B$36,N96+M97-V96)))</f>
        <v>-2.2737367544323206E-13</v>
      </c>
      <c r="O97" s="13">
        <f>N97*VLOOKUP('Données projet'!$B$9,Paramètres!$A$1:$I$89,3,0)*VLOOKUP('Données projet'!$B$9,Paramètres!$A$1:$I$89,5,0)</f>
        <v>-1.2710188457276673E-13</v>
      </c>
      <c r="P97" s="13" t="e">
        <f t="shared" si="87"/>
        <v>#NUM!</v>
      </c>
      <c r="Q97" s="20" t="e">
        <f t="shared" si="54"/>
        <v>#NUM!</v>
      </c>
      <c r="R97" s="59" t="e">
        <f t="shared" si="55"/>
        <v>#NUM!</v>
      </c>
      <c r="S97" s="59">
        <f ca="1">AVERAGE(OFFSET($R$3,0,0,'Données projet'!$E$9+1,1))-AVERAGE(OFFSET($H$3,0,0,'Données projet'!$E$9+1,1))</f>
        <v>255.5374979188561</v>
      </c>
      <c r="T97" s="59">
        <f t="shared" si="88"/>
        <v>343.10418468620901</v>
      </c>
      <c r="U97" s="15">
        <f>IF(ISNA(VLOOKUP(A97,'Données projet'!$A$35:$I$55,3,0)),0,VLOOKUP(A97,'Données projet'!$A$35:$I$55,3,0))</f>
        <v>0</v>
      </c>
      <c r="V97" s="15">
        <f>IF(ISNA(VLOOKUP(A97,'Données projet'!$A$35:$I$55,4,0)),0,VLOOKUP(A97,'Données projet'!$A$35:$I$55,4,0))</f>
        <v>0</v>
      </c>
      <c r="W97" s="16">
        <f>IF(ISNA(VLOOKUP(A97,'Données projet'!$A$35:$I$55,5,0)),0%,VLOOKUP(A97,'Données projet'!$A$35:$I$55,5,0)*VLOOKUP('Données projet'!$B$9,Paramètres!$A$1:$I$89,7,0))</f>
        <v>0</v>
      </c>
      <c r="X97" s="16">
        <f>IF(ISNA(VLOOKUP(A97,'Données projet'!$A$35:$I$55,6,0)),0%,VLOOKUP(A97,'Données projet'!$A$35:$I$55,6,0)*VLOOKUP('Données projet'!$B$9,Paramètres!$A$1:$I$89,7,0))</f>
        <v>0</v>
      </c>
      <c r="Y97" s="16">
        <f>IF(ISNA(VLOOKUP(A97,'Données projet'!$A$35:$I$55,7,0)),0%,VLOOKUP(A97,'Données projet'!$A$35:$I$55,7,0))</f>
        <v>0</v>
      </c>
      <c r="Z97" s="21">
        <f>EXP(-LN(2)/35)*Z96+(1-EXP(-LN(2)/35))/(LN(2)/35)*V97*W97*VLOOKUP('Données projet'!$B$9,Paramètres!$A$1:$I$89,3,0)*0.475*44/12</f>
        <v>0.86998020506185247</v>
      </c>
      <c r="AA97" s="21">
        <f>EXP(-LN(2)/25)*AA96+(1-EXP(-LN(2)/25))/(LN(2)/25)*Calculateur!V97*Calculateur!X97*VLOOKUP('Données projet'!$B$9,Paramètres!$A$1:$I$89,3,0)*0.475*44/12</f>
        <v>2.7064695754134771</v>
      </c>
      <c r="AB97" s="21">
        <f>EXP(-LN(2)/2)*AB96+(1-EXP(-LN(2)/2))/(LN(2)/2)*V97*Y97*VLOOKUP('Données projet'!$B$9,Paramètres!$A$1:$I$89,3,0)*0.475*44/12</f>
        <v>3.9410127314135107E-10</v>
      </c>
      <c r="AC97" s="22">
        <f t="shared" si="57"/>
        <v>3.5764497808694307</v>
      </c>
      <c r="AD97" s="13">
        <f>('Scénario référence'!$F$8+'Scénario référence'!$F$9+'Scénario référence'!$B$17+'Scénario référence'!$B$9+'Scénario référence'!$B$10)*70+IF((45+25*(1-EXP(-0.0175*A97)))&lt;70,'Scénario référence'!$B$16*(45+25*(1-EXP(-0.0175*A97))),70*'Scénario référence'!$B$16)+IF((32+38*(1-EXP(-0.0175*A97)))&lt;70,'Scénario référence'!$B$18*(32+38*(1-EXP(-0.0175*A97))),70*'Scénario référence'!$B$18)</f>
        <v>70</v>
      </c>
      <c r="AE97" s="13">
        <f>IF(A97&gt;30,10,('Scénario référence'!$B$16+'Scénario référence'!$B$17+'Scénario référence'!$B$18+'Scénario référence'!$B$9+'Scénario référence'!$B$10)*A97*10/30+('Scénario référence'!$F$8+'Scénario référence'!$F$9)*10)</f>
        <v>10</v>
      </c>
      <c r="AF97" s="12" t="e">
        <f>VLOOKUP(A97,'Données projet'!$A$61:$I$81,2,0)</f>
        <v>#N/A</v>
      </c>
      <c r="AG97" s="12" t="e">
        <f>VLOOKUP(A97,'Données projet'!$A$61:$I$81,9,0)</f>
        <v>#N/A</v>
      </c>
      <c r="AH97" s="12">
        <f t="array" ref="AH97">INDEX(AG:AG,MIN(IF(ISNUMBER(AG97:AG293),ROW(AG97:AG293),"")))</f>
        <v>0</v>
      </c>
      <c r="AI97" s="13">
        <f>IF('Données projet'!$A$62&gt;35,AI96+AH97-AQ96,IF(A97&lt;'Données projet'!$A$62,$AF$205^A97,IF(A97='Données projet'!$A$62,'Données projet'!$B$62,AI96+AH97-AQ96)))</f>
        <v>0</v>
      </c>
      <c r="AJ97" s="13">
        <f>AI97*VLOOKUP('Données projet'!$B$10,Paramètres!$A$1:$I$89,3,0)*VLOOKUP('Données projet'!$B$10,Paramètres!$A$1:$I$89,5,0)</f>
        <v>0</v>
      </c>
      <c r="AK97" s="13" t="e">
        <f t="shared" si="89"/>
        <v>#NUM!</v>
      </c>
      <c r="AL97" s="20" t="e">
        <f t="shared" si="58"/>
        <v>#NUM!</v>
      </c>
      <c r="AM97" s="59" t="e">
        <f t="shared" si="59"/>
        <v>#NUM!</v>
      </c>
      <c r="AN97" s="59">
        <f ca="1">AVERAGE(OFFSET($AM$3,0,0,'Données projet'!$E$10+1,1))-AVERAGE(OFFSET($H$3,0,0,'Données projet'!$E$10+1,1))</f>
        <v>261.78489480911571</v>
      </c>
      <c r="AO97" s="59">
        <f t="shared" si="90"/>
        <v>297.50513563712764</v>
      </c>
      <c r="AP97" s="15">
        <f>IF(ISNA(VLOOKUP(A97,'Données projet'!$A$61:$I$81,3,0)),0,VLOOKUP(A97,'Données projet'!$A$61:$I$81,3,0))</f>
        <v>0</v>
      </c>
      <c r="AQ97" s="15">
        <f>IF(ISNA(VLOOKUP(A97,'Données projet'!$A$61:$I$81,4,0)),0,VLOOKUP(A97,'Données projet'!$A$61:$I$81,4,0))</f>
        <v>0</v>
      </c>
      <c r="AR97" s="16">
        <f>IF(ISNA(VLOOKUP(A97,'Données projet'!$A$61:$I$81,5,0)),0%,VLOOKUP(A97,'Données projet'!$A$61:$I$81,5,0)*VLOOKUP('Données projet'!$B$10,Paramètres!$A$1:$I$89,7,0))</f>
        <v>0</v>
      </c>
      <c r="AS97" s="16">
        <f>IF(ISNA(VLOOKUP(A97,'Données projet'!$A$61:$I$81,6,0)),0%,VLOOKUP(A97,'Données projet'!$A$61:$I$81,6,0)*VLOOKUP('Données projet'!$B$10,Paramètres!$A$1:$I$89,7,0))</f>
        <v>0</v>
      </c>
      <c r="AT97" s="16">
        <f>IF(ISNA(VLOOKUP(A97,'Données projet'!$A$61:$I$81,7,0)),0%,VLOOKUP(A97,'Données projet'!$A$61:$I$81,7,0))</f>
        <v>0</v>
      </c>
      <c r="AU97" s="21">
        <f>EXP(-LN(2)/35)*AU96+(1-EXP(-LN(2)/35))/(LN(2)/35)*AQ97*AR97*VLOOKUP('Données projet'!$B$10,Paramètres!$A$1:$I$89,3,0)*0.475*44/12</f>
        <v>2.3491926263877452</v>
      </c>
      <c r="AV97" s="21">
        <f>EXP(-LN(2)/25)*AV96+(1-EXP(-LN(2)/25))/(LN(2)/25)*Calculateur!AQ97*Calculateur!AS97*VLOOKUP('Données projet'!$B$10,Paramètres!$A$1:$I$89,3,0)*0.475*44/12</f>
        <v>4.7260478925736793</v>
      </c>
      <c r="AW97" s="21">
        <f>EXP(-LN(2)/2)*AW96+(1-EXP(-LN(2)/2))/(LN(2)/2)*AQ97*AT97*VLOOKUP('Données projet'!$B$10,Paramètres!$A$1:$I$89,3,0)*0.475*44/12</f>
        <v>5.6813450383282918E-9</v>
      </c>
      <c r="AX97" s="21">
        <f t="shared" si="60"/>
        <v>7.0752405246427692</v>
      </c>
      <c r="AY97" s="74">
        <f>('Scénario référence'!$F$8+'Scénario référence'!$F$9+'Scénario référence'!$B$17+'Scénario référence'!$B$9+'Scénario référence'!$B$10)*70+IF((45+25*(1-EXP(-0.0175*A97)))&lt;70,'Scénario référence'!$B$16*(45+25*(1-EXP(-0.0175*A97))),70*'Scénario référence'!$B$16)+IF((32+38*(1-EXP(-0.0175*A97)))&lt;70,'Scénario référence'!$B$18*(32+38*(1-EXP(-0.0175*A97))),70*'Scénario référence'!$B$18)</f>
        <v>70</v>
      </c>
      <c r="AZ97" s="12">
        <f>IF(A97&gt;30,10,('Scénario référence'!$B$16+'Scénario référence'!$B$17+'Scénario référence'!$B$18+'Scénario référence'!$B$9+'Scénario référence'!$B$10)*A97*10/30+('Scénario référence'!$F$8+'Scénario référence'!$F$9)*10)</f>
        <v>10</v>
      </c>
      <c r="BA97" s="12" t="e">
        <f>VLOOKUP(A97,'Données projet'!$A$87:$I$107,2,0)</f>
        <v>#N/A</v>
      </c>
      <c r="BB97" s="12" t="e">
        <f>VLOOKUP(A97,'Données projet'!$A$87:$I$107,9,0)</f>
        <v>#N/A</v>
      </c>
      <c r="BC97" s="12">
        <f t="array" ref="BC97">INDEX(BB:BB,MIN(IF(ISNUMBER(BB97:BB293),ROW(BB97:BB293),"")))</f>
        <v>0</v>
      </c>
      <c r="BD97" s="12">
        <f>IF('Données projet'!$A$88&gt;35,BD96+BC97-BL96,IF(A97&lt;'Données projet'!$A$88,$BA$205^A97,IF(A97='Données projet'!$A$88,'Données projet'!$B$88,BD96+BC97-BL96)))</f>
        <v>553.99999999999955</v>
      </c>
      <c r="BE97" s="13">
        <f>BD97*VLOOKUP('Données projet'!$B$11,Paramètres!$A$1:$I$89,3,0)*VLOOKUP('Données projet'!$B$11,Paramètres!$A$1:$I$89,5,0)</f>
        <v>331.29199999999975</v>
      </c>
      <c r="BF97" s="13">
        <f t="shared" si="91"/>
        <v>77.698110787752</v>
      </c>
      <c r="BG97" s="20">
        <f t="shared" si="61"/>
        <v>712.32444295533423</v>
      </c>
      <c r="BH97" s="59">
        <f t="shared" si="62"/>
        <v>1005.6577762886675</v>
      </c>
      <c r="BI97" s="59">
        <f ca="1">AVERAGE(OFFSET($BH$3,0,0,'Données projet'!$E$11+1,1))-AVERAGE(OFFSET($H$3,0,0,'Données projet'!$E$11+1,1))</f>
        <v>316.58509520829671</v>
      </c>
      <c r="BJ97" s="59">
        <f t="shared" si="92"/>
        <v>240.71332110643596</v>
      </c>
      <c r="BK97" s="15">
        <f>IF(ISNA(VLOOKUP(A97,'Données projet'!$A$87:$I$107,3,0)),0,VLOOKUP(A97,'Données projet'!$A$87:$I$107,3,0))</f>
        <v>0</v>
      </c>
      <c r="BL97" s="15">
        <f>IF(ISNA(VLOOKUP(A97,'Données projet'!$A$87:$I$107,4,0)),0,VLOOKUP(A97,'Données projet'!$A$87:$I$107,4,0))</f>
        <v>0</v>
      </c>
      <c r="BM97" s="16">
        <f>IF(ISNA(VLOOKUP(A97,'Données projet'!$A$87:$I$107,5,0)),0%,VLOOKUP(A97,'Données projet'!$A$87:$I$107,5,0)*VLOOKUP('Données projet'!$B$11,Paramètres!$A$1:$I$89,7,0))</f>
        <v>0</v>
      </c>
      <c r="BN97" s="16">
        <f>IF(ISNA(VLOOKUP(A97,'Données projet'!$A$87:$I$107,6,0)),0%,VLOOKUP(A97,'Données projet'!$A$87:$I$107,6,0)*VLOOKUP('Données projet'!$B$11,Paramètres!$A$1:$I$89,7,0))</f>
        <v>0</v>
      </c>
      <c r="BO97" s="16">
        <f>IF(ISNA(VLOOKUP(A97,'Données projet'!$A$87:$I$107,7,0)),0%,VLOOKUP(A97,'Données projet'!$A$87:$I$107,7,0))</f>
        <v>0</v>
      </c>
      <c r="BP97" s="21">
        <f>EXP(-LN(2)/35)*BP96+(1-EXP(-LN(2)/35))/(LN(2)/35)*BL97*BM97*VLOOKUP('Données projet'!$B$11,Paramètres!$A$1:$I$89,3,0)*0.475*44/12</f>
        <v>0.71358473937708111</v>
      </c>
      <c r="BQ97" s="21">
        <f>EXP(-LN(2)/25)*BQ96+(1-EXP(-LN(2)/25))/(LN(2)/25)*Calculateur!BL97*Calculateur!BN97*VLOOKUP('Données projet'!$B$11,Paramètres!$A$1:$I$89,3,0)*0.475*44/12</f>
        <v>2.5890669325392324</v>
      </c>
      <c r="BR97" s="21">
        <f>EXP(-LN(2)/2)*BR96+(1-EXP(-LN(2)/2))/(LN(2)/2)*BL97*BO97*VLOOKUP('Données projet'!$B$11,Paramètres!$A$1:$I$89,3,0)*0.475*44/12</f>
        <v>5.1081513683639692E-9</v>
      </c>
      <c r="BS97" s="22">
        <f t="shared" si="63"/>
        <v>3.3026516770244649</v>
      </c>
      <c r="BT97" s="75">
        <f>('Scénario référence'!$F$8+'Scénario référence'!$F$9+'Scénario référence'!$B$17+'Scénario référence'!$B$9+'Scénario référence'!$B$10)*70+IF((45+25*(1-EXP(-0.0175*A97)))&lt;70,'Scénario référence'!$B$16*(45+25*(1-EXP(-0.0175*A97))),70*'Scénario référence'!$B$16)+IF((32+38*(1-EXP(-0.0175*A97)))&lt;70,'Scénario référence'!$B$18*(32+38*(1-EXP(-0.0175*A97))),70*'Scénario référence'!$B$18)</f>
        <v>70</v>
      </c>
      <c r="BU97" s="12">
        <f>IF(A97&gt;30,10,('Scénario référence'!$B$16+'Scénario référence'!$B$17+'Scénario référence'!$B$18+'Scénario référence'!$B$9+'Scénario référence'!$B$10)*A97*10/30+('Scénario référence'!$F$8+'Scénario référence'!$F$9)*10)</f>
        <v>10</v>
      </c>
      <c r="BV97" s="12" t="e">
        <f>VLOOKUP(A97,'Données projet'!$A$113:$I$133,2,0)</f>
        <v>#N/A</v>
      </c>
      <c r="BW97" s="12" t="e">
        <f>VLOOKUP(A97,'Données projet'!$A$113:$I$133,9,0)</f>
        <v>#N/A</v>
      </c>
      <c r="BX97" s="12">
        <f t="array" ref="BX97">INDEX(BW:BW,MIN(IF(ISNUMBER(BW97:BW293),ROW(BW97:BW293),"")))</f>
        <v>3.5</v>
      </c>
      <c r="BY97" s="12">
        <f>IF('Données projet'!$A$114&gt;35,BY96+BX97-CG96,IF(A97&lt;'Données projet'!$A$114,$BV$205^A97,IF(A97='Données projet'!$A$114,'Données projet'!$B$114,BY96+BX97-CG96)))</f>
        <v>339.99999999999977</v>
      </c>
      <c r="BZ97" s="13">
        <f>BY97*VLOOKUP('Données projet'!$B$12,Paramètres!$A$1:$I$89,3,0)*VLOOKUP('Données projet'!$B$12,Paramètres!$A$1:$I$89,5,0)</f>
        <v>194.47999999999988</v>
      </c>
      <c r="CA97" s="13">
        <f t="shared" si="93"/>
        <v>48.529069813916593</v>
      </c>
      <c r="CB97" s="20">
        <f t="shared" si="64"/>
        <v>423.24079659257114</v>
      </c>
      <c r="CC97" s="59">
        <f t="shared" si="65"/>
        <v>716.57412992590446</v>
      </c>
      <c r="CD97" s="59">
        <f ca="1">AVERAGE(OFFSET($CC$3,0,0,'Données projet'!$E$12+1,1))-AVERAGE(OFFSET($H$3,0,0,'Données projet'!$E$12+1,1))</f>
        <v>188.64374818906128</v>
      </c>
      <c r="CE97" s="59">
        <f t="shared" si="94"/>
        <v>211.95157880548652</v>
      </c>
      <c r="CF97" s="15">
        <f>IF(ISNA(VLOOKUP(A97,'Données projet'!$A$113:$I$133,3,0)),0,VLOOKUP(A97,'Données projet'!$A$113:$I$133,3,0))</f>
        <v>0</v>
      </c>
      <c r="CG97" s="15">
        <f>IF(ISNA(VLOOKUP(A97,'Données projet'!$A$113:$I$133,4,0)),0,VLOOKUP(A97,'Données projet'!$A$113:$I$133,4,0))</f>
        <v>0</v>
      </c>
      <c r="CH97" s="16">
        <f>IF(ISNA(VLOOKUP(A97,'Données projet'!$A$113:$I$133,5,0)),0%,VLOOKUP(A97,'Données projet'!$A$113:$I$133,5,0)*VLOOKUP('Données projet'!$B$12,Paramètres!$A$1:$I$89,7,0))</f>
        <v>0</v>
      </c>
      <c r="CI97" s="16">
        <f>IF(ISNA(VLOOKUP(A97,'Données projet'!$A$113:$I$133,6,0)),0%,VLOOKUP(A97,'Données projet'!$A$113:$I$133,6,0)*VLOOKUP('Données projet'!$B$12,Paramètres!$A$1:$I$89,7,0))</f>
        <v>0</v>
      </c>
      <c r="CJ97" s="16">
        <f>IF(ISNA(VLOOKUP(A97,'Données projet'!$A$113:$I$133,7,0)),0%,VLOOKUP(A97,'Données projet'!$A$113:$I$133,7,0))</f>
        <v>0</v>
      </c>
      <c r="CK97" s="21">
        <f>EXP(-LN(2)/35)*CK96+(1-EXP(-LN(2)/35))/(LN(2)/35)*CG97*CH97*VLOOKUP('Données projet'!$B$12,Paramètres!$A$1:$I$89,3,0)*0.475*44/12</f>
        <v>0.69217282741781738</v>
      </c>
      <c r="CL97" s="21">
        <f>EXP(-LN(2)/25)*CL96+(1-EXP(-LN(2)/25))/(LN(2)/25)*Calculateur!CG97*Calculateur!CI97*VLOOKUP('Données projet'!$B$12,Paramètres!$A$1:$I$89,3,0)*0.475*44/12</f>
        <v>2.4368884179450911</v>
      </c>
      <c r="CM97" s="21">
        <f>EXP(-LN(2)/2)*CM96+(1-EXP(-LN(2)/2))/(LN(2)/2)*CG97*CJ97*VLOOKUP('Données projet'!$B$12,Paramètres!$A$1:$I$89,3,0)*0.475*44/12</f>
        <v>4.9468449325618E-9</v>
      </c>
      <c r="CN97" s="22">
        <f t="shared" si="66"/>
        <v>3.1290612503097535</v>
      </c>
      <c r="CO97" s="75">
        <f>('Scénario référence'!$F$8+'Scénario référence'!$F$9+'Scénario référence'!$B$17+'Scénario référence'!$B$9+'Scénario référence'!$B$10)*70+IF((45+25*(1-EXP(-0.0175*A97)))&lt;70,'Scénario référence'!$B$16*(45+25*(1-EXP(-0.0175*A97))),70*'Scénario référence'!$B$16)+IF((32+38*(1-EXP(-0.0175*A97)))&lt;70,'Scénario référence'!$B$18*(32+38*(1-EXP(-0.0175*A97))),70*'Scénario référence'!$B$18)</f>
        <v>70</v>
      </c>
      <c r="CP97" s="12">
        <f>IF(A97&gt;30,10,('Scénario référence'!$B$16+'Scénario référence'!$B$17+'Scénario référence'!$B$18+'Scénario référence'!$B$9+'Scénario référence'!$B$10)*A97*10/30+('Scénario référence'!$F$8+'Scénario référence'!$F$9)*10)</f>
        <v>10</v>
      </c>
      <c r="CQ97" s="12" t="e">
        <f>VLOOKUP(A97,'Données projet'!$A$139:$I$159,2,0)</f>
        <v>#N/A</v>
      </c>
      <c r="CR97" s="12" t="e">
        <f>VLOOKUP(A97,'Données projet'!$A$139:$I$159,9,0)</f>
        <v>#N/A</v>
      </c>
      <c r="CS97" s="12">
        <f t="array" ref="CS97">INDEX(CR:CR,MIN(IF(ISNUMBER(CR97:CR293),ROW(CR97:CR293),"")))</f>
        <v>0</v>
      </c>
      <c r="CT97" s="12">
        <f>IF('Données projet'!$A$140&gt;35,CT96+CS97-DB96,IF(A97&lt;'Données projet'!$A$140,$CQ$205^A97,IF(A97='Données projet'!$A$140,'Données projet'!$B$140,CT96+CS97-DB96)))</f>
        <v>0</v>
      </c>
      <c r="CU97" s="17" t="e">
        <f>CT97*VLOOKUP('Données projet'!$B$13,Paramètres!$A$1:$I$89,3,0)*VLOOKUP('Données projet'!$B$13,Paramètres!$A$1:$I$89,5,0)</f>
        <v>#N/A</v>
      </c>
      <c r="CV97" s="13" t="e">
        <f t="shared" si="95"/>
        <v>#N/A</v>
      </c>
      <c r="CW97" s="20" t="e">
        <f t="shared" si="67"/>
        <v>#N/A</v>
      </c>
      <c r="CX97" s="59" t="e">
        <f t="shared" si="68"/>
        <v>#N/A</v>
      </c>
      <c r="CY97" s="59" t="e">
        <f ca="1">AVERAGE(OFFSET($CX$3,0,0,'Données projet'!$E$13+1,1))-AVERAGE(OFFSET($H$3,0,0,'Données projet'!$E$13+1,1))</f>
        <v>#N/A</v>
      </c>
      <c r="CZ97" s="59" t="e">
        <f t="shared" si="96"/>
        <v>#N/A</v>
      </c>
      <c r="DA97" s="15">
        <f>IF(ISNA(VLOOKUP(A97,'Données projet'!$A$139:$I$159,3,0)),0,VLOOKUP(A97,'Données projet'!$A$139:$I$159,3,0))</f>
        <v>0</v>
      </c>
      <c r="DB97" s="15">
        <f>IF(ISNA(VLOOKUP(A97,'Données projet'!$A$139:$I$159,4,0)),0,VLOOKUP(A97,'Données projet'!$A$139:$I$159,4,0))</f>
        <v>0</v>
      </c>
      <c r="DC97" s="16">
        <f>IF(ISNA(VLOOKUP(A97,'Données projet'!$A$139:$I$159,5,0)),0%,VLOOKUP(A97,'Données projet'!$A$139:$I$159,5,0)*VLOOKUP('Données projet'!$B$13,Paramètres!$A$1:$I$89,7,0))</f>
        <v>0</v>
      </c>
      <c r="DD97" s="16">
        <f>IF(ISNA(VLOOKUP(A97,'Données projet'!$A$139:$I$159,6,0)),0%,VLOOKUP(A97,'Données projet'!$A$139:$I$159,6,0)*VLOOKUP('Données projet'!$B$13,Paramètres!$A$1:$I$89,7,0))</f>
        <v>0</v>
      </c>
      <c r="DE97" s="16">
        <f>IF(ISNA(VLOOKUP(A97,'Données projet'!$A$139:$I$159,7,0)),0%,VLOOKUP(A97,'Données projet'!$A$139:$I$159,7,0))</f>
        <v>0</v>
      </c>
      <c r="DF97" s="21" t="e">
        <f>EXP(-LN(2)/35)*DF96+(1-EXP(-LN(2)/35))/(LN(2)/35)*DB97*DC97*VLOOKUP('Données projet'!$B$13,Paramètres!$A$1:$I$89,3,0)*0.475*44/12</f>
        <v>#N/A</v>
      </c>
      <c r="DG97" s="21" t="e">
        <f>EXP(-LN(2)/25)*DG96+(1-EXP(-LN(2)/25))/(LN(2)/25)*Calculateur!DB97*Calculateur!DD97*VLOOKUP('Données projet'!$B$13,Paramètres!$A$1:$I$89,3,0)*0.475*44/12</f>
        <v>#N/A</v>
      </c>
      <c r="DH97" s="21" t="e">
        <f>EXP(-LN(2)/2)*DH96+(1-EXP(-LN(2)/2))/(LN(2)/2)*DB97*DE97*VLOOKUP('Données projet'!$B$13,Paramètres!$A$1:$I$89,3,0)*0.475*44/12</f>
        <v>#N/A</v>
      </c>
      <c r="DI97" s="22" t="e">
        <f t="shared" si="69"/>
        <v>#N/A</v>
      </c>
      <c r="DJ97" s="75">
        <f>('Scénario référence'!$F$8+'Scénario référence'!$F$9+'Scénario référence'!$B$17+'Scénario référence'!$B$9+'Scénario référence'!$B$10)*70+IF((45+25*(1-EXP(-0.0175*A97)))&lt;70,'Scénario référence'!$B$16*(45+25*(1-EXP(-0.0175*A97))),70*'Scénario référence'!$B$16)+IF((32+38*(1-EXP(-0.0175*A97)))&lt;70,'Scénario référence'!$B$18*(32+38*(1-EXP(-0.0175*A97))),70*'Scénario référence'!$B$18)</f>
        <v>70</v>
      </c>
      <c r="DK97" s="12">
        <f>IF(A97&gt;30,10,('Scénario référence'!$B$16+'Scénario référence'!$B$17+'Scénario référence'!$B$18+'Scénario référence'!$B$9+'Scénario référence'!$B$10)*A97*10/30+('Scénario référence'!$F$8+'Scénario référence'!$F$9)*10)</f>
        <v>10</v>
      </c>
      <c r="DL97" s="12" t="e">
        <f>VLOOKUP(A97,'Données projet'!$A$165:$I$185,2,0)</f>
        <v>#N/A</v>
      </c>
      <c r="DM97" s="12" t="e">
        <f>VLOOKUP(A97,'Données projet'!$A$165:$I$185,9,0)</f>
        <v>#N/A</v>
      </c>
      <c r="DN97" s="12">
        <f t="array" ref="DN97">INDEX(DM:DM,MIN(IF(ISNUMBER(DM97:DM293),ROW(DM97:DM293),"")))</f>
        <v>0</v>
      </c>
      <c r="DO97" s="12">
        <f>IF('Données projet'!$A$166&gt;35,DO96+DN97-DW96,IF(A97&lt;'Données projet'!$A$166,$DL$205^A97,IF(A97='Données projet'!$A$166,'Données projet'!$B$166,DO96+DN97-DW96)))</f>
        <v>268.00000000000017</v>
      </c>
      <c r="DP97" s="17">
        <f>DO97*VLOOKUP('Données projet'!$B$14,Paramètres!$A$1:$I$89,3,0)*VLOOKUP('Données projet'!$B$14,Paramètres!$A$1:$I$89,5,0)</f>
        <v>175.59360000000012</v>
      </c>
      <c r="DQ97" s="13">
        <f t="shared" si="97"/>
        <v>44.340433728638573</v>
      </c>
      <c r="DR97" s="20">
        <f t="shared" si="70"/>
        <v>383.05177541071242</v>
      </c>
      <c r="DS97" s="59">
        <f t="shared" si="71"/>
        <v>676.38510874404574</v>
      </c>
      <c r="DT97" s="59">
        <f ca="1">AVERAGE(OFFSET($DS$3,0,0,'Données projet'!$E$14+1,1))-AVERAGE(OFFSET($H$3,0,0,'Données projet'!$E$14+1,1))</f>
        <v>188.68915783955595</v>
      </c>
      <c r="DU97" s="59">
        <f t="shared" si="98"/>
        <v>240.82467772396944</v>
      </c>
      <c r="DV97" s="15">
        <f>IF(ISNA(VLOOKUP(A97,'Données projet'!$A$165:$I$185,3,0)),0,VLOOKUP(A97,'Données projet'!$A$165:$I$185,3,0))</f>
        <v>0</v>
      </c>
      <c r="DW97" s="15">
        <f>IF(ISNA(VLOOKUP(A97,'Données projet'!$A$165:$I$185,4,0)),0,VLOOKUP(A97,'Données projet'!$A$165:$I$185,4,0))</f>
        <v>0</v>
      </c>
      <c r="DX97" s="16">
        <f>IF(ISNA(VLOOKUP(A97,'Données projet'!$A$165:$I$185,5,0)),0%,VLOOKUP(A97,'Données projet'!$A$165:$I$185,5,0)*VLOOKUP('Données projet'!$B$14,Paramètres!$A$1:$I$89,7,0))</f>
        <v>0</v>
      </c>
      <c r="DY97" s="16">
        <f>IF(ISNA(VLOOKUP(A97,'Données projet'!$A$165:$I$185,6,0)),0%,VLOOKUP(A97,'Données projet'!$A$165:$I$185,6,0)*VLOOKUP('Données projet'!$B$14,Paramètres!$A$1:$I$89,7,0))</f>
        <v>0</v>
      </c>
      <c r="DZ97" s="16">
        <f>IF(ISNA(VLOOKUP(A97,'Données projet'!$A$165:$I$185,7,0)),0%,VLOOKUP(A97,'Données projet'!$A$165:$I$185,7,0))</f>
        <v>0</v>
      </c>
      <c r="EA97" s="21">
        <f>EXP(-LN(2)/35)*EA96+(1-EXP(-LN(2)/35))/(LN(2)/35)*DW97*DX97*VLOOKUP('Données projet'!$B$14,Paramètres!$A$1:$I$89,3,0)*0.475*44/12</f>
        <v>0.43843438773729593</v>
      </c>
      <c r="EB97" s="21">
        <f>EXP(-LN(2)/25)*EB96+(1-EXP(-LN(2)/25))/(LN(2)/25)*Calculateur!DW97*Calculateur!DY97*VLOOKUP('Données projet'!$B$14,Paramètres!$A$1:$I$89,3,0)*0.475*44/12</f>
        <v>1.3630531568591209</v>
      </c>
      <c r="EC97" s="21">
        <f>EXP(-LN(2)/2)*EC96+(1-EXP(-LN(2)/2))/(LN(2)/2)*DW97*DZ97*VLOOKUP('Données projet'!$B$14,Paramètres!$A$1:$I$89,3,0)*0.475*44/12</f>
        <v>3.2587926802707573E-9</v>
      </c>
      <c r="ED97" s="22">
        <f t="shared" si="72"/>
        <v>1.8014875478552095</v>
      </c>
      <c r="EE97" s="75">
        <f>('Scénario référence'!$F$8+'Scénario référence'!$F$9+'Scénario référence'!$B$17+'Scénario référence'!$B$9+'Scénario référence'!$B$10)*70+IF((45+25*(1-EXP(-0.0175*A97)))&lt;70,'Scénario référence'!$B$16*(45+25*(1-EXP(-0.0175*A97))),70*'Scénario référence'!$B$16)+IF((32+38*(1-EXP(-0.0175*A97)))&lt;70,'Scénario référence'!$B$18*(32+38*(1-EXP(-0.0175*A97))),70*'Scénario référence'!$B$18)</f>
        <v>70</v>
      </c>
      <c r="EF97" s="12">
        <f>IF(A97&gt;30,10,('Scénario référence'!$B$16+'Scénario référence'!$B$17+'Scénario référence'!$B$18+'Scénario référence'!$B$9+'Scénario référence'!$B$10)*A97*10/30+('Scénario référence'!$F$8+'Scénario référence'!$F$9)*10)</f>
        <v>10</v>
      </c>
      <c r="EG97" s="12" t="e">
        <f>VLOOKUP(A97,'Données projet'!$A$191:$I$211,2,0)</f>
        <v>#N/A</v>
      </c>
      <c r="EH97" s="12" t="e">
        <f>VLOOKUP(A97,'Données projet'!$A$191:$I$211,9,0)</f>
        <v>#N/A</v>
      </c>
      <c r="EI97" s="12">
        <f t="array" ref="EI97">INDEX(EH:EH,MIN(IF(ISNUMBER(EH97:EH293),ROW(EH97:EH293),"")))</f>
        <v>0</v>
      </c>
      <c r="EJ97" s="12">
        <f>IF('Données projet'!$A$192&gt;35,EJ96+EI97-ER96,IF(A97&lt;'Données projet'!$A$192,$EG$205^A97,IF(A97='Données projet'!$A$192,'Données projet'!$B$192,EJ96+EI97-ER96)))</f>
        <v>275.99999999999972</v>
      </c>
      <c r="EK97" s="17">
        <f>EJ97*VLOOKUP('Données projet'!$B$15,Paramètres!$A$1:$I$89,3,0)*VLOOKUP('Données projet'!$B$15,Paramètres!$A$1:$I$89,5,0)</f>
        <v>223.8911999999998</v>
      </c>
      <c r="EL97" s="13">
        <f t="shared" si="99"/>
        <v>54.95975389514858</v>
      </c>
      <c r="EM97" s="20">
        <f t="shared" si="73"/>
        <v>485.66541136738346</v>
      </c>
      <c r="EN97" s="59">
        <f t="shared" si="74"/>
        <v>778.99874470071677</v>
      </c>
      <c r="EO97" s="59">
        <f ca="1">AVERAGE(OFFSET($EN$3,0,0,'Données projet'!$E$15+1,1))-AVERAGE(OFFSET($H$3,0,0,'Données projet'!$E$15+1,1))</f>
        <v>205.5272583787887</v>
      </c>
      <c r="EP97" s="59">
        <f t="shared" si="100"/>
        <v>180.54762778843178</v>
      </c>
      <c r="EQ97" s="15">
        <f>IF(ISNA(VLOOKUP(A97,'Données projet'!$A$191:$I$211,3,0)),0,VLOOKUP(A97,'Données projet'!$A$191:$I$211,3,0))</f>
        <v>0</v>
      </c>
      <c r="ER97" s="15">
        <f>IF(ISNA(VLOOKUP(A97,'Données projet'!$A$191:$I$211,4,0)),0,VLOOKUP(A97,'Données projet'!$A$191:$I$211,4,0))</f>
        <v>0</v>
      </c>
      <c r="ES97" s="16">
        <f>IF(ISNA(VLOOKUP(A97,'Données projet'!$A$191:$I$211,5,0)),0%,VLOOKUP(A97,'Données projet'!$A$191:$I$211,5,0)*VLOOKUP('Données projet'!$B$15,Paramètres!$A$1:$I$89,7,0))</f>
        <v>0</v>
      </c>
      <c r="ET97" s="16">
        <f>IF(ISNA(VLOOKUP(A97,'Données projet'!$A$191:$I$211,6,0)),0%,VLOOKUP(A97,'Données projet'!$A$191:$I$211,6,0)*VLOOKUP('Données projet'!$B$15,Paramètres!$A$1:$I$89,7,0))</f>
        <v>0</v>
      </c>
      <c r="EU97" s="16">
        <f>IF(ISNA(VLOOKUP(A97,'Données projet'!$A$191:$I$211,7,0)),0%,VLOOKUP(A97,'Données projet'!$A$191:$I$211,7,0))</f>
        <v>0</v>
      </c>
      <c r="EV97" s="21">
        <f>EXP(-LN(2)/35)*EV96+(1-EXP(-LN(2)/35))/(LN(2)/35)*ER97*ES97*VLOOKUP('Données projet'!$B$15,Paramètres!$A$1:$I$89,3,0)*0.475*44/12</f>
        <v>0.28226823439086862</v>
      </c>
      <c r="EW97" s="21">
        <f>EXP(-LN(2)/25)*EW96+(1-EXP(-LN(2)/25))/(LN(2)/25)*Calculateur!ER97*Calculateur!ET97*VLOOKUP('Données projet'!$B$15,Paramètres!$A$1:$I$89,3,0)*0.475*44/12</f>
        <v>0.98416572878498076</v>
      </c>
      <c r="EX97" s="21">
        <f>EXP(-LN(2)/2)*EX96+(1-EXP(-LN(2)/2))/(LN(2)/2)*ER97*EU97*VLOOKUP('Données projet'!$B$15,Paramètres!$A$1:$I$89,3,0)*0.475*44/12</f>
        <v>2.1100706701120228E-9</v>
      </c>
      <c r="EY97" s="22">
        <f t="shared" si="75"/>
        <v>1.26643396528592</v>
      </c>
      <c r="EZ97" s="75">
        <f>('Scénario référence'!$F$8+'Scénario référence'!$F$9+'Scénario référence'!$B$17+'Scénario référence'!$B$9+'Scénario référence'!$B$10)*70+IF((45+25*(1-EXP(-0.0175*A97)))&lt;70,'Scénario référence'!$B$16*(45+25*(1-EXP(-0.0175*A97))),70*'Scénario référence'!$B$16)+IF((32+38*(1-EXP(-0.0175*A97)))&lt;70,'Scénario référence'!$B$18*(32+38*(1-EXP(-0.0175*A97))),70*'Scénario référence'!$B$18)</f>
        <v>70</v>
      </c>
      <c r="FA97" s="12">
        <f>IF(A97&gt;30,10,('Scénario référence'!$B$16+'Scénario référence'!$B$17+'Scénario référence'!$B$18+'Scénario référence'!$B$9+'Scénario référence'!$B$10)*A97*10/30+('Scénario référence'!$F$8+'Scénario référence'!$F$9)*10)</f>
        <v>10</v>
      </c>
      <c r="FB97" s="12" t="e">
        <f>VLOOKUP(A97,'Données projet'!$A$217:$I$237,2,0)</f>
        <v>#N/A</v>
      </c>
      <c r="FC97" s="12" t="e">
        <f>VLOOKUP(A97,'Données projet'!$A$217:$I$237,9,0)</f>
        <v>#N/A</v>
      </c>
      <c r="FD97" s="12">
        <f t="array" ref="FD97">INDEX(FC:FC,MIN(IF(ISNUMBER(FC97:FC293),ROW(FC97:FC293),"")))</f>
        <v>9.6999999999999993</v>
      </c>
      <c r="FE97" s="12">
        <f>IF('Données projet'!$A$218&gt;35,FE96+FD97-FM96,IF(A97&lt;'Données projet'!$A$218,$FB$205^A97,IF(A97='Données projet'!$A$218,'Données projet'!$B$218,FE96+FD97-FM96)))</f>
        <v>377.7999999999999</v>
      </c>
      <c r="FF97" s="17">
        <f>FE97*VLOOKUP('Données projet'!$B$16,Paramètres!$A$1:$I$89,3,0)*VLOOKUP('Données projet'!$B$16,Paramètres!$A$1:$I$89,5,0)</f>
        <v>324.15239999999994</v>
      </c>
      <c r="FG97" s="13">
        <f t="shared" si="101"/>
        <v>76.216691868516151</v>
      </c>
      <c r="FH97" s="20">
        <f t="shared" si="76"/>
        <v>697.30950167099888</v>
      </c>
      <c r="FI97" s="59">
        <f t="shared" si="77"/>
        <v>990.64283500433226</v>
      </c>
      <c r="FJ97" s="59">
        <f ca="1">AVERAGE(OFFSET($FI$3,0,0,'Données projet'!$E$16+1,1))-AVERAGE(OFFSET($H$3,0,0,'Données projet'!$E$16+1,1))</f>
        <v>383.97627237444709</v>
      </c>
      <c r="FK97" s="59">
        <f t="shared" si="102"/>
        <v>203.35476578922339</v>
      </c>
      <c r="FL97" s="15">
        <f>IF(ISNA(VLOOKUP(A97,'Données projet'!$A$217:$I$237,3,0)),0,VLOOKUP(A97,'Données projet'!$A$217:$I$237,3,0))</f>
        <v>0</v>
      </c>
      <c r="FM97" s="15">
        <f>IF(ISNA(VLOOKUP(A97,'Données projet'!$A$217:$I$237,4,0)),0,VLOOKUP(A97,'Données projet'!$A$217:$I$237,4,0))</f>
        <v>0</v>
      </c>
      <c r="FN97" s="16">
        <f>IF(ISNA(VLOOKUP(A97,'Données projet'!$A$217:$I$237,5,0)),0%,VLOOKUP(A97,'Données projet'!$A$217:$I$237,5,0)*VLOOKUP('Données projet'!$B$16,Paramètres!$A$1:$I$89,7,0))</f>
        <v>0</v>
      </c>
      <c r="FO97" s="16">
        <f>IF(ISNA(VLOOKUP(A97,'Données projet'!$A$217:$I$237,6,0)),0%,VLOOKUP(A97,'Données projet'!$A$217:$I$237,6,0)*VLOOKUP('Données projet'!$B$16,Paramètres!$A$1:$I$89,7,0))</f>
        <v>0</v>
      </c>
      <c r="FP97" s="16">
        <f>IF(ISNA(VLOOKUP(A97,'Données projet'!$A$217:$I$237,7,0)),0%,VLOOKUP(A97,'Données projet'!$A$217:$I$237,7,0))</f>
        <v>0</v>
      </c>
      <c r="FQ97" s="21">
        <f>EXP(-LN(2)/35)*FQ96+(1-EXP(-LN(2)/35))/(LN(2)/35)*FM97*FN97*VLOOKUP('Données projet'!$B$16,Paramètres!$A$1:$I$89,3,0)*0.475*44/12</f>
        <v>1.4507055883284337</v>
      </c>
      <c r="FR97" s="21">
        <f>EXP(-LN(2)/25)*FR96+(1-EXP(-LN(2)/25))/(LN(2)/25)*Calculateur!FM97*Calculateur!FO97*VLOOKUP('Données projet'!$B$16,Paramètres!$A$1:$I$89,3,0)*0.475*44/12</f>
        <v>0.99902993791230188</v>
      </c>
      <c r="FS97" s="21">
        <f>EXP(-LN(2)/2)*FS96+(1-EXP(-LN(2)/2))/(LN(2)/2)*FM97*FP97*VLOOKUP('Données projet'!$B$16,Paramètres!$A$1:$I$89,3,0)*0.475*44/12</f>
        <v>3.8757667717965999E-9</v>
      </c>
      <c r="FT97" s="22">
        <f t="shared" si="78"/>
        <v>2.4497355301165022</v>
      </c>
      <c r="FU97" s="75">
        <f>('Scénario référence'!$F$8+'Scénario référence'!$F$9+'Scénario référence'!$B$17+'Scénario référence'!$B$9+'Scénario référence'!$B$10)*70+IF((45+25*(1-EXP(-0.0175*A97)))&lt;70,'Scénario référence'!$B$16*(45+25*(1-EXP(-0.0175*A97))),70*'Scénario référence'!$B$16)+IF((32+38*(1-EXP(-0.0175*A97)))&lt;70,'Scénario référence'!$B$18*(32+38*(1-EXP(-0.0175*A97))),70*'Scénario référence'!$B$18)</f>
        <v>70</v>
      </c>
      <c r="FV97" s="12">
        <f>IF(A97&gt;30,10,('Scénario référence'!$B$16+'Scénario référence'!$B$17+'Scénario référence'!$B$18+'Scénario référence'!$B$9+'Scénario référence'!$B$10)*A97*10/30+('Scénario référence'!$F$8+'Scénario référence'!$F$9)*10)</f>
        <v>10</v>
      </c>
      <c r="FW97" s="12" t="e">
        <f>VLOOKUP(A97,'Données projet'!$A$243:$I$263,2,0)</f>
        <v>#N/A</v>
      </c>
      <c r="FX97" s="12" t="e">
        <f>VLOOKUP(A97,'Données projet'!$A$243:$I$263,9,0)</f>
        <v>#N/A</v>
      </c>
      <c r="FY97" s="12">
        <f t="array" ref="FY97">INDEX(FX:FX,MIN(IF(ISNUMBER(FX97:FX293),ROW(FX97:FX293),"")))</f>
        <v>7.1782051282051267</v>
      </c>
      <c r="FZ97" s="12">
        <f>IF('Données projet'!$A$244&gt;35,FZ96+FY97-GH96,IF(A97&lt;'Données projet'!$A$244,$FW$205^A97,IF(A97='Données projet'!$A$244,'Données projet'!$B$244,FZ96+FY97-GH96)))</f>
        <v>282.35897435897459</v>
      </c>
      <c r="GA97" s="17">
        <f>FZ97*VLOOKUP('Données projet'!$B$17,Paramètres!$A$1:$I$89,3,0)*VLOOKUP('Données projet'!$B$17,Paramètres!$A$1:$I$89,5,0)</f>
        <v>303.93120000000022</v>
      </c>
      <c r="GB97" s="13">
        <f t="shared" si="103"/>
        <v>71.999968513183362</v>
      </c>
      <c r="GC97" s="20">
        <f t="shared" si="79"/>
        <v>654.7467851604614</v>
      </c>
      <c r="GD97" s="59">
        <f t="shared" si="80"/>
        <v>948.08011849379477</v>
      </c>
      <c r="GE97" s="59">
        <f ca="1">AVERAGE(OFFSET($GD$3,0,0,'Données projet'!$E$17+1,1))-AVERAGE(OFFSET($H$3,0,0,'Données projet'!$E$17+1,1))</f>
        <v>286.77702855541287</v>
      </c>
      <c r="GF97" s="59">
        <f t="shared" si="104"/>
        <v>227.12211541860779</v>
      </c>
      <c r="GG97" s="15">
        <f>IF(ISNA(VLOOKUP(A97,'Données projet'!$A$243:$I$263,3,0)),0,VLOOKUP(A97,'Données projet'!$A$243:$I$263,3,0))</f>
        <v>0</v>
      </c>
      <c r="GH97" s="15">
        <f>IF(ISNA(VLOOKUP(A97,'Données projet'!$A$243:$I$263,4,0)),0,VLOOKUP(A97,'Données projet'!$A$243:$I$263,4,0))</f>
        <v>0</v>
      </c>
      <c r="GI97" s="16">
        <f>IF(ISNA(VLOOKUP(A97,'Données projet'!$A$243:$I$263,5,0)),0%,VLOOKUP(A97,'Données projet'!$A$243:$I$263,5,0)*VLOOKUP('Données projet'!$B$17,Paramètres!$A$1:$I$89,7,0))</f>
        <v>0</v>
      </c>
      <c r="GJ97" s="16">
        <f>IF(ISNA(VLOOKUP(A97,'Données projet'!$A$243:$I$263,6,0)),0%,VLOOKUP(A97,'Données projet'!$A$243:$I$263,6,0)*VLOOKUP('Données projet'!$B$17,Paramètres!$A$1:$I$89,7,0))</f>
        <v>0</v>
      </c>
      <c r="GK97" s="16">
        <f>IF(ISNA(VLOOKUP(A97,'Données projet'!$A$243:$I$263,7,0)),0%,VLOOKUP(A97,'Données projet'!$A$243:$I$263,7,0))</f>
        <v>0</v>
      </c>
      <c r="GL97" s="21">
        <f>EXP(-LN(2)/35)*GL96+(1-EXP(-LN(2)/35))/(LN(2)/35)*GH97*GI97*VLOOKUP('Données projet'!$B$17,Paramètres!$A$1:$I$89,3,0)*0.475*44/12</f>
        <v>0</v>
      </c>
      <c r="GM97" s="21">
        <f>EXP(-LN(2)/25)*GM96+(1-EXP(-LN(2)/25))/(LN(2)/25)*Calculateur!GH97*Calculateur!GJ97*VLOOKUP('Données projet'!$B$17,Paramètres!$A$1:$I$89,3,0)*0.475*44/12</f>
        <v>0</v>
      </c>
      <c r="GN97" s="21">
        <f>EXP(-LN(2)/2)*GN96+(1-EXP(-LN(2)/2))/(LN(2)/2)*GH97*GK97*VLOOKUP('Données projet'!$B$17,Paramètres!$A$1:$I$89,3,0)*0.475*44/12</f>
        <v>0</v>
      </c>
      <c r="GO97" s="21">
        <f t="shared" si="81"/>
        <v>0</v>
      </c>
      <c r="GP97" s="75">
        <f>('Scénario référence'!$F$8+'Scénario référence'!$F$9+'Scénario référence'!$B$17+'Scénario référence'!$B$9+'Scénario référence'!$B$10)*70+IF((45+25*(1-EXP(-0.0175*A97)))&lt;70,'Scénario référence'!$B$16*(45+25*(1-EXP(-0.0175*A97))),70*'Scénario référence'!$B$16)+IF((32+38*(1-EXP(-0.0175*A97)))&lt;70,'Scénario référence'!$B$18*(32+38*(1-EXP(-0.0175*A97))),70*'Scénario référence'!$B$18)</f>
        <v>70</v>
      </c>
      <c r="GQ97" s="12">
        <f>IF(A97&gt;30,10,('Scénario référence'!$B$16+'Scénario référence'!$B$17+'Scénario référence'!$B$18+'Scénario référence'!$B$9+'Scénario référence'!$B$10)*A97*10/30+('Scénario référence'!$F$8+'Scénario référence'!$F$9)*10)</f>
        <v>10</v>
      </c>
      <c r="GR97" s="12" t="e">
        <f>VLOOKUP(A97,'Données projet'!$A$269:$I$289,2,0)</f>
        <v>#N/A</v>
      </c>
      <c r="GS97" s="12" t="e">
        <f>VLOOKUP(A97,'Données projet'!$A$269:$I$289,9,0)</f>
        <v>#N/A</v>
      </c>
      <c r="GT97" s="12">
        <f t="array" ref="GT97">INDEX(GS:GS,MIN(IF(ISNUMBER(GS97:GS293),ROW(GS97:GS293),"")))</f>
        <v>7.1782051282051267</v>
      </c>
      <c r="GU97" s="12">
        <f>IF('Données projet'!$A$270&gt;35,GU96+GT97-HC96,IF(A97&lt;'Données projet'!$A$270,$GR$205^A97,IF(A97='Données projet'!$A$270,'Données projet'!$B$270,GU96+GT97-HC96)))</f>
        <v>282.35897435897459</v>
      </c>
      <c r="GV97" s="17">
        <f>GU97*VLOOKUP('Données projet'!$B$18,Paramètres!$A$1:$I$89,3,0)*VLOOKUP('Données projet'!$B$18,Paramètres!$A$1:$I$89,5,0)</f>
        <v>303.93120000000022</v>
      </c>
      <c r="GW97" s="13">
        <f t="shared" si="105"/>
        <v>71.999968513183362</v>
      </c>
      <c r="GX97" s="20">
        <f t="shared" si="82"/>
        <v>654.7467851604614</v>
      </c>
      <c r="GY97" s="59">
        <f t="shared" si="83"/>
        <v>948.08011849379477</v>
      </c>
      <c r="GZ97" s="59">
        <f ca="1">AVERAGE(OFFSET($GY$3,0,0,'Données projet'!$E$18+1,1))-AVERAGE(OFFSET($H$3,0,0,'Données projet'!$E$18+1,1))</f>
        <v>286.77702855541287</v>
      </c>
      <c r="HA97" s="59">
        <f t="shared" si="106"/>
        <v>227.12211541860779</v>
      </c>
      <c r="HB97" s="15">
        <f>IF(ISNA(VLOOKUP(A97,'Données projet'!$A$269:$I$289,3,0)),0,VLOOKUP(A97,'Données projet'!$A$269:$I$289,3,0))</f>
        <v>0</v>
      </c>
      <c r="HC97" s="15">
        <f>IF(ISNA(VLOOKUP(A97,'Données projet'!$A$269:$I$289,4,0)),0,VLOOKUP(A97,'Données projet'!$A$269:$I$289,4,0))</f>
        <v>0</v>
      </c>
      <c r="HD97" s="16">
        <f>IF(ISNA(VLOOKUP(A97,'Données projet'!$A$269:$I$289,5,0)),0%,VLOOKUP(A97,'Données projet'!$A$269:$I$289,5,0)*VLOOKUP('Données projet'!$B$18,Paramètres!$A$1:$I$89,7,0))</f>
        <v>0</v>
      </c>
      <c r="HE97" s="16">
        <f>IF(ISNA(VLOOKUP(A97,'Données projet'!$A$269:$I$289,6,0)),0%,VLOOKUP(A97,'Données projet'!$A$269:$I$289,6,0)*VLOOKUP('Données projet'!$B$18,Paramètres!$A$1:$I$89,7,0))</f>
        <v>0</v>
      </c>
      <c r="HF97" s="16">
        <f>IF(ISNA(VLOOKUP(A97,'Données projet'!$A$269:$I$289,7,0)),0%,VLOOKUP(A97,'Données projet'!$A$269:$I$289,7,0))</f>
        <v>0</v>
      </c>
      <c r="HG97" s="21">
        <f>EXP(-LN(2)/35)*HG96+(1-EXP(-LN(2)/35))/(LN(2)/35)*HC97*HD97*VLOOKUP('Données projet'!$B$18,Paramètres!$A$1:$I$89,3,0)*0.475*44/12</f>
        <v>0</v>
      </c>
      <c r="HH97" s="21">
        <f>EXP(-LN(2)/25)*HH96+(1-EXP(-LN(2)/25))/(LN(2)/25)*Calculateur!HC97*Calculateur!HE97*VLOOKUP('Données projet'!$B$18,Paramètres!$A$1:$I$89,3,0)*0.475*44/12</f>
        <v>0</v>
      </c>
      <c r="HI97" s="21">
        <f>EXP(-LN(2)/2)*HI96+(1-EXP(-LN(2)/2))/(LN(2)/2)*HC97*HF97*VLOOKUP('Données projet'!$B$18,Paramètres!$A$1:$I$89,3,0)*0.475*44/12</f>
        <v>0</v>
      </c>
      <c r="HJ97" s="22">
        <f t="shared" si="84"/>
        <v>0</v>
      </c>
    </row>
    <row r="98" spans="1:218" x14ac:dyDescent="0.25">
      <c r="A98" s="10">
        <f t="shared" si="85"/>
        <v>95</v>
      </c>
      <c r="B98" s="73">
        <f>'Scénario référence'!$B$16*5+'Scénario référence'!$B$17*0+'Scénario référence'!$B$18*5</f>
        <v>0</v>
      </c>
      <c r="C98" s="19">
        <f>Calculateur!C97+'Scénario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84.474000000000132</v>
      </c>
      <c r="D98" s="11">
        <f t="shared" si="86"/>
        <v>23.227611851623202</v>
      </c>
      <c r="E9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98" s="11">
        <f>IF(OR('Scénario référence'!$F$8&gt;0,'Scénario référence'!$F$9&gt;0),('Scénario référence'!$F$8+'Scénario référence'!$F$9)*10,0)</f>
        <v>10</v>
      </c>
      <c r="G98" s="11">
        <f>'Scénario référence'!$B$8*B98*44/12+'Scénario référence'!$B$9*(C98+D98)/0.475*44/12+'Scénario référence'!$B$10*(C98+D98)/0.475*44/12+'Scénario référence'!$F$8*(C98+D98)/0.475*44/12+'Scénario référence'!$F$9*(C98+D98)/0.475*44/12</f>
        <v>831.38086341603992</v>
      </c>
      <c r="H98" s="67">
        <f t="shared" si="56"/>
        <v>480.91364064157727</v>
      </c>
      <c r="I98" s="70">
        <f>('Scénario référence'!$F$8+'Scénario référence'!$F$9+'Scénario référence'!$B$17+'Scénario référence'!$B$9+'Scénario référence'!$B$10)*70+IF((45+25*(1-EXP(-0.0175*A98)))&lt;70,'Scénario référence'!$B$16*(45+25*(1-EXP(-0.0175*A98))),70*'Scénario référence'!$B$16)+IF((32+38*(1-EXP(-0.0175*A98)))&lt;70,'Scénario référence'!$B$18*(32+38*(1-EXP(-0.0175*A98))),70*'Scénario référence'!$B$18)</f>
        <v>70</v>
      </c>
      <c r="J98" s="13">
        <f>IF(A98&gt;30,10,('Scénario référence'!$B$16+'Scénario référence'!$B$17+'Scénario référence'!$B$18+'Scénario référence'!$B$9+'Scénario référence'!$B$10)*A98*10/30+('Scénario référence'!$F$8+'Scénario référence'!$F$9)*10)</f>
        <v>10</v>
      </c>
      <c r="K98" s="12" t="e">
        <f>VLOOKUP(A98,'Données projet'!$A$35:$I$55,2,0)</f>
        <v>#N/A</v>
      </c>
      <c r="L98" s="12" t="e">
        <f>VLOOKUP(A98,'Données projet'!$A$35:$I$55,9,0)</f>
        <v>#N/A</v>
      </c>
      <c r="M98" s="12">
        <f t="array" ref="M98">INDEX(L:L,MIN(IF(ISNUMBER(L98:L294),ROW(L98:L294),"")))</f>
        <v>0</v>
      </c>
      <c r="N98" s="13">
        <f>IF('Données projet'!$A$36&gt;35,N97+M98-V97,IF(A98&lt;'Données projet'!$A$36,$K$205^A98,IF(A98='Données projet'!$A$36,'Données projet'!$B$36,N97+M98-V97)))</f>
        <v>-2.2737367544323206E-13</v>
      </c>
      <c r="O98" s="13">
        <f>N98*VLOOKUP('Données projet'!$B$9,Paramètres!$A$1:$I$89,3,0)*VLOOKUP('Données projet'!$B$9,Paramètres!$A$1:$I$89,5,0)</f>
        <v>-1.2710188457276673E-13</v>
      </c>
      <c r="P98" s="13" t="e">
        <f t="shared" si="87"/>
        <v>#NUM!</v>
      </c>
      <c r="Q98" s="20" t="e">
        <f t="shared" si="54"/>
        <v>#NUM!</v>
      </c>
      <c r="R98" s="59" t="e">
        <f t="shared" si="55"/>
        <v>#NUM!</v>
      </c>
      <c r="S98" s="59">
        <f ca="1">AVERAGE(OFFSET($R$3,0,0,'Données projet'!$E$9+1,1))-AVERAGE(OFFSET($H$3,0,0,'Données projet'!$E$9+1,1))</f>
        <v>255.5374979188561</v>
      </c>
      <c r="T98" s="59">
        <f t="shared" si="88"/>
        <v>343.10418468620901</v>
      </c>
      <c r="U98" s="15">
        <f>IF(ISNA(VLOOKUP(A98,'Données projet'!$A$35:$I$55,3,0)),0,VLOOKUP(A98,'Données projet'!$A$35:$I$55,3,0))</f>
        <v>0</v>
      </c>
      <c r="V98" s="15">
        <f>IF(ISNA(VLOOKUP(A98,'Données projet'!$A$35:$I$55,4,0)),0,VLOOKUP(A98,'Données projet'!$A$35:$I$55,4,0))</f>
        <v>0</v>
      </c>
      <c r="W98" s="16">
        <f>IF(ISNA(VLOOKUP(A98,'Données projet'!$A$35:$I$55,5,0)),0%,VLOOKUP(A98,'Données projet'!$A$35:$I$55,5,0)*VLOOKUP('Données projet'!$B$9,Paramètres!$A$1:$I$89,7,0))</f>
        <v>0</v>
      </c>
      <c r="X98" s="16">
        <f>IF(ISNA(VLOOKUP(A98,'Données projet'!$A$35:$I$55,6,0)),0%,VLOOKUP(A98,'Données projet'!$A$35:$I$55,6,0)*VLOOKUP('Données projet'!$B$9,Paramètres!$A$1:$I$89,7,0))</f>
        <v>0</v>
      </c>
      <c r="Y98" s="16">
        <f>IF(ISNA(VLOOKUP(A98,'Données projet'!$A$35:$I$55,7,0)),0%,VLOOKUP(A98,'Données projet'!$A$35:$I$55,7,0))</f>
        <v>0</v>
      </c>
      <c r="Z98" s="21">
        <f>EXP(-LN(2)/35)*Z97+(1-EXP(-LN(2)/35))/(LN(2)/35)*V98*W98*VLOOKUP('Données projet'!$B$9,Paramètres!$A$1:$I$89,3,0)*0.475*44/12</f>
        <v>0.85292042387611877</v>
      </c>
      <c r="AA98" s="21">
        <f>EXP(-LN(2)/25)*AA97+(1-EXP(-LN(2)/25))/(LN(2)/25)*Calculateur!V98*Calculateur!X98*VLOOKUP('Données projet'!$B$9,Paramètres!$A$1:$I$89,3,0)*0.475*44/12</f>
        <v>2.6324610225467464</v>
      </c>
      <c r="AB98" s="21">
        <f>EXP(-LN(2)/2)*AB97+(1-EXP(-LN(2)/2))/(LN(2)/2)*V98*Y98*VLOOKUP('Données projet'!$B$9,Paramètres!$A$1:$I$89,3,0)*0.475*44/12</f>
        <v>2.7867168271250113E-10</v>
      </c>
      <c r="AC98" s="22">
        <f t="shared" si="57"/>
        <v>3.4853814467015369</v>
      </c>
      <c r="AD98" s="13">
        <f>('Scénario référence'!$F$8+'Scénario référence'!$F$9+'Scénario référence'!$B$17+'Scénario référence'!$B$9+'Scénario référence'!$B$10)*70+IF((45+25*(1-EXP(-0.0175*A98)))&lt;70,'Scénario référence'!$B$16*(45+25*(1-EXP(-0.0175*A98))),70*'Scénario référence'!$B$16)+IF((32+38*(1-EXP(-0.0175*A98)))&lt;70,'Scénario référence'!$B$18*(32+38*(1-EXP(-0.0175*A98))),70*'Scénario référence'!$B$18)</f>
        <v>70</v>
      </c>
      <c r="AE98" s="13">
        <f>IF(A98&gt;30,10,('Scénario référence'!$B$16+'Scénario référence'!$B$17+'Scénario référence'!$B$18+'Scénario référence'!$B$9+'Scénario référence'!$B$10)*A98*10/30+('Scénario référence'!$F$8+'Scénario référence'!$F$9)*10)</f>
        <v>10</v>
      </c>
      <c r="AF98" s="12" t="e">
        <f>VLOOKUP(A98,'Données projet'!$A$61:$I$81,2,0)</f>
        <v>#N/A</v>
      </c>
      <c r="AG98" s="12" t="e">
        <f>VLOOKUP(A98,'Données projet'!$A$61:$I$81,9,0)</f>
        <v>#N/A</v>
      </c>
      <c r="AH98" s="12">
        <f t="array" ref="AH98">INDEX(AG:AG,MIN(IF(ISNUMBER(AG98:AG294),ROW(AG98:AG294),"")))</f>
        <v>0</v>
      </c>
      <c r="AI98" s="13">
        <f>IF('Données projet'!$A$62&gt;35,AI97+AH98-AQ97,IF(A98&lt;'Données projet'!$A$62,$AF$205^A98,IF(A98='Données projet'!$A$62,'Données projet'!$B$62,AI97+AH98-AQ97)))</f>
        <v>0</v>
      </c>
      <c r="AJ98" s="13">
        <f>AI98*VLOOKUP('Données projet'!$B$10,Paramètres!$A$1:$I$89,3,0)*VLOOKUP('Données projet'!$B$10,Paramètres!$A$1:$I$89,5,0)</f>
        <v>0</v>
      </c>
      <c r="AK98" s="13" t="e">
        <f t="shared" si="89"/>
        <v>#NUM!</v>
      </c>
      <c r="AL98" s="20" t="e">
        <f t="shared" si="58"/>
        <v>#NUM!</v>
      </c>
      <c r="AM98" s="59" t="e">
        <f t="shared" si="59"/>
        <v>#NUM!</v>
      </c>
      <c r="AN98" s="59">
        <f ca="1">AVERAGE(OFFSET($AM$3,0,0,'Données projet'!$E$10+1,1))-AVERAGE(OFFSET($H$3,0,0,'Données projet'!$E$10+1,1))</f>
        <v>261.78489480911571</v>
      </c>
      <c r="AO98" s="59">
        <f t="shared" si="90"/>
        <v>297.50513563712764</v>
      </c>
      <c r="AP98" s="15">
        <f>IF(ISNA(VLOOKUP(A98,'Données projet'!$A$61:$I$81,3,0)),0,VLOOKUP(A98,'Données projet'!$A$61:$I$81,3,0))</f>
        <v>0</v>
      </c>
      <c r="AQ98" s="15">
        <f>IF(ISNA(VLOOKUP(A98,'Données projet'!$A$61:$I$81,4,0)),0,VLOOKUP(A98,'Données projet'!$A$61:$I$81,4,0))</f>
        <v>0</v>
      </c>
      <c r="AR98" s="16">
        <f>IF(ISNA(VLOOKUP(A98,'Données projet'!$A$61:$I$81,5,0)),0%,VLOOKUP(A98,'Données projet'!$A$61:$I$81,5,0)*VLOOKUP('Données projet'!$B$10,Paramètres!$A$1:$I$89,7,0))</f>
        <v>0</v>
      </c>
      <c r="AS98" s="16">
        <f>IF(ISNA(VLOOKUP(A98,'Données projet'!$A$61:$I$81,6,0)),0%,VLOOKUP(A98,'Données projet'!$A$61:$I$81,6,0)*VLOOKUP('Données projet'!$B$10,Paramètres!$A$1:$I$89,7,0))</f>
        <v>0</v>
      </c>
      <c r="AT98" s="16">
        <f>IF(ISNA(VLOOKUP(A98,'Données projet'!$A$61:$I$81,7,0)),0%,VLOOKUP(A98,'Données projet'!$A$61:$I$81,7,0))</f>
        <v>0</v>
      </c>
      <c r="AU98" s="21">
        <f>EXP(-LN(2)/35)*AU97+(1-EXP(-LN(2)/35))/(LN(2)/35)*AQ98*AR98*VLOOKUP('Données projet'!$B$10,Paramètres!$A$1:$I$89,3,0)*0.475*44/12</f>
        <v>2.3031263918503</v>
      </c>
      <c r="AV98" s="21">
        <f>EXP(-LN(2)/25)*AV97+(1-EXP(-LN(2)/25))/(LN(2)/25)*Calculateur!AQ98*Calculateur!AS98*VLOOKUP('Données projet'!$B$10,Paramètres!$A$1:$I$89,3,0)*0.475*44/12</f>
        <v>4.5968138644191949</v>
      </c>
      <c r="AW98" s="21">
        <f>EXP(-LN(2)/2)*AW97+(1-EXP(-LN(2)/2))/(LN(2)/2)*AQ98*AT98*VLOOKUP('Données projet'!$B$10,Paramètres!$A$1:$I$89,3,0)*0.475*44/12</f>
        <v>4.0173176028624808E-9</v>
      </c>
      <c r="AX98" s="21">
        <f t="shared" si="60"/>
        <v>6.8999402602868134</v>
      </c>
      <c r="AY98" s="74">
        <f>('Scénario référence'!$F$8+'Scénario référence'!$F$9+'Scénario référence'!$B$17+'Scénario référence'!$B$9+'Scénario référence'!$B$10)*70+IF((45+25*(1-EXP(-0.0175*A98)))&lt;70,'Scénario référence'!$B$16*(45+25*(1-EXP(-0.0175*A98))),70*'Scénario référence'!$B$16)+IF((32+38*(1-EXP(-0.0175*A98)))&lt;70,'Scénario référence'!$B$18*(32+38*(1-EXP(-0.0175*A98))),70*'Scénario référence'!$B$18)</f>
        <v>70</v>
      </c>
      <c r="AZ98" s="12">
        <f>IF(A98&gt;30,10,('Scénario référence'!$B$16+'Scénario référence'!$B$17+'Scénario référence'!$B$18+'Scénario référence'!$B$9+'Scénario référence'!$B$10)*A98*10/30+('Scénario référence'!$F$8+'Scénario référence'!$F$9)*10)</f>
        <v>10</v>
      </c>
      <c r="BA98" s="12" t="e">
        <f>VLOOKUP(A98,'Données projet'!$A$87:$I$107,2,0)</f>
        <v>#N/A</v>
      </c>
      <c r="BB98" s="12" t="e">
        <f>VLOOKUP(A98,'Données projet'!$A$87:$I$107,9,0)</f>
        <v>#N/A</v>
      </c>
      <c r="BC98" s="12">
        <f t="array" ref="BC98">INDEX(BB:BB,MIN(IF(ISNUMBER(BB98:BB294),ROW(BB98:BB294),"")))</f>
        <v>0</v>
      </c>
      <c r="BD98" s="12">
        <f>IF('Données projet'!$A$88&gt;35,BD97+BC98-BL97,IF(A98&lt;'Données projet'!$A$88,$BA$205^A98,IF(A98='Données projet'!$A$88,'Données projet'!$B$88,BD97+BC98-BL97)))</f>
        <v>553.99999999999955</v>
      </c>
      <c r="BE98" s="13">
        <f>BD98*VLOOKUP('Données projet'!$B$11,Paramètres!$A$1:$I$89,3,0)*VLOOKUP('Données projet'!$B$11,Paramètres!$A$1:$I$89,5,0)</f>
        <v>331.29199999999975</v>
      </c>
      <c r="BF98" s="13">
        <f t="shared" si="91"/>
        <v>77.698110787752</v>
      </c>
      <c r="BG98" s="20">
        <f t="shared" si="61"/>
        <v>712.32444295533423</v>
      </c>
      <c r="BH98" s="59">
        <f t="shared" si="62"/>
        <v>1005.6577762886675</v>
      </c>
      <c r="BI98" s="59">
        <f ca="1">AVERAGE(OFFSET($BH$3,0,0,'Données projet'!$E$11+1,1))-AVERAGE(OFFSET($H$3,0,0,'Données projet'!$E$11+1,1))</f>
        <v>316.58509520829671</v>
      </c>
      <c r="BJ98" s="59">
        <f t="shared" si="92"/>
        <v>240.71332110643596</v>
      </c>
      <c r="BK98" s="15">
        <f>IF(ISNA(VLOOKUP(A98,'Données projet'!$A$87:$I$107,3,0)),0,VLOOKUP(A98,'Données projet'!$A$87:$I$107,3,0))</f>
        <v>0</v>
      </c>
      <c r="BL98" s="15">
        <f>IF(ISNA(VLOOKUP(A98,'Données projet'!$A$87:$I$107,4,0)),0,VLOOKUP(A98,'Données projet'!$A$87:$I$107,4,0))</f>
        <v>0</v>
      </c>
      <c r="BM98" s="16">
        <f>IF(ISNA(VLOOKUP(A98,'Données projet'!$A$87:$I$107,5,0)),0%,VLOOKUP(A98,'Données projet'!$A$87:$I$107,5,0)*VLOOKUP('Données projet'!$B$11,Paramètres!$A$1:$I$89,7,0))</f>
        <v>0</v>
      </c>
      <c r="BN98" s="16">
        <f>IF(ISNA(VLOOKUP(A98,'Données projet'!$A$87:$I$107,6,0)),0%,VLOOKUP(A98,'Données projet'!$A$87:$I$107,6,0)*VLOOKUP('Données projet'!$B$11,Paramètres!$A$1:$I$89,7,0))</f>
        <v>0</v>
      </c>
      <c r="BO98" s="16">
        <f>IF(ISNA(VLOOKUP(A98,'Données projet'!$A$87:$I$107,7,0)),0%,VLOOKUP(A98,'Données projet'!$A$87:$I$107,7,0))</f>
        <v>0</v>
      </c>
      <c r="BP98" s="21">
        <f>EXP(-LN(2)/35)*BP97+(1-EXP(-LN(2)/35))/(LN(2)/35)*BL98*BM98*VLOOKUP('Données projet'!$B$11,Paramètres!$A$1:$I$89,3,0)*0.475*44/12</f>
        <v>0.69959177788161087</v>
      </c>
      <c r="BQ98" s="21">
        <f>EXP(-LN(2)/25)*BQ97+(1-EXP(-LN(2)/25))/(LN(2)/25)*Calculateur!BL98*Calculateur!BN98*VLOOKUP('Données projet'!$B$11,Paramètres!$A$1:$I$89,3,0)*0.475*44/12</f>
        <v>2.5182687611158343</v>
      </c>
      <c r="BR98" s="21">
        <f>EXP(-LN(2)/2)*BR97+(1-EXP(-LN(2)/2))/(LN(2)/2)*BL98*BO98*VLOOKUP('Données projet'!$B$11,Paramètres!$A$1:$I$89,3,0)*0.475*44/12</f>
        <v>3.6120084718975046E-9</v>
      </c>
      <c r="BS98" s="22">
        <f t="shared" si="63"/>
        <v>3.2178605426094538</v>
      </c>
      <c r="BT98" s="75">
        <f>('Scénario référence'!$F$8+'Scénario référence'!$F$9+'Scénario référence'!$B$17+'Scénario référence'!$B$9+'Scénario référence'!$B$10)*70+IF((45+25*(1-EXP(-0.0175*A98)))&lt;70,'Scénario référence'!$B$16*(45+25*(1-EXP(-0.0175*A98))),70*'Scénario référence'!$B$16)+IF((32+38*(1-EXP(-0.0175*A98)))&lt;70,'Scénario référence'!$B$18*(32+38*(1-EXP(-0.0175*A98))),70*'Scénario référence'!$B$18)</f>
        <v>70</v>
      </c>
      <c r="BU98" s="12">
        <f>IF(A98&gt;30,10,('Scénario référence'!$B$16+'Scénario référence'!$B$17+'Scénario référence'!$B$18+'Scénario référence'!$B$9+'Scénario référence'!$B$10)*A98*10/30+('Scénario référence'!$F$8+'Scénario référence'!$F$9)*10)</f>
        <v>10</v>
      </c>
      <c r="BV98" s="12" t="e">
        <f>VLOOKUP(A98,'Données projet'!$A$113:$I$133,2,0)</f>
        <v>#N/A</v>
      </c>
      <c r="BW98" s="12" t="e">
        <f>VLOOKUP(A98,'Données projet'!$A$113:$I$133,9,0)</f>
        <v>#N/A</v>
      </c>
      <c r="BX98" s="12">
        <f t="array" ref="BX98">INDEX(BW:BW,MIN(IF(ISNUMBER(BW98:BW294),ROW(BW98:BW294),"")))</f>
        <v>3.5</v>
      </c>
      <c r="BY98" s="12">
        <f>IF('Données projet'!$A$114&gt;35,BY97+BX98-CG97,IF(A98&lt;'Données projet'!$A$114,$BV$205^A98,IF(A98='Données projet'!$A$114,'Données projet'!$B$114,BY97+BX98-CG97)))</f>
        <v>343.49999999999977</v>
      </c>
      <c r="BZ98" s="13">
        <f>BY98*VLOOKUP('Données projet'!$B$12,Paramètres!$A$1:$I$89,3,0)*VLOOKUP('Données projet'!$B$12,Paramètres!$A$1:$I$89,5,0)</f>
        <v>196.48199999999989</v>
      </c>
      <c r="CA98" s="13">
        <f t="shared" si="93"/>
        <v>48.97022107190336</v>
      </c>
      <c r="CB98" s="20">
        <f t="shared" si="64"/>
        <v>427.49595170023144</v>
      </c>
      <c r="CC98" s="59">
        <f t="shared" si="65"/>
        <v>720.8292850335647</v>
      </c>
      <c r="CD98" s="59">
        <f ca="1">AVERAGE(OFFSET($CC$3,0,0,'Données projet'!$E$12+1,1))-AVERAGE(OFFSET($H$3,0,0,'Données projet'!$E$12+1,1))</f>
        <v>188.64374818906128</v>
      </c>
      <c r="CE98" s="59">
        <f t="shared" si="94"/>
        <v>211.95157880548652</v>
      </c>
      <c r="CF98" s="15">
        <f>IF(ISNA(VLOOKUP(A98,'Données projet'!$A$113:$I$133,3,0)),0,VLOOKUP(A98,'Données projet'!$A$113:$I$133,3,0))</f>
        <v>0</v>
      </c>
      <c r="CG98" s="15">
        <f>IF(ISNA(VLOOKUP(A98,'Données projet'!$A$113:$I$133,4,0)),0,VLOOKUP(A98,'Données projet'!$A$113:$I$133,4,0))</f>
        <v>0</v>
      </c>
      <c r="CH98" s="16">
        <f>IF(ISNA(VLOOKUP(A98,'Données projet'!$A$113:$I$133,5,0)),0%,VLOOKUP(A98,'Données projet'!$A$113:$I$133,5,0)*VLOOKUP('Données projet'!$B$12,Paramètres!$A$1:$I$89,7,0))</f>
        <v>0</v>
      </c>
      <c r="CI98" s="16">
        <f>IF(ISNA(VLOOKUP(A98,'Données projet'!$A$113:$I$133,6,0)),0%,VLOOKUP(A98,'Données projet'!$A$113:$I$133,6,0)*VLOOKUP('Données projet'!$B$12,Paramètres!$A$1:$I$89,7,0))</f>
        <v>0</v>
      </c>
      <c r="CJ98" s="16">
        <f>IF(ISNA(VLOOKUP(A98,'Données projet'!$A$113:$I$133,7,0)),0%,VLOOKUP(A98,'Données projet'!$A$113:$I$133,7,0))</f>
        <v>0</v>
      </c>
      <c r="CK98" s="21">
        <f>EXP(-LN(2)/35)*CK97+(1-EXP(-LN(2)/35))/(LN(2)/35)*CG98*CH98*VLOOKUP('Données projet'!$B$12,Paramètres!$A$1:$I$89,3,0)*0.475*44/12</f>
        <v>0.67859974045589155</v>
      </c>
      <c r="CL98" s="21">
        <f>EXP(-LN(2)/25)*CL97+(1-EXP(-LN(2)/25))/(LN(2)/25)*Calculateur!CG98*Calculateur!CI98*VLOOKUP('Données projet'!$B$12,Paramètres!$A$1:$I$89,3,0)*0.475*44/12</f>
        <v>2.3702515760059901</v>
      </c>
      <c r="CM98" s="21">
        <f>EXP(-LN(2)/2)*CM97+(1-EXP(-LN(2)/2))/(LN(2)/2)*CG98*CJ98*VLOOKUP('Données projet'!$B$12,Paramètres!$A$1:$I$89,3,0)*0.475*44/12</f>
        <v>3.4979475972927582E-9</v>
      </c>
      <c r="CN98" s="22">
        <f t="shared" si="66"/>
        <v>3.0488513199598293</v>
      </c>
      <c r="CO98" s="75">
        <f>('Scénario référence'!$F$8+'Scénario référence'!$F$9+'Scénario référence'!$B$17+'Scénario référence'!$B$9+'Scénario référence'!$B$10)*70+IF((45+25*(1-EXP(-0.0175*A98)))&lt;70,'Scénario référence'!$B$16*(45+25*(1-EXP(-0.0175*A98))),70*'Scénario référence'!$B$16)+IF((32+38*(1-EXP(-0.0175*A98)))&lt;70,'Scénario référence'!$B$18*(32+38*(1-EXP(-0.0175*A98))),70*'Scénario référence'!$B$18)</f>
        <v>70</v>
      </c>
      <c r="CP98" s="12">
        <f>IF(A98&gt;30,10,('Scénario référence'!$B$16+'Scénario référence'!$B$17+'Scénario référence'!$B$18+'Scénario référence'!$B$9+'Scénario référence'!$B$10)*A98*10/30+('Scénario référence'!$F$8+'Scénario référence'!$F$9)*10)</f>
        <v>10</v>
      </c>
      <c r="CQ98" s="12" t="e">
        <f>VLOOKUP(A98,'Données projet'!$A$139:$I$159,2,0)</f>
        <v>#N/A</v>
      </c>
      <c r="CR98" s="12" t="e">
        <f>VLOOKUP(A98,'Données projet'!$A$139:$I$159,9,0)</f>
        <v>#N/A</v>
      </c>
      <c r="CS98" s="12">
        <f t="array" ref="CS98">INDEX(CR:CR,MIN(IF(ISNUMBER(CR98:CR294),ROW(CR98:CR294),"")))</f>
        <v>0</v>
      </c>
      <c r="CT98" s="12">
        <f>IF('Données projet'!$A$140&gt;35,CT97+CS98-DB97,IF(A98&lt;'Données projet'!$A$140,$CQ$205^A98,IF(A98='Données projet'!$A$140,'Données projet'!$B$140,CT97+CS98-DB97)))</f>
        <v>0</v>
      </c>
      <c r="CU98" s="17" t="e">
        <f>CT98*VLOOKUP('Données projet'!$B$13,Paramètres!$A$1:$I$89,3,0)*VLOOKUP('Données projet'!$B$13,Paramètres!$A$1:$I$89,5,0)</f>
        <v>#N/A</v>
      </c>
      <c r="CV98" s="13" t="e">
        <f t="shared" si="95"/>
        <v>#N/A</v>
      </c>
      <c r="CW98" s="20" t="e">
        <f t="shared" si="67"/>
        <v>#N/A</v>
      </c>
      <c r="CX98" s="59" t="e">
        <f t="shared" si="68"/>
        <v>#N/A</v>
      </c>
      <c r="CY98" s="59" t="e">
        <f ca="1">AVERAGE(OFFSET($CX$3,0,0,'Données projet'!$E$13+1,1))-AVERAGE(OFFSET($H$3,0,0,'Données projet'!$E$13+1,1))</f>
        <v>#N/A</v>
      </c>
      <c r="CZ98" s="59" t="e">
        <f t="shared" si="96"/>
        <v>#N/A</v>
      </c>
      <c r="DA98" s="15">
        <f>IF(ISNA(VLOOKUP(A98,'Données projet'!$A$139:$I$159,3,0)),0,VLOOKUP(A98,'Données projet'!$A$139:$I$159,3,0))</f>
        <v>0</v>
      </c>
      <c r="DB98" s="15">
        <f>IF(ISNA(VLOOKUP(A98,'Données projet'!$A$139:$I$159,4,0)),0,VLOOKUP(A98,'Données projet'!$A$139:$I$159,4,0))</f>
        <v>0</v>
      </c>
      <c r="DC98" s="16">
        <f>IF(ISNA(VLOOKUP(A98,'Données projet'!$A$139:$I$159,5,0)),0%,VLOOKUP(A98,'Données projet'!$A$139:$I$159,5,0)*VLOOKUP('Données projet'!$B$13,Paramètres!$A$1:$I$89,7,0))</f>
        <v>0</v>
      </c>
      <c r="DD98" s="16">
        <f>IF(ISNA(VLOOKUP(A98,'Données projet'!$A$139:$I$159,6,0)),0%,VLOOKUP(A98,'Données projet'!$A$139:$I$159,6,0)*VLOOKUP('Données projet'!$B$13,Paramètres!$A$1:$I$89,7,0))</f>
        <v>0</v>
      </c>
      <c r="DE98" s="16">
        <f>IF(ISNA(VLOOKUP(A98,'Données projet'!$A$139:$I$159,7,0)),0%,VLOOKUP(A98,'Données projet'!$A$139:$I$159,7,0))</f>
        <v>0</v>
      </c>
      <c r="DF98" s="21" t="e">
        <f>EXP(-LN(2)/35)*DF97+(1-EXP(-LN(2)/35))/(LN(2)/35)*DB98*DC98*VLOOKUP('Données projet'!$B$13,Paramètres!$A$1:$I$89,3,0)*0.475*44/12</f>
        <v>#N/A</v>
      </c>
      <c r="DG98" s="21" t="e">
        <f>EXP(-LN(2)/25)*DG97+(1-EXP(-LN(2)/25))/(LN(2)/25)*Calculateur!DB98*Calculateur!DD98*VLOOKUP('Données projet'!$B$13,Paramètres!$A$1:$I$89,3,0)*0.475*44/12</f>
        <v>#N/A</v>
      </c>
      <c r="DH98" s="21" t="e">
        <f>EXP(-LN(2)/2)*DH97+(1-EXP(-LN(2)/2))/(LN(2)/2)*DB98*DE98*VLOOKUP('Données projet'!$B$13,Paramètres!$A$1:$I$89,3,0)*0.475*44/12</f>
        <v>#N/A</v>
      </c>
      <c r="DI98" s="22" t="e">
        <f t="shared" si="69"/>
        <v>#N/A</v>
      </c>
      <c r="DJ98" s="75">
        <f>('Scénario référence'!$F$8+'Scénario référence'!$F$9+'Scénario référence'!$B$17+'Scénario référence'!$B$9+'Scénario référence'!$B$10)*70+IF((45+25*(1-EXP(-0.0175*A98)))&lt;70,'Scénario référence'!$B$16*(45+25*(1-EXP(-0.0175*A98))),70*'Scénario référence'!$B$16)+IF((32+38*(1-EXP(-0.0175*A98)))&lt;70,'Scénario référence'!$B$18*(32+38*(1-EXP(-0.0175*A98))),70*'Scénario référence'!$B$18)</f>
        <v>70</v>
      </c>
      <c r="DK98" s="12">
        <f>IF(A98&gt;30,10,('Scénario référence'!$B$16+'Scénario référence'!$B$17+'Scénario référence'!$B$18+'Scénario référence'!$B$9+'Scénario référence'!$B$10)*A98*10/30+('Scénario référence'!$F$8+'Scénario référence'!$F$9)*10)</f>
        <v>10</v>
      </c>
      <c r="DL98" s="12" t="e">
        <f>VLOOKUP(A98,'Données projet'!$A$165:$I$185,2,0)</f>
        <v>#N/A</v>
      </c>
      <c r="DM98" s="12" t="e">
        <f>VLOOKUP(A98,'Données projet'!$A$165:$I$185,9,0)</f>
        <v>#N/A</v>
      </c>
      <c r="DN98" s="12">
        <f t="array" ref="DN98">INDEX(DM:DM,MIN(IF(ISNUMBER(DM98:DM294),ROW(DM98:DM294),"")))</f>
        <v>0</v>
      </c>
      <c r="DO98" s="12">
        <f>IF('Données projet'!$A$166&gt;35,DO97+DN98-DW97,IF(A98&lt;'Données projet'!$A$166,$DL$205^A98,IF(A98='Données projet'!$A$166,'Données projet'!$B$166,DO97+DN98-DW97)))</f>
        <v>268.00000000000017</v>
      </c>
      <c r="DP98" s="17">
        <f>DO98*VLOOKUP('Données projet'!$B$14,Paramètres!$A$1:$I$89,3,0)*VLOOKUP('Données projet'!$B$14,Paramètres!$A$1:$I$89,5,0)</f>
        <v>175.59360000000012</v>
      </c>
      <c r="DQ98" s="13">
        <f t="shared" si="97"/>
        <v>44.340433728638573</v>
      </c>
      <c r="DR98" s="20">
        <f t="shared" si="70"/>
        <v>383.05177541071242</v>
      </c>
      <c r="DS98" s="59">
        <f t="shared" si="71"/>
        <v>676.38510874404574</v>
      </c>
      <c r="DT98" s="59">
        <f ca="1">AVERAGE(OFFSET($DS$3,0,0,'Données projet'!$E$14+1,1))-AVERAGE(OFFSET($H$3,0,0,'Données projet'!$E$14+1,1))</f>
        <v>188.68915783955595</v>
      </c>
      <c r="DU98" s="59">
        <f t="shared" si="98"/>
        <v>240.82467772396944</v>
      </c>
      <c r="DV98" s="15">
        <f>IF(ISNA(VLOOKUP(A98,'Données projet'!$A$165:$I$185,3,0)),0,VLOOKUP(A98,'Données projet'!$A$165:$I$185,3,0))</f>
        <v>0</v>
      </c>
      <c r="DW98" s="15">
        <f>IF(ISNA(VLOOKUP(A98,'Données projet'!$A$165:$I$185,4,0)),0,VLOOKUP(A98,'Données projet'!$A$165:$I$185,4,0))</f>
        <v>0</v>
      </c>
      <c r="DX98" s="16">
        <f>IF(ISNA(VLOOKUP(A98,'Données projet'!$A$165:$I$185,5,0)),0%,VLOOKUP(A98,'Données projet'!$A$165:$I$185,5,0)*VLOOKUP('Données projet'!$B$14,Paramètres!$A$1:$I$89,7,0))</f>
        <v>0</v>
      </c>
      <c r="DY98" s="16">
        <f>IF(ISNA(VLOOKUP(A98,'Données projet'!$A$165:$I$185,6,0)),0%,VLOOKUP(A98,'Données projet'!$A$165:$I$185,6,0)*VLOOKUP('Données projet'!$B$14,Paramètres!$A$1:$I$89,7,0))</f>
        <v>0</v>
      </c>
      <c r="DZ98" s="16">
        <f>IF(ISNA(VLOOKUP(A98,'Données projet'!$A$165:$I$185,7,0)),0%,VLOOKUP(A98,'Données projet'!$A$165:$I$185,7,0))</f>
        <v>0</v>
      </c>
      <c r="EA98" s="21">
        <f>EXP(-LN(2)/35)*EA97+(1-EXP(-LN(2)/35))/(LN(2)/35)*DW98*DX98*VLOOKUP('Données projet'!$B$14,Paramètres!$A$1:$I$89,3,0)*0.475*44/12</f>
        <v>0.42983695681233869</v>
      </c>
      <c r="EB98" s="21">
        <f>EXP(-LN(2)/25)*EB97+(1-EXP(-LN(2)/25))/(LN(2)/25)*Calculateur!DW98*Calculateur!DY98*VLOOKUP('Données projet'!$B$14,Paramètres!$A$1:$I$89,3,0)*0.475*44/12</f>
        <v>1.3257803966049579</v>
      </c>
      <c r="EC98" s="21">
        <f>EXP(-LN(2)/2)*EC97+(1-EXP(-LN(2)/2))/(LN(2)/2)*DW98*DZ98*VLOOKUP('Données projet'!$B$14,Paramètres!$A$1:$I$89,3,0)*0.475*44/12</f>
        <v>2.3043144027005371E-9</v>
      </c>
      <c r="ED98" s="22">
        <f t="shared" si="72"/>
        <v>1.755617355721611</v>
      </c>
      <c r="EE98" s="75">
        <f>('Scénario référence'!$F$8+'Scénario référence'!$F$9+'Scénario référence'!$B$17+'Scénario référence'!$B$9+'Scénario référence'!$B$10)*70+IF((45+25*(1-EXP(-0.0175*A98)))&lt;70,'Scénario référence'!$B$16*(45+25*(1-EXP(-0.0175*A98))),70*'Scénario référence'!$B$16)+IF((32+38*(1-EXP(-0.0175*A98)))&lt;70,'Scénario référence'!$B$18*(32+38*(1-EXP(-0.0175*A98))),70*'Scénario référence'!$B$18)</f>
        <v>70</v>
      </c>
      <c r="EF98" s="12">
        <f>IF(A98&gt;30,10,('Scénario référence'!$B$16+'Scénario référence'!$B$17+'Scénario référence'!$B$18+'Scénario référence'!$B$9+'Scénario référence'!$B$10)*A98*10/30+('Scénario référence'!$F$8+'Scénario référence'!$F$9)*10)</f>
        <v>10</v>
      </c>
      <c r="EG98" s="12" t="e">
        <f>VLOOKUP(A98,'Données projet'!$A$191:$I$211,2,0)</f>
        <v>#N/A</v>
      </c>
      <c r="EH98" s="12" t="e">
        <f>VLOOKUP(A98,'Données projet'!$A$191:$I$211,9,0)</f>
        <v>#N/A</v>
      </c>
      <c r="EI98" s="12">
        <f t="array" ref="EI98">INDEX(EH:EH,MIN(IF(ISNUMBER(EH98:EH294),ROW(EH98:EH294),"")))</f>
        <v>0</v>
      </c>
      <c r="EJ98" s="12">
        <f>IF('Données projet'!$A$192&gt;35,EJ97+EI98-ER97,IF(A98&lt;'Données projet'!$A$192,$EG$205^A98,IF(A98='Données projet'!$A$192,'Données projet'!$B$192,EJ97+EI98-ER97)))</f>
        <v>275.99999999999972</v>
      </c>
      <c r="EK98" s="17">
        <f>EJ98*VLOOKUP('Données projet'!$B$15,Paramètres!$A$1:$I$89,3,0)*VLOOKUP('Données projet'!$B$15,Paramètres!$A$1:$I$89,5,0)</f>
        <v>223.8911999999998</v>
      </c>
      <c r="EL98" s="13">
        <f t="shared" si="99"/>
        <v>54.95975389514858</v>
      </c>
      <c r="EM98" s="20">
        <f t="shared" si="73"/>
        <v>485.66541136738346</v>
      </c>
      <c r="EN98" s="59">
        <f t="shared" si="74"/>
        <v>778.99874470071677</v>
      </c>
      <c r="EO98" s="59">
        <f ca="1">AVERAGE(OFFSET($EN$3,0,0,'Données projet'!$E$15+1,1))-AVERAGE(OFFSET($H$3,0,0,'Données projet'!$E$15+1,1))</f>
        <v>205.5272583787887</v>
      </c>
      <c r="EP98" s="59">
        <f t="shared" si="100"/>
        <v>180.54762778843178</v>
      </c>
      <c r="EQ98" s="15">
        <f>IF(ISNA(VLOOKUP(A98,'Données projet'!$A$191:$I$211,3,0)),0,VLOOKUP(A98,'Données projet'!$A$191:$I$211,3,0))</f>
        <v>0</v>
      </c>
      <c r="ER98" s="15">
        <f>IF(ISNA(VLOOKUP(A98,'Données projet'!$A$191:$I$211,4,0)),0,VLOOKUP(A98,'Données projet'!$A$191:$I$211,4,0))</f>
        <v>0</v>
      </c>
      <c r="ES98" s="16">
        <f>IF(ISNA(VLOOKUP(A98,'Données projet'!$A$191:$I$211,5,0)),0%,VLOOKUP(A98,'Données projet'!$A$191:$I$211,5,0)*VLOOKUP('Données projet'!$B$15,Paramètres!$A$1:$I$89,7,0))</f>
        <v>0</v>
      </c>
      <c r="ET98" s="16">
        <f>IF(ISNA(VLOOKUP(A98,'Données projet'!$A$191:$I$211,6,0)),0%,VLOOKUP(A98,'Données projet'!$A$191:$I$211,6,0)*VLOOKUP('Données projet'!$B$15,Paramètres!$A$1:$I$89,7,0))</f>
        <v>0</v>
      </c>
      <c r="EU98" s="16">
        <f>IF(ISNA(VLOOKUP(A98,'Données projet'!$A$191:$I$211,7,0)),0%,VLOOKUP(A98,'Données projet'!$A$191:$I$211,7,0))</f>
        <v>0</v>
      </c>
      <c r="EV98" s="21">
        <f>EXP(-LN(2)/35)*EV97+(1-EXP(-LN(2)/35))/(LN(2)/35)*ER98*ES98*VLOOKUP('Données projet'!$B$15,Paramètres!$A$1:$I$89,3,0)*0.475*44/12</f>
        <v>0.27673312648108661</v>
      </c>
      <c r="EW98" s="21">
        <f>EXP(-LN(2)/25)*EW97+(1-EXP(-LN(2)/25))/(LN(2)/25)*Calculateur!ER98*Calculateur!ET98*VLOOKUP('Données projet'!$B$15,Paramètres!$A$1:$I$89,3,0)*0.475*44/12</f>
        <v>0.95725366517632915</v>
      </c>
      <c r="EX98" s="21">
        <f>EXP(-LN(2)/2)*EX97+(1-EXP(-LN(2)/2))/(LN(2)/2)*ER98*EU98*VLOOKUP('Données projet'!$B$15,Paramètres!$A$1:$I$89,3,0)*0.475*44/12</f>
        <v>1.4920452796190539E-9</v>
      </c>
      <c r="EY98" s="22">
        <f t="shared" si="75"/>
        <v>1.2339867931494612</v>
      </c>
      <c r="EZ98" s="75">
        <f>('Scénario référence'!$F$8+'Scénario référence'!$F$9+'Scénario référence'!$B$17+'Scénario référence'!$B$9+'Scénario référence'!$B$10)*70+IF((45+25*(1-EXP(-0.0175*A98)))&lt;70,'Scénario référence'!$B$16*(45+25*(1-EXP(-0.0175*A98))),70*'Scénario référence'!$B$16)+IF((32+38*(1-EXP(-0.0175*A98)))&lt;70,'Scénario référence'!$B$18*(32+38*(1-EXP(-0.0175*A98))),70*'Scénario référence'!$B$18)</f>
        <v>70</v>
      </c>
      <c r="FA98" s="12">
        <f>IF(A98&gt;30,10,('Scénario référence'!$B$16+'Scénario référence'!$B$17+'Scénario référence'!$B$18+'Scénario référence'!$B$9+'Scénario référence'!$B$10)*A98*10/30+('Scénario référence'!$F$8+'Scénario référence'!$F$9)*10)</f>
        <v>10</v>
      </c>
      <c r="FB98" s="12" t="e">
        <f>VLOOKUP(A98,'Données projet'!$A$217:$I$237,2,0)</f>
        <v>#N/A</v>
      </c>
      <c r="FC98" s="12" t="e">
        <f>VLOOKUP(A98,'Données projet'!$A$217:$I$237,9,0)</f>
        <v>#N/A</v>
      </c>
      <c r="FD98" s="12">
        <f t="array" ref="FD98">INDEX(FC:FC,MIN(IF(ISNUMBER(FC98:FC294),ROW(FC98:FC294),"")))</f>
        <v>9.6999999999999993</v>
      </c>
      <c r="FE98" s="12">
        <f>IF('Données projet'!$A$218&gt;35,FE97+FD98-FM97,IF(A98&lt;'Données projet'!$A$218,$FB$205^A98,IF(A98='Données projet'!$A$218,'Données projet'!$B$218,FE97+FD98-FM97)))</f>
        <v>387.49999999999989</v>
      </c>
      <c r="FF98" s="17">
        <f>FE98*VLOOKUP('Données projet'!$B$16,Paramètres!$A$1:$I$89,3,0)*VLOOKUP('Données projet'!$B$16,Paramètres!$A$1:$I$89,5,0)</f>
        <v>332.47499999999991</v>
      </c>
      <c r="FG98" s="13">
        <f t="shared" si="101"/>
        <v>77.943214458586013</v>
      </c>
      <c r="FH98" s="20">
        <f t="shared" si="76"/>
        <v>714.81172351537043</v>
      </c>
      <c r="FI98" s="59">
        <f t="shared" si="77"/>
        <v>1008.1450568487037</v>
      </c>
      <c r="FJ98" s="59">
        <f ca="1">AVERAGE(OFFSET($FI$3,0,0,'Données projet'!$E$16+1,1))-AVERAGE(OFFSET($H$3,0,0,'Données projet'!$E$16+1,1))</f>
        <v>383.97627237444709</v>
      </c>
      <c r="FK98" s="59">
        <f t="shared" si="102"/>
        <v>203.35476578922339</v>
      </c>
      <c r="FL98" s="15">
        <f>IF(ISNA(VLOOKUP(A98,'Données projet'!$A$217:$I$237,3,0)),0,VLOOKUP(A98,'Données projet'!$A$217:$I$237,3,0))</f>
        <v>0</v>
      </c>
      <c r="FM98" s="15">
        <f>IF(ISNA(VLOOKUP(A98,'Données projet'!$A$217:$I$237,4,0)),0,VLOOKUP(A98,'Données projet'!$A$217:$I$237,4,0))</f>
        <v>0</v>
      </c>
      <c r="FN98" s="16">
        <f>IF(ISNA(VLOOKUP(A98,'Données projet'!$A$217:$I$237,5,0)),0%,VLOOKUP(A98,'Données projet'!$A$217:$I$237,5,0)*VLOOKUP('Données projet'!$B$16,Paramètres!$A$1:$I$89,7,0))</f>
        <v>0</v>
      </c>
      <c r="FO98" s="16">
        <f>IF(ISNA(VLOOKUP(A98,'Données projet'!$A$217:$I$237,6,0)),0%,VLOOKUP(A98,'Données projet'!$A$217:$I$237,6,0)*VLOOKUP('Données projet'!$B$16,Paramètres!$A$1:$I$89,7,0))</f>
        <v>0</v>
      </c>
      <c r="FP98" s="16">
        <f>IF(ISNA(VLOOKUP(A98,'Données projet'!$A$217:$I$237,7,0)),0%,VLOOKUP(A98,'Données projet'!$A$217:$I$237,7,0))</f>
        <v>0</v>
      </c>
      <c r="FQ98" s="21">
        <f>EXP(-LN(2)/35)*FQ97+(1-EXP(-LN(2)/35))/(LN(2)/35)*FM98*FN98*VLOOKUP('Données projet'!$B$16,Paramètres!$A$1:$I$89,3,0)*0.475*44/12</f>
        <v>1.422258136584351</v>
      </c>
      <c r="FR98" s="21">
        <f>EXP(-LN(2)/25)*FR97+(1-EXP(-LN(2)/25))/(LN(2)/25)*Calculateur!FM98*Calculateur!FO98*VLOOKUP('Données projet'!$B$16,Paramètres!$A$1:$I$89,3,0)*0.475*44/12</f>
        <v>0.97171141172338882</v>
      </c>
      <c r="FS98" s="21">
        <f>EXP(-LN(2)/2)*FS97+(1-EXP(-LN(2)/2))/(LN(2)/2)*FM98*FP98*VLOOKUP('Données projet'!$B$16,Paramètres!$A$1:$I$89,3,0)*0.475*44/12</f>
        <v>2.7405809666348701E-9</v>
      </c>
      <c r="FT98" s="22">
        <f t="shared" si="78"/>
        <v>2.393969551048321</v>
      </c>
      <c r="FU98" s="75">
        <f>('Scénario référence'!$F$8+'Scénario référence'!$F$9+'Scénario référence'!$B$17+'Scénario référence'!$B$9+'Scénario référence'!$B$10)*70+IF((45+25*(1-EXP(-0.0175*A98)))&lt;70,'Scénario référence'!$B$16*(45+25*(1-EXP(-0.0175*A98))),70*'Scénario référence'!$B$16)+IF((32+38*(1-EXP(-0.0175*A98)))&lt;70,'Scénario référence'!$B$18*(32+38*(1-EXP(-0.0175*A98))),70*'Scénario référence'!$B$18)</f>
        <v>70</v>
      </c>
      <c r="FV98" s="12">
        <f>IF(A98&gt;30,10,('Scénario référence'!$B$16+'Scénario référence'!$B$17+'Scénario référence'!$B$18+'Scénario référence'!$B$9+'Scénario référence'!$B$10)*A98*10/30+('Scénario référence'!$F$8+'Scénario référence'!$F$9)*10)</f>
        <v>10</v>
      </c>
      <c r="FW98" s="12" t="e">
        <f>VLOOKUP(A98,'Données projet'!$A$243:$I$263,2,0)</f>
        <v>#N/A</v>
      </c>
      <c r="FX98" s="12" t="e">
        <f>VLOOKUP(A98,'Données projet'!$A$243:$I$263,9,0)</f>
        <v>#N/A</v>
      </c>
      <c r="FY98" s="12">
        <f t="array" ref="FY98">INDEX(FX:FX,MIN(IF(ISNUMBER(FX98:FX294),ROW(FX98:FX294),"")))</f>
        <v>7.1782051282051267</v>
      </c>
      <c r="FZ98" s="12">
        <f>IF('Données projet'!$A$244&gt;35,FZ97+FY98-GH97,IF(A98&lt;'Données projet'!$A$244,$FW$205^A98,IF(A98='Données projet'!$A$244,'Données projet'!$B$244,FZ97+FY98-GH97)))</f>
        <v>289.53717948717974</v>
      </c>
      <c r="GA98" s="17">
        <f>FZ98*VLOOKUP('Données projet'!$B$17,Paramètres!$A$1:$I$89,3,0)*VLOOKUP('Données projet'!$B$17,Paramètres!$A$1:$I$89,5,0)</f>
        <v>311.65782000000024</v>
      </c>
      <c r="GB98" s="13">
        <f t="shared" si="103"/>
        <v>73.61494142673034</v>
      </c>
      <c r="GC98" s="20">
        <f t="shared" si="79"/>
        <v>671.01672615155564</v>
      </c>
      <c r="GD98" s="59">
        <f t="shared" si="80"/>
        <v>964.35005948488902</v>
      </c>
      <c r="GE98" s="59">
        <f ca="1">AVERAGE(OFFSET($GD$3,0,0,'Données projet'!$E$17+1,1))-AVERAGE(OFFSET($H$3,0,0,'Données projet'!$E$17+1,1))</f>
        <v>286.77702855541287</v>
      </c>
      <c r="GF98" s="59">
        <f t="shared" si="104"/>
        <v>227.12211541860779</v>
      </c>
      <c r="GG98" s="15">
        <f>IF(ISNA(VLOOKUP(A98,'Données projet'!$A$243:$I$263,3,0)),0,VLOOKUP(A98,'Données projet'!$A$243:$I$263,3,0))</f>
        <v>0</v>
      </c>
      <c r="GH98" s="15">
        <f>IF(ISNA(VLOOKUP(A98,'Données projet'!$A$243:$I$263,4,0)),0,VLOOKUP(A98,'Données projet'!$A$243:$I$263,4,0))</f>
        <v>0</v>
      </c>
      <c r="GI98" s="16">
        <f>IF(ISNA(VLOOKUP(A98,'Données projet'!$A$243:$I$263,5,0)),0%,VLOOKUP(A98,'Données projet'!$A$243:$I$263,5,0)*VLOOKUP('Données projet'!$B$17,Paramètres!$A$1:$I$89,7,0))</f>
        <v>0</v>
      </c>
      <c r="GJ98" s="16">
        <f>IF(ISNA(VLOOKUP(A98,'Données projet'!$A$243:$I$263,6,0)),0%,VLOOKUP(A98,'Données projet'!$A$243:$I$263,6,0)*VLOOKUP('Données projet'!$B$17,Paramètres!$A$1:$I$89,7,0))</f>
        <v>0</v>
      </c>
      <c r="GK98" s="16">
        <f>IF(ISNA(VLOOKUP(A98,'Données projet'!$A$243:$I$263,7,0)),0%,VLOOKUP(A98,'Données projet'!$A$243:$I$263,7,0))</f>
        <v>0</v>
      </c>
      <c r="GL98" s="21">
        <f>EXP(-LN(2)/35)*GL97+(1-EXP(-LN(2)/35))/(LN(2)/35)*GH98*GI98*VLOOKUP('Données projet'!$B$17,Paramètres!$A$1:$I$89,3,0)*0.475*44/12</f>
        <v>0</v>
      </c>
      <c r="GM98" s="21">
        <f>EXP(-LN(2)/25)*GM97+(1-EXP(-LN(2)/25))/(LN(2)/25)*Calculateur!GH98*Calculateur!GJ98*VLOOKUP('Données projet'!$B$17,Paramètres!$A$1:$I$89,3,0)*0.475*44/12</f>
        <v>0</v>
      </c>
      <c r="GN98" s="21">
        <f>EXP(-LN(2)/2)*GN97+(1-EXP(-LN(2)/2))/(LN(2)/2)*GH98*GK98*VLOOKUP('Données projet'!$B$17,Paramètres!$A$1:$I$89,3,0)*0.475*44/12</f>
        <v>0</v>
      </c>
      <c r="GO98" s="21">
        <f t="shared" si="81"/>
        <v>0</v>
      </c>
      <c r="GP98" s="75">
        <f>('Scénario référence'!$F$8+'Scénario référence'!$F$9+'Scénario référence'!$B$17+'Scénario référence'!$B$9+'Scénario référence'!$B$10)*70+IF((45+25*(1-EXP(-0.0175*A98)))&lt;70,'Scénario référence'!$B$16*(45+25*(1-EXP(-0.0175*A98))),70*'Scénario référence'!$B$16)+IF((32+38*(1-EXP(-0.0175*A98)))&lt;70,'Scénario référence'!$B$18*(32+38*(1-EXP(-0.0175*A98))),70*'Scénario référence'!$B$18)</f>
        <v>70</v>
      </c>
      <c r="GQ98" s="12">
        <f>IF(A98&gt;30,10,('Scénario référence'!$B$16+'Scénario référence'!$B$17+'Scénario référence'!$B$18+'Scénario référence'!$B$9+'Scénario référence'!$B$10)*A98*10/30+('Scénario référence'!$F$8+'Scénario référence'!$F$9)*10)</f>
        <v>10</v>
      </c>
      <c r="GR98" s="12" t="e">
        <f>VLOOKUP(A98,'Données projet'!$A$269:$I$289,2,0)</f>
        <v>#N/A</v>
      </c>
      <c r="GS98" s="12" t="e">
        <f>VLOOKUP(A98,'Données projet'!$A$269:$I$289,9,0)</f>
        <v>#N/A</v>
      </c>
      <c r="GT98" s="12">
        <f t="array" ref="GT98">INDEX(GS:GS,MIN(IF(ISNUMBER(GS98:GS294),ROW(GS98:GS294),"")))</f>
        <v>7.1782051282051267</v>
      </c>
      <c r="GU98" s="12">
        <f>IF('Données projet'!$A$270&gt;35,GU97+GT98-HC97,IF(A98&lt;'Données projet'!$A$270,$GR$205^A98,IF(A98='Données projet'!$A$270,'Données projet'!$B$270,GU97+GT98-HC97)))</f>
        <v>289.53717948717974</v>
      </c>
      <c r="GV98" s="17">
        <f>GU98*VLOOKUP('Données projet'!$B$18,Paramètres!$A$1:$I$89,3,0)*VLOOKUP('Données projet'!$B$18,Paramètres!$A$1:$I$89,5,0)</f>
        <v>311.65782000000024</v>
      </c>
      <c r="GW98" s="13">
        <f t="shared" si="105"/>
        <v>73.61494142673034</v>
      </c>
      <c r="GX98" s="20">
        <f t="shared" si="82"/>
        <v>671.01672615155564</v>
      </c>
      <c r="GY98" s="59">
        <f t="shared" si="83"/>
        <v>964.35005948488902</v>
      </c>
      <c r="GZ98" s="59">
        <f ca="1">AVERAGE(OFFSET($GY$3,0,0,'Données projet'!$E$18+1,1))-AVERAGE(OFFSET($H$3,0,0,'Données projet'!$E$18+1,1))</f>
        <v>286.77702855541287</v>
      </c>
      <c r="HA98" s="59">
        <f t="shared" si="106"/>
        <v>227.12211541860779</v>
      </c>
      <c r="HB98" s="15">
        <f>IF(ISNA(VLOOKUP(A98,'Données projet'!$A$269:$I$289,3,0)),0,VLOOKUP(A98,'Données projet'!$A$269:$I$289,3,0))</f>
        <v>0</v>
      </c>
      <c r="HC98" s="15">
        <f>IF(ISNA(VLOOKUP(A98,'Données projet'!$A$269:$I$289,4,0)),0,VLOOKUP(A98,'Données projet'!$A$269:$I$289,4,0))</f>
        <v>0</v>
      </c>
      <c r="HD98" s="16">
        <f>IF(ISNA(VLOOKUP(A98,'Données projet'!$A$269:$I$289,5,0)),0%,VLOOKUP(A98,'Données projet'!$A$269:$I$289,5,0)*VLOOKUP('Données projet'!$B$18,Paramètres!$A$1:$I$89,7,0))</f>
        <v>0</v>
      </c>
      <c r="HE98" s="16">
        <f>IF(ISNA(VLOOKUP(A98,'Données projet'!$A$269:$I$289,6,0)),0%,VLOOKUP(A98,'Données projet'!$A$269:$I$289,6,0)*VLOOKUP('Données projet'!$B$18,Paramètres!$A$1:$I$89,7,0))</f>
        <v>0</v>
      </c>
      <c r="HF98" s="16">
        <f>IF(ISNA(VLOOKUP(A98,'Données projet'!$A$269:$I$289,7,0)),0%,VLOOKUP(A98,'Données projet'!$A$269:$I$289,7,0))</f>
        <v>0</v>
      </c>
      <c r="HG98" s="21">
        <f>EXP(-LN(2)/35)*HG97+(1-EXP(-LN(2)/35))/(LN(2)/35)*HC98*HD98*VLOOKUP('Données projet'!$B$18,Paramètres!$A$1:$I$89,3,0)*0.475*44/12</f>
        <v>0</v>
      </c>
      <c r="HH98" s="21">
        <f>EXP(-LN(2)/25)*HH97+(1-EXP(-LN(2)/25))/(LN(2)/25)*Calculateur!HC98*Calculateur!HE98*VLOOKUP('Données projet'!$B$18,Paramètres!$A$1:$I$89,3,0)*0.475*44/12</f>
        <v>0</v>
      </c>
      <c r="HI98" s="21">
        <f>EXP(-LN(2)/2)*HI97+(1-EXP(-LN(2)/2))/(LN(2)/2)*HC98*HF98*VLOOKUP('Données projet'!$B$18,Paramètres!$A$1:$I$89,3,0)*0.475*44/12</f>
        <v>0</v>
      </c>
      <c r="HJ98" s="22">
        <f t="shared" si="84"/>
        <v>0</v>
      </c>
    </row>
    <row r="99" spans="1:218" x14ac:dyDescent="0.25">
      <c r="A99" s="10">
        <f t="shared" si="85"/>
        <v>96</v>
      </c>
      <c r="B99" s="73">
        <f>'Scénario référence'!$B$16*5+'Scénario référence'!$B$17*0+'Scénario référence'!$B$18*5</f>
        <v>0</v>
      </c>
      <c r="C99" s="19">
        <f>Calculateur!C98+'Scénario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85.363200000000134</v>
      </c>
      <c r="D99" s="11">
        <f t="shared" si="86"/>
        <v>23.443521253861071</v>
      </c>
      <c r="E9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99" s="11">
        <f>IF(OR('Scénario référence'!$F$8&gt;0,'Scénario référence'!$F$9&gt;0),('Scénario référence'!$F$8+'Scénario référence'!$F$9)*10,0)</f>
        <v>10</v>
      </c>
      <c r="G99" s="11">
        <f>'Scénario référence'!$B$8*B99*44/12+'Scénario référence'!$B$9*(C99+D99)/0.475*44/12+'Scénario référence'!$B$10*(C99+D99)/0.475*44/12+'Scénario référence'!$F$8*(C99+D99)/0.475*44/12+'Scénario référence'!$F$9*(C99+D99)/0.475*44/12</f>
        <v>839.91153248594617</v>
      </c>
      <c r="H99" s="67">
        <f t="shared" si="56"/>
        <v>482.83837285047491</v>
      </c>
      <c r="I99" s="70">
        <f>('Scénario référence'!$F$8+'Scénario référence'!$F$9+'Scénario référence'!$B$17+'Scénario référence'!$B$9+'Scénario référence'!$B$10)*70+IF((45+25*(1-EXP(-0.0175*A99)))&lt;70,'Scénario référence'!$B$16*(45+25*(1-EXP(-0.0175*A99))),70*'Scénario référence'!$B$16)+IF((32+38*(1-EXP(-0.0175*A99)))&lt;70,'Scénario référence'!$B$18*(32+38*(1-EXP(-0.0175*A99))),70*'Scénario référence'!$B$18)</f>
        <v>70</v>
      </c>
      <c r="J99" s="13">
        <f>IF(A99&gt;30,10,('Scénario référence'!$B$16+'Scénario référence'!$B$17+'Scénario référence'!$B$18+'Scénario référence'!$B$9+'Scénario référence'!$B$10)*A99*10/30+('Scénario référence'!$F$8+'Scénario référence'!$F$9)*10)</f>
        <v>10</v>
      </c>
      <c r="K99" s="12" t="e">
        <f>VLOOKUP(A99,'Données projet'!$A$35:$I$55,2,0)</f>
        <v>#N/A</v>
      </c>
      <c r="L99" s="12" t="e">
        <f>VLOOKUP(A99,'Données projet'!$A$35:$I$55,9,0)</f>
        <v>#N/A</v>
      </c>
      <c r="M99" s="12">
        <f t="array" ref="M99">INDEX(L:L,MIN(IF(ISNUMBER(L99:L295),ROW(L99:L295),"")))</f>
        <v>0</v>
      </c>
      <c r="N99" s="13">
        <f>IF('Données projet'!$A$36&gt;35,N98+M99-V98,IF(A99&lt;'Données projet'!$A$36,$K$205^A99,IF(A99='Données projet'!$A$36,'Données projet'!$B$36,N98+M99-V98)))</f>
        <v>-2.2737367544323206E-13</v>
      </c>
      <c r="O99" s="13">
        <f>N99*VLOOKUP('Données projet'!$B$9,Paramètres!$A$1:$I$89,3,0)*VLOOKUP('Données projet'!$B$9,Paramètres!$A$1:$I$89,5,0)</f>
        <v>-1.2710188457276673E-13</v>
      </c>
      <c r="P99" s="13" t="e">
        <f t="shared" si="87"/>
        <v>#NUM!</v>
      </c>
      <c r="Q99" s="20" t="e">
        <f t="shared" ref="Q99:Q130" si="107">(O99+P99)*0.475*44/12</f>
        <v>#NUM!</v>
      </c>
      <c r="R99" s="59" t="e">
        <f t="shared" si="55"/>
        <v>#NUM!</v>
      </c>
      <c r="S99" s="59">
        <f ca="1">AVERAGE(OFFSET($R$3,0,0,'Données projet'!$E$9+1,1))-AVERAGE(OFFSET($H$3,0,0,'Données projet'!$E$9+1,1))</f>
        <v>255.5374979188561</v>
      </c>
      <c r="T99" s="59">
        <f t="shared" si="88"/>
        <v>343.10418468620901</v>
      </c>
      <c r="U99" s="15">
        <f>IF(ISNA(VLOOKUP(A99,'Données projet'!$A$35:$I$55,3,0)),0,VLOOKUP(A99,'Données projet'!$A$35:$I$55,3,0))</f>
        <v>0</v>
      </c>
      <c r="V99" s="15">
        <f>IF(ISNA(VLOOKUP(A99,'Données projet'!$A$35:$I$55,4,0)),0,VLOOKUP(A99,'Données projet'!$A$35:$I$55,4,0))</f>
        <v>0</v>
      </c>
      <c r="W99" s="16">
        <f>IF(ISNA(VLOOKUP(A99,'Données projet'!$A$35:$I$55,5,0)),0%,VLOOKUP(A99,'Données projet'!$A$35:$I$55,5,0)*VLOOKUP('Données projet'!$B$9,Paramètres!$A$1:$I$89,7,0))</f>
        <v>0</v>
      </c>
      <c r="X99" s="16">
        <f>IF(ISNA(VLOOKUP(A99,'Données projet'!$A$35:$I$55,6,0)),0%,VLOOKUP(A99,'Données projet'!$A$35:$I$55,6,0)*VLOOKUP('Données projet'!$B$9,Paramètres!$A$1:$I$89,7,0))</f>
        <v>0</v>
      </c>
      <c r="Y99" s="16">
        <f>IF(ISNA(VLOOKUP(A99,'Données projet'!$A$35:$I$55,7,0)),0%,VLOOKUP(A99,'Données projet'!$A$35:$I$55,7,0))</f>
        <v>0</v>
      </c>
      <c r="Z99" s="21">
        <f>EXP(-LN(2)/35)*Z98+(1-EXP(-LN(2)/35))/(LN(2)/35)*V99*W99*VLOOKUP('Données projet'!$B$9,Paramètres!$A$1:$I$89,3,0)*0.475*44/12</f>
        <v>0.83619517459399817</v>
      </c>
      <c r="AA99" s="21">
        <f>EXP(-LN(2)/25)*AA98+(1-EXP(-LN(2)/25))/(LN(2)/25)*Calculateur!V99*Calculateur!X99*VLOOKUP('Données projet'!$B$9,Paramètres!$A$1:$I$89,3,0)*0.475*44/12</f>
        <v>2.5604762374500969</v>
      </c>
      <c r="AB99" s="21">
        <f>EXP(-LN(2)/2)*AB98+(1-EXP(-LN(2)/2))/(LN(2)/2)*V99*Y99*VLOOKUP('Données projet'!$B$9,Paramètres!$A$1:$I$89,3,0)*0.475*44/12</f>
        <v>1.9705063657067554E-10</v>
      </c>
      <c r="AC99" s="22">
        <f t="shared" si="57"/>
        <v>3.3966714122411461</v>
      </c>
      <c r="AD99" s="13">
        <f>('Scénario référence'!$F$8+'Scénario référence'!$F$9+'Scénario référence'!$B$17+'Scénario référence'!$B$9+'Scénario référence'!$B$10)*70+IF((45+25*(1-EXP(-0.0175*A99)))&lt;70,'Scénario référence'!$B$16*(45+25*(1-EXP(-0.0175*A99))),70*'Scénario référence'!$B$16)+IF((32+38*(1-EXP(-0.0175*A99)))&lt;70,'Scénario référence'!$B$18*(32+38*(1-EXP(-0.0175*A99))),70*'Scénario référence'!$B$18)</f>
        <v>70</v>
      </c>
      <c r="AE99" s="13">
        <f>IF(A99&gt;30,10,('Scénario référence'!$B$16+'Scénario référence'!$B$17+'Scénario référence'!$B$18+'Scénario référence'!$B$9+'Scénario référence'!$B$10)*A99*10/30+('Scénario référence'!$F$8+'Scénario référence'!$F$9)*10)</f>
        <v>10</v>
      </c>
      <c r="AF99" s="12" t="e">
        <f>VLOOKUP(A99,'Données projet'!$A$61:$I$81,2,0)</f>
        <v>#N/A</v>
      </c>
      <c r="AG99" s="12" t="e">
        <f>VLOOKUP(A99,'Données projet'!$A$61:$I$81,9,0)</f>
        <v>#N/A</v>
      </c>
      <c r="AH99" s="12">
        <f t="array" ref="AH99">INDEX(AG:AG,MIN(IF(ISNUMBER(AG99:AG295),ROW(AG99:AG295),"")))</f>
        <v>0</v>
      </c>
      <c r="AI99" s="13">
        <f>IF('Données projet'!$A$62&gt;35,AI98+AH99-AQ98,IF(A99&lt;'Données projet'!$A$62,$AF$205^A99,IF(A99='Données projet'!$A$62,'Données projet'!$B$62,AI98+AH99-AQ98)))</f>
        <v>0</v>
      </c>
      <c r="AJ99" s="13">
        <f>AI99*VLOOKUP('Données projet'!$B$10,Paramètres!$A$1:$I$89,3,0)*VLOOKUP('Données projet'!$B$10,Paramètres!$A$1:$I$89,5,0)</f>
        <v>0</v>
      </c>
      <c r="AK99" s="13" t="e">
        <f t="shared" si="89"/>
        <v>#NUM!</v>
      </c>
      <c r="AL99" s="20" t="e">
        <f t="shared" si="58"/>
        <v>#NUM!</v>
      </c>
      <c r="AM99" s="59" t="e">
        <f t="shared" si="59"/>
        <v>#NUM!</v>
      </c>
      <c r="AN99" s="59">
        <f ca="1">AVERAGE(OFFSET($AM$3,0,0,'Données projet'!$E$10+1,1))-AVERAGE(OFFSET($H$3,0,0,'Données projet'!$E$10+1,1))</f>
        <v>261.78489480911571</v>
      </c>
      <c r="AO99" s="59">
        <f t="shared" si="90"/>
        <v>297.50513563712764</v>
      </c>
      <c r="AP99" s="15">
        <f>IF(ISNA(VLOOKUP(A99,'Données projet'!$A$61:$I$81,3,0)),0,VLOOKUP(A99,'Données projet'!$A$61:$I$81,3,0))</f>
        <v>0</v>
      </c>
      <c r="AQ99" s="15">
        <f>IF(ISNA(VLOOKUP(A99,'Données projet'!$A$61:$I$81,4,0)),0,VLOOKUP(A99,'Données projet'!$A$61:$I$81,4,0))</f>
        <v>0</v>
      </c>
      <c r="AR99" s="16">
        <f>IF(ISNA(VLOOKUP(A99,'Données projet'!$A$61:$I$81,5,0)),0%,VLOOKUP(A99,'Données projet'!$A$61:$I$81,5,0)*VLOOKUP('Données projet'!$B$10,Paramètres!$A$1:$I$89,7,0))</f>
        <v>0</v>
      </c>
      <c r="AS99" s="16">
        <f>IF(ISNA(VLOOKUP(A99,'Données projet'!$A$61:$I$81,6,0)),0%,VLOOKUP(A99,'Données projet'!$A$61:$I$81,6,0)*VLOOKUP('Données projet'!$B$10,Paramètres!$A$1:$I$89,7,0))</f>
        <v>0</v>
      </c>
      <c r="AT99" s="16">
        <f>IF(ISNA(VLOOKUP(A99,'Données projet'!$A$61:$I$81,7,0)),0%,VLOOKUP(A99,'Données projet'!$A$61:$I$81,7,0))</f>
        <v>0</v>
      </c>
      <c r="AU99" s="21">
        <f>EXP(-LN(2)/35)*AU98+(1-EXP(-LN(2)/35))/(LN(2)/35)*AQ99*AR99*VLOOKUP('Données projet'!$B$10,Paramètres!$A$1:$I$89,3,0)*0.475*44/12</f>
        <v>2.2579634880745054</v>
      </c>
      <c r="AV99" s="21">
        <f>EXP(-LN(2)/25)*AV98+(1-EXP(-LN(2)/25))/(LN(2)/25)*Calculateur!AQ99*Calculateur!AS99*VLOOKUP('Données projet'!$B$10,Paramètres!$A$1:$I$89,3,0)*0.475*44/12</f>
        <v>4.4711137475607172</v>
      </c>
      <c r="AW99" s="21">
        <f>EXP(-LN(2)/2)*AW98+(1-EXP(-LN(2)/2))/(LN(2)/2)*AQ99*AT99*VLOOKUP('Données projet'!$B$10,Paramètres!$A$1:$I$89,3,0)*0.475*44/12</f>
        <v>2.8406725191641459E-9</v>
      </c>
      <c r="AX99" s="21">
        <f t="shared" si="60"/>
        <v>6.7290772384758952</v>
      </c>
      <c r="AY99" s="74">
        <f>('Scénario référence'!$F$8+'Scénario référence'!$F$9+'Scénario référence'!$B$17+'Scénario référence'!$B$9+'Scénario référence'!$B$10)*70+IF((45+25*(1-EXP(-0.0175*A99)))&lt;70,'Scénario référence'!$B$16*(45+25*(1-EXP(-0.0175*A99))),70*'Scénario référence'!$B$16)+IF((32+38*(1-EXP(-0.0175*A99)))&lt;70,'Scénario référence'!$B$18*(32+38*(1-EXP(-0.0175*A99))),70*'Scénario référence'!$B$18)</f>
        <v>70</v>
      </c>
      <c r="AZ99" s="12">
        <f>IF(A99&gt;30,10,('Scénario référence'!$B$16+'Scénario référence'!$B$17+'Scénario référence'!$B$18+'Scénario référence'!$B$9+'Scénario référence'!$B$10)*A99*10/30+('Scénario référence'!$F$8+'Scénario référence'!$F$9)*10)</f>
        <v>10</v>
      </c>
      <c r="BA99" s="12" t="e">
        <f>VLOOKUP(A99,'Données projet'!$A$87:$I$107,2,0)</f>
        <v>#N/A</v>
      </c>
      <c r="BB99" s="12" t="e">
        <f>VLOOKUP(A99,'Données projet'!$A$87:$I$107,9,0)</f>
        <v>#N/A</v>
      </c>
      <c r="BC99" s="12">
        <f t="array" ref="BC99">INDEX(BB:BB,MIN(IF(ISNUMBER(BB99:BB295),ROW(BB99:BB295),"")))</f>
        <v>0</v>
      </c>
      <c r="BD99" s="12">
        <f>IF('Données projet'!$A$88&gt;35,BD98+BC99-BL98,IF(A99&lt;'Données projet'!$A$88,$BA$205^A99,IF(A99='Données projet'!$A$88,'Données projet'!$B$88,BD98+BC99-BL98)))</f>
        <v>553.99999999999955</v>
      </c>
      <c r="BE99" s="13">
        <f>BD99*VLOOKUP('Données projet'!$B$11,Paramètres!$A$1:$I$89,3,0)*VLOOKUP('Données projet'!$B$11,Paramètres!$A$1:$I$89,5,0)</f>
        <v>331.29199999999975</v>
      </c>
      <c r="BF99" s="13">
        <f t="shared" si="91"/>
        <v>77.698110787752</v>
      </c>
      <c r="BG99" s="20">
        <f t="shared" si="61"/>
        <v>712.32444295533423</v>
      </c>
      <c r="BH99" s="59">
        <f t="shared" si="62"/>
        <v>1005.6577762886675</v>
      </c>
      <c r="BI99" s="59">
        <f ca="1">AVERAGE(OFFSET($BH$3,0,0,'Données projet'!$E$11+1,1))-AVERAGE(OFFSET($H$3,0,0,'Données projet'!$E$11+1,1))</f>
        <v>316.58509520829671</v>
      </c>
      <c r="BJ99" s="59">
        <f t="shared" si="92"/>
        <v>240.71332110643596</v>
      </c>
      <c r="BK99" s="15">
        <f>IF(ISNA(VLOOKUP(A99,'Données projet'!$A$87:$I$107,3,0)),0,VLOOKUP(A99,'Données projet'!$A$87:$I$107,3,0))</f>
        <v>0</v>
      </c>
      <c r="BL99" s="15">
        <f>IF(ISNA(VLOOKUP(A99,'Données projet'!$A$87:$I$107,4,0)),0,VLOOKUP(A99,'Données projet'!$A$87:$I$107,4,0))</f>
        <v>0</v>
      </c>
      <c r="BM99" s="16">
        <f>IF(ISNA(VLOOKUP(A99,'Données projet'!$A$87:$I$107,5,0)),0%,VLOOKUP(A99,'Données projet'!$A$87:$I$107,5,0)*VLOOKUP('Données projet'!$B$11,Paramètres!$A$1:$I$89,7,0))</f>
        <v>0</v>
      </c>
      <c r="BN99" s="16">
        <f>IF(ISNA(VLOOKUP(A99,'Données projet'!$A$87:$I$107,6,0)),0%,VLOOKUP(A99,'Données projet'!$A$87:$I$107,6,0)*VLOOKUP('Données projet'!$B$11,Paramètres!$A$1:$I$89,7,0))</f>
        <v>0</v>
      </c>
      <c r="BO99" s="16">
        <f>IF(ISNA(VLOOKUP(A99,'Données projet'!$A$87:$I$107,7,0)),0%,VLOOKUP(A99,'Données projet'!$A$87:$I$107,7,0))</f>
        <v>0</v>
      </c>
      <c r="BP99" s="21">
        <f>EXP(-LN(2)/35)*BP98+(1-EXP(-LN(2)/35))/(LN(2)/35)*BL99*BM99*VLOOKUP('Données projet'!$B$11,Paramètres!$A$1:$I$89,3,0)*0.475*44/12</f>
        <v>0.68587320982620303</v>
      </c>
      <c r="BQ99" s="21">
        <f>EXP(-LN(2)/25)*BQ98+(1-EXP(-LN(2)/25))/(LN(2)/25)*Calculateur!BL99*Calculateur!BN99*VLOOKUP('Données projet'!$B$11,Paramètres!$A$1:$I$89,3,0)*0.475*44/12</f>
        <v>2.4494065694131231</v>
      </c>
      <c r="BR99" s="21">
        <f>EXP(-LN(2)/2)*BR98+(1-EXP(-LN(2)/2))/(LN(2)/2)*BL99*BO99*VLOOKUP('Données projet'!$B$11,Paramètres!$A$1:$I$89,3,0)*0.475*44/12</f>
        <v>2.554075684181985E-9</v>
      </c>
      <c r="BS99" s="22">
        <f t="shared" si="63"/>
        <v>3.1352797817934017</v>
      </c>
      <c r="BT99" s="75">
        <f>('Scénario référence'!$F$8+'Scénario référence'!$F$9+'Scénario référence'!$B$17+'Scénario référence'!$B$9+'Scénario référence'!$B$10)*70+IF((45+25*(1-EXP(-0.0175*A99)))&lt;70,'Scénario référence'!$B$16*(45+25*(1-EXP(-0.0175*A99))),70*'Scénario référence'!$B$16)+IF((32+38*(1-EXP(-0.0175*A99)))&lt;70,'Scénario référence'!$B$18*(32+38*(1-EXP(-0.0175*A99))),70*'Scénario référence'!$B$18)</f>
        <v>70</v>
      </c>
      <c r="BU99" s="12">
        <f>IF(A99&gt;30,10,('Scénario référence'!$B$16+'Scénario référence'!$B$17+'Scénario référence'!$B$18+'Scénario référence'!$B$9+'Scénario référence'!$B$10)*A99*10/30+('Scénario référence'!$F$8+'Scénario référence'!$F$9)*10)</f>
        <v>10</v>
      </c>
      <c r="BV99" s="12" t="e">
        <f>VLOOKUP(A99,'Données projet'!$A$113:$I$133,2,0)</f>
        <v>#N/A</v>
      </c>
      <c r="BW99" s="12" t="e">
        <f>VLOOKUP(A99,'Données projet'!$A$113:$I$133,9,0)</f>
        <v>#N/A</v>
      </c>
      <c r="BX99" s="12">
        <f t="array" ref="BX99">INDEX(BW:BW,MIN(IF(ISNUMBER(BW99:BW295),ROW(BW99:BW295),"")))</f>
        <v>3.5</v>
      </c>
      <c r="BY99" s="12">
        <f>IF('Données projet'!$A$114&gt;35,BY98+BX99-CG98,IF(A99&lt;'Données projet'!$A$114,$BV$205^A99,IF(A99='Données projet'!$A$114,'Données projet'!$B$114,BY98+BX99-CG98)))</f>
        <v>346.99999999999977</v>
      </c>
      <c r="BZ99" s="13">
        <f>BY99*VLOOKUP('Données projet'!$B$12,Paramètres!$A$1:$I$89,3,0)*VLOOKUP('Données projet'!$B$12,Paramètres!$A$1:$I$89,5,0)</f>
        <v>198.48399999999987</v>
      </c>
      <c r="CA99" s="13">
        <f t="shared" si="93"/>
        <v>49.410849413522037</v>
      </c>
      <c r="CB99" s="20">
        <f t="shared" si="64"/>
        <v>431.75019606188397</v>
      </c>
      <c r="CC99" s="59">
        <f t="shared" si="65"/>
        <v>725.08352939521728</v>
      </c>
      <c r="CD99" s="59">
        <f ca="1">AVERAGE(OFFSET($CC$3,0,0,'Données projet'!$E$12+1,1))-AVERAGE(OFFSET($H$3,0,0,'Données projet'!$E$12+1,1))</f>
        <v>188.64374818906128</v>
      </c>
      <c r="CE99" s="59">
        <f t="shared" si="94"/>
        <v>211.95157880548652</v>
      </c>
      <c r="CF99" s="15">
        <f>IF(ISNA(VLOOKUP(A99,'Données projet'!$A$113:$I$133,3,0)),0,VLOOKUP(A99,'Données projet'!$A$113:$I$133,3,0))</f>
        <v>0</v>
      </c>
      <c r="CG99" s="15">
        <f>IF(ISNA(VLOOKUP(A99,'Données projet'!$A$113:$I$133,4,0)),0,VLOOKUP(A99,'Données projet'!$A$113:$I$133,4,0))</f>
        <v>0</v>
      </c>
      <c r="CH99" s="16">
        <f>IF(ISNA(VLOOKUP(A99,'Données projet'!$A$113:$I$133,5,0)),0%,VLOOKUP(A99,'Données projet'!$A$113:$I$133,5,0)*VLOOKUP('Données projet'!$B$12,Paramètres!$A$1:$I$89,7,0))</f>
        <v>0</v>
      </c>
      <c r="CI99" s="16">
        <f>IF(ISNA(VLOOKUP(A99,'Données projet'!$A$113:$I$133,6,0)),0%,VLOOKUP(A99,'Données projet'!$A$113:$I$133,6,0)*VLOOKUP('Données projet'!$B$12,Paramètres!$A$1:$I$89,7,0))</f>
        <v>0</v>
      </c>
      <c r="CJ99" s="16">
        <f>IF(ISNA(VLOOKUP(A99,'Données projet'!$A$113:$I$133,7,0)),0%,VLOOKUP(A99,'Données projet'!$A$113:$I$133,7,0))</f>
        <v>0</v>
      </c>
      <c r="CK99" s="21">
        <f>EXP(-LN(2)/35)*CK98+(1-EXP(-LN(2)/35))/(LN(2)/35)*CG99*CH99*VLOOKUP('Données projet'!$B$12,Paramètres!$A$1:$I$89,3,0)*0.475*44/12</f>
        <v>0.66529281345052349</v>
      </c>
      <c r="CL99" s="21">
        <f>EXP(-LN(2)/25)*CL98+(1-EXP(-LN(2)/25))/(LN(2)/25)*Calculateur!CG99*Calculateur!CI99*VLOOKUP('Données projet'!$B$12,Paramètres!$A$1:$I$89,3,0)*0.475*44/12</f>
        <v>2.3054369220139934</v>
      </c>
      <c r="CM99" s="21">
        <f>EXP(-LN(2)/2)*CM98+(1-EXP(-LN(2)/2))/(LN(2)/2)*CG99*CJ99*VLOOKUP('Données projet'!$B$12,Paramètres!$A$1:$I$89,3,0)*0.475*44/12</f>
        <v>2.4734224662809E-9</v>
      </c>
      <c r="CN99" s="22">
        <f t="shared" si="66"/>
        <v>2.9707297379379392</v>
      </c>
      <c r="CO99" s="75">
        <f>('Scénario référence'!$F$8+'Scénario référence'!$F$9+'Scénario référence'!$B$17+'Scénario référence'!$B$9+'Scénario référence'!$B$10)*70+IF((45+25*(1-EXP(-0.0175*A99)))&lt;70,'Scénario référence'!$B$16*(45+25*(1-EXP(-0.0175*A99))),70*'Scénario référence'!$B$16)+IF((32+38*(1-EXP(-0.0175*A99)))&lt;70,'Scénario référence'!$B$18*(32+38*(1-EXP(-0.0175*A99))),70*'Scénario référence'!$B$18)</f>
        <v>70</v>
      </c>
      <c r="CP99" s="12">
        <f>IF(A99&gt;30,10,('Scénario référence'!$B$16+'Scénario référence'!$B$17+'Scénario référence'!$B$18+'Scénario référence'!$B$9+'Scénario référence'!$B$10)*A99*10/30+('Scénario référence'!$F$8+'Scénario référence'!$F$9)*10)</f>
        <v>10</v>
      </c>
      <c r="CQ99" s="12" t="e">
        <f>VLOOKUP(A99,'Données projet'!$A$139:$I$159,2,0)</f>
        <v>#N/A</v>
      </c>
      <c r="CR99" s="12" t="e">
        <f>VLOOKUP(A99,'Données projet'!$A$139:$I$159,9,0)</f>
        <v>#N/A</v>
      </c>
      <c r="CS99" s="12">
        <f t="array" ref="CS99">INDEX(CR:CR,MIN(IF(ISNUMBER(CR99:CR295),ROW(CR99:CR295),"")))</f>
        <v>0</v>
      </c>
      <c r="CT99" s="12">
        <f>IF('Données projet'!$A$140&gt;35,CT98+CS99-DB98,IF(A99&lt;'Données projet'!$A$140,$CQ$205^A99,IF(A99='Données projet'!$A$140,'Données projet'!$B$140,CT98+CS99-DB98)))</f>
        <v>0</v>
      </c>
      <c r="CU99" s="17" t="e">
        <f>CT99*VLOOKUP('Données projet'!$B$13,Paramètres!$A$1:$I$89,3,0)*VLOOKUP('Données projet'!$B$13,Paramètres!$A$1:$I$89,5,0)</f>
        <v>#N/A</v>
      </c>
      <c r="CV99" s="13" t="e">
        <f t="shared" si="95"/>
        <v>#N/A</v>
      </c>
      <c r="CW99" s="20" t="e">
        <f t="shared" si="67"/>
        <v>#N/A</v>
      </c>
      <c r="CX99" s="59" t="e">
        <f t="shared" si="68"/>
        <v>#N/A</v>
      </c>
      <c r="CY99" s="59" t="e">
        <f ca="1">AVERAGE(OFFSET($CX$3,0,0,'Données projet'!$E$13+1,1))-AVERAGE(OFFSET($H$3,0,0,'Données projet'!$E$13+1,1))</f>
        <v>#N/A</v>
      </c>
      <c r="CZ99" s="59" t="e">
        <f t="shared" si="96"/>
        <v>#N/A</v>
      </c>
      <c r="DA99" s="15">
        <f>IF(ISNA(VLOOKUP(A99,'Données projet'!$A$139:$I$159,3,0)),0,VLOOKUP(A99,'Données projet'!$A$139:$I$159,3,0))</f>
        <v>0</v>
      </c>
      <c r="DB99" s="15">
        <f>IF(ISNA(VLOOKUP(A99,'Données projet'!$A$139:$I$159,4,0)),0,VLOOKUP(A99,'Données projet'!$A$139:$I$159,4,0))</f>
        <v>0</v>
      </c>
      <c r="DC99" s="16">
        <f>IF(ISNA(VLOOKUP(A99,'Données projet'!$A$139:$I$159,5,0)),0%,VLOOKUP(A99,'Données projet'!$A$139:$I$159,5,0)*VLOOKUP('Données projet'!$B$13,Paramètres!$A$1:$I$89,7,0))</f>
        <v>0</v>
      </c>
      <c r="DD99" s="16">
        <f>IF(ISNA(VLOOKUP(A99,'Données projet'!$A$139:$I$159,6,0)),0%,VLOOKUP(A99,'Données projet'!$A$139:$I$159,6,0)*VLOOKUP('Données projet'!$B$13,Paramètres!$A$1:$I$89,7,0))</f>
        <v>0</v>
      </c>
      <c r="DE99" s="16">
        <f>IF(ISNA(VLOOKUP(A99,'Données projet'!$A$139:$I$159,7,0)),0%,VLOOKUP(A99,'Données projet'!$A$139:$I$159,7,0))</f>
        <v>0</v>
      </c>
      <c r="DF99" s="21" t="e">
        <f>EXP(-LN(2)/35)*DF98+(1-EXP(-LN(2)/35))/(LN(2)/35)*DB99*DC99*VLOOKUP('Données projet'!$B$13,Paramètres!$A$1:$I$89,3,0)*0.475*44/12</f>
        <v>#N/A</v>
      </c>
      <c r="DG99" s="21" t="e">
        <f>EXP(-LN(2)/25)*DG98+(1-EXP(-LN(2)/25))/(LN(2)/25)*Calculateur!DB99*Calculateur!DD99*VLOOKUP('Données projet'!$B$13,Paramètres!$A$1:$I$89,3,0)*0.475*44/12</f>
        <v>#N/A</v>
      </c>
      <c r="DH99" s="21" t="e">
        <f>EXP(-LN(2)/2)*DH98+(1-EXP(-LN(2)/2))/(LN(2)/2)*DB99*DE99*VLOOKUP('Données projet'!$B$13,Paramètres!$A$1:$I$89,3,0)*0.475*44/12</f>
        <v>#N/A</v>
      </c>
      <c r="DI99" s="22" t="e">
        <f t="shared" si="69"/>
        <v>#N/A</v>
      </c>
      <c r="DJ99" s="75">
        <f>('Scénario référence'!$F$8+'Scénario référence'!$F$9+'Scénario référence'!$B$17+'Scénario référence'!$B$9+'Scénario référence'!$B$10)*70+IF((45+25*(1-EXP(-0.0175*A99)))&lt;70,'Scénario référence'!$B$16*(45+25*(1-EXP(-0.0175*A99))),70*'Scénario référence'!$B$16)+IF((32+38*(1-EXP(-0.0175*A99)))&lt;70,'Scénario référence'!$B$18*(32+38*(1-EXP(-0.0175*A99))),70*'Scénario référence'!$B$18)</f>
        <v>70</v>
      </c>
      <c r="DK99" s="12">
        <f>IF(A99&gt;30,10,('Scénario référence'!$B$16+'Scénario référence'!$B$17+'Scénario référence'!$B$18+'Scénario référence'!$B$9+'Scénario référence'!$B$10)*A99*10/30+('Scénario référence'!$F$8+'Scénario référence'!$F$9)*10)</f>
        <v>10</v>
      </c>
      <c r="DL99" s="12" t="e">
        <f>VLOOKUP(A99,'Données projet'!$A$165:$I$185,2,0)</f>
        <v>#N/A</v>
      </c>
      <c r="DM99" s="12" t="e">
        <f>VLOOKUP(A99,'Données projet'!$A$165:$I$185,9,0)</f>
        <v>#N/A</v>
      </c>
      <c r="DN99" s="12">
        <f t="array" ref="DN99">INDEX(DM:DM,MIN(IF(ISNUMBER(DM99:DM295),ROW(DM99:DM295),"")))</f>
        <v>0</v>
      </c>
      <c r="DO99" s="12">
        <f>IF('Données projet'!$A$166&gt;35,DO98+DN99-DW98,IF(A99&lt;'Données projet'!$A$166,$DL$205^A99,IF(A99='Données projet'!$A$166,'Données projet'!$B$166,DO98+DN99-DW98)))</f>
        <v>268.00000000000017</v>
      </c>
      <c r="DP99" s="17">
        <f>DO99*VLOOKUP('Données projet'!$B$14,Paramètres!$A$1:$I$89,3,0)*VLOOKUP('Données projet'!$B$14,Paramètres!$A$1:$I$89,5,0)</f>
        <v>175.59360000000012</v>
      </c>
      <c r="DQ99" s="13">
        <f t="shared" si="97"/>
        <v>44.340433728638573</v>
      </c>
      <c r="DR99" s="20">
        <f t="shared" si="70"/>
        <v>383.05177541071242</v>
      </c>
      <c r="DS99" s="59">
        <f t="shared" si="71"/>
        <v>676.38510874404574</v>
      </c>
      <c r="DT99" s="59">
        <f ca="1">AVERAGE(OFFSET($DS$3,0,0,'Données projet'!$E$14+1,1))-AVERAGE(OFFSET($H$3,0,0,'Données projet'!$E$14+1,1))</f>
        <v>188.68915783955595</v>
      </c>
      <c r="DU99" s="59">
        <f t="shared" si="98"/>
        <v>240.82467772396944</v>
      </c>
      <c r="DV99" s="15">
        <f>IF(ISNA(VLOOKUP(A99,'Données projet'!$A$165:$I$185,3,0)),0,VLOOKUP(A99,'Données projet'!$A$165:$I$185,3,0))</f>
        <v>0</v>
      </c>
      <c r="DW99" s="15">
        <f>IF(ISNA(VLOOKUP(A99,'Données projet'!$A$165:$I$185,4,0)),0,VLOOKUP(A99,'Données projet'!$A$165:$I$185,4,0))</f>
        <v>0</v>
      </c>
      <c r="DX99" s="16">
        <f>IF(ISNA(VLOOKUP(A99,'Données projet'!$A$165:$I$185,5,0)),0%,VLOOKUP(A99,'Données projet'!$A$165:$I$185,5,0)*VLOOKUP('Données projet'!$B$14,Paramètres!$A$1:$I$89,7,0))</f>
        <v>0</v>
      </c>
      <c r="DY99" s="16">
        <f>IF(ISNA(VLOOKUP(A99,'Données projet'!$A$165:$I$185,6,0)),0%,VLOOKUP(A99,'Données projet'!$A$165:$I$185,6,0)*VLOOKUP('Données projet'!$B$14,Paramètres!$A$1:$I$89,7,0))</f>
        <v>0</v>
      </c>
      <c r="DZ99" s="16">
        <f>IF(ISNA(VLOOKUP(A99,'Données projet'!$A$165:$I$185,7,0)),0%,VLOOKUP(A99,'Données projet'!$A$165:$I$185,7,0))</f>
        <v>0</v>
      </c>
      <c r="EA99" s="21">
        <f>EXP(-LN(2)/35)*EA98+(1-EXP(-LN(2)/35))/(LN(2)/35)*DW99*DX99*VLOOKUP('Données projet'!$B$14,Paramètres!$A$1:$I$89,3,0)*0.475*44/12</f>
        <v>0.42140811626390479</v>
      </c>
      <c r="EB99" s="21">
        <f>EXP(-LN(2)/25)*EB98+(1-EXP(-LN(2)/25))/(LN(2)/25)*Calculateur!DW99*Calculateur!DY99*VLOOKUP('Données projet'!$B$14,Paramètres!$A$1:$I$89,3,0)*0.475*44/12</f>
        <v>1.2895268619400344</v>
      </c>
      <c r="EC99" s="21">
        <f>EXP(-LN(2)/2)*EC98+(1-EXP(-LN(2)/2))/(LN(2)/2)*DW99*DZ99*VLOOKUP('Données projet'!$B$14,Paramètres!$A$1:$I$89,3,0)*0.475*44/12</f>
        <v>1.6293963401353787E-9</v>
      </c>
      <c r="ED99" s="22">
        <f t="shared" si="72"/>
        <v>1.7109349798333355</v>
      </c>
      <c r="EE99" s="75">
        <f>('Scénario référence'!$F$8+'Scénario référence'!$F$9+'Scénario référence'!$B$17+'Scénario référence'!$B$9+'Scénario référence'!$B$10)*70+IF((45+25*(1-EXP(-0.0175*A99)))&lt;70,'Scénario référence'!$B$16*(45+25*(1-EXP(-0.0175*A99))),70*'Scénario référence'!$B$16)+IF((32+38*(1-EXP(-0.0175*A99)))&lt;70,'Scénario référence'!$B$18*(32+38*(1-EXP(-0.0175*A99))),70*'Scénario référence'!$B$18)</f>
        <v>70</v>
      </c>
      <c r="EF99" s="12">
        <f>IF(A99&gt;30,10,('Scénario référence'!$B$16+'Scénario référence'!$B$17+'Scénario référence'!$B$18+'Scénario référence'!$B$9+'Scénario référence'!$B$10)*A99*10/30+('Scénario référence'!$F$8+'Scénario référence'!$F$9)*10)</f>
        <v>10</v>
      </c>
      <c r="EG99" s="12" t="e">
        <f>VLOOKUP(A99,'Données projet'!$A$191:$I$211,2,0)</f>
        <v>#N/A</v>
      </c>
      <c r="EH99" s="12" t="e">
        <f>VLOOKUP(A99,'Données projet'!$A$191:$I$211,9,0)</f>
        <v>#N/A</v>
      </c>
      <c r="EI99" s="12">
        <f t="array" ref="EI99">INDEX(EH:EH,MIN(IF(ISNUMBER(EH99:EH295),ROW(EH99:EH295),"")))</f>
        <v>0</v>
      </c>
      <c r="EJ99" s="12">
        <f>IF('Données projet'!$A$192&gt;35,EJ98+EI99-ER98,IF(A99&lt;'Données projet'!$A$192,$EG$205^A99,IF(A99='Données projet'!$A$192,'Données projet'!$B$192,EJ98+EI99-ER98)))</f>
        <v>275.99999999999972</v>
      </c>
      <c r="EK99" s="17">
        <f>EJ99*VLOOKUP('Données projet'!$B$15,Paramètres!$A$1:$I$89,3,0)*VLOOKUP('Données projet'!$B$15,Paramètres!$A$1:$I$89,5,0)</f>
        <v>223.8911999999998</v>
      </c>
      <c r="EL99" s="13">
        <f t="shared" si="99"/>
        <v>54.95975389514858</v>
      </c>
      <c r="EM99" s="20">
        <f t="shared" si="73"/>
        <v>485.66541136738346</v>
      </c>
      <c r="EN99" s="59">
        <f t="shared" si="74"/>
        <v>778.99874470071677</v>
      </c>
      <c r="EO99" s="59">
        <f ca="1">AVERAGE(OFFSET($EN$3,0,0,'Données projet'!$E$15+1,1))-AVERAGE(OFFSET($H$3,0,0,'Données projet'!$E$15+1,1))</f>
        <v>205.5272583787887</v>
      </c>
      <c r="EP99" s="59">
        <f t="shared" si="100"/>
        <v>180.54762778843178</v>
      </c>
      <c r="EQ99" s="15">
        <f>IF(ISNA(VLOOKUP(A99,'Données projet'!$A$191:$I$211,3,0)),0,VLOOKUP(A99,'Données projet'!$A$191:$I$211,3,0))</f>
        <v>0</v>
      </c>
      <c r="ER99" s="15">
        <f>IF(ISNA(VLOOKUP(A99,'Données projet'!$A$191:$I$211,4,0)),0,VLOOKUP(A99,'Données projet'!$A$191:$I$211,4,0))</f>
        <v>0</v>
      </c>
      <c r="ES99" s="16">
        <f>IF(ISNA(VLOOKUP(A99,'Données projet'!$A$191:$I$211,5,0)),0%,VLOOKUP(A99,'Données projet'!$A$191:$I$211,5,0)*VLOOKUP('Données projet'!$B$15,Paramètres!$A$1:$I$89,7,0))</f>
        <v>0</v>
      </c>
      <c r="ET99" s="16">
        <f>IF(ISNA(VLOOKUP(A99,'Données projet'!$A$191:$I$211,6,0)),0%,VLOOKUP(A99,'Données projet'!$A$191:$I$211,6,0)*VLOOKUP('Données projet'!$B$15,Paramètres!$A$1:$I$89,7,0))</f>
        <v>0</v>
      </c>
      <c r="EU99" s="16">
        <f>IF(ISNA(VLOOKUP(A99,'Données projet'!$A$191:$I$211,7,0)),0%,VLOOKUP(A99,'Données projet'!$A$191:$I$211,7,0))</f>
        <v>0</v>
      </c>
      <c r="EV99" s="21">
        <f>EXP(-LN(2)/35)*EV98+(1-EXP(-LN(2)/35))/(LN(2)/35)*ER99*ES99*VLOOKUP('Données projet'!$B$15,Paramètres!$A$1:$I$89,3,0)*0.475*44/12</f>
        <v>0.27130655866133296</v>
      </c>
      <c r="EW99" s="21">
        <f>EXP(-LN(2)/25)*EW98+(1-EXP(-LN(2)/25))/(LN(2)/25)*Calculateur!ER99*Calculateur!ET99*VLOOKUP('Données projet'!$B$15,Paramètres!$A$1:$I$89,3,0)*0.475*44/12</f>
        <v>0.93107751336230005</v>
      </c>
      <c r="EX99" s="21">
        <f>EXP(-LN(2)/2)*EX98+(1-EXP(-LN(2)/2))/(LN(2)/2)*ER99*EU99*VLOOKUP('Données projet'!$B$15,Paramètres!$A$1:$I$89,3,0)*0.475*44/12</f>
        <v>1.0550353350560114E-9</v>
      </c>
      <c r="EY99" s="22">
        <f t="shared" si="75"/>
        <v>1.2023840730786683</v>
      </c>
      <c r="EZ99" s="75">
        <f>('Scénario référence'!$F$8+'Scénario référence'!$F$9+'Scénario référence'!$B$17+'Scénario référence'!$B$9+'Scénario référence'!$B$10)*70+IF((45+25*(1-EXP(-0.0175*A99)))&lt;70,'Scénario référence'!$B$16*(45+25*(1-EXP(-0.0175*A99))),70*'Scénario référence'!$B$16)+IF((32+38*(1-EXP(-0.0175*A99)))&lt;70,'Scénario référence'!$B$18*(32+38*(1-EXP(-0.0175*A99))),70*'Scénario référence'!$B$18)</f>
        <v>70</v>
      </c>
      <c r="FA99" s="12">
        <f>IF(A99&gt;30,10,('Scénario référence'!$B$16+'Scénario référence'!$B$17+'Scénario référence'!$B$18+'Scénario référence'!$B$9+'Scénario référence'!$B$10)*A99*10/30+('Scénario référence'!$F$8+'Scénario référence'!$F$9)*10)</f>
        <v>10</v>
      </c>
      <c r="FB99" s="12" t="e">
        <f>VLOOKUP(A99,'Données projet'!$A$217:$I$237,2,0)</f>
        <v>#N/A</v>
      </c>
      <c r="FC99" s="12" t="e">
        <f>VLOOKUP(A99,'Données projet'!$A$217:$I$237,9,0)</f>
        <v>#N/A</v>
      </c>
      <c r="FD99" s="12">
        <f t="array" ref="FD99">INDEX(FC:FC,MIN(IF(ISNUMBER(FC99:FC295),ROW(FC99:FC295),"")))</f>
        <v>9.6999999999999993</v>
      </c>
      <c r="FE99" s="12">
        <f>IF('Données projet'!$A$218&gt;35,FE98+FD99-FM98,IF(A99&lt;'Données projet'!$A$218,$FB$205^A99,IF(A99='Données projet'!$A$218,'Données projet'!$B$218,FE98+FD99-FM98)))</f>
        <v>397.19999999999987</v>
      </c>
      <c r="FF99" s="17">
        <f>FE99*VLOOKUP('Données projet'!$B$16,Paramètres!$A$1:$I$89,3,0)*VLOOKUP('Données projet'!$B$16,Paramètres!$A$1:$I$89,5,0)</f>
        <v>340.79759999999993</v>
      </c>
      <c r="FG99" s="13">
        <f t="shared" si="101"/>
        <v>79.664713152566151</v>
      </c>
      <c r="FH99" s="20">
        <f t="shared" si="76"/>
        <v>732.3051954073859</v>
      </c>
      <c r="FI99" s="59">
        <f t="shared" si="77"/>
        <v>1025.6385287407193</v>
      </c>
      <c r="FJ99" s="59">
        <f ca="1">AVERAGE(OFFSET($FI$3,0,0,'Données projet'!$E$16+1,1))-AVERAGE(OFFSET($H$3,0,0,'Données projet'!$E$16+1,1))</f>
        <v>383.97627237444709</v>
      </c>
      <c r="FK99" s="59">
        <f t="shared" si="102"/>
        <v>203.35476578922339</v>
      </c>
      <c r="FL99" s="15">
        <f>IF(ISNA(VLOOKUP(A99,'Données projet'!$A$217:$I$237,3,0)),0,VLOOKUP(A99,'Données projet'!$A$217:$I$237,3,0))</f>
        <v>0</v>
      </c>
      <c r="FM99" s="15">
        <f>IF(ISNA(VLOOKUP(A99,'Données projet'!$A$217:$I$237,4,0)),0,VLOOKUP(A99,'Données projet'!$A$217:$I$237,4,0))</f>
        <v>0</v>
      </c>
      <c r="FN99" s="16">
        <f>IF(ISNA(VLOOKUP(A99,'Données projet'!$A$217:$I$237,5,0)),0%,VLOOKUP(A99,'Données projet'!$A$217:$I$237,5,0)*VLOOKUP('Données projet'!$B$16,Paramètres!$A$1:$I$89,7,0))</f>
        <v>0</v>
      </c>
      <c r="FO99" s="16">
        <f>IF(ISNA(VLOOKUP(A99,'Données projet'!$A$217:$I$237,6,0)),0%,VLOOKUP(A99,'Données projet'!$A$217:$I$237,6,0)*VLOOKUP('Données projet'!$B$16,Paramètres!$A$1:$I$89,7,0))</f>
        <v>0</v>
      </c>
      <c r="FP99" s="16">
        <f>IF(ISNA(VLOOKUP(A99,'Données projet'!$A$217:$I$237,7,0)),0%,VLOOKUP(A99,'Données projet'!$A$217:$I$237,7,0))</f>
        <v>0</v>
      </c>
      <c r="FQ99" s="21">
        <f>EXP(-LN(2)/35)*FQ98+(1-EXP(-LN(2)/35))/(LN(2)/35)*FM99*FN99*VLOOKUP('Données projet'!$B$16,Paramètres!$A$1:$I$89,3,0)*0.475*44/12</f>
        <v>1.3943685220177375</v>
      </c>
      <c r="FR99" s="21">
        <f>EXP(-LN(2)/25)*FR98+(1-EXP(-LN(2)/25))/(LN(2)/25)*Calculateur!FM99*Calculateur!FO99*VLOOKUP('Données projet'!$B$16,Paramètres!$A$1:$I$89,3,0)*0.475*44/12</f>
        <v>0.94513991206973047</v>
      </c>
      <c r="FS99" s="21">
        <f>EXP(-LN(2)/2)*FS98+(1-EXP(-LN(2)/2))/(LN(2)/2)*FM99*FP99*VLOOKUP('Données projet'!$B$16,Paramètres!$A$1:$I$89,3,0)*0.475*44/12</f>
        <v>1.9378833858983E-9</v>
      </c>
      <c r="FT99" s="22">
        <f t="shared" si="78"/>
        <v>2.3395084360253513</v>
      </c>
      <c r="FU99" s="75">
        <f>('Scénario référence'!$F$8+'Scénario référence'!$F$9+'Scénario référence'!$B$17+'Scénario référence'!$B$9+'Scénario référence'!$B$10)*70+IF((45+25*(1-EXP(-0.0175*A99)))&lt;70,'Scénario référence'!$B$16*(45+25*(1-EXP(-0.0175*A99))),70*'Scénario référence'!$B$16)+IF((32+38*(1-EXP(-0.0175*A99)))&lt;70,'Scénario référence'!$B$18*(32+38*(1-EXP(-0.0175*A99))),70*'Scénario référence'!$B$18)</f>
        <v>70</v>
      </c>
      <c r="FV99" s="12">
        <f>IF(A99&gt;30,10,('Scénario référence'!$B$16+'Scénario référence'!$B$17+'Scénario référence'!$B$18+'Scénario référence'!$B$9+'Scénario référence'!$B$10)*A99*10/30+('Scénario référence'!$F$8+'Scénario référence'!$F$9)*10)</f>
        <v>10</v>
      </c>
      <c r="FW99" s="12" t="e">
        <f>VLOOKUP(A99,'Données projet'!$A$243:$I$263,2,0)</f>
        <v>#N/A</v>
      </c>
      <c r="FX99" s="12" t="e">
        <f>VLOOKUP(A99,'Données projet'!$A$243:$I$263,9,0)</f>
        <v>#N/A</v>
      </c>
      <c r="FY99" s="12">
        <f t="array" ref="FY99">INDEX(FX:FX,MIN(IF(ISNUMBER(FX99:FX295),ROW(FX99:FX295),"")))</f>
        <v>7.1782051282051267</v>
      </c>
      <c r="FZ99" s="12">
        <f>IF('Données projet'!$A$244&gt;35,FZ98+FY99-GH98,IF(A99&lt;'Données projet'!$A$244,$FW$205^A99,IF(A99='Données projet'!$A$244,'Données projet'!$B$244,FZ98+FY99-GH98)))</f>
        <v>296.71538461538489</v>
      </c>
      <c r="GA99" s="17">
        <f>FZ99*VLOOKUP('Données projet'!$B$17,Paramètres!$A$1:$I$89,3,0)*VLOOKUP('Données projet'!$B$17,Paramètres!$A$1:$I$89,5,0)</f>
        <v>319.38444000000027</v>
      </c>
      <c r="GB99" s="13">
        <f t="shared" si="103"/>
        <v>75.225260084158577</v>
      </c>
      <c r="GC99" s="20">
        <f t="shared" si="79"/>
        <v>687.27856097990991</v>
      </c>
      <c r="GD99" s="59">
        <f t="shared" si="80"/>
        <v>980.61189431324328</v>
      </c>
      <c r="GE99" s="59">
        <f ca="1">AVERAGE(OFFSET($GD$3,0,0,'Données projet'!$E$17+1,1))-AVERAGE(OFFSET($H$3,0,0,'Données projet'!$E$17+1,1))</f>
        <v>286.77702855541287</v>
      </c>
      <c r="GF99" s="59">
        <f t="shared" si="104"/>
        <v>227.12211541860779</v>
      </c>
      <c r="GG99" s="15">
        <f>IF(ISNA(VLOOKUP(A99,'Données projet'!$A$243:$I$263,3,0)),0,VLOOKUP(A99,'Données projet'!$A$243:$I$263,3,0))</f>
        <v>0</v>
      </c>
      <c r="GH99" s="15">
        <f>IF(ISNA(VLOOKUP(A99,'Données projet'!$A$243:$I$263,4,0)),0,VLOOKUP(A99,'Données projet'!$A$243:$I$263,4,0))</f>
        <v>0</v>
      </c>
      <c r="GI99" s="16">
        <f>IF(ISNA(VLOOKUP(A99,'Données projet'!$A$243:$I$263,5,0)),0%,VLOOKUP(A99,'Données projet'!$A$243:$I$263,5,0)*VLOOKUP('Données projet'!$B$17,Paramètres!$A$1:$I$89,7,0))</f>
        <v>0</v>
      </c>
      <c r="GJ99" s="16">
        <f>IF(ISNA(VLOOKUP(A99,'Données projet'!$A$243:$I$263,6,0)),0%,VLOOKUP(A99,'Données projet'!$A$243:$I$263,6,0)*VLOOKUP('Données projet'!$B$17,Paramètres!$A$1:$I$89,7,0))</f>
        <v>0</v>
      </c>
      <c r="GK99" s="16">
        <f>IF(ISNA(VLOOKUP(A99,'Données projet'!$A$243:$I$263,7,0)),0%,VLOOKUP(A99,'Données projet'!$A$243:$I$263,7,0))</f>
        <v>0</v>
      </c>
      <c r="GL99" s="21">
        <f>EXP(-LN(2)/35)*GL98+(1-EXP(-LN(2)/35))/(LN(2)/35)*GH99*GI99*VLOOKUP('Données projet'!$B$17,Paramètres!$A$1:$I$89,3,0)*0.475*44/12</f>
        <v>0</v>
      </c>
      <c r="GM99" s="21">
        <f>EXP(-LN(2)/25)*GM98+(1-EXP(-LN(2)/25))/(LN(2)/25)*Calculateur!GH99*Calculateur!GJ99*VLOOKUP('Données projet'!$B$17,Paramètres!$A$1:$I$89,3,0)*0.475*44/12</f>
        <v>0</v>
      </c>
      <c r="GN99" s="21">
        <f>EXP(-LN(2)/2)*GN98+(1-EXP(-LN(2)/2))/(LN(2)/2)*GH99*GK99*VLOOKUP('Données projet'!$B$17,Paramètres!$A$1:$I$89,3,0)*0.475*44/12</f>
        <v>0</v>
      </c>
      <c r="GO99" s="21">
        <f t="shared" si="81"/>
        <v>0</v>
      </c>
      <c r="GP99" s="75">
        <f>('Scénario référence'!$F$8+'Scénario référence'!$F$9+'Scénario référence'!$B$17+'Scénario référence'!$B$9+'Scénario référence'!$B$10)*70+IF((45+25*(1-EXP(-0.0175*A99)))&lt;70,'Scénario référence'!$B$16*(45+25*(1-EXP(-0.0175*A99))),70*'Scénario référence'!$B$16)+IF((32+38*(1-EXP(-0.0175*A99)))&lt;70,'Scénario référence'!$B$18*(32+38*(1-EXP(-0.0175*A99))),70*'Scénario référence'!$B$18)</f>
        <v>70</v>
      </c>
      <c r="GQ99" s="12">
        <f>IF(A99&gt;30,10,('Scénario référence'!$B$16+'Scénario référence'!$B$17+'Scénario référence'!$B$18+'Scénario référence'!$B$9+'Scénario référence'!$B$10)*A99*10/30+('Scénario référence'!$F$8+'Scénario référence'!$F$9)*10)</f>
        <v>10</v>
      </c>
      <c r="GR99" s="12" t="e">
        <f>VLOOKUP(A99,'Données projet'!$A$269:$I$289,2,0)</f>
        <v>#N/A</v>
      </c>
      <c r="GS99" s="12" t="e">
        <f>VLOOKUP(A99,'Données projet'!$A$269:$I$289,9,0)</f>
        <v>#N/A</v>
      </c>
      <c r="GT99" s="12">
        <f t="array" ref="GT99">INDEX(GS:GS,MIN(IF(ISNUMBER(GS99:GS295),ROW(GS99:GS295),"")))</f>
        <v>7.1782051282051267</v>
      </c>
      <c r="GU99" s="12">
        <f>IF('Données projet'!$A$270&gt;35,GU98+GT99-HC98,IF(A99&lt;'Données projet'!$A$270,$GR$205^A99,IF(A99='Données projet'!$A$270,'Données projet'!$B$270,GU98+GT99-HC98)))</f>
        <v>296.71538461538489</v>
      </c>
      <c r="GV99" s="17">
        <f>GU99*VLOOKUP('Données projet'!$B$18,Paramètres!$A$1:$I$89,3,0)*VLOOKUP('Données projet'!$B$18,Paramètres!$A$1:$I$89,5,0)</f>
        <v>319.38444000000027</v>
      </c>
      <c r="GW99" s="13">
        <f t="shared" si="105"/>
        <v>75.225260084158577</v>
      </c>
      <c r="GX99" s="20">
        <f t="shared" si="82"/>
        <v>687.27856097990991</v>
      </c>
      <c r="GY99" s="59">
        <f t="shared" si="83"/>
        <v>980.61189431324328</v>
      </c>
      <c r="GZ99" s="59">
        <f ca="1">AVERAGE(OFFSET($GY$3,0,0,'Données projet'!$E$18+1,1))-AVERAGE(OFFSET($H$3,0,0,'Données projet'!$E$18+1,1))</f>
        <v>286.77702855541287</v>
      </c>
      <c r="HA99" s="59">
        <f t="shared" si="106"/>
        <v>227.12211541860779</v>
      </c>
      <c r="HB99" s="15">
        <f>IF(ISNA(VLOOKUP(A99,'Données projet'!$A$269:$I$289,3,0)),0,VLOOKUP(A99,'Données projet'!$A$269:$I$289,3,0))</f>
        <v>0</v>
      </c>
      <c r="HC99" s="15">
        <f>IF(ISNA(VLOOKUP(A99,'Données projet'!$A$269:$I$289,4,0)),0,VLOOKUP(A99,'Données projet'!$A$269:$I$289,4,0))</f>
        <v>0</v>
      </c>
      <c r="HD99" s="16">
        <f>IF(ISNA(VLOOKUP(A99,'Données projet'!$A$269:$I$289,5,0)),0%,VLOOKUP(A99,'Données projet'!$A$269:$I$289,5,0)*VLOOKUP('Données projet'!$B$18,Paramètres!$A$1:$I$89,7,0))</f>
        <v>0</v>
      </c>
      <c r="HE99" s="16">
        <f>IF(ISNA(VLOOKUP(A99,'Données projet'!$A$269:$I$289,6,0)),0%,VLOOKUP(A99,'Données projet'!$A$269:$I$289,6,0)*VLOOKUP('Données projet'!$B$18,Paramètres!$A$1:$I$89,7,0))</f>
        <v>0</v>
      </c>
      <c r="HF99" s="16">
        <f>IF(ISNA(VLOOKUP(A99,'Données projet'!$A$269:$I$289,7,0)),0%,VLOOKUP(A99,'Données projet'!$A$269:$I$289,7,0))</f>
        <v>0</v>
      </c>
      <c r="HG99" s="21">
        <f>EXP(-LN(2)/35)*HG98+(1-EXP(-LN(2)/35))/(LN(2)/35)*HC99*HD99*VLOOKUP('Données projet'!$B$18,Paramètres!$A$1:$I$89,3,0)*0.475*44/12</f>
        <v>0</v>
      </c>
      <c r="HH99" s="21">
        <f>EXP(-LN(2)/25)*HH98+(1-EXP(-LN(2)/25))/(LN(2)/25)*Calculateur!HC99*Calculateur!HE99*VLOOKUP('Données projet'!$B$18,Paramètres!$A$1:$I$89,3,0)*0.475*44/12</f>
        <v>0</v>
      </c>
      <c r="HI99" s="21">
        <f>EXP(-LN(2)/2)*HI98+(1-EXP(-LN(2)/2))/(LN(2)/2)*HC99*HF99*VLOOKUP('Données projet'!$B$18,Paramètres!$A$1:$I$89,3,0)*0.475*44/12</f>
        <v>0</v>
      </c>
      <c r="HJ99" s="22">
        <f t="shared" si="84"/>
        <v>0</v>
      </c>
    </row>
    <row r="100" spans="1:218" x14ac:dyDescent="0.25">
      <c r="A100" s="10">
        <f t="shared" si="85"/>
        <v>97</v>
      </c>
      <c r="B100" s="73">
        <f>'Scénario référence'!$B$16*5+'Scénario référence'!$B$17*0+'Scénario référence'!$B$18*5</f>
        <v>0</v>
      </c>
      <c r="C100" s="19">
        <f>Calculateur!C99+'Scénario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86.252400000000137</v>
      </c>
      <c r="D100" s="11">
        <f t="shared" si="86"/>
        <v>23.659169019590845</v>
      </c>
      <c r="E10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00" s="11">
        <f>IF(OR('Scénario référence'!$F$8&gt;0,'Scénario référence'!$F$9&gt;0),('Scénario référence'!$F$8+'Scénario référence'!$F$9)*10,0)</f>
        <v>10</v>
      </c>
      <c r="G100" s="11">
        <f>'Scénario référence'!$B$8*B100*44/12+'Scénario référence'!$B$9*(C100+D100)/0.475*44/12+'Scénario référence'!$B$10*(C100+D100)/0.475*44/12+'Scénario référence'!$F$8*(C100+D100)/0.475*44/12+'Scénario référence'!$F$9*(C100+D100)/0.475*44/12</f>
        <v>848.44018190561474</v>
      </c>
      <c r="H100" s="67">
        <f t="shared" si="56"/>
        <v>484.76264937578765</v>
      </c>
      <c r="I100" s="70">
        <f>('Scénario référence'!$F$8+'Scénario référence'!$F$9+'Scénario référence'!$B$17+'Scénario référence'!$B$9+'Scénario référence'!$B$10)*70+IF((45+25*(1-EXP(-0.0175*A100)))&lt;70,'Scénario référence'!$B$16*(45+25*(1-EXP(-0.0175*A100))),70*'Scénario référence'!$B$16)+IF((32+38*(1-EXP(-0.0175*A100)))&lt;70,'Scénario référence'!$B$18*(32+38*(1-EXP(-0.0175*A100))),70*'Scénario référence'!$B$18)</f>
        <v>70</v>
      </c>
      <c r="J100" s="13">
        <f>IF(A100&gt;30,10,('Scénario référence'!$B$16+'Scénario référence'!$B$17+'Scénario référence'!$B$18+'Scénario référence'!$B$9+'Scénario référence'!$B$10)*A100*10/30+('Scénario référence'!$F$8+'Scénario référence'!$F$9)*10)</f>
        <v>10</v>
      </c>
      <c r="K100" s="12" t="e">
        <f>VLOOKUP(A100,'Données projet'!$A$35:$I$55,2,0)</f>
        <v>#N/A</v>
      </c>
      <c r="L100" s="12" t="e">
        <f>VLOOKUP(A100,'Données projet'!$A$35:$I$55,9,0)</f>
        <v>#N/A</v>
      </c>
      <c r="M100" s="12">
        <f t="array" ref="M100">INDEX(L:L,MIN(IF(ISNUMBER(L100:L296),ROW(L100:L296),"")))</f>
        <v>0</v>
      </c>
      <c r="N100" s="13">
        <f>IF('Données projet'!$A$36&gt;35,N99+M100-V99,IF(A100&lt;'Données projet'!$A$36,$K$205^A100,IF(A100='Données projet'!$A$36,'Données projet'!$B$36,N99+M100-V99)))</f>
        <v>-2.2737367544323206E-13</v>
      </c>
      <c r="O100" s="13">
        <f>N100*VLOOKUP('Données projet'!$B$9,Paramètres!$A$1:$I$89,3,0)*VLOOKUP('Données projet'!$B$9,Paramètres!$A$1:$I$89,5,0)</f>
        <v>-1.2710188457276673E-13</v>
      </c>
      <c r="P100" s="13" t="e">
        <f t="shared" si="87"/>
        <v>#NUM!</v>
      </c>
      <c r="Q100" s="20" t="e">
        <f t="shared" si="107"/>
        <v>#NUM!</v>
      </c>
      <c r="R100" s="59" t="e">
        <f t="shared" si="55"/>
        <v>#NUM!</v>
      </c>
      <c r="S100" s="59">
        <f ca="1">AVERAGE(OFFSET($R$3,0,0,'Données projet'!$E$9+1,1))-AVERAGE(OFFSET($H$3,0,0,'Données projet'!$E$9+1,1))</f>
        <v>255.5374979188561</v>
      </c>
      <c r="T100" s="59">
        <f t="shared" si="88"/>
        <v>343.10418468620901</v>
      </c>
      <c r="U100" s="15">
        <f>IF(ISNA(VLOOKUP(A100,'Données projet'!$A$35:$I$55,3,0)),0,VLOOKUP(A100,'Données projet'!$A$35:$I$55,3,0))</f>
        <v>0</v>
      </c>
      <c r="V100" s="15">
        <f>IF(ISNA(VLOOKUP(A100,'Données projet'!$A$35:$I$55,4,0)),0,VLOOKUP(A100,'Données projet'!$A$35:$I$55,4,0))</f>
        <v>0</v>
      </c>
      <c r="W100" s="16">
        <f>IF(ISNA(VLOOKUP(A100,'Données projet'!$A$35:$I$55,5,0)),0%,VLOOKUP(A100,'Données projet'!$A$35:$I$55,5,0)*VLOOKUP('Données projet'!$B$9,Paramètres!$A$1:$I$89,7,0))</f>
        <v>0</v>
      </c>
      <c r="X100" s="16">
        <f>IF(ISNA(VLOOKUP(A100,'Données projet'!$A$35:$I$55,6,0)),0%,VLOOKUP(A100,'Données projet'!$A$35:$I$55,6,0)*VLOOKUP('Données projet'!$B$9,Paramètres!$A$1:$I$89,7,0))</f>
        <v>0</v>
      </c>
      <c r="Y100" s="16">
        <f>IF(ISNA(VLOOKUP(A100,'Données projet'!$A$35:$I$55,7,0)),0%,VLOOKUP(A100,'Données projet'!$A$35:$I$55,7,0))</f>
        <v>0</v>
      </c>
      <c r="Z100" s="21">
        <f>EXP(-LN(2)/35)*Z99+(1-EXP(-LN(2)/35))/(LN(2)/35)*V100*W100*VLOOKUP('Données projet'!$B$9,Paramètres!$A$1:$I$89,3,0)*0.475*44/12</f>
        <v>0.81979789724890517</v>
      </c>
      <c r="AA100" s="21">
        <f>EXP(-LN(2)/25)*AA99+(1-EXP(-LN(2)/25))/(LN(2)/25)*Calculateur!V100*Calculateur!X100*VLOOKUP('Données projet'!$B$9,Paramètres!$A$1:$I$89,3,0)*0.475*44/12</f>
        <v>2.4904598800874309</v>
      </c>
      <c r="AB100" s="21">
        <f>EXP(-LN(2)/2)*AB99+(1-EXP(-LN(2)/2))/(LN(2)/2)*V100*Y100*VLOOKUP('Données projet'!$B$9,Paramètres!$A$1:$I$89,3,0)*0.475*44/12</f>
        <v>1.3933584135625056E-10</v>
      </c>
      <c r="AC100" s="22">
        <f t="shared" si="57"/>
        <v>3.3102577774756718</v>
      </c>
      <c r="AD100" s="13">
        <f>('Scénario référence'!$F$8+'Scénario référence'!$F$9+'Scénario référence'!$B$17+'Scénario référence'!$B$9+'Scénario référence'!$B$10)*70+IF((45+25*(1-EXP(-0.0175*A100)))&lt;70,'Scénario référence'!$B$16*(45+25*(1-EXP(-0.0175*A100))),70*'Scénario référence'!$B$16)+IF((32+38*(1-EXP(-0.0175*A100)))&lt;70,'Scénario référence'!$B$18*(32+38*(1-EXP(-0.0175*A100))),70*'Scénario référence'!$B$18)</f>
        <v>70</v>
      </c>
      <c r="AE100" s="13">
        <f>IF(A100&gt;30,10,('Scénario référence'!$B$16+'Scénario référence'!$B$17+'Scénario référence'!$B$18+'Scénario référence'!$B$9+'Scénario référence'!$B$10)*A100*10/30+('Scénario référence'!$F$8+'Scénario référence'!$F$9)*10)</f>
        <v>10</v>
      </c>
      <c r="AF100" s="12" t="e">
        <f>VLOOKUP(A100,'Données projet'!$A$61:$I$81,2,0)</f>
        <v>#N/A</v>
      </c>
      <c r="AG100" s="12" t="e">
        <f>VLOOKUP(A100,'Données projet'!$A$61:$I$81,9,0)</f>
        <v>#N/A</v>
      </c>
      <c r="AH100" s="12">
        <f t="array" ref="AH100">INDEX(AG:AG,MIN(IF(ISNUMBER(AG100:AG296),ROW(AG100:AG296),"")))</f>
        <v>0</v>
      </c>
      <c r="AI100" s="13">
        <f>IF('Données projet'!$A$62&gt;35,AI99+AH100-AQ99,IF(A100&lt;'Données projet'!$A$62,$AF$205^A100,IF(A100='Données projet'!$A$62,'Données projet'!$B$62,AI99+AH100-AQ99)))</f>
        <v>0</v>
      </c>
      <c r="AJ100" s="13">
        <f>AI100*VLOOKUP('Données projet'!$B$10,Paramètres!$A$1:$I$89,3,0)*VLOOKUP('Données projet'!$B$10,Paramètres!$A$1:$I$89,5,0)</f>
        <v>0</v>
      </c>
      <c r="AK100" s="13" t="e">
        <f t="shared" si="89"/>
        <v>#NUM!</v>
      </c>
      <c r="AL100" s="20" t="e">
        <f t="shared" si="58"/>
        <v>#NUM!</v>
      </c>
      <c r="AM100" s="59" t="e">
        <f t="shared" si="59"/>
        <v>#NUM!</v>
      </c>
      <c r="AN100" s="59">
        <f ca="1">AVERAGE(OFFSET($AM$3,0,0,'Données projet'!$E$10+1,1))-AVERAGE(OFFSET($H$3,0,0,'Données projet'!$E$10+1,1))</f>
        <v>261.78489480911571</v>
      </c>
      <c r="AO100" s="59">
        <f t="shared" si="90"/>
        <v>297.50513563712764</v>
      </c>
      <c r="AP100" s="15">
        <f>IF(ISNA(VLOOKUP(A100,'Données projet'!$A$61:$I$81,3,0)),0,VLOOKUP(A100,'Données projet'!$A$61:$I$81,3,0))</f>
        <v>0</v>
      </c>
      <c r="AQ100" s="15">
        <f>IF(ISNA(VLOOKUP(A100,'Données projet'!$A$61:$I$81,4,0)),0,VLOOKUP(A100,'Données projet'!$A$61:$I$81,4,0))</f>
        <v>0</v>
      </c>
      <c r="AR100" s="16">
        <f>IF(ISNA(VLOOKUP(A100,'Données projet'!$A$61:$I$81,5,0)),0%,VLOOKUP(A100,'Données projet'!$A$61:$I$81,5,0)*VLOOKUP('Données projet'!$B$10,Paramètres!$A$1:$I$89,7,0))</f>
        <v>0</v>
      </c>
      <c r="AS100" s="16">
        <f>IF(ISNA(VLOOKUP(A100,'Données projet'!$A$61:$I$81,6,0)),0%,VLOOKUP(A100,'Données projet'!$A$61:$I$81,6,0)*VLOOKUP('Données projet'!$B$10,Paramètres!$A$1:$I$89,7,0))</f>
        <v>0</v>
      </c>
      <c r="AT100" s="16">
        <f>IF(ISNA(VLOOKUP(A100,'Données projet'!$A$61:$I$81,7,0)),0%,VLOOKUP(A100,'Données projet'!$A$61:$I$81,7,0))</f>
        <v>0</v>
      </c>
      <c r="AU100" s="21">
        <f>EXP(-LN(2)/35)*AU99+(1-EXP(-LN(2)/35))/(LN(2)/35)*AQ100*AR100*VLOOKUP('Données projet'!$B$10,Paramètres!$A$1:$I$89,3,0)*0.475*44/12</f>
        <v>2.2136862012951029</v>
      </c>
      <c r="AV100" s="21">
        <f>EXP(-LN(2)/25)*AV99+(1-EXP(-LN(2)/25))/(LN(2)/25)*Calculateur!AQ100*Calculateur!AS100*VLOOKUP('Données projet'!$B$10,Paramètres!$A$1:$I$89,3,0)*0.475*44/12</f>
        <v>4.3488509070080159</v>
      </c>
      <c r="AW100" s="21">
        <f>EXP(-LN(2)/2)*AW99+(1-EXP(-LN(2)/2))/(LN(2)/2)*AQ100*AT100*VLOOKUP('Données projet'!$B$10,Paramètres!$A$1:$I$89,3,0)*0.475*44/12</f>
        <v>2.0086588014312404E-9</v>
      </c>
      <c r="AX100" s="21">
        <f t="shared" si="60"/>
        <v>6.5625371103117773</v>
      </c>
      <c r="AY100" s="74">
        <f>('Scénario référence'!$F$8+'Scénario référence'!$F$9+'Scénario référence'!$B$17+'Scénario référence'!$B$9+'Scénario référence'!$B$10)*70+IF((45+25*(1-EXP(-0.0175*A100)))&lt;70,'Scénario référence'!$B$16*(45+25*(1-EXP(-0.0175*A100))),70*'Scénario référence'!$B$16)+IF((32+38*(1-EXP(-0.0175*A100)))&lt;70,'Scénario référence'!$B$18*(32+38*(1-EXP(-0.0175*A100))),70*'Scénario référence'!$B$18)</f>
        <v>70</v>
      </c>
      <c r="AZ100" s="12">
        <f>IF(A100&gt;30,10,('Scénario référence'!$B$16+'Scénario référence'!$B$17+'Scénario référence'!$B$18+'Scénario référence'!$B$9+'Scénario référence'!$B$10)*A100*10/30+('Scénario référence'!$F$8+'Scénario référence'!$F$9)*10)</f>
        <v>10</v>
      </c>
      <c r="BA100" s="12" t="e">
        <f>VLOOKUP(A100,'Données projet'!$A$87:$I$107,2,0)</f>
        <v>#N/A</v>
      </c>
      <c r="BB100" s="12" t="e">
        <f>VLOOKUP(A100,'Données projet'!$A$87:$I$107,9,0)</f>
        <v>#N/A</v>
      </c>
      <c r="BC100" s="12">
        <f t="array" ref="BC100">INDEX(BB:BB,MIN(IF(ISNUMBER(BB100:BB296),ROW(BB100:BB296),"")))</f>
        <v>0</v>
      </c>
      <c r="BD100" s="12">
        <f>IF('Données projet'!$A$88&gt;35,BD99+BC100-BL99,IF(A100&lt;'Données projet'!$A$88,$BA$205^A100,IF(A100='Données projet'!$A$88,'Données projet'!$B$88,BD99+BC100-BL99)))</f>
        <v>553.99999999999955</v>
      </c>
      <c r="BE100" s="13">
        <f>BD100*VLOOKUP('Données projet'!$B$11,Paramètres!$A$1:$I$89,3,0)*VLOOKUP('Données projet'!$B$11,Paramètres!$A$1:$I$89,5,0)</f>
        <v>331.29199999999975</v>
      </c>
      <c r="BF100" s="13">
        <f t="shared" si="91"/>
        <v>77.698110787752</v>
      </c>
      <c r="BG100" s="20">
        <f t="shared" si="61"/>
        <v>712.32444295533423</v>
      </c>
      <c r="BH100" s="59">
        <f t="shared" si="62"/>
        <v>1005.6577762886675</v>
      </c>
      <c r="BI100" s="59">
        <f ca="1">AVERAGE(OFFSET($BH$3,0,0,'Données projet'!$E$11+1,1))-AVERAGE(OFFSET($H$3,0,0,'Données projet'!$E$11+1,1))</f>
        <v>316.58509520829671</v>
      </c>
      <c r="BJ100" s="59">
        <f t="shared" si="92"/>
        <v>240.71332110643596</v>
      </c>
      <c r="BK100" s="15">
        <f>IF(ISNA(VLOOKUP(A100,'Données projet'!$A$87:$I$107,3,0)),0,VLOOKUP(A100,'Données projet'!$A$87:$I$107,3,0))</f>
        <v>0</v>
      </c>
      <c r="BL100" s="15">
        <f>IF(ISNA(VLOOKUP(A100,'Données projet'!$A$87:$I$107,4,0)),0,VLOOKUP(A100,'Données projet'!$A$87:$I$107,4,0))</f>
        <v>0</v>
      </c>
      <c r="BM100" s="16">
        <f>IF(ISNA(VLOOKUP(A100,'Données projet'!$A$87:$I$107,5,0)),0%,VLOOKUP(A100,'Données projet'!$A$87:$I$107,5,0)*VLOOKUP('Données projet'!$B$11,Paramètres!$A$1:$I$89,7,0))</f>
        <v>0</v>
      </c>
      <c r="BN100" s="16">
        <f>IF(ISNA(VLOOKUP(A100,'Données projet'!$A$87:$I$107,6,0)),0%,VLOOKUP(A100,'Données projet'!$A$87:$I$107,6,0)*VLOOKUP('Données projet'!$B$11,Paramètres!$A$1:$I$89,7,0))</f>
        <v>0</v>
      </c>
      <c r="BO100" s="16">
        <f>IF(ISNA(VLOOKUP(A100,'Données projet'!$A$87:$I$107,7,0)),0%,VLOOKUP(A100,'Données projet'!$A$87:$I$107,7,0))</f>
        <v>0</v>
      </c>
      <c r="BP100" s="21">
        <f>EXP(-LN(2)/35)*BP99+(1-EXP(-LN(2)/35))/(LN(2)/35)*BL100*BM100*VLOOKUP('Données projet'!$B$11,Paramètres!$A$1:$I$89,3,0)*0.475*44/12</f>
        <v>0.67242365452286146</v>
      </c>
      <c r="BQ100" s="21">
        <f>EXP(-LN(2)/25)*BQ99+(1-EXP(-LN(2)/25))/(LN(2)/25)*Calculateur!BL100*Calculateur!BN100*VLOOKUP('Données projet'!$B$11,Paramètres!$A$1:$I$89,3,0)*0.475*44/12</f>
        <v>2.3824274179638278</v>
      </c>
      <c r="BR100" s="21">
        <f>EXP(-LN(2)/2)*BR99+(1-EXP(-LN(2)/2))/(LN(2)/2)*BL100*BO100*VLOOKUP('Données projet'!$B$11,Paramètres!$A$1:$I$89,3,0)*0.475*44/12</f>
        <v>1.8060042359487527E-9</v>
      </c>
      <c r="BS100" s="22">
        <f t="shared" si="63"/>
        <v>3.0548510742926935</v>
      </c>
      <c r="BT100" s="75">
        <f>('Scénario référence'!$F$8+'Scénario référence'!$F$9+'Scénario référence'!$B$17+'Scénario référence'!$B$9+'Scénario référence'!$B$10)*70+IF((45+25*(1-EXP(-0.0175*A100)))&lt;70,'Scénario référence'!$B$16*(45+25*(1-EXP(-0.0175*A100))),70*'Scénario référence'!$B$16)+IF((32+38*(1-EXP(-0.0175*A100)))&lt;70,'Scénario référence'!$B$18*(32+38*(1-EXP(-0.0175*A100))),70*'Scénario référence'!$B$18)</f>
        <v>70</v>
      </c>
      <c r="BU100" s="12">
        <f>IF(A100&gt;30,10,('Scénario référence'!$B$16+'Scénario référence'!$B$17+'Scénario référence'!$B$18+'Scénario référence'!$B$9+'Scénario référence'!$B$10)*A100*10/30+('Scénario référence'!$F$8+'Scénario référence'!$F$9)*10)</f>
        <v>10</v>
      </c>
      <c r="BV100" s="12" t="e">
        <f>VLOOKUP(A100,'Données projet'!$A$113:$I$133,2,0)</f>
        <v>#N/A</v>
      </c>
      <c r="BW100" s="12" t="e">
        <f>VLOOKUP(A100,'Données projet'!$A$113:$I$133,9,0)</f>
        <v>#N/A</v>
      </c>
      <c r="BX100" s="12">
        <f t="array" ref="BX100">INDEX(BW:BW,MIN(IF(ISNUMBER(BW100:BW296),ROW(BW100:BW296),"")))</f>
        <v>3.5</v>
      </c>
      <c r="BY100" s="12">
        <f>IF('Données projet'!$A$114&gt;35,BY99+BX100-CG99,IF(A100&lt;'Données projet'!$A$114,$BV$205^A100,IF(A100='Données projet'!$A$114,'Données projet'!$B$114,BY99+BX100-CG99)))</f>
        <v>350.49999999999977</v>
      </c>
      <c r="BZ100" s="13">
        <f>BY100*VLOOKUP('Données projet'!$B$12,Paramètres!$A$1:$I$89,3,0)*VLOOKUP('Données projet'!$B$12,Paramètres!$A$1:$I$89,5,0)</f>
        <v>200.4859999999999</v>
      </c>
      <c r="CA100" s="13">
        <f t="shared" si="93"/>
        <v>49.850960723827441</v>
      </c>
      <c r="CB100" s="20">
        <f t="shared" si="64"/>
        <v>436.00353992733261</v>
      </c>
      <c r="CC100" s="59">
        <f t="shared" si="65"/>
        <v>729.33687326066593</v>
      </c>
      <c r="CD100" s="59">
        <f ca="1">AVERAGE(OFFSET($CC$3,0,0,'Données projet'!$E$12+1,1))-AVERAGE(OFFSET($H$3,0,0,'Données projet'!$E$12+1,1))</f>
        <v>188.64374818906128</v>
      </c>
      <c r="CE100" s="59">
        <f t="shared" si="94"/>
        <v>211.95157880548652</v>
      </c>
      <c r="CF100" s="15">
        <f>IF(ISNA(VLOOKUP(A100,'Données projet'!$A$113:$I$133,3,0)),0,VLOOKUP(A100,'Données projet'!$A$113:$I$133,3,0))</f>
        <v>0</v>
      </c>
      <c r="CG100" s="15">
        <f>IF(ISNA(VLOOKUP(A100,'Données projet'!$A$113:$I$133,4,0)),0,VLOOKUP(A100,'Données projet'!$A$113:$I$133,4,0))</f>
        <v>0</v>
      </c>
      <c r="CH100" s="16">
        <f>IF(ISNA(VLOOKUP(A100,'Données projet'!$A$113:$I$133,5,0)),0%,VLOOKUP(A100,'Données projet'!$A$113:$I$133,5,0)*VLOOKUP('Données projet'!$B$12,Paramètres!$A$1:$I$89,7,0))</f>
        <v>0</v>
      </c>
      <c r="CI100" s="16">
        <f>IF(ISNA(VLOOKUP(A100,'Données projet'!$A$113:$I$133,6,0)),0%,VLOOKUP(A100,'Données projet'!$A$113:$I$133,6,0)*VLOOKUP('Données projet'!$B$12,Paramètres!$A$1:$I$89,7,0))</f>
        <v>0</v>
      </c>
      <c r="CJ100" s="16">
        <f>IF(ISNA(VLOOKUP(A100,'Données projet'!$A$113:$I$133,7,0)),0%,VLOOKUP(A100,'Données projet'!$A$113:$I$133,7,0))</f>
        <v>0</v>
      </c>
      <c r="CK100" s="21">
        <f>EXP(-LN(2)/35)*CK99+(1-EXP(-LN(2)/35))/(LN(2)/35)*CG100*CH100*VLOOKUP('Données projet'!$B$12,Paramètres!$A$1:$I$89,3,0)*0.475*44/12</f>
        <v>0.65224682716730664</v>
      </c>
      <c r="CL100" s="21">
        <f>EXP(-LN(2)/25)*CL99+(1-EXP(-LN(2)/25))/(LN(2)/25)*Calculateur!CG100*Calculateur!CI100*VLOOKUP('Données projet'!$B$12,Paramètres!$A$1:$I$89,3,0)*0.475*44/12</f>
        <v>2.2423946281438623</v>
      </c>
      <c r="CM100" s="21">
        <f>EXP(-LN(2)/2)*CM99+(1-EXP(-LN(2)/2))/(LN(2)/2)*CG100*CJ100*VLOOKUP('Données projet'!$B$12,Paramètres!$A$1:$I$89,3,0)*0.475*44/12</f>
        <v>1.7489737986463791E-9</v>
      </c>
      <c r="CN100" s="22">
        <f t="shared" si="66"/>
        <v>2.8946414570601426</v>
      </c>
      <c r="CO100" s="75">
        <f>('Scénario référence'!$F$8+'Scénario référence'!$F$9+'Scénario référence'!$B$17+'Scénario référence'!$B$9+'Scénario référence'!$B$10)*70+IF((45+25*(1-EXP(-0.0175*A100)))&lt;70,'Scénario référence'!$B$16*(45+25*(1-EXP(-0.0175*A100))),70*'Scénario référence'!$B$16)+IF((32+38*(1-EXP(-0.0175*A100)))&lt;70,'Scénario référence'!$B$18*(32+38*(1-EXP(-0.0175*A100))),70*'Scénario référence'!$B$18)</f>
        <v>70</v>
      </c>
      <c r="CP100" s="12">
        <f>IF(A100&gt;30,10,('Scénario référence'!$B$16+'Scénario référence'!$B$17+'Scénario référence'!$B$18+'Scénario référence'!$B$9+'Scénario référence'!$B$10)*A100*10/30+('Scénario référence'!$F$8+'Scénario référence'!$F$9)*10)</f>
        <v>10</v>
      </c>
      <c r="CQ100" s="12" t="e">
        <f>VLOOKUP(A100,'Données projet'!$A$139:$I$159,2,0)</f>
        <v>#N/A</v>
      </c>
      <c r="CR100" s="12" t="e">
        <f>VLOOKUP(A100,'Données projet'!$A$139:$I$159,9,0)</f>
        <v>#N/A</v>
      </c>
      <c r="CS100" s="12">
        <f t="array" ref="CS100">INDEX(CR:CR,MIN(IF(ISNUMBER(CR100:CR296),ROW(CR100:CR296),"")))</f>
        <v>0</v>
      </c>
      <c r="CT100" s="12">
        <f>IF('Données projet'!$A$140&gt;35,CT99+CS100-DB99,IF(A100&lt;'Données projet'!$A$140,$CQ$205^A100,IF(A100='Données projet'!$A$140,'Données projet'!$B$140,CT99+CS100-DB99)))</f>
        <v>0</v>
      </c>
      <c r="CU100" s="17" t="e">
        <f>CT100*VLOOKUP('Données projet'!$B$13,Paramètres!$A$1:$I$89,3,0)*VLOOKUP('Données projet'!$B$13,Paramètres!$A$1:$I$89,5,0)</f>
        <v>#N/A</v>
      </c>
      <c r="CV100" s="13" t="e">
        <f t="shared" si="95"/>
        <v>#N/A</v>
      </c>
      <c r="CW100" s="20" t="e">
        <f t="shared" si="67"/>
        <v>#N/A</v>
      </c>
      <c r="CX100" s="59" t="e">
        <f t="shared" si="68"/>
        <v>#N/A</v>
      </c>
      <c r="CY100" s="59" t="e">
        <f ca="1">AVERAGE(OFFSET($CX$3,0,0,'Données projet'!$E$13+1,1))-AVERAGE(OFFSET($H$3,0,0,'Données projet'!$E$13+1,1))</f>
        <v>#N/A</v>
      </c>
      <c r="CZ100" s="59" t="e">
        <f t="shared" si="96"/>
        <v>#N/A</v>
      </c>
      <c r="DA100" s="15">
        <f>IF(ISNA(VLOOKUP(A100,'Données projet'!$A$139:$I$159,3,0)),0,VLOOKUP(A100,'Données projet'!$A$139:$I$159,3,0))</f>
        <v>0</v>
      </c>
      <c r="DB100" s="15">
        <f>IF(ISNA(VLOOKUP(A100,'Données projet'!$A$139:$I$159,4,0)),0,VLOOKUP(A100,'Données projet'!$A$139:$I$159,4,0))</f>
        <v>0</v>
      </c>
      <c r="DC100" s="16">
        <f>IF(ISNA(VLOOKUP(A100,'Données projet'!$A$139:$I$159,5,0)),0%,VLOOKUP(A100,'Données projet'!$A$139:$I$159,5,0)*VLOOKUP('Données projet'!$B$13,Paramètres!$A$1:$I$89,7,0))</f>
        <v>0</v>
      </c>
      <c r="DD100" s="16">
        <f>IF(ISNA(VLOOKUP(A100,'Données projet'!$A$139:$I$159,6,0)),0%,VLOOKUP(A100,'Données projet'!$A$139:$I$159,6,0)*VLOOKUP('Données projet'!$B$13,Paramètres!$A$1:$I$89,7,0))</f>
        <v>0</v>
      </c>
      <c r="DE100" s="16">
        <f>IF(ISNA(VLOOKUP(A100,'Données projet'!$A$139:$I$159,7,0)),0%,VLOOKUP(A100,'Données projet'!$A$139:$I$159,7,0))</f>
        <v>0</v>
      </c>
      <c r="DF100" s="21" t="e">
        <f>EXP(-LN(2)/35)*DF99+(1-EXP(-LN(2)/35))/(LN(2)/35)*DB100*DC100*VLOOKUP('Données projet'!$B$13,Paramètres!$A$1:$I$89,3,0)*0.475*44/12</f>
        <v>#N/A</v>
      </c>
      <c r="DG100" s="21" t="e">
        <f>EXP(-LN(2)/25)*DG99+(1-EXP(-LN(2)/25))/(LN(2)/25)*Calculateur!DB100*Calculateur!DD100*VLOOKUP('Données projet'!$B$13,Paramètres!$A$1:$I$89,3,0)*0.475*44/12</f>
        <v>#N/A</v>
      </c>
      <c r="DH100" s="21" t="e">
        <f>EXP(-LN(2)/2)*DH99+(1-EXP(-LN(2)/2))/(LN(2)/2)*DB100*DE100*VLOOKUP('Données projet'!$B$13,Paramètres!$A$1:$I$89,3,0)*0.475*44/12</f>
        <v>#N/A</v>
      </c>
      <c r="DI100" s="22" t="e">
        <f t="shared" si="69"/>
        <v>#N/A</v>
      </c>
      <c r="DJ100" s="75">
        <f>('Scénario référence'!$F$8+'Scénario référence'!$F$9+'Scénario référence'!$B$17+'Scénario référence'!$B$9+'Scénario référence'!$B$10)*70+IF((45+25*(1-EXP(-0.0175*A100)))&lt;70,'Scénario référence'!$B$16*(45+25*(1-EXP(-0.0175*A100))),70*'Scénario référence'!$B$16)+IF((32+38*(1-EXP(-0.0175*A100)))&lt;70,'Scénario référence'!$B$18*(32+38*(1-EXP(-0.0175*A100))),70*'Scénario référence'!$B$18)</f>
        <v>70</v>
      </c>
      <c r="DK100" s="12">
        <f>IF(A100&gt;30,10,('Scénario référence'!$B$16+'Scénario référence'!$B$17+'Scénario référence'!$B$18+'Scénario référence'!$B$9+'Scénario référence'!$B$10)*A100*10/30+('Scénario référence'!$F$8+'Scénario référence'!$F$9)*10)</f>
        <v>10</v>
      </c>
      <c r="DL100" s="12" t="e">
        <f>VLOOKUP(A100,'Données projet'!$A$165:$I$185,2,0)</f>
        <v>#N/A</v>
      </c>
      <c r="DM100" s="12" t="e">
        <f>VLOOKUP(A100,'Données projet'!$A$165:$I$185,9,0)</f>
        <v>#N/A</v>
      </c>
      <c r="DN100" s="12">
        <f t="array" ref="DN100">INDEX(DM:DM,MIN(IF(ISNUMBER(DM100:DM296),ROW(DM100:DM296),"")))</f>
        <v>0</v>
      </c>
      <c r="DO100" s="12">
        <f>IF('Données projet'!$A$166&gt;35,DO99+DN100-DW99,IF(A100&lt;'Données projet'!$A$166,$DL$205^A100,IF(A100='Données projet'!$A$166,'Données projet'!$B$166,DO99+DN100-DW99)))</f>
        <v>268.00000000000017</v>
      </c>
      <c r="DP100" s="17">
        <f>DO100*VLOOKUP('Données projet'!$B$14,Paramètres!$A$1:$I$89,3,0)*VLOOKUP('Données projet'!$B$14,Paramètres!$A$1:$I$89,5,0)</f>
        <v>175.59360000000012</v>
      </c>
      <c r="DQ100" s="13">
        <f t="shared" si="97"/>
        <v>44.340433728638573</v>
      </c>
      <c r="DR100" s="20">
        <f t="shared" si="70"/>
        <v>383.05177541071242</v>
      </c>
      <c r="DS100" s="59">
        <f t="shared" si="71"/>
        <v>676.38510874404574</v>
      </c>
      <c r="DT100" s="59">
        <f ca="1">AVERAGE(OFFSET($DS$3,0,0,'Données projet'!$E$14+1,1))-AVERAGE(OFFSET($H$3,0,0,'Données projet'!$E$14+1,1))</f>
        <v>188.68915783955595</v>
      </c>
      <c r="DU100" s="59">
        <f t="shared" si="98"/>
        <v>240.82467772396944</v>
      </c>
      <c r="DV100" s="15">
        <f>IF(ISNA(VLOOKUP(A100,'Données projet'!$A$165:$I$185,3,0)),0,VLOOKUP(A100,'Données projet'!$A$165:$I$185,3,0))</f>
        <v>0</v>
      </c>
      <c r="DW100" s="15">
        <f>IF(ISNA(VLOOKUP(A100,'Données projet'!$A$165:$I$185,4,0)),0,VLOOKUP(A100,'Données projet'!$A$165:$I$185,4,0))</f>
        <v>0</v>
      </c>
      <c r="DX100" s="16">
        <f>IF(ISNA(VLOOKUP(A100,'Données projet'!$A$165:$I$185,5,0)),0%,VLOOKUP(A100,'Données projet'!$A$165:$I$185,5,0)*VLOOKUP('Données projet'!$B$14,Paramètres!$A$1:$I$89,7,0))</f>
        <v>0</v>
      </c>
      <c r="DY100" s="16">
        <f>IF(ISNA(VLOOKUP(A100,'Données projet'!$A$165:$I$185,6,0)),0%,VLOOKUP(A100,'Données projet'!$A$165:$I$185,6,0)*VLOOKUP('Données projet'!$B$14,Paramètres!$A$1:$I$89,7,0))</f>
        <v>0</v>
      </c>
      <c r="DZ100" s="16">
        <f>IF(ISNA(VLOOKUP(A100,'Données projet'!$A$165:$I$185,7,0)),0%,VLOOKUP(A100,'Données projet'!$A$165:$I$185,7,0))</f>
        <v>0</v>
      </c>
      <c r="EA100" s="21">
        <f>EXP(-LN(2)/35)*EA99+(1-EXP(-LN(2)/35))/(LN(2)/35)*DW100*DX100*VLOOKUP('Données projet'!$B$14,Paramètres!$A$1:$I$89,3,0)*0.475*44/12</f>
        <v>0.41314456013754058</v>
      </c>
      <c r="EB100" s="21">
        <f>EXP(-LN(2)/25)*EB99+(1-EXP(-LN(2)/25))/(LN(2)/25)*Calculateur!DW100*Calculateur!DY100*VLOOKUP('Données projet'!$B$14,Paramètres!$A$1:$I$89,3,0)*0.475*44/12</f>
        <v>1.2542646820870138</v>
      </c>
      <c r="EC100" s="21">
        <f>EXP(-LN(2)/2)*EC99+(1-EXP(-LN(2)/2))/(LN(2)/2)*DW100*DZ100*VLOOKUP('Données projet'!$B$14,Paramètres!$A$1:$I$89,3,0)*0.475*44/12</f>
        <v>1.1521572013502686E-9</v>
      </c>
      <c r="ED100" s="22">
        <f t="shared" si="72"/>
        <v>1.6674092433767116</v>
      </c>
      <c r="EE100" s="75">
        <f>('Scénario référence'!$F$8+'Scénario référence'!$F$9+'Scénario référence'!$B$17+'Scénario référence'!$B$9+'Scénario référence'!$B$10)*70+IF((45+25*(1-EXP(-0.0175*A100)))&lt;70,'Scénario référence'!$B$16*(45+25*(1-EXP(-0.0175*A100))),70*'Scénario référence'!$B$16)+IF((32+38*(1-EXP(-0.0175*A100)))&lt;70,'Scénario référence'!$B$18*(32+38*(1-EXP(-0.0175*A100))),70*'Scénario référence'!$B$18)</f>
        <v>70</v>
      </c>
      <c r="EF100" s="12">
        <f>IF(A100&gt;30,10,('Scénario référence'!$B$16+'Scénario référence'!$B$17+'Scénario référence'!$B$18+'Scénario référence'!$B$9+'Scénario référence'!$B$10)*A100*10/30+('Scénario référence'!$F$8+'Scénario référence'!$F$9)*10)</f>
        <v>10</v>
      </c>
      <c r="EG100" s="12" t="e">
        <f>VLOOKUP(A100,'Données projet'!$A$191:$I$211,2,0)</f>
        <v>#N/A</v>
      </c>
      <c r="EH100" s="12" t="e">
        <f>VLOOKUP(A100,'Données projet'!$A$191:$I$211,9,0)</f>
        <v>#N/A</v>
      </c>
      <c r="EI100" s="12">
        <f t="array" ref="EI100">INDEX(EH:EH,MIN(IF(ISNUMBER(EH100:EH296),ROW(EH100:EH296),"")))</f>
        <v>0</v>
      </c>
      <c r="EJ100" s="12">
        <f>IF('Données projet'!$A$192&gt;35,EJ99+EI100-ER99,IF(A100&lt;'Données projet'!$A$192,$EG$205^A100,IF(A100='Données projet'!$A$192,'Données projet'!$B$192,EJ99+EI100-ER99)))</f>
        <v>275.99999999999972</v>
      </c>
      <c r="EK100" s="17">
        <f>EJ100*VLOOKUP('Données projet'!$B$15,Paramètres!$A$1:$I$89,3,0)*VLOOKUP('Données projet'!$B$15,Paramètres!$A$1:$I$89,5,0)</f>
        <v>223.8911999999998</v>
      </c>
      <c r="EL100" s="13">
        <f t="shared" si="99"/>
        <v>54.95975389514858</v>
      </c>
      <c r="EM100" s="20">
        <f t="shared" si="73"/>
        <v>485.66541136738346</v>
      </c>
      <c r="EN100" s="59">
        <f t="shared" si="74"/>
        <v>778.99874470071677</v>
      </c>
      <c r="EO100" s="59">
        <f ca="1">AVERAGE(OFFSET($EN$3,0,0,'Données projet'!$E$15+1,1))-AVERAGE(OFFSET($H$3,0,0,'Données projet'!$E$15+1,1))</f>
        <v>205.5272583787887</v>
      </c>
      <c r="EP100" s="59">
        <f t="shared" si="100"/>
        <v>180.54762778843178</v>
      </c>
      <c r="EQ100" s="15">
        <f>IF(ISNA(VLOOKUP(A100,'Données projet'!$A$191:$I$211,3,0)),0,VLOOKUP(A100,'Données projet'!$A$191:$I$211,3,0))</f>
        <v>0</v>
      </c>
      <c r="ER100" s="15">
        <f>IF(ISNA(VLOOKUP(A100,'Données projet'!$A$191:$I$211,4,0)),0,VLOOKUP(A100,'Données projet'!$A$191:$I$211,4,0))</f>
        <v>0</v>
      </c>
      <c r="ES100" s="16">
        <f>IF(ISNA(VLOOKUP(A100,'Données projet'!$A$191:$I$211,5,0)),0%,VLOOKUP(A100,'Données projet'!$A$191:$I$211,5,0)*VLOOKUP('Données projet'!$B$15,Paramètres!$A$1:$I$89,7,0))</f>
        <v>0</v>
      </c>
      <c r="ET100" s="16">
        <f>IF(ISNA(VLOOKUP(A100,'Données projet'!$A$191:$I$211,6,0)),0%,VLOOKUP(A100,'Données projet'!$A$191:$I$211,6,0)*VLOOKUP('Données projet'!$B$15,Paramètres!$A$1:$I$89,7,0))</f>
        <v>0</v>
      </c>
      <c r="EU100" s="16">
        <f>IF(ISNA(VLOOKUP(A100,'Données projet'!$A$191:$I$211,7,0)),0%,VLOOKUP(A100,'Données projet'!$A$191:$I$211,7,0))</f>
        <v>0</v>
      </c>
      <c r="EV100" s="21">
        <f>EXP(-LN(2)/35)*EV99+(1-EXP(-LN(2)/35))/(LN(2)/35)*ER100*ES100*VLOOKUP('Données projet'!$B$15,Paramètres!$A$1:$I$89,3,0)*0.475*44/12</f>
        <v>0.26598640252664513</v>
      </c>
      <c r="EW100" s="21">
        <f>EXP(-LN(2)/25)*EW99+(1-EXP(-LN(2)/25))/(LN(2)/25)*Calculateur!ER100*Calculateur!ET100*VLOOKUP('Données projet'!$B$15,Paramètres!$A$1:$I$89,3,0)*0.475*44/12</f>
        <v>0.90561714979616958</v>
      </c>
      <c r="EX100" s="21">
        <f>EXP(-LN(2)/2)*EX99+(1-EXP(-LN(2)/2))/(LN(2)/2)*ER100*EU100*VLOOKUP('Données projet'!$B$15,Paramètres!$A$1:$I$89,3,0)*0.475*44/12</f>
        <v>7.4602263980952693E-10</v>
      </c>
      <c r="EY100" s="22">
        <f t="shared" si="75"/>
        <v>1.1716035530688373</v>
      </c>
      <c r="EZ100" s="75">
        <f>('Scénario référence'!$F$8+'Scénario référence'!$F$9+'Scénario référence'!$B$17+'Scénario référence'!$B$9+'Scénario référence'!$B$10)*70+IF((45+25*(1-EXP(-0.0175*A100)))&lt;70,'Scénario référence'!$B$16*(45+25*(1-EXP(-0.0175*A100))),70*'Scénario référence'!$B$16)+IF((32+38*(1-EXP(-0.0175*A100)))&lt;70,'Scénario référence'!$B$18*(32+38*(1-EXP(-0.0175*A100))),70*'Scénario référence'!$B$18)</f>
        <v>70</v>
      </c>
      <c r="FA100" s="12">
        <f>IF(A100&gt;30,10,('Scénario référence'!$B$16+'Scénario référence'!$B$17+'Scénario référence'!$B$18+'Scénario référence'!$B$9+'Scénario référence'!$B$10)*A100*10/30+('Scénario référence'!$F$8+'Scénario référence'!$F$9)*10)</f>
        <v>10</v>
      </c>
      <c r="FB100" s="12" t="e">
        <f>VLOOKUP(A100,'Données projet'!$A$217:$I$237,2,0)</f>
        <v>#N/A</v>
      </c>
      <c r="FC100" s="12" t="e">
        <f>VLOOKUP(A100,'Données projet'!$A$217:$I$237,9,0)</f>
        <v>#N/A</v>
      </c>
      <c r="FD100" s="12">
        <f t="array" ref="FD100">INDEX(FC:FC,MIN(IF(ISNUMBER(FC100:FC296),ROW(FC100:FC296),"")))</f>
        <v>9.6999999999999993</v>
      </c>
      <c r="FE100" s="12">
        <f>IF('Données projet'!$A$218&gt;35,FE99+FD100-FM99,IF(A100&lt;'Données projet'!$A$218,$FB$205^A100,IF(A100='Données projet'!$A$218,'Données projet'!$B$218,FE99+FD100-FM99)))</f>
        <v>406.89999999999986</v>
      </c>
      <c r="FF100" s="17">
        <f>FE100*VLOOKUP('Données projet'!$B$16,Paramètres!$A$1:$I$89,3,0)*VLOOKUP('Données projet'!$B$16,Paramètres!$A$1:$I$89,5,0)</f>
        <v>349.1201999999999</v>
      </c>
      <c r="FG100" s="13">
        <f t="shared" si="101"/>
        <v>81.381324752683852</v>
      </c>
      <c r="FH100" s="20">
        <f t="shared" si="76"/>
        <v>749.7901556109241</v>
      </c>
      <c r="FI100" s="59">
        <f t="shared" si="77"/>
        <v>1043.1234889442574</v>
      </c>
      <c r="FJ100" s="59">
        <f ca="1">AVERAGE(OFFSET($FI$3,0,0,'Données projet'!$E$16+1,1))-AVERAGE(OFFSET($H$3,0,0,'Données projet'!$E$16+1,1))</f>
        <v>383.97627237444709</v>
      </c>
      <c r="FK100" s="59">
        <f t="shared" si="102"/>
        <v>203.35476578922339</v>
      </c>
      <c r="FL100" s="15">
        <f>IF(ISNA(VLOOKUP(A100,'Données projet'!$A$217:$I$237,3,0)),0,VLOOKUP(A100,'Données projet'!$A$217:$I$237,3,0))</f>
        <v>0</v>
      </c>
      <c r="FM100" s="15">
        <f>IF(ISNA(VLOOKUP(A100,'Données projet'!$A$217:$I$237,4,0)),0,VLOOKUP(A100,'Données projet'!$A$217:$I$237,4,0))</f>
        <v>0</v>
      </c>
      <c r="FN100" s="16">
        <f>IF(ISNA(VLOOKUP(A100,'Données projet'!$A$217:$I$237,5,0)),0%,VLOOKUP(A100,'Données projet'!$A$217:$I$237,5,0)*VLOOKUP('Données projet'!$B$16,Paramètres!$A$1:$I$89,7,0))</f>
        <v>0</v>
      </c>
      <c r="FO100" s="16">
        <f>IF(ISNA(VLOOKUP(A100,'Données projet'!$A$217:$I$237,6,0)),0%,VLOOKUP(A100,'Données projet'!$A$217:$I$237,6,0)*VLOOKUP('Données projet'!$B$16,Paramètres!$A$1:$I$89,7,0))</f>
        <v>0</v>
      </c>
      <c r="FP100" s="16">
        <f>IF(ISNA(VLOOKUP(A100,'Données projet'!$A$217:$I$237,7,0)),0%,VLOOKUP(A100,'Données projet'!$A$217:$I$237,7,0))</f>
        <v>0</v>
      </c>
      <c r="FQ100" s="21">
        <f>EXP(-LN(2)/35)*FQ99+(1-EXP(-LN(2)/35))/(LN(2)/35)*FM100*FN100*VLOOKUP('Données projet'!$B$16,Paramètres!$A$1:$I$89,3,0)*0.475*44/12</f>
        <v>1.3670258057817901</v>
      </c>
      <c r="FR100" s="21">
        <f>EXP(-LN(2)/25)*FR99+(1-EXP(-LN(2)/25))/(LN(2)/25)*Calculateur!FM100*Calculateur!FO100*VLOOKUP('Données projet'!$B$16,Paramètres!$A$1:$I$89,3,0)*0.475*44/12</f>
        <v>0.91929501147143589</v>
      </c>
      <c r="FS100" s="21">
        <f>EXP(-LN(2)/2)*FS99+(1-EXP(-LN(2)/2))/(LN(2)/2)*FM100*FP100*VLOOKUP('Données projet'!$B$16,Paramètres!$A$1:$I$89,3,0)*0.475*44/12</f>
        <v>1.370290483317435E-9</v>
      </c>
      <c r="FT100" s="22">
        <f t="shared" si="78"/>
        <v>2.2863208186235164</v>
      </c>
      <c r="FU100" s="75">
        <f>('Scénario référence'!$F$8+'Scénario référence'!$F$9+'Scénario référence'!$B$17+'Scénario référence'!$B$9+'Scénario référence'!$B$10)*70+IF((45+25*(1-EXP(-0.0175*A100)))&lt;70,'Scénario référence'!$B$16*(45+25*(1-EXP(-0.0175*A100))),70*'Scénario référence'!$B$16)+IF((32+38*(1-EXP(-0.0175*A100)))&lt;70,'Scénario référence'!$B$18*(32+38*(1-EXP(-0.0175*A100))),70*'Scénario référence'!$B$18)</f>
        <v>70</v>
      </c>
      <c r="FV100" s="12">
        <f>IF(A100&gt;30,10,('Scénario référence'!$B$16+'Scénario référence'!$B$17+'Scénario référence'!$B$18+'Scénario référence'!$B$9+'Scénario référence'!$B$10)*A100*10/30+('Scénario référence'!$F$8+'Scénario référence'!$F$9)*10)</f>
        <v>10</v>
      </c>
      <c r="FW100" s="12" t="e">
        <f>VLOOKUP(A100,'Données projet'!$A$243:$I$263,2,0)</f>
        <v>#N/A</v>
      </c>
      <c r="FX100" s="12" t="e">
        <f>VLOOKUP(A100,'Données projet'!$A$243:$I$263,9,0)</f>
        <v>#N/A</v>
      </c>
      <c r="FY100" s="12">
        <f t="array" ref="FY100">INDEX(FX:FX,MIN(IF(ISNUMBER(FX100:FX296),ROW(FX100:FX296),"")))</f>
        <v>7.1782051282051267</v>
      </c>
      <c r="FZ100" s="12">
        <f>IF('Données projet'!$A$244&gt;35,FZ99+FY100-GH99,IF(A100&lt;'Données projet'!$A$244,$FW$205^A100,IF(A100='Données projet'!$A$244,'Données projet'!$B$244,FZ99+FY100-GH99)))</f>
        <v>303.89358974359004</v>
      </c>
      <c r="GA100" s="17">
        <f>FZ100*VLOOKUP('Données projet'!$B$17,Paramètres!$A$1:$I$89,3,0)*VLOOKUP('Données projet'!$B$17,Paramètres!$A$1:$I$89,5,0)</f>
        <v>327.11106000000035</v>
      </c>
      <c r="GB100" s="13">
        <f t="shared" si="103"/>
        <v>76.831050036487923</v>
      </c>
      <c r="GC100" s="20">
        <f t="shared" si="79"/>
        <v>703.53250831355035</v>
      </c>
      <c r="GD100" s="59">
        <f t="shared" si="80"/>
        <v>996.86584164688361</v>
      </c>
      <c r="GE100" s="59">
        <f ca="1">AVERAGE(OFFSET($GD$3,0,0,'Données projet'!$E$17+1,1))-AVERAGE(OFFSET($H$3,0,0,'Données projet'!$E$17+1,1))</f>
        <v>286.77702855541287</v>
      </c>
      <c r="GF100" s="59">
        <f t="shared" si="104"/>
        <v>227.12211541860779</v>
      </c>
      <c r="GG100" s="15">
        <f>IF(ISNA(VLOOKUP(A100,'Données projet'!$A$243:$I$263,3,0)),0,VLOOKUP(A100,'Données projet'!$A$243:$I$263,3,0))</f>
        <v>0</v>
      </c>
      <c r="GH100" s="15">
        <f>IF(ISNA(VLOOKUP(A100,'Données projet'!$A$243:$I$263,4,0)),0,VLOOKUP(A100,'Données projet'!$A$243:$I$263,4,0))</f>
        <v>0</v>
      </c>
      <c r="GI100" s="16">
        <f>IF(ISNA(VLOOKUP(A100,'Données projet'!$A$243:$I$263,5,0)),0%,VLOOKUP(A100,'Données projet'!$A$243:$I$263,5,0)*VLOOKUP('Données projet'!$B$17,Paramètres!$A$1:$I$89,7,0))</f>
        <v>0</v>
      </c>
      <c r="GJ100" s="16">
        <f>IF(ISNA(VLOOKUP(A100,'Données projet'!$A$243:$I$263,6,0)),0%,VLOOKUP(A100,'Données projet'!$A$243:$I$263,6,0)*VLOOKUP('Données projet'!$B$17,Paramètres!$A$1:$I$89,7,0))</f>
        <v>0</v>
      </c>
      <c r="GK100" s="16">
        <f>IF(ISNA(VLOOKUP(A100,'Données projet'!$A$243:$I$263,7,0)),0%,VLOOKUP(A100,'Données projet'!$A$243:$I$263,7,0))</f>
        <v>0</v>
      </c>
      <c r="GL100" s="21">
        <f>EXP(-LN(2)/35)*GL99+(1-EXP(-LN(2)/35))/(LN(2)/35)*GH100*GI100*VLOOKUP('Données projet'!$B$17,Paramètres!$A$1:$I$89,3,0)*0.475*44/12</f>
        <v>0</v>
      </c>
      <c r="GM100" s="21">
        <f>EXP(-LN(2)/25)*GM99+(1-EXP(-LN(2)/25))/(LN(2)/25)*Calculateur!GH100*Calculateur!GJ100*VLOOKUP('Données projet'!$B$17,Paramètres!$A$1:$I$89,3,0)*0.475*44/12</f>
        <v>0</v>
      </c>
      <c r="GN100" s="21">
        <f>EXP(-LN(2)/2)*GN99+(1-EXP(-LN(2)/2))/(LN(2)/2)*GH100*GK100*VLOOKUP('Données projet'!$B$17,Paramètres!$A$1:$I$89,3,0)*0.475*44/12</f>
        <v>0</v>
      </c>
      <c r="GO100" s="21">
        <f t="shared" si="81"/>
        <v>0</v>
      </c>
      <c r="GP100" s="75">
        <f>('Scénario référence'!$F$8+'Scénario référence'!$F$9+'Scénario référence'!$B$17+'Scénario référence'!$B$9+'Scénario référence'!$B$10)*70+IF((45+25*(1-EXP(-0.0175*A100)))&lt;70,'Scénario référence'!$B$16*(45+25*(1-EXP(-0.0175*A100))),70*'Scénario référence'!$B$16)+IF((32+38*(1-EXP(-0.0175*A100)))&lt;70,'Scénario référence'!$B$18*(32+38*(1-EXP(-0.0175*A100))),70*'Scénario référence'!$B$18)</f>
        <v>70</v>
      </c>
      <c r="GQ100" s="12">
        <f>IF(A100&gt;30,10,('Scénario référence'!$B$16+'Scénario référence'!$B$17+'Scénario référence'!$B$18+'Scénario référence'!$B$9+'Scénario référence'!$B$10)*A100*10/30+('Scénario référence'!$F$8+'Scénario référence'!$F$9)*10)</f>
        <v>10</v>
      </c>
      <c r="GR100" s="12" t="e">
        <f>VLOOKUP(A100,'Données projet'!$A$269:$I$289,2,0)</f>
        <v>#N/A</v>
      </c>
      <c r="GS100" s="12" t="e">
        <f>VLOOKUP(A100,'Données projet'!$A$269:$I$289,9,0)</f>
        <v>#N/A</v>
      </c>
      <c r="GT100" s="12">
        <f t="array" ref="GT100">INDEX(GS:GS,MIN(IF(ISNUMBER(GS100:GS296),ROW(GS100:GS296),"")))</f>
        <v>7.1782051282051267</v>
      </c>
      <c r="GU100" s="12">
        <f>IF('Données projet'!$A$270&gt;35,GU99+GT100-HC99,IF(A100&lt;'Données projet'!$A$270,$GR$205^A100,IF(A100='Données projet'!$A$270,'Données projet'!$B$270,GU99+GT100-HC99)))</f>
        <v>303.89358974359004</v>
      </c>
      <c r="GV100" s="17">
        <f>GU100*VLOOKUP('Données projet'!$B$18,Paramètres!$A$1:$I$89,3,0)*VLOOKUP('Données projet'!$B$18,Paramètres!$A$1:$I$89,5,0)</f>
        <v>327.11106000000035</v>
      </c>
      <c r="GW100" s="13">
        <f t="shared" si="105"/>
        <v>76.831050036487923</v>
      </c>
      <c r="GX100" s="20">
        <f t="shared" si="82"/>
        <v>703.53250831355035</v>
      </c>
      <c r="GY100" s="59">
        <f t="shared" si="83"/>
        <v>996.86584164688361</v>
      </c>
      <c r="GZ100" s="59">
        <f ca="1">AVERAGE(OFFSET($GY$3,0,0,'Données projet'!$E$18+1,1))-AVERAGE(OFFSET($H$3,0,0,'Données projet'!$E$18+1,1))</f>
        <v>286.77702855541287</v>
      </c>
      <c r="HA100" s="59">
        <f t="shared" si="106"/>
        <v>227.12211541860779</v>
      </c>
      <c r="HB100" s="15">
        <f>IF(ISNA(VLOOKUP(A100,'Données projet'!$A$269:$I$289,3,0)),0,VLOOKUP(A100,'Données projet'!$A$269:$I$289,3,0))</f>
        <v>0</v>
      </c>
      <c r="HC100" s="15">
        <f>IF(ISNA(VLOOKUP(A100,'Données projet'!$A$269:$I$289,4,0)),0,VLOOKUP(A100,'Données projet'!$A$269:$I$289,4,0))</f>
        <v>0</v>
      </c>
      <c r="HD100" s="16">
        <f>IF(ISNA(VLOOKUP(A100,'Données projet'!$A$269:$I$289,5,0)),0%,VLOOKUP(A100,'Données projet'!$A$269:$I$289,5,0)*VLOOKUP('Données projet'!$B$18,Paramètres!$A$1:$I$89,7,0))</f>
        <v>0</v>
      </c>
      <c r="HE100" s="16">
        <f>IF(ISNA(VLOOKUP(A100,'Données projet'!$A$269:$I$289,6,0)),0%,VLOOKUP(A100,'Données projet'!$A$269:$I$289,6,0)*VLOOKUP('Données projet'!$B$18,Paramètres!$A$1:$I$89,7,0))</f>
        <v>0</v>
      </c>
      <c r="HF100" s="16">
        <f>IF(ISNA(VLOOKUP(A100,'Données projet'!$A$269:$I$289,7,0)),0%,VLOOKUP(A100,'Données projet'!$A$269:$I$289,7,0))</f>
        <v>0</v>
      </c>
      <c r="HG100" s="21">
        <f>EXP(-LN(2)/35)*HG99+(1-EXP(-LN(2)/35))/(LN(2)/35)*HC100*HD100*VLOOKUP('Données projet'!$B$18,Paramètres!$A$1:$I$89,3,0)*0.475*44/12</f>
        <v>0</v>
      </c>
      <c r="HH100" s="21">
        <f>EXP(-LN(2)/25)*HH99+(1-EXP(-LN(2)/25))/(LN(2)/25)*Calculateur!HC100*Calculateur!HE100*VLOOKUP('Données projet'!$B$18,Paramètres!$A$1:$I$89,3,0)*0.475*44/12</f>
        <v>0</v>
      </c>
      <c r="HI100" s="21">
        <f>EXP(-LN(2)/2)*HI99+(1-EXP(-LN(2)/2))/(LN(2)/2)*HC100*HF100*VLOOKUP('Données projet'!$B$18,Paramètres!$A$1:$I$89,3,0)*0.475*44/12</f>
        <v>0</v>
      </c>
      <c r="HJ100" s="22">
        <f t="shared" si="84"/>
        <v>0</v>
      </c>
    </row>
    <row r="101" spans="1:218" x14ac:dyDescent="0.25">
      <c r="A101" s="10">
        <f t="shared" si="85"/>
        <v>98</v>
      </c>
      <c r="B101" s="73">
        <f>'Scénario référence'!$B$16*5+'Scénario référence'!$B$17*0+'Scénario référence'!$B$18*5</f>
        <v>0</v>
      </c>
      <c r="C101" s="19">
        <f>Calculateur!C100+'Scénario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87.141600000000139</v>
      </c>
      <c r="D101" s="11">
        <f t="shared" si="86"/>
        <v>23.874558158360987</v>
      </c>
      <c r="E10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01" s="11">
        <f>IF(OR('Scénario référence'!$F$8&gt;0,'Scénario référence'!$F$9&gt;0),('Scénario référence'!$F$8+'Scénario référence'!$F$9)*10,0)</f>
        <v>10</v>
      </c>
      <c r="G101" s="11">
        <f>'Scénario référence'!$B$8*B101*44/12+'Scénario référence'!$B$9*(C101+D101)/0.475*44/12+'Scénario référence'!$B$10*(C101+D101)/0.475*44/12+'Scénario référence'!$F$8*(C101+D101)/0.475*44/12+'Scénario référence'!$F$9*(C101+D101)/0.475*44/12</f>
        <v>856.96683490664736</v>
      </c>
      <c r="H101" s="67">
        <f t="shared" si="56"/>
        <v>486.68647545914564</v>
      </c>
      <c r="I101" s="70">
        <f>('Scénario référence'!$F$8+'Scénario référence'!$F$9+'Scénario référence'!$B$17+'Scénario référence'!$B$9+'Scénario référence'!$B$10)*70+IF((45+25*(1-EXP(-0.0175*A101)))&lt;70,'Scénario référence'!$B$16*(45+25*(1-EXP(-0.0175*A101))),70*'Scénario référence'!$B$16)+IF((32+38*(1-EXP(-0.0175*A101)))&lt;70,'Scénario référence'!$B$18*(32+38*(1-EXP(-0.0175*A101))),70*'Scénario référence'!$B$18)</f>
        <v>70</v>
      </c>
      <c r="J101" s="13">
        <f>IF(A101&gt;30,10,('Scénario référence'!$B$16+'Scénario référence'!$B$17+'Scénario référence'!$B$18+'Scénario référence'!$B$9+'Scénario référence'!$B$10)*A101*10/30+('Scénario référence'!$F$8+'Scénario référence'!$F$9)*10)</f>
        <v>10</v>
      </c>
      <c r="K101" s="12" t="e">
        <f>VLOOKUP(A101,'Données projet'!$A$35:$I$55,2,0)</f>
        <v>#N/A</v>
      </c>
      <c r="L101" s="12" t="e">
        <f>VLOOKUP(A101,'Données projet'!$A$35:$I$55,9,0)</f>
        <v>#N/A</v>
      </c>
      <c r="M101" s="12">
        <f t="array" ref="M101">INDEX(L:L,MIN(IF(ISNUMBER(L101:L297),ROW(L101:L297),"")))</f>
        <v>0</v>
      </c>
      <c r="N101" s="13">
        <f>IF('Données projet'!$A$36&gt;35,N100+M101-V100,IF(A101&lt;'Données projet'!$A$36,$K$205^A101,IF(A101='Données projet'!$A$36,'Données projet'!$B$36,N100+M101-V100)))</f>
        <v>-2.2737367544323206E-13</v>
      </c>
      <c r="O101" s="13">
        <f>N101*VLOOKUP('Données projet'!$B$9,Paramètres!$A$1:$I$89,3,0)*VLOOKUP('Données projet'!$B$9,Paramètres!$A$1:$I$89,5,0)</f>
        <v>-1.2710188457276673E-13</v>
      </c>
      <c r="P101" s="13" t="e">
        <f t="shared" si="87"/>
        <v>#NUM!</v>
      </c>
      <c r="Q101" s="20" t="e">
        <f t="shared" si="107"/>
        <v>#NUM!</v>
      </c>
      <c r="R101" s="59" t="e">
        <f t="shared" si="55"/>
        <v>#NUM!</v>
      </c>
      <c r="S101" s="59">
        <f ca="1">AVERAGE(OFFSET($R$3,0,0,'Données projet'!$E$9+1,1))-AVERAGE(OFFSET($H$3,0,0,'Données projet'!$E$9+1,1))</f>
        <v>255.5374979188561</v>
      </c>
      <c r="T101" s="59">
        <f t="shared" si="88"/>
        <v>343.10418468620901</v>
      </c>
      <c r="U101" s="15">
        <f>IF(ISNA(VLOOKUP(A101,'Données projet'!$A$35:$I$55,3,0)),0,VLOOKUP(A101,'Données projet'!$A$35:$I$55,3,0))</f>
        <v>0</v>
      </c>
      <c r="V101" s="15">
        <f>IF(ISNA(VLOOKUP(A101,'Données projet'!$A$35:$I$55,4,0)),0,VLOOKUP(A101,'Données projet'!$A$35:$I$55,4,0))</f>
        <v>0</v>
      </c>
      <c r="W101" s="16">
        <f>IF(ISNA(VLOOKUP(A101,'Données projet'!$A$35:$I$55,5,0)),0%,VLOOKUP(A101,'Données projet'!$A$35:$I$55,5,0)*VLOOKUP('Données projet'!$B$9,Paramètres!$A$1:$I$89,7,0))</f>
        <v>0</v>
      </c>
      <c r="X101" s="16">
        <f>IF(ISNA(VLOOKUP(A101,'Données projet'!$A$35:$I$55,6,0)),0%,VLOOKUP(A101,'Données projet'!$A$35:$I$55,6,0)*VLOOKUP('Données projet'!$B$9,Paramètres!$A$1:$I$89,7,0))</f>
        <v>0</v>
      </c>
      <c r="Y101" s="16">
        <f>IF(ISNA(VLOOKUP(A101,'Données projet'!$A$35:$I$55,7,0)),0%,VLOOKUP(A101,'Données projet'!$A$35:$I$55,7,0))</f>
        <v>0</v>
      </c>
      <c r="Z101" s="21">
        <f>EXP(-LN(2)/35)*Z100+(1-EXP(-LN(2)/35))/(LN(2)/35)*V101*W101*VLOOKUP('Données projet'!$B$9,Paramètres!$A$1:$I$89,3,0)*0.475*44/12</f>
        <v>0.80372216051119783</v>
      </c>
      <c r="AA101" s="21">
        <f>EXP(-LN(2)/25)*AA100+(1-EXP(-LN(2)/25))/(LN(2)/25)*Calculateur!V101*Calculateur!X101*VLOOKUP('Données projet'!$B$9,Paramètres!$A$1:$I$89,3,0)*0.475*44/12</f>
        <v>2.4223581236988472</v>
      </c>
      <c r="AB101" s="21">
        <f>EXP(-LN(2)/2)*AB100+(1-EXP(-LN(2)/2))/(LN(2)/2)*V101*Y101*VLOOKUP('Données projet'!$B$9,Paramètres!$A$1:$I$89,3,0)*0.475*44/12</f>
        <v>9.8525318285337768E-11</v>
      </c>
      <c r="AC101" s="22">
        <f t="shared" si="57"/>
        <v>3.2260802843085701</v>
      </c>
      <c r="AD101" s="13">
        <f>('Scénario référence'!$F$8+'Scénario référence'!$F$9+'Scénario référence'!$B$17+'Scénario référence'!$B$9+'Scénario référence'!$B$10)*70+IF((45+25*(1-EXP(-0.0175*A101)))&lt;70,'Scénario référence'!$B$16*(45+25*(1-EXP(-0.0175*A101))),70*'Scénario référence'!$B$16)+IF((32+38*(1-EXP(-0.0175*A101)))&lt;70,'Scénario référence'!$B$18*(32+38*(1-EXP(-0.0175*A101))),70*'Scénario référence'!$B$18)</f>
        <v>70</v>
      </c>
      <c r="AE101" s="13">
        <f>IF(A101&gt;30,10,('Scénario référence'!$B$16+'Scénario référence'!$B$17+'Scénario référence'!$B$18+'Scénario référence'!$B$9+'Scénario référence'!$B$10)*A101*10/30+('Scénario référence'!$F$8+'Scénario référence'!$F$9)*10)</f>
        <v>10</v>
      </c>
      <c r="AF101" s="12" t="e">
        <f>VLOOKUP(A101,'Données projet'!$A$61:$I$81,2,0)</f>
        <v>#N/A</v>
      </c>
      <c r="AG101" s="12" t="e">
        <f>VLOOKUP(A101,'Données projet'!$A$61:$I$81,9,0)</f>
        <v>#N/A</v>
      </c>
      <c r="AH101" s="12">
        <f t="array" ref="AH101">INDEX(AG:AG,MIN(IF(ISNUMBER(AG101:AG297),ROW(AG101:AG297),"")))</f>
        <v>0</v>
      </c>
      <c r="AI101" s="13">
        <f>IF('Données projet'!$A$62&gt;35,AI100+AH101-AQ100,IF(A101&lt;'Données projet'!$A$62,$AF$205^A101,IF(A101='Données projet'!$A$62,'Données projet'!$B$62,AI100+AH101-AQ100)))</f>
        <v>0</v>
      </c>
      <c r="AJ101" s="13">
        <f>AI101*VLOOKUP('Données projet'!$B$10,Paramètres!$A$1:$I$89,3,0)*VLOOKUP('Données projet'!$B$10,Paramètres!$A$1:$I$89,5,0)</f>
        <v>0</v>
      </c>
      <c r="AK101" s="13" t="e">
        <f t="shared" si="89"/>
        <v>#NUM!</v>
      </c>
      <c r="AL101" s="20" t="e">
        <f t="shared" si="58"/>
        <v>#NUM!</v>
      </c>
      <c r="AM101" s="59" t="e">
        <f t="shared" si="59"/>
        <v>#NUM!</v>
      </c>
      <c r="AN101" s="59">
        <f ca="1">AVERAGE(OFFSET($AM$3,0,0,'Données projet'!$E$10+1,1))-AVERAGE(OFFSET($H$3,0,0,'Données projet'!$E$10+1,1))</f>
        <v>261.78489480911571</v>
      </c>
      <c r="AO101" s="59">
        <f t="shared" si="90"/>
        <v>297.50513563712764</v>
      </c>
      <c r="AP101" s="15">
        <f>IF(ISNA(VLOOKUP(A101,'Données projet'!$A$61:$I$81,3,0)),0,VLOOKUP(A101,'Données projet'!$A$61:$I$81,3,0))</f>
        <v>0</v>
      </c>
      <c r="AQ101" s="15">
        <f>IF(ISNA(VLOOKUP(A101,'Données projet'!$A$61:$I$81,4,0)),0,VLOOKUP(A101,'Données projet'!$A$61:$I$81,4,0))</f>
        <v>0</v>
      </c>
      <c r="AR101" s="16">
        <f>IF(ISNA(VLOOKUP(A101,'Données projet'!$A$61:$I$81,5,0)),0%,VLOOKUP(A101,'Données projet'!$A$61:$I$81,5,0)*VLOOKUP('Données projet'!$B$10,Paramètres!$A$1:$I$89,7,0))</f>
        <v>0</v>
      </c>
      <c r="AS101" s="16">
        <f>IF(ISNA(VLOOKUP(A101,'Données projet'!$A$61:$I$81,6,0)),0%,VLOOKUP(A101,'Données projet'!$A$61:$I$81,6,0)*VLOOKUP('Données projet'!$B$10,Paramètres!$A$1:$I$89,7,0))</f>
        <v>0</v>
      </c>
      <c r="AT101" s="16">
        <f>IF(ISNA(VLOOKUP(A101,'Données projet'!$A$61:$I$81,7,0)),0%,VLOOKUP(A101,'Données projet'!$A$61:$I$81,7,0))</f>
        <v>0</v>
      </c>
      <c r="AU101" s="21">
        <f>EXP(-LN(2)/35)*AU100+(1-EXP(-LN(2)/35))/(LN(2)/35)*AQ101*AR101*VLOOKUP('Données projet'!$B$10,Paramètres!$A$1:$I$89,3,0)*0.475*44/12</f>
        <v>2.170277165102966</v>
      </c>
      <c r="AV101" s="21">
        <f>EXP(-LN(2)/25)*AV100+(1-EXP(-LN(2)/25))/(LN(2)/25)*Calculateur!AQ101*Calculateur!AS101*VLOOKUP('Données projet'!$B$10,Paramètres!$A$1:$I$89,3,0)*0.475*44/12</f>
        <v>4.2299313502597515</v>
      </c>
      <c r="AW101" s="21">
        <f>EXP(-LN(2)/2)*AW100+(1-EXP(-LN(2)/2))/(LN(2)/2)*AQ101*AT101*VLOOKUP('Données projet'!$B$10,Paramètres!$A$1:$I$89,3,0)*0.475*44/12</f>
        <v>1.420336259582073E-9</v>
      </c>
      <c r="AX101" s="21">
        <f t="shared" si="60"/>
        <v>6.4002085167830529</v>
      </c>
      <c r="AY101" s="74">
        <f>('Scénario référence'!$F$8+'Scénario référence'!$F$9+'Scénario référence'!$B$17+'Scénario référence'!$B$9+'Scénario référence'!$B$10)*70+IF((45+25*(1-EXP(-0.0175*A101)))&lt;70,'Scénario référence'!$B$16*(45+25*(1-EXP(-0.0175*A101))),70*'Scénario référence'!$B$16)+IF((32+38*(1-EXP(-0.0175*A101)))&lt;70,'Scénario référence'!$B$18*(32+38*(1-EXP(-0.0175*A101))),70*'Scénario référence'!$B$18)</f>
        <v>70</v>
      </c>
      <c r="AZ101" s="12">
        <f>IF(A101&gt;30,10,('Scénario référence'!$B$16+'Scénario référence'!$B$17+'Scénario référence'!$B$18+'Scénario référence'!$B$9+'Scénario référence'!$B$10)*A101*10/30+('Scénario référence'!$F$8+'Scénario référence'!$F$9)*10)</f>
        <v>10</v>
      </c>
      <c r="BA101" s="12" t="e">
        <f>VLOOKUP(A101,'Données projet'!$A$87:$I$107,2,0)</f>
        <v>#N/A</v>
      </c>
      <c r="BB101" s="12" t="e">
        <f>VLOOKUP(A101,'Données projet'!$A$87:$I$107,9,0)</f>
        <v>#N/A</v>
      </c>
      <c r="BC101" s="12">
        <f t="array" ref="BC101">INDEX(BB:BB,MIN(IF(ISNUMBER(BB101:BB297),ROW(BB101:BB297),"")))</f>
        <v>0</v>
      </c>
      <c r="BD101" s="12">
        <f>IF('Données projet'!$A$88&gt;35,BD100+BC101-BL100,IF(A101&lt;'Données projet'!$A$88,$BA$205^A101,IF(A101='Données projet'!$A$88,'Données projet'!$B$88,BD100+BC101-BL100)))</f>
        <v>553.99999999999955</v>
      </c>
      <c r="BE101" s="13">
        <f>BD101*VLOOKUP('Données projet'!$B$11,Paramètres!$A$1:$I$89,3,0)*VLOOKUP('Données projet'!$B$11,Paramètres!$A$1:$I$89,5,0)</f>
        <v>331.29199999999975</v>
      </c>
      <c r="BF101" s="13">
        <f t="shared" si="91"/>
        <v>77.698110787752</v>
      </c>
      <c r="BG101" s="20">
        <f t="shared" si="61"/>
        <v>712.32444295533423</v>
      </c>
      <c r="BH101" s="59">
        <f t="shared" si="62"/>
        <v>1005.6577762886675</v>
      </c>
      <c r="BI101" s="59">
        <f ca="1">AVERAGE(OFFSET($BH$3,0,0,'Données projet'!$E$11+1,1))-AVERAGE(OFFSET($H$3,0,0,'Données projet'!$E$11+1,1))</f>
        <v>316.58509520829671</v>
      </c>
      <c r="BJ101" s="59">
        <f t="shared" si="92"/>
        <v>240.71332110643596</v>
      </c>
      <c r="BK101" s="15">
        <f>IF(ISNA(VLOOKUP(A101,'Données projet'!$A$87:$I$107,3,0)),0,VLOOKUP(A101,'Données projet'!$A$87:$I$107,3,0))</f>
        <v>0</v>
      </c>
      <c r="BL101" s="15">
        <f>IF(ISNA(VLOOKUP(A101,'Données projet'!$A$87:$I$107,4,0)),0,VLOOKUP(A101,'Données projet'!$A$87:$I$107,4,0))</f>
        <v>0</v>
      </c>
      <c r="BM101" s="16">
        <f>IF(ISNA(VLOOKUP(A101,'Données projet'!$A$87:$I$107,5,0)),0%,VLOOKUP(A101,'Données projet'!$A$87:$I$107,5,0)*VLOOKUP('Données projet'!$B$11,Paramètres!$A$1:$I$89,7,0))</f>
        <v>0</v>
      </c>
      <c r="BN101" s="16">
        <f>IF(ISNA(VLOOKUP(A101,'Données projet'!$A$87:$I$107,6,0)),0%,VLOOKUP(A101,'Données projet'!$A$87:$I$107,6,0)*VLOOKUP('Données projet'!$B$11,Paramètres!$A$1:$I$89,7,0))</f>
        <v>0</v>
      </c>
      <c r="BO101" s="16">
        <f>IF(ISNA(VLOOKUP(A101,'Données projet'!$A$87:$I$107,7,0)),0%,VLOOKUP(A101,'Données projet'!$A$87:$I$107,7,0))</f>
        <v>0</v>
      </c>
      <c r="BP101" s="21">
        <f>EXP(-LN(2)/35)*BP100+(1-EXP(-LN(2)/35))/(LN(2)/35)*BL101*BM101*VLOOKUP('Données projet'!$B$11,Paramètres!$A$1:$I$89,3,0)*0.475*44/12</f>
        <v>0.65923783679559966</v>
      </c>
      <c r="BQ101" s="21">
        <f>EXP(-LN(2)/25)*BQ100+(1-EXP(-LN(2)/25))/(LN(2)/25)*Calculateur!BL101*Calculateur!BN101*VLOOKUP('Données projet'!$B$11,Paramètres!$A$1:$I$89,3,0)*0.475*44/12</f>
        <v>2.3172798149331943</v>
      </c>
      <c r="BR101" s="21">
        <f>EXP(-LN(2)/2)*BR100+(1-EXP(-LN(2)/2))/(LN(2)/2)*BL101*BO101*VLOOKUP('Données projet'!$B$11,Paramètres!$A$1:$I$89,3,0)*0.475*44/12</f>
        <v>1.2770378420909927E-9</v>
      </c>
      <c r="BS101" s="22">
        <f t="shared" si="63"/>
        <v>2.9765176530058319</v>
      </c>
      <c r="BT101" s="75">
        <f>('Scénario référence'!$F$8+'Scénario référence'!$F$9+'Scénario référence'!$B$17+'Scénario référence'!$B$9+'Scénario référence'!$B$10)*70+IF((45+25*(1-EXP(-0.0175*A101)))&lt;70,'Scénario référence'!$B$16*(45+25*(1-EXP(-0.0175*A101))),70*'Scénario référence'!$B$16)+IF((32+38*(1-EXP(-0.0175*A101)))&lt;70,'Scénario référence'!$B$18*(32+38*(1-EXP(-0.0175*A101))),70*'Scénario référence'!$B$18)</f>
        <v>70</v>
      </c>
      <c r="BU101" s="12">
        <f>IF(A101&gt;30,10,('Scénario référence'!$B$16+'Scénario référence'!$B$17+'Scénario référence'!$B$18+'Scénario référence'!$B$9+'Scénario référence'!$B$10)*A101*10/30+('Scénario référence'!$F$8+'Scénario référence'!$F$9)*10)</f>
        <v>10</v>
      </c>
      <c r="BV101" s="12" t="e">
        <f>VLOOKUP(A101,'Données projet'!$A$113:$I$133,2,0)</f>
        <v>#N/A</v>
      </c>
      <c r="BW101" s="12" t="e">
        <f>VLOOKUP(A101,'Données projet'!$A$113:$I$133,9,0)</f>
        <v>#N/A</v>
      </c>
      <c r="BX101" s="12">
        <f t="array" ref="BX101">INDEX(BW:BW,MIN(IF(ISNUMBER(BW101:BW297),ROW(BW101:BW297),"")))</f>
        <v>3.5</v>
      </c>
      <c r="BY101" s="12">
        <f>IF('Données projet'!$A$114&gt;35,BY100+BX101-CG100,IF(A101&lt;'Données projet'!$A$114,$BV$205^A101,IF(A101='Données projet'!$A$114,'Données projet'!$B$114,BY100+BX101-CG100)))</f>
        <v>353.99999999999977</v>
      </c>
      <c r="BZ101" s="13">
        <f>BY101*VLOOKUP('Données projet'!$B$12,Paramètres!$A$1:$I$89,3,0)*VLOOKUP('Données projet'!$B$12,Paramètres!$A$1:$I$89,5,0)</f>
        <v>202.48799999999989</v>
      </c>
      <c r="CA101" s="13">
        <f t="shared" si="93"/>
        <v>50.290560763566887</v>
      </c>
      <c r="CB101" s="20">
        <f t="shared" si="64"/>
        <v>440.25599332987878</v>
      </c>
      <c r="CC101" s="59">
        <f t="shared" si="65"/>
        <v>733.58932666321209</v>
      </c>
      <c r="CD101" s="59">
        <f ca="1">AVERAGE(OFFSET($CC$3,0,0,'Données projet'!$E$12+1,1))-AVERAGE(OFFSET($H$3,0,0,'Données projet'!$E$12+1,1))</f>
        <v>188.64374818906128</v>
      </c>
      <c r="CE101" s="59">
        <f t="shared" si="94"/>
        <v>211.95157880548652</v>
      </c>
      <c r="CF101" s="15">
        <f>IF(ISNA(VLOOKUP(A101,'Données projet'!$A$113:$I$133,3,0)),0,VLOOKUP(A101,'Données projet'!$A$113:$I$133,3,0))</f>
        <v>0</v>
      </c>
      <c r="CG101" s="15">
        <f>IF(ISNA(VLOOKUP(A101,'Données projet'!$A$113:$I$133,4,0)),0,VLOOKUP(A101,'Données projet'!$A$113:$I$133,4,0))</f>
        <v>0</v>
      </c>
      <c r="CH101" s="16">
        <f>IF(ISNA(VLOOKUP(A101,'Données projet'!$A$113:$I$133,5,0)),0%,VLOOKUP(A101,'Données projet'!$A$113:$I$133,5,0)*VLOOKUP('Données projet'!$B$12,Paramètres!$A$1:$I$89,7,0))</f>
        <v>0</v>
      </c>
      <c r="CI101" s="16">
        <f>IF(ISNA(VLOOKUP(A101,'Données projet'!$A$113:$I$133,6,0)),0%,VLOOKUP(A101,'Données projet'!$A$113:$I$133,6,0)*VLOOKUP('Données projet'!$B$12,Paramètres!$A$1:$I$89,7,0))</f>
        <v>0</v>
      </c>
      <c r="CJ101" s="16">
        <f>IF(ISNA(VLOOKUP(A101,'Données projet'!$A$113:$I$133,7,0)),0%,VLOOKUP(A101,'Données projet'!$A$113:$I$133,7,0))</f>
        <v>0</v>
      </c>
      <c r="CK101" s="21">
        <f>EXP(-LN(2)/35)*CK100+(1-EXP(-LN(2)/35))/(LN(2)/35)*CG101*CH101*VLOOKUP('Données projet'!$B$12,Paramètres!$A$1:$I$89,3,0)*0.475*44/12</f>
        <v>0.6394566647178378</v>
      </c>
      <c r="CL101" s="21">
        <f>EXP(-LN(2)/25)*CL100+(1-EXP(-LN(2)/25))/(LN(2)/25)*Calculateur!CG101*Calculateur!CI101*VLOOKUP('Données projet'!$B$12,Paramètres!$A$1:$I$89,3,0)*0.475*44/12</f>
        <v>2.18107622911486</v>
      </c>
      <c r="CM101" s="21">
        <f>EXP(-LN(2)/2)*CM100+(1-EXP(-LN(2)/2))/(LN(2)/2)*CG101*CJ101*VLOOKUP('Données projet'!$B$12,Paramètres!$A$1:$I$89,3,0)*0.475*44/12</f>
        <v>1.23671123314045E-9</v>
      </c>
      <c r="CN101" s="22">
        <f t="shared" si="66"/>
        <v>2.8205328950694089</v>
      </c>
      <c r="CO101" s="75">
        <f>('Scénario référence'!$F$8+'Scénario référence'!$F$9+'Scénario référence'!$B$17+'Scénario référence'!$B$9+'Scénario référence'!$B$10)*70+IF((45+25*(1-EXP(-0.0175*A101)))&lt;70,'Scénario référence'!$B$16*(45+25*(1-EXP(-0.0175*A101))),70*'Scénario référence'!$B$16)+IF((32+38*(1-EXP(-0.0175*A101)))&lt;70,'Scénario référence'!$B$18*(32+38*(1-EXP(-0.0175*A101))),70*'Scénario référence'!$B$18)</f>
        <v>70</v>
      </c>
      <c r="CP101" s="12">
        <f>IF(A101&gt;30,10,('Scénario référence'!$B$16+'Scénario référence'!$B$17+'Scénario référence'!$B$18+'Scénario référence'!$B$9+'Scénario référence'!$B$10)*A101*10/30+('Scénario référence'!$F$8+'Scénario référence'!$F$9)*10)</f>
        <v>10</v>
      </c>
      <c r="CQ101" s="12" t="e">
        <f>VLOOKUP(A101,'Données projet'!$A$139:$I$159,2,0)</f>
        <v>#N/A</v>
      </c>
      <c r="CR101" s="12" t="e">
        <f>VLOOKUP(A101,'Données projet'!$A$139:$I$159,9,0)</f>
        <v>#N/A</v>
      </c>
      <c r="CS101" s="12">
        <f t="array" ref="CS101">INDEX(CR:CR,MIN(IF(ISNUMBER(CR101:CR297),ROW(CR101:CR297),"")))</f>
        <v>0</v>
      </c>
      <c r="CT101" s="12">
        <f>IF('Données projet'!$A$140&gt;35,CT100+CS101-DB100,IF(A101&lt;'Données projet'!$A$140,$CQ$205^A101,IF(A101='Données projet'!$A$140,'Données projet'!$B$140,CT100+CS101-DB100)))</f>
        <v>0</v>
      </c>
      <c r="CU101" s="17" t="e">
        <f>CT101*VLOOKUP('Données projet'!$B$13,Paramètres!$A$1:$I$89,3,0)*VLOOKUP('Données projet'!$B$13,Paramètres!$A$1:$I$89,5,0)</f>
        <v>#N/A</v>
      </c>
      <c r="CV101" s="13" t="e">
        <f t="shared" si="95"/>
        <v>#N/A</v>
      </c>
      <c r="CW101" s="20" t="e">
        <f t="shared" si="67"/>
        <v>#N/A</v>
      </c>
      <c r="CX101" s="59" t="e">
        <f t="shared" si="68"/>
        <v>#N/A</v>
      </c>
      <c r="CY101" s="59" t="e">
        <f ca="1">AVERAGE(OFFSET($CX$3,0,0,'Données projet'!$E$13+1,1))-AVERAGE(OFFSET($H$3,0,0,'Données projet'!$E$13+1,1))</f>
        <v>#N/A</v>
      </c>
      <c r="CZ101" s="59" t="e">
        <f t="shared" si="96"/>
        <v>#N/A</v>
      </c>
      <c r="DA101" s="15">
        <f>IF(ISNA(VLOOKUP(A101,'Données projet'!$A$139:$I$159,3,0)),0,VLOOKUP(A101,'Données projet'!$A$139:$I$159,3,0))</f>
        <v>0</v>
      </c>
      <c r="DB101" s="15">
        <f>IF(ISNA(VLOOKUP(A101,'Données projet'!$A$139:$I$159,4,0)),0,VLOOKUP(A101,'Données projet'!$A$139:$I$159,4,0))</f>
        <v>0</v>
      </c>
      <c r="DC101" s="16">
        <f>IF(ISNA(VLOOKUP(A101,'Données projet'!$A$139:$I$159,5,0)),0%,VLOOKUP(A101,'Données projet'!$A$139:$I$159,5,0)*VLOOKUP('Données projet'!$B$13,Paramètres!$A$1:$I$89,7,0))</f>
        <v>0</v>
      </c>
      <c r="DD101" s="16">
        <f>IF(ISNA(VLOOKUP(A101,'Données projet'!$A$139:$I$159,6,0)),0%,VLOOKUP(A101,'Données projet'!$A$139:$I$159,6,0)*VLOOKUP('Données projet'!$B$13,Paramètres!$A$1:$I$89,7,0))</f>
        <v>0</v>
      </c>
      <c r="DE101" s="16">
        <f>IF(ISNA(VLOOKUP(A101,'Données projet'!$A$139:$I$159,7,0)),0%,VLOOKUP(A101,'Données projet'!$A$139:$I$159,7,0))</f>
        <v>0</v>
      </c>
      <c r="DF101" s="21" t="e">
        <f>EXP(-LN(2)/35)*DF100+(1-EXP(-LN(2)/35))/(LN(2)/35)*DB101*DC101*VLOOKUP('Données projet'!$B$13,Paramètres!$A$1:$I$89,3,0)*0.475*44/12</f>
        <v>#N/A</v>
      </c>
      <c r="DG101" s="21" t="e">
        <f>EXP(-LN(2)/25)*DG100+(1-EXP(-LN(2)/25))/(LN(2)/25)*Calculateur!DB101*Calculateur!DD101*VLOOKUP('Données projet'!$B$13,Paramètres!$A$1:$I$89,3,0)*0.475*44/12</f>
        <v>#N/A</v>
      </c>
      <c r="DH101" s="21" t="e">
        <f>EXP(-LN(2)/2)*DH100+(1-EXP(-LN(2)/2))/(LN(2)/2)*DB101*DE101*VLOOKUP('Données projet'!$B$13,Paramètres!$A$1:$I$89,3,0)*0.475*44/12</f>
        <v>#N/A</v>
      </c>
      <c r="DI101" s="22" t="e">
        <f t="shared" si="69"/>
        <v>#N/A</v>
      </c>
      <c r="DJ101" s="75">
        <f>('Scénario référence'!$F$8+'Scénario référence'!$F$9+'Scénario référence'!$B$17+'Scénario référence'!$B$9+'Scénario référence'!$B$10)*70+IF((45+25*(1-EXP(-0.0175*A101)))&lt;70,'Scénario référence'!$B$16*(45+25*(1-EXP(-0.0175*A101))),70*'Scénario référence'!$B$16)+IF((32+38*(1-EXP(-0.0175*A101)))&lt;70,'Scénario référence'!$B$18*(32+38*(1-EXP(-0.0175*A101))),70*'Scénario référence'!$B$18)</f>
        <v>70</v>
      </c>
      <c r="DK101" s="12">
        <f>IF(A101&gt;30,10,('Scénario référence'!$B$16+'Scénario référence'!$B$17+'Scénario référence'!$B$18+'Scénario référence'!$B$9+'Scénario référence'!$B$10)*A101*10/30+('Scénario référence'!$F$8+'Scénario référence'!$F$9)*10)</f>
        <v>10</v>
      </c>
      <c r="DL101" s="12" t="e">
        <f>VLOOKUP(A101,'Données projet'!$A$165:$I$185,2,0)</f>
        <v>#N/A</v>
      </c>
      <c r="DM101" s="12" t="e">
        <f>VLOOKUP(A101,'Données projet'!$A$165:$I$185,9,0)</f>
        <v>#N/A</v>
      </c>
      <c r="DN101" s="12">
        <f t="array" ref="DN101">INDEX(DM:DM,MIN(IF(ISNUMBER(DM101:DM297),ROW(DM101:DM297),"")))</f>
        <v>0</v>
      </c>
      <c r="DO101" s="12">
        <f>IF('Données projet'!$A$166&gt;35,DO100+DN101-DW100,IF(A101&lt;'Données projet'!$A$166,$DL$205^A101,IF(A101='Données projet'!$A$166,'Données projet'!$B$166,DO100+DN101-DW100)))</f>
        <v>268.00000000000017</v>
      </c>
      <c r="DP101" s="17">
        <f>DO101*VLOOKUP('Données projet'!$B$14,Paramètres!$A$1:$I$89,3,0)*VLOOKUP('Données projet'!$B$14,Paramètres!$A$1:$I$89,5,0)</f>
        <v>175.59360000000012</v>
      </c>
      <c r="DQ101" s="13">
        <f t="shared" si="97"/>
        <v>44.340433728638573</v>
      </c>
      <c r="DR101" s="20">
        <f t="shared" si="70"/>
        <v>383.05177541071242</v>
      </c>
      <c r="DS101" s="59">
        <f t="shared" si="71"/>
        <v>676.38510874404574</v>
      </c>
      <c r="DT101" s="59">
        <f ca="1">AVERAGE(OFFSET($DS$3,0,0,'Données projet'!$E$14+1,1))-AVERAGE(OFFSET($H$3,0,0,'Données projet'!$E$14+1,1))</f>
        <v>188.68915783955595</v>
      </c>
      <c r="DU101" s="59">
        <f t="shared" si="98"/>
        <v>240.82467772396944</v>
      </c>
      <c r="DV101" s="15">
        <f>IF(ISNA(VLOOKUP(A101,'Données projet'!$A$165:$I$185,3,0)),0,VLOOKUP(A101,'Données projet'!$A$165:$I$185,3,0))</f>
        <v>0</v>
      </c>
      <c r="DW101" s="15">
        <f>IF(ISNA(VLOOKUP(A101,'Données projet'!$A$165:$I$185,4,0)),0,VLOOKUP(A101,'Données projet'!$A$165:$I$185,4,0))</f>
        <v>0</v>
      </c>
      <c r="DX101" s="16">
        <f>IF(ISNA(VLOOKUP(A101,'Données projet'!$A$165:$I$185,5,0)),0%,VLOOKUP(A101,'Données projet'!$A$165:$I$185,5,0)*VLOOKUP('Données projet'!$B$14,Paramètres!$A$1:$I$89,7,0))</f>
        <v>0</v>
      </c>
      <c r="DY101" s="16">
        <f>IF(ISNA(VLOOKUP(A101,'Données projet'!$A$165:$I$185,6,0)),0%,VLOOKUP(A101,'Données projet'!$A$165:$I$185,6,0)*VLOOKUP('Données projet'!$B$14,Paramètres!$A$1:$I$89,7,0))</f>
        <v>0</v>
      </c>
      <c r="DZ101" s="16">
        <f>IF(ISNA(VLOOKUP(A101,'Données projet'!$A$165:$I$185,7,0)),0%,VLOOKUP(A101,'Données projet'!$A$165:$I$185,7,0))</f>
        <v>0</v>
      </c>
      <c r="EA101" s="21">
        <f>EXP(-LN(2)/35)*EA100+(1-EXP(-LN(2)/35))/(LN(2)/35)*DW101*DX101*VLOOKUP('Données projet'!$B$14,Paramètres!$A$1:$I$89,3,0)*0.475*44/12</f>
        <v>0.40504304730654284</v>
      </c>
      <c r="EB101" s="21">
        <f>EXP(-LN(2)/25)*EB100+(1-EXP(-LN(2)/25))/(LN(2)/25)*Calculateur!DW101*Calculateur!DY101*VLOOKUP('Données projet'!$B$14,Paramètres!$A$1:$I$89,3,0)*0.475*44/12</f>
        <v>1.2199667483964314</v>
      </c>
      <c r="EC101" s="21">
        <f>EXP(-LN(2)/2)*EC100+(1-EXP(-LN(2)/2))/(LN(2)/2)*DW101*DZ101*VLOOKUP('Données projet'!$B$14,Paramètres!$A$1:$I$89,3,0)*0.475*44/12</f>
        <v>8.1469817006768933E-10</v>
      </c>
      <c r="ED101" s="22">
        <f t="shared" si="72"/>
        <v>1.6250097965176722</v>
      </c>
      <c r="EE101" s="75">
        <f>('Scénario référence'!$F$8+'Scénario référence'!$F$9+'Scénario référence'!$B$17+'Scénario référence'!$B$9+'Scénario référence'!$B$10)*70+IF((45+25*(1-EXP(-0.0175*A101)))&lt;70,'Scénario référence'!$B$16*(45+25*(1-EXP(-0.0175*A101))),70*'Scénario référence'!$B$16)+IF((32+38*(1-EXP(-0.0175*A101)))&lt;70,'Scénario référence'!$B$18*(32+38*(1-EXP(-0.0175*A101))),70*'Scénario référence'!$B$18)</f>
        <v>70</v>
      </c>
      <c r="EF101" s="12">
        <f>IF(A101&gt;30,10,('Scénario référence'!$B$16+'Scénario référence'!$B$17+'Scénario référence'!$B$18+'Scénario référence'!$B$9+'Scénario référence'!$B$10)*A101*10/30+('Scénario référence'!$F$8+'Scénario référence'!$F$9)*10)</f>
        <v>10</v>
      </c>
      <c r="EG101" s="12" t="e">
        <f>VLOOKUP(A101,'Données projet'!$A$191:$I$211,2,0)</f>
        <v>#N/A</v>
      </c>
      <c r="EH101" s="12" t="e">
        <f>VLOOKUP(A101,'Données projet'!$A$191:$I$211,9,0)</f>
        <v>#N/A</v>
      </c>
      <c r="EI101" s="12">
        <f t="array" ref="EI101">INDEX(EH:EH,MIN(IF(ISNUMBER(EH101:EH297),ROW(EH101:EH297),"")))</f>
        <v>0</v>
      </c>
      <c r="EJ101" s="12">
        <f>IF('Données projet'!$A$192&gt;35,EJ100+EI101-ER100,IF(A101&lt;'Données projet'!$A$192,$EG$205^A101,IF(A101='Données projet'!$A$192,'Données projet'!$B$192,EJ100+EI101-ER100)))</f>
        <v>275.99999999999972</v>
      </c>
      <c r="EK101" s="17">
        <f>EJ101*VLOOKUP('Données projet'!$B$15,Paramètres!$A$1:$I$89,3,0)*VLOOKUP('Données projet'!$B$15,Paramètres!$A$1:$I$89,5,0)</f>
        <v>223.8911999999998</v>
      </c>
      <c r="EL101" s="13">
        <f t="shared" si="99"/>
        <v>54.95975389514858</v>
      </c>
      <c r="EM101" s="20">
        <f t="shared" si="73"/>
        <v>485.66541136738346</v>
      </c>
      <c r="EN101" s="59">
        <f t="shared" si="74"/>
        <v>778.99874470071677</v>
      </c>
      <c r="EO101" s="59">
        <f ca="1">AVERAGE(OFFSET($EN$3,0,0,'Données projet'!$E$15+1,1))-AVERAGE(OFFSET($H$3,0,0,'Données projet'!$E$15+1,1))</f>
        <v>205.5272583787887</v>
      </c>
      <c r="EP101" s="59">
        <f t="shared" si="100"/>
        <v>180.54762778843178</v>
      </c>
      <c r="EQ101" s="15">
        <f>IF(ISNA(VLOOKUP(A101,'Données projet'!$A$191:$I$211,3,0)),0,VLOOKUP(A101,'Données projet'!$A$191:$I$211,3,0))</f>
        <v>0</v>
      </c>
      <c r="ER101" s="15">
        <f>IF(ISNA(VLOOKUP(A101,'Données projet'!$A$191:$I$211,4,0)),0,VLOOKUP(A101,'Données projet'!$A$191:$I$211,4,0))</f>
        <v>0</v>
      </c>
      <c r="ES101" s="16">
        <f>IF(ISNA(VLOOKUP(A101,'Données projet'!$A$191:$I$211,5,0)),0%,VLOOKUP(A101,'Données projet'!$A$191:$I$211,5,0)*VLOOKUP('Données projet'!$B$15,Paramètres!$A$1:$I$89,7,0))</f>
        <v>0</v>
      </c>
      <c r="ET101" s="16">
        <f>IF(ISNA(VLOOKUP(A101,'Données projet'!$A$191:$I$211,6,0)),0%,VLOOKUP(A101,'Données projet'!$A$191:$I$211,6,0)*VLOOKUP('Données projet'!$B$15,Paramètres!$A$1:$I$89,7,0))</f>
        <v>0</v>
      </c>
      <c r="EU101" s="16">
        <f>IF(ISNA(VLOOKUP(A101,'Données projet'!$A$191:$I$211,7,0)),0%,VLOOKUP(A101,'Données projet'!$A$191:$I$211,7,0))</f>
        <v>0</v>
      </c>
      <c r="EV101" s="21">
        <f>EXP(-LN(2)/35)*EV100+(1-EXP(-LN(2)/35))/(LN(2)/35)*ER101*ES101*VLOOKUP('Données projet'!$B$15,Paramètres!$A$1:$I$89,3,0)*0.475*44/12</f>
        <v>0.26077057140878374</v>
      </c>
      <c r="EW101" s="21">
        <f>EXP(-LN(2)/25)*EW100+(1-EXP(-LN(2)/25))/(LN(2)/25)*Calculateur!ER101*Calculateur!ET101*VLOOKUP('Données projet'!$B$15,Paramètres!$A$1:$I$89,3,0)*0.475*44/12</f>
        <v>0.88085300121065724</v>
      </c>
      <c r="EX101" s="21">
        <f>EXP(-LN(2)/2)*EX100+(1-EXP(-LN(2)/2))/(LN(2)/2)*ER101*EU101*VLOOKUP('Données projet'!$B$15,Paramètres!$A$1:$I$89,3,0)*0.475*44/12</f>
        <v>5.275176675280057E-10</v>
      </c>
      <c r="EY101" s="22">
        <f t="shared" si="75"/>
        <v>1.1416235731469586</v>
      </c>
      <c r="EZ101" s="75">
        <f>('Scénario référence'!$F$8+'Scénario référence'!$F$9+'Scénario référence'!$B$17+'Scénario référence'!$B$9+'Scénario référence'!$B$10)*70+IF((45+25*(1-EXP(-0.0175*A101)))&lt;70,'Scénario référence'!$B$16*(45+25*(1-EXP(-0.0175*A101))),70*'Scénario référence'!$B$16)+IF((32+38*(1-EXP(-0.0175*A101)))&lt;70,'Scénario référence'!$B$18*(32+38*(1-EXP(-0.0175*A101))),70*'Scénario référence'!$B$18)</f>
        <v>70</v>
      </c>
      <c r="FA101" s="12">
        <f>IF(A101&gt;30,10,('Scénario référence'!$B$16+'Scénario référence'!$B$17+'Scénario référence'!$B$18+'Scénario référence'!$B$9+'Scénario référence'!$B$10)*A101*10/30+('Scénario référence'!$F$8+'Scénario référence'!$F$9)*10)</f>
        <v>10</v>
      </c>
      <c r="FB101" s="12" t="e">
        <f>VLOOKUP(A101,'Données projet'!$A$217:$I$237,2,0)</f>
        <v>#N/A</v>
      </c>
      <c r="FC101" s="12" t="e">
        <f>VLOOKUP(A101,'Données projet'!$A$217:$I$237,9,0)</f>
        <v>#N/A</v>
      </c>
      <c r="FD101" s="12">
        <f t="array" ref="FD101">INDEX(FC:FC,MIN(IF(ISNUMBER(FC101:FC297),ROW(FC101:FC297),"")))</f>
        <v>9.6999999999999993</v>
      </c>
      <c r="FE101" s="12">
        <f>IF('Données projet'!$A$218&gt;35,FE100+FD101-FM100,IF(A101&lt;'Données projet'!$A$218,$FB$205^A101,IF(A101='Données projet'!$A$218,'Données projet'!$B$218,FE100+FD101-FM100)))</f>
        <v>416.59999999999985</v>
      </c>
      <c r="FF101" s="17">
        <f>FE101*VLOOKUP('Données projet'!$B$16,Paramètres!$A$1:$I$89,3,0)*VLOOKUP('Données projet'!$B$16,Paramètres!$A$1:$I$89,5,0)</f>
        <v>357.44279999999992</v>
      </c>
      <c r="FG101" s="13">
        <f t="shared" si="101"/>
        <v>83.093179166766987</v>
      </c>
      <c r="FH101" s="20">
        <f t="shared" si="76"/>
        <v>767.26683038211888</v>
      </c>
      <c r="FI101" s="59">
        <f t="shared" si="77"/>
        <v>1060.6001637154523</v>
      </c>
      <c r="FJ101" s="59">
        <f ca="1">AVERAGE(OFFSET($FI$3,0,0,'Données projet'!$E$16+1,1))-AVERAGE(OFFSET($H$3,0,0,'Données projet'!$E$16+1,1))</f>
        <v>383.97627237444709</v>
      </c>
      <c r="FK101" s="59">
        <f t="shared" si="102"/>
        <v>203.35476578922339</v>
      </c>
      <c r="FL101" s="15">
        <f>IF(ISNA(VLOOKUP(A101,'Données projet'!$A$217:$I$237,3,0)),0,VLOOKUP(A101,'Données projet'!$A$217:$I$237,3,0))</f>
        <v>0</v>
      </c>
      <c r="FM101" s="15">
        <f>IF(ISNA(VLOOKUP(A101,'Données projet'!$A$217:$I$237,4,0)),0,VLOOKUP(A101,'Données projet'!$A$217:$I$237,4,0))</f>
        <v>0</v>
      </c>
      <c r="FN101" s="16">
        <f>IF(ISNA(VLOOKUP(A101,'Données projet'!$A$217:$I$237,5,0)),0%,VLOOKUP(A101,'Données projet'!$A$217:$I$237,5,0)*VLOOKUP('Données projet'!$B$16,Paramètres!$A$1:$I$89,7,0))</f>
        <v>0</v>
      </c>
      <c r="FO101" s="16">
        <f>IF(ISNA(VLOOKUP(A101,'Données projet'!$A$217:$I$237,6,0)),0%,VLOOKUP(A101,'Données projet'!$A$217:$I$237,6,0)*VLOOKUP('Données projet'!$B$16,Paramètres!$A$1:$I$89,7,0))</f>
        <v>0</v>
      </c>
      <c r="FP101" s="16">
        <f>IF(ISNA(VLOOKUP(A101,'Données projet'!$A$217:$I$237,7,0)),0%,VLOOKUP(A101,'Données projet'!$A$217:$I$237,7,0))</f>
        <v>0</v>
      </c>
      <c r="FQ101" s="21">
        <f>EXP(-LN(2)/35)*FQ100+(1-EXP(-LN(2)/35))/(LN(2)/35)*FM101*FN101*VLOOKUP('Données projet'!$B$16,Paramètres!$A$1:$I$89,3,0)*0.475*44/12</f>
        <v>1.3402192635338195</v>
      </c>
      <c r="FR101" s="21">
        <f>EXP(-LN(2)/25)*FR100+(1-EXP(-LN(2)/25))/(LN(2)/25)*Calculateur!FM101*Calculateur!FO101*VLOOKUP('Données projet'!$B$16,Paramètres!$A$1:$I$89,3,0)*0.475*44/12</f>
        <v>0.89415684103912585</v>
      </c>
      <c r="FS101" s="21">
        <f>EXP(-LN(2)/2)*FS100+(1-EXP(-LN(2)/2))/(LN(2)/2)*FM101*FP101*VLOOKUP('Données projet'!$B$16,Paramètres!$A$1:$I$89,3,0)*0.475*44/12</f>
        <v>9.6894169294914998E-10</v>
      </c>
      <c r="FT101" s="22">
        <f t="shared" si="78"/>
        <v>2.2343761055418869</v>
      </c>
      <c r="FU101" s="75">
        <f>('Scénario référence'!$F$8+'Scénario référence'!$F$9+'Scénario référence'!$B$17+'Scénario référence'!$B$9+'Scénario référence'!$B$10)*70+IF((45+25*(1-EXP(-0.0175*A101)))&lt;70,'Scénario référence'!$B$16*(45+25*(1-EXP(-0.0175*A101))),70*'Scénario référence'!$B$16)+IF((32+38*(1-EXP(-0.0175*A101)))&lt;70,'Scénario référence'!$B$18*(32+38*(1-EXP(-0.0175*A101))),70*'Scénario référence'!$B$18)</f>
        <v>70</v>
      </c>
      <c r="FV101" s="12">
        <f>IF(A101&gt;30,10,('Scénario référence'!$B$16+'Scénario référence'!$B$17+'Scénario référence'!$B$18+'Scénario référence'!$B$9+'Scénario référence'!$B$10)*A101*10/30+('Scénario référence'!$F$8+'Scénario référence'!$F$9)*10)</f>
        <v>10</v>
      </c>
      <c r="FW101" s="12" t="e">
        <f>VLOOKUP(A101,'Données projet'!$A$243:$I$263,2,0)</f>
        <v>#N/A</v>
      </c>
      <c r="FX101" s="12" t="e">
        <f>VLOOKUP(A101,'Données projet'!$A$243:$I$263,9,0)</f>
        <v>#N/A</v>
      </c>
      <c r="FY101" s="12">
        <f t="array" ref="FY101">INDEX(FX:FX,MIN(IF(ISNUMBER(FX101:FX297),ROW(FX101:FX297),"")))</f>
        <v>7.1782051282051267</v>
      </c>
      <c r="FZ101" s="12">
        <f>IF('Données projet'!$A$244&gt;35,FZ100+FY101-GH100,IF(A101&lt;'Données projet'!$A$244,$FW$205^A101,IF(A101='Données projet'!$A$244,'Données projet'!$B$244,FZ100+FY101-GH100)))</f>
        <v>311.07179487179519</v>
      </c>
      <c r="GA101" s="17">
        <f>FZ101*VLOOKUP('Données projet'!$B$17,Paramètres!$A$1:$I$89,3,0)*VLOOKUP('Données projet'!$B$17,Paramètres!$A$1:$I$89,5,0)</f>
        <v>334.83768000000038</v>
      </c>
      <c r="GB101" s="13">
        <f t="shared" si="103"/>
        <v>78.432430565178777</v>
      </c>
      <c r="GC101" s="20">
        <f t="shared" si="79"/>
        <v>719.77877590102037</v>
      </c>
      <c r="GD101" s="59">
        <f t="shared" si="80"/>
        <v>1013.1121092343537</v>
      </c>
      <c r="GE101" s="59">
        <f ca="1">AVERAGE(OFFSET($GD$3,0,0,'Données projet'!$E$17+1,1))-AVERAGE(OFFSET($H$3,0,0,'Données projet'!$E$17+1,1))</f>
        <v>286.77702855541287</v>
      </c>
      <c r="GF101" s="59">
        <f t="shared" si="104"/>
        <v>227.12211541860779</v>
      </c>
      <c r="GG101" s="15">
        <f>IF(ISNA(VLOOKUP(A101,'Données projet'!$A$243:$I$263,3,0)),0,VLOOKUP(A101,'Données projet'!$A$243:$I$263,3,0))</f>
        <v>0</v>
      </c>
      <c r="GH101" s="15">
        <f>IF(ISNA(VLOOKUP(A101,'Données projet'!$A$243:$I$263,4,0)),0,VLOOKUP(A101,'Données projet'!$A$243:$I$263,4,0))</f>
        <v>0</v>
      </c>
      <c r="GI101" s="16">
        <f>IF(ISNA(VLOOKUP(A101,'Données projet'!$A$243:$I$263,5,0)),0%,VLOOKUP(A101,'Données projet'!$A$243:$I$263,5,0)*VLOOKUP('Données projet'!$B$17,Paramètres!$A$1:$I$89,7,0))</f>
        <v>0</v>
      </c>
      <c r="GJ101" s="16">
        <f>IF(ISNA(VLOOKUP(A101,'Données projet'!$A$243:$I$263,6,0)),0%,VLOOKUP(A101,'Données projet'!$A$243:$I$263,6,0)*VLOOKUP('Données projet'!$B$17,Paramètres!$A$1:$I$89,7,0))</f>
        <v>0</v>
      </c>
      <c r="GK101" s="16">
        <f>IF(ISNA(VLOOKUP(A101,'Données projet'!$A$243:$I$263,7,0)),0%,VLOOKUP(A101,'Données projet'!$A$243:$I$263,7,0))</f>
        <v>0</v>
      </c>
      <c r="GL101" s="21">
        <f>EXP(-LN(2)/35)*GL100+(1-EXP(-LN(2)/35))/(LN(2)/35)*GH101*GI101*VLOOKUP('Données projet'!$B$17,Paramètres!$A$1:$I$89,3,0)*0.475*44/12</f>
        <v>0</v>
      </c>
      <c r="GM101" s="21">
        <f>EXP(-LN(2)/25)*GM100+(1-EXP(-LN(2)/25))/(LN(2)/25)*Calculateur!GH101*Calculateur!GJ101*VLOOKUP('Données projet'!$B$17,Paramètres!$A$1:$I$89,3,0)*0.475*44/12</f>
        <v>0</v>
      </c>
      <c r="GN101" s="21">
        <f>EXP(-LN(2)/2)*GN100+(1-EXP(-LN(2)/2))/(LN(2)/2)*GH101*GK101*VLOOKUP('Données projet'!$B$17,Paramètres!$A$1:$I$89,3,0)*0.475*44/12</f>
        <v>0</v>
      </c>
      <c r="GO101" s="21">
        <f t="shared" si="81"/>
        <v>0</v>
      </c>
      <c r="GP101" s="75">
        <f>('Scénario référence'!$F$8+'Scénario référence'!$F$9+'Scénario référence'!$B$17+'Scénario référence'!$B$9+'Scénario référence'!$B$10)*70+IF((45+25*(1-EXP(-0.0175*A101)))&lt;70,'Scénario référence'!$B$16*(45+25*(1-EXP(-0.0175*A101))),70*'Scénario référence'!$B$16)+IF((32+38*(1-EXP(-0.0175*A101)))&lt;70,'Scénario référence'!$B$18*(32+38*(1-EXP(-0.0175*A101))),70*'Scénario référence'!$B$18)</f>
        <v>70</v>
      </c>
      <c r="GQ101" s="12">
        <f>IF(A101&gt;30,10,('Scénario référence'!$B$16+'Scénario référence'!$B$17+'Scénario référence'!$B$18+'Scénario référence'!$B$9+'Scénario référence'!$B$10)*A101*10/30+('Scénario référence'!$F$8+'Scénario référence'!$F$9)*10)</f>
        <v>10</v>
      </c>
      <c r="GR101" s="12" t="e">
        <f>VLOOKUP(A101,'Données projet'!$A$269:$I$289,2,0)</f>
        <v>#N/A</v>
      </c>
      <c r="GS101" s="12" t="e">
        <f>VLOOKUP(A101,'Données projet'!$A$269:$I$289,9,0)</f>
        <v>#N/A</v>
      </c>
      <c r="GT101" s="12">
        <f t="array" ref="GT101">INDEX(GS:GS,MIN(IF(ISNUMBER(GS101:GS297),ROW(GS101:GS297),"")))</f>
        <v>7.1782051282051267</v>
      </c>
      <c r="GU101" s="12">
        <f>IF('Données projet'!$A$270&gt;35,GU100+GT101-HC100,IF(A101&lt;'Données projet'!$A$270,$GR$205^A101,IF(A101='Données projet'!$A$270,'Données projet'!$B$270,GU100+GT101-HC100)))</f>
        <v>311.07179487179519</v>
      </c>
      <c r="GV101" s="17">
        <f>GU101*VLOOKUP('Données projet'!$B$18,Paramètres!$A$1:$I$89,3,0)*VLOOKUP('Données projet'!$B$18,Paramètres!$A$1:$I$89,5,0)</f>
        <v>334.83768000000038</v>
      </c>
      <c r="GW101" s="13">
        <f t="shared" si="105"/>
        <v>78.432430565178777</v>
      </c>
      <c r="GX101" s="20">
        <f t="shared" si="82"/>
        <v>719.77877590102037</v>
      </c>
      <c r="GY101" s="59">
        <f t="shared" si="83"/>
        <v>1013.1121092343537</v>
      </c>
      <c r="GZ101" s="59">
        <f ca="1">AVERAGE(OFFSET($GY$3,0,0,'Données projet'!$E$18+1,1))-AVERAGE(OFFSET($H$3,0,0,'Données projet'!$E$18+1,1))</f>
        <v>286.77702855541287</v>
      </c>
      <c r="HA101" s="59">
        <f t="shared" si="106"/>
        <v>227.12211541860779</v>
      </c>
      <c r="HB101" s="15">
        <f>IF(ISNA(VLOOKUP(A101,'Données projet'!$A$269:$I$289,3,0)),0,VLOOKUP(A101,'Données projet'!$A$269:$I$289,3,0))</f>
        <v>0</v>
      </c>
      <c r="HC101" s="15">
        <f>IF(ISNA(VLOOKUP(A101,'Données projet'!$A$269:$I$289,4,0)),0,VLOOKUP(A101,'Données projet'!$A$269:$I$289,4,0))</f>
        <v>0</v>
      </c>
      <c r="HD101" s="16">
        <f>IF(ISNA(VLOOKUP(A101,'Données projet'!$A$269:$I$289,5,0)),0%,VLOOKUP(A101,'Données projet'!$A$269:$I$289,5,0)*VLOOKUP('Données projet'!$B$18,Paramètres!$A$1:$I$89,7,0))</f>
        <v>0</v>
      </c>
      <c r="HE101" s="16">
        <f>IF(ISNA(VLOOKUP(A101,'Données projet'!$A$269:$I$289,6,0)),0%,VLOOKUP(A101,'Données projet'!$A$269:$I$289,6,0)*VLOOKUP('Données projet'!$B$18,Paramètres!$A$1:$I$89,7,0))</f>
        <v>0</v>
      </c>
      <c r="HF101" s="16">
        <f>IF(ISNA(VLOOKUP(A101,'Données projet'!$A$269:$I$289,7,0)),0%,VLOOKUP(A101,'Données projet'!$A$269:$I$289,7,0))</f>
        <v>0</v>
      </c>
      <c r="HG101" s="21">
        <f>EXP(-LN(2)/35)*HG100+(1-EXP(-LN(2)/35))/(LN(2)/35)*HC101*HD101*VLOOKUP('Données projet'!$B$18,Paramètres!$A$1:$I$89,3,0)*0.475*44/12</f>
        <v>0</v>
      </c>
      <c r="HH101" s="21">
        <f>EXP(-LN(2)/25)*HH100+(1-EXP(-LN(2)/25))/(LN(2)/25)*Calculateur!HC101*Calculateur!HE101*VLOOKUP('Données projet'!$B$18,Paramètres!$A$1:$I$89,3,0)*0.475*44/12</f>
        <v>0</v>
      </c>
      <c r="HI101" s="21">
        <f>EXP(-LN(2)/2)*HI100+(1-EXP(-LN(2)/2))/(LN(2)/2)*HC101*HF101*VLOOKUP('Données projet'!$B$18,Paramètres!$A$1:$I$89,3,0)*0.475*44/12</f>
        <v>0</v>
      </c>
      <c r="HJ101" s="22">
        <f t="shared" si="84"/>
        <v>0</v>
      </c>
    </row>
    <row r="102" spans="1:218" x14ac:dyDescent="0.25">
      <c r="A102" s="10">
        <f t="shared" si="85"/>
        <v>99</v>
      </c>
      <c r="B102" s="73">
        <f>'Scénario référence'!$B$16*5+'Scénario référence'!$B$17*0+'Scénario référence'!$B$18*5</f>
        <v>0</v>
      </c>
      <c r="C102" s="19">
        <f>Calculateur!C101+'Scénario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88.030800000000141</v>
      </c>
      <c r="D102" s="11">
        <f t="shared" si="86"/>
        <v>24.089691614761293</v>
      </c>
      <c r="E10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02" s="11">
        <f>IF(OR('Scénario référence'!$F$8&gt;0,'Scénario référence'!$F$9&gt;0),('Scénario référence'!$F$8+'Scénario référence'!$F$9)*10,0)</f>
        <v>10</v>
      </c>
      <c r="G102" s="11">
        <f>'Scénario référence'!$B$8*B102*44/12+'Scénario référence'!$B$9*(C102+D102)/0.475*44/12+'Scénario référence'!$B$10*(C102+D102)/0.475*44/12+'Scénario référence'!$F$8*(C102+D102)/0.475*44/12+'Scénario référence'!$F$9*(C102+D102)/0.475*44/12</f>
        <v>865.49151421921113</v>
      </c>
      <c r="H102" s="67">
        <f t="shared" si="56"/>
        <v>488.6098562290428</v>
      </c>
      <c r="I102" s="70">
        <f>('Scénario référence'!$F$8+'Scénario référence'!$F$9+'Scénario référence'!$B$17+'Scénario référence'!$B$9+'Scénario référence'!$B$10)*70+IF((45+25*(1-EXP(-0.0175*A102)))&lt;70,'Scénario référence'!$B$16*(45+25*(1-EXP(-0.0175*A102))),70*'Scénario référence'!$B$16)+IF((32+38*(1-EXP(-0.0175*A102)))&lt;70,'Scénario référence'!$B$18*(32+38*(1-EXP(-0.0175*A102))),70*'Scénario référence'!$B$18)</f>
        <v>70</v>
      </c>
      <c r="J102" s="13">
        <f>IF(A102&gt;30,10,('Scénario référence'!$B$16+'Scénario référence'!$B$17+'Scénario référence'!$B$18+'Scénario référence'!$B$9+'Scénario référence'!$B$10)*A102*10/30+('Scénario référence'!$F$8+'Scénario référence'!$F$9)*10)</f>
        <v>10</v>
      </c>
      <c r="K102" s="12" t="e">
        <f>VLOOKUP(A102,'Données projet'!$A$35:$I$55,2,0)</f>
        <v>#N/A</v>
      </c>
      <c r="L102" s="12" t="e">
        <f>VLOOKUP(A102,'Données projet'!$A$35:$I$55,9,0)</f>
        <v>#N/A</v>
      </c>
      <c r="M102" s="12">
        <f t="array" ref="M102">INDEX(L:L,MIN(IF(ISNUMBER(L102:L298),ROW(L102:L298),"")))</f>
        <v>0</v>
      </c>
      <c r="N102" s="13">
        <f>IF('Données projet'!$A$36&gt;35,N101+M102-V101,IF(A102&lt;'Données projet'!$A$36,$K$205^A102,IF(A102='Données projet'!$A$36,'Données projet'!$B$36,N101+M102-V101)))</f>
        <v>-2.2737367544323206E-13</v>
      </c>
      <c r="O102" s="13">
        <f>N102*VLOOKUP('Données projet'!$B$9,Paramètres!$A$1:$I$89,3,0)*VLOOKUP('Données projet'!$B$9,Paramètres!$A$1:$I$89,5,0)</f>
        <v>-1.2710188457276673E-13</v>
      </c>
      <c r="P102" s="13" t="e">
        <f t="shared" si="87"/>
        <v>#NUM!</v>
      </c>
      <c r="Q102" s="20" t="e">
        <f t="shared" si="107"/>
        <v>#NUM!</v>
      </c>
      <c r="R102" s="59" t="e">
        <f t="shared" si="55"/>
        <v>#NUM!</v>
      </c>
      <c r="S102" s="59">
        <f ca="1">AVERAGE(OFFSET($R$3,0,0,'Données projet'!$E$9+1,1))-AVERAGE(OFFSET($H$3,0,0,'Données projet'!$E$9+1,1))</f>
        <v>255.5374979188561</v>
      </c>
      <c r="T102" s="59">
        <f t="shared" si="88"/>
        <v>343.10418468620901</v>
      </c>
      <c r="U102" s="15">
        <f>IF(ISNA(VLOOKUP(A102,'Données projet'!$A$35:$I$55,3,0)),0,VLOOKUP(A102,'Données projet'!$A$35:$I$55,3,0))</f>
        <v>0</v>
      </c>
      <c r="V102" s="15">
        <f>IF(ISNA(VLOOKUP(A102,'Données projet'!$A$35:$I$55,4,0)),0,VLOOKUP(A102,'Données projet'!$A$35:$I$55,4,0))</f>
        <v>0</v>
      </c>
      <c r="W102" s="16">
        <f>IF(ISNA(VLOOKUP(A102,'Données projet'!$A$35:$I$55,5,0)),0%,VLOOKUP(A102,'Données projet'!$A$35:$I$55,5,0)*VLOOKUP('Données projet'!$B$9,Paramètres!$A$1:$I$89,7,0))</f>
        <v>0</v>
      </c>
      <c r="X102" s="16">
        <f>IF(ISNA(VLOOKUP(A102,'Données projet'!$A$35:$I$55,6,0)),0%,VLOOKUP(A102,'Données projet'!$A$35:$I$55,6,0)*VLOOKUP('Données projet'!$B$9,Paramètres!$A$1:$I$89,7,0))</f>
        <v>0</v>
      </c>
      <c r="Y102" s="16">
        <f>IF(ISNA(VLOOKUP(A102,'Données projet'!$A$35:$I$55,7,0)),0%,VLOOKUP(A102,'Données projet'!$A$35:$I$55,7,0))</f>
        <v>0</v>
      </c>
      <c r="Z102" s="21">
        <f>EXP(-LN(2)/35)*Z101+(1-EXP(-LN(2)/35))/(LN(2)/35)*V102*W102*VLOOKUP('Données projet'!$B$9,Paramètres!$A$1:$I$89,3,0)*0.475*44/12</f>
        <v>0.78796165916568572</v>
      </c>
      <c r="AA102" s="21">
        <f>EXP(-LN(2)/25)*AA101+(1-EXP(-LN(2)/25))/(LN(2)/25)*Calculateur!V102*Calculateur!X102*VLOOKUP('Données projet'!$B$9,Paramètres!$A$1:$I$89,3,0)*0.475*44/12</f>
        <v>2.3561186134200249</v>
      </c>
      <c r="AB102" s="21">
        <f>EXP(-LN(2)/2)*AB101+(1-EXP(-LN(2)/2))/(LN(2)/2)*V102*Y102*VLOOKUP('Données projet'!$B$9,Paramètres!$A$1:$I$89,3,0)*0.475*44/12</f>
        <v>6.9667920678125282E-11</v>
      </c>
      <c r="AC102" s="22">
        <f t="shared" si="57"/>
        <v>3.1440802726553785</v>
      </c>
      <c r="AD102" s="13">
        <f>('Scénario référence'!$F$8+'Scénario référence'!$F$9+'Scénario référence'!$B$17+'Scénario référence'!$B$9+'Scénario référence'!$B$10)*70+IF((45+25*(1-EXP(-0.0175*A102)))&lt;70,'Scénario référence'!$B$16*(45+25*(1-EXP(-0.0175*A102))),70*'Scénario référence'!$B$16)+IF((32+38*(1-EXP(-0.0175*A102)))&lt;70,'Scénario référence'!$B$18*(32+38*(1-EXP(-0.0175*A102))),70*'Scénario référence'!$B$18)</f>
        <v>70</v>
      </c>
      <c r="AE102" s="13">
        <f>IF(A102&gt;30,10,('Scénario référence'!$B$16+'Scénario référence'!$B$17+'Scénario référence'!$B$18+'Scénario référence'!$B$9+'Scénario référence'!$B$10)*A102*10/30+('Scénario référence'!$F$8+'Scénario référence'!$F$9)*10)</f>
        <v>10</v>
      </c>
      <c r="AF102" s="12" t="e">
        <f>VLOOKUP(A102,'Données projet'!$A$61:$I$81,2,0)</f>
        <v>#N/A</v>
      </c>
      <c r="AG102" s="12" t="e">
        <f>VLOOKUP(A102,'Données projet'!$A$61:$I$81,9,0)</f>
        <v>#N/A</v>
      </c>
      <c r="AH102" s="12">
        <f t="array" ref="AH102">INDEX(AG:AG,MIN(IF(ISNUMBER(AG102:AG298),ROW(AG102:AG298),"")))</f>
        <v>0</v>
      </c>
      <c r="AI102" s="13">
        <f>IF('Données projet'!$A$62&gt;35,AI101+AH102-AQ101,IF(A102&lt;'Données projet'!$A$62,$AF$205^A102,IF(A102='Données projet'!$A$62,'Données projet'!$B$62,AI101+AH102-AQ101)))</f>
        <v>0</v>
      </c>
      <c r="AJ102" s="13">
        <f>AI102*VLOOKUP('Données projet'!$B$10,Paramètres!$A$1:$I$89,3,0)*VLOOKUP('Données projet'!$B$10,Paramètres!$A$1:$I$89,5,0)</f>
        <v>0</v>
      </c>
      <c r="AK102" s="13" t="e">
        <f t="shared" si="89"/>
        <v>#NUM!</v>
      </c>
      <c r="AL102" s="20" t="e">
        <f t="shared" si="58"/>
        <v>#NUM!</v>
      </c>
      <c r="AM102" s="59" t="e">
        <f t="shared" si="59"/>
        <v>#NUM!</v>
      </c>
      <c r="AN102" s="59">
        <f ca="1">AVERAGE(OFFSET($AM$3,0,0,'Données projet'!$E$10+1,1))-AVERAGE(OFFSET($H$3,0,0,'Données projet'!$E$10+1,1))</f>
        <v>261.78489480911571</v>
      </c>
      <c r="AO102" s="59">
        <f t="shared" si="90"/>
        <v>297.50513563712764</v>
      </c>
      <c r="AP102" s="15">
        <f>IF(ISNA(VLOOKUP(A102,'Données projet'!$A$61:$I$81,3,0)),0,VLOOKUP(A102,'Données projet'!$A$61:$I$81,3,0))</f>
        <v>0</v>
      </c>
      <c r="AQ102" s="15">
        <f>IF(ISNA(VLOOKUP(A102,'Données projet'!$A$61:$I$81,4,0)),0,VLOOKUP(A102,'Données projet'!$A$61:$I$81,4,0))</f>
        <v>0</v>
      </c>
      <c r="AR102" s="16">
        <f>IF(ISNA(VLOOKUP(A102,'Données projet'!$A$61:$I$81,5,0)),0%,VLOOKUP(A102,'Données projet'!$A$61:$I$81,5,0)*VLOOKUP('Données projet'!$B$10,Paramètres!$A$1:$I$89,7,0))</f>
        <v>0</v>
      </c>
      <c r="AS102" s="16">
        <f>IF(ISNA(VLOOKUP(A102,'Données projet'!$A$61:$I$81,6,0)),0%,VLOOKUP(A102,'Données projet'!$A$61:$I$81,6,0)*VLOOKUP('Données projet'!$B$10,Paramètres!$A$1:$I$89,7,0))</f>
        <v>0</v>
      </c>
      <c r="AT102" s="16">
        <f>IF(ISNA(VLOOKUP(A102,'Données projet'!$A$61:$I$81,7,0)),0%,VLOOKUP(A102,'Données projet'!$A$61:$I$81,7,0))</f>
        <v>0</v>
      </c>
      <c r="AU102" s="21">
        <f>EXP(-LN(2)/35)*AU101+(1-EXP(-LN(2)/35))/(LN(2)/35)*AQ102*AR102*VLOOKUP('Données projet'!$B$10,Paramètres!$A$1:$I$89,3,0)*0.475*44/12</f>
        <v>2.1277193536336592</v>
      </c>
      <c r="AV102" s="21">
        <f>EXP(-LN(2)/25)*AV101+(1-EXP(-LN(2)/25))/(LN(2)/25)*Calculateur!AQ102*Calculateur!AS102*VLOOKUP('Données projet'!$B$10,Paramètres!$A$1:$I$89,3,0)*0.475*44/12</f>
        <v>4.1142636550444767</v>
      </c>
      <c r="AW102" s="21">
        <f>EXP(-LN(2)/2)*AW101+(1-EXP(-LN(2)/2))/(LN(2)/2)*AQ102*AT102*VLOOKUP('Données projet'!$B$10,Paramètres!$A$1:$I$89,3,0)*0.475*44/12</f>
        <v>1.0043294007156202E-9</v>
      </c>
      <c r="AX102" s="21">
        <f t="shared" si="60"/>
        <v>6.2419830096824649</v>
      </c>
      <c r="AY102" s="74">
        <f>('Scénario référence'!$F$8+'Scénario référence'!$F$9+'Scénario référence'!$B$17+'Scénario référence'!$B$9+'Scénario référence'!$B$10)*70+IF((45+25*(1-EXP(-0.0175*A102)))&lt;70,'Scénario référence'!$B$16*(45+25*(1-EXP(-0.0175*A102))),70*'Scénario référence'!$B$16)+IF((32+38*(1-EXP(-0.0175*A102)))&lt;70,'Scénario référence'!$B$18*(32+38*(1-EXP(-0.0175*A102))),70*'Scénario référence'!$B$18)</f>
        <v>70</v>
      </c>
      <c r="AZ102" s="12">
        <f>IF(A102&gt;30,10,('Scénario référence'!$B$16+'Scénario référence'!$B$17+'Scénario référence'!$B$18+'Scénario référence'!$B$9+'Scénario référence'!$B$10)*A102*10/30+('Scénario référence'!$F$8+'Scénario référence'!$F$9)*10)</f>
        <v>10</v>
      </c>
      <c r="BA102" s="12" t="e">
        <f>VLOOKUP(A102,'Données projet'!$A$87:$I$107,2,0)</f>
        <v>#N/A</v>
      </c>
      <c r="BB102" s="12" t="e">
        <f>VLOOKUP(A102,'Données projet'!$A$87:$I$107,9,0)</f>
        <v>#N/A</v>
      </c>
      <c r="BC102" s="12">
        <f t="array" ref="BC102">INDEX(BB:BB,MIN(IF(ISNUMBER(BB102:BB298),ROW(BB102:BB298),"")))</f>
        <v>0</v>
      </c>
      <c r="BD102" s="12">
        <f>IF('Données projet'!$A$88&gt;35,BD101+BC102-BL101,IF(A102&lt;'Données projet'!$A$88,$BA$205^A102,IF(A102='Données projet'!$A$88,'Données projet'!$B$88,BD101+BC102-BL101)))</f>
        <v>553.99999999999955</v>
      </c>
      <c r="BE102" s="13">
        <f>BD102*VLOOKUP('Données projet'!$B$11,Paramètres!$A$1:$I$89,3,0)*VLOOKUP('Données projet'!$B$11,Paramètres!$A$1:$I$89,5,0)</f>
        <v>331.29199999999975</v>
      </c>
      <c r="BF102" s="13">
        <f t="shared" si="91"/>
        <v>77.698110787752</v>
      </c>
      <c r="BG102" s="20">
        <f t="shared" si="61"/>
        <v>712.32444295533423</v>
      </c>
      <c r="BH102" s="59">
        <f t="shared" si="62"/>
        <v>1005.6577762886675</v>
      </c>
      <c r="BI102" s="59">
        <f ca="1">AVERAGE(OFFSET($BH$3,0,0,'Données projet'!$E$11+1,1))-AVERAGE(OFFSET($H$3,0,0,'Données projet'!$E$11+1,1))</f>
        <v>316.58509520829671</v>
      </c>
      <c r="BJ102" s="59">
        <f t="shared" si="92"/>
        <v>240.71332110643596</v>
      </c>
      <c r="BK102" s="15">
        <f>IF(ISNA(VLOOKUP(A102,'Données projet'!$A$87:$I$107,3,0)),0,VLOOKUP(A102,'Données projet'!$A$87:$I$107,3,0))</f>
        <v>0</v>
      </c>
      <c r="BL102" s="15">
        <f>IF(ISNA(VLOOKUP(A102,'Données projet'!$A$87:$I$107,4,0)),0,VLOOKUP(A102,'Données projet'!$A$87:$I$107,4,0))</f>
        <v>0</v>
      </c>
      <c r="BM102" s="16">
        <f>IF(ISNA(VLOOKUP(A102,'Données projet'!$A$87:$I$107,5,0)),0%,VLOOKUP(A102,'Données projet'!$A$87:$I$107,5,0)*VLOOKUP('Données projet'!$B$11,Paramètres!$A$1:$I$89,7,0))</f>
        <v>0</v>
      </c>
      <c r="BN102" s="16">
        <f>IF(ISNA(VLOOKUP(A102,'Données projet'!$A$87:$I$107,6,0)),0%,VLOOKUP(A102,'Données projet'!$A$87:$I$107,6,0)*VLOOKUP('Données projet'!$B$11,Paramètres!$A$1:$I$89,7,0))</f>
        <v>0</v>
      </c>
      <c r="BO102" s="16">
        <f>IF(ISNA(VLOOKUP(A102,'Données projet'!$A$87:$I$107,7,0)),0%,VLOOKUP(A102,'Données projet'!$A$87:$I$107,7,0))</f>
        <v>0</v>
      </c>
      <c r="BP102" s="21">
        <f>EXP(-LN(2)/35)*BP101+(1-EXP(-LN(2)/35))/(LN(2)/35)*BL102*BM102*VLOOKUP('Données projet'!$B$11,Paramètres!$A$1:$I$89,3,0)*0.475*44/12</f>
        <v>0.6463105849114148</v>
      </c>
      <c r="BQ102" s="21">
        <f>EXP(-LN(2)/25)*BQ101+(1-EXP(-LN(2)/25))/(LN(2)/25)*Calculateur!BL102*Calculateur!BN102*VLOOKUP('Données projet'!$B$11,Paramètres!$A$1:$I$89,3,0)*0.475*44/12</f>
        <v>2.2539136765333967</v>
      </c>
      <c r="BR102" s="21">
        <f>EXP(-LN(2)/2)*BR101+(1-EXP(-LN(2)/2))/(LN(2)/2)*BL102*BO102*VLOOKUP('Données projet'!$B$11,Paramètres!$A$1:$I$89,3,0)*0.475*44/12</f>
        <v>9.0300211797437646E-10</v>
      </c>
      <c r="BS102" s="22">
        <f t="shared" si="63"/>
        <v>2.9002242623478134</v>
      </c>
      <c r="BT102" s="75">
        <f>('Scénario référence'!$F$8+'Scénario référence'!$F$9+'Scénario référence'!$B$17+'Scénario référence'!$B$9+'Scénario référence'!$B$10)*70+IF((45+25*(1-EXP(-0.0175*A102)))&lt;70,'Scénario référence'!$B$16*(45+25*(1-EXP(-0.0175*A102))),70*'Scénario référence'!$B$16)+IF((32+38*(1-EXP(-0.0175*A102)))&lt;70,'Scénario référence'!$B$18*(32+38*(1-EXP(-0.0175*A102))),70*'Scénario référence'!$B$18)</f>
        <v>70</v>
      </c>
      <c r="BU102" s="12">
        <f>IF(A102&gt;30,10,('Scénario référence'!$B$16+'Scénario référence'!$B$17+'Scénario référence'!$B$18+'Scénario référence'!$B$9+'Scénario référence'!$B$10)*A102*10/30+('Scénario référence'!$F$8+'Scénario référence'!$F$9)*10)</f>
        <v>10</v>
      </c>
      <c r="BV102" s="12" t="e">
        <f>VLOOKUP(A102,'Données projet'!$A$113:$I$133,2,0)</f>
        <v>#N/A</v>
      </c>
      <c r="BW102" s="12" t="e">
        <f>VLOOKUP(A102,'Données projet'!$A$113:$I$133,9,0)</f>
        <v>#N/A</v>
      </c>
      <c r="BX102" s="12">
        <f t="array" ref="BX102">INDEX(BW:BW,MIN(IF(ISNUMBER(BW102:BW298),ROW(BW102:BW298),"")))</f>
        <v>3.5</v>
      </c>
      <c r="BY102" s="12">
        <f>IF('Données projet'!$A$114&gt;35,BY101+BX102-CG101,IF(A102&lt;'Données projet'!$A$114,$BV$205^A102,IF(A102='Données projet'!$A$114,'Données projet'!$B$114,BY101+BX102-CG101)))</f>
        <v>357.49999999999977</v>
      </c>
      <c r="BZ102" s="13">
        <f>BY102*VLOOKUP('Données projet'!$B$12,Paramètres!$A$1:$I$89,3,0)*VLOOKUP('Données projet'!$B$12,Paramètres!$A$1:$I$89,5,0)</f>
        <v>204.48999999999987</v>
      </c>
      <c r="CA102" s="13">
        <f t="shared" si="93"/>
        <v>50.72965517300819</v>
      </c>
      <c r="CB102" s="20">
        <f t="shared" si="64"/>
        <v>444.50756609298901</v>
      </c>
      <c r="CC102" s="59">
        <f t="shared" si="65"/>
        <v>737.84089942632227</v>
      </c>
      <c r="CD102" s="59">
        <f ca="1">AVERAGE(OFFSET($CC$3,0,0,'Données projet'!$E$12+1,1))-AVERAGE(OFFSET($H$3,0,0,'Données projet'!$E$12+1,1))</f>
        <v>188.64374818906128</v>
      </c>
      <c r="CE102" s="59">
        <f t="shared" si="94"/>
        <v>211.95157880548652</v>
      </c>
      <c r="CF102" s="15">
        <f>IF(ISNA(VLOOKUP(A102,'Données projet'!$A$113:$I$133,3,0)),0,VLOOKUP(A102,'Données projet'!$A$113:$I$133,3,0))</f>
        <v>0</v>
      </c>
      <c r="CG102" s="15">
        <f>IF(ISNA(VLOOKUP(A102,'Données projet'!$A$113:$I$133,4,0)),0,VLOOKUP(A102,'Données projet'!$A$113:$I$133,4,0))</f>
        <v>0</v>
      </c>
      <c r="CH102" s="16">
        <f>IF(ISNA(VLOOKUP(A102,'Données projet'!$A$113:$I$133,5,0)),0%,VLOOKUP(A102,'Données projet'!$A$113:$I$133,5,0)*VLOOKUP('Données projet'!$B$12,Paramètres!$A$1:$I$89,7,0))</f>
        <v>0</v>
      </c>
      <c r="CI102" s="16">
        <f>IF(ISNA(VLOOKUP(A102,'Données projet'!$A$113:$I$133,6,0)),0%,VLOOKUP(A102,'Données projet'!$A$113:$I$133,6,0)*VLOOKUP('Données projet'!$B$12,Paramètres!$A$1:$I$89,7,0))</f>
        <v>0</v>
      </c>
      <c r="CJ102" s="16">
        <f>IF(ISNA(VLOOKUP(A102,'Données projet'!$A$113:$I$133,7,0)),0%,VLOOKUP(A102,'Données projet'!$A$113:$I$133,7,0))</f>
        <v>0</v>
      </c>
      <c r="CK102" s="21">
        <f>EXP(-LN(2)/35)*CK101+(1-EXP(-LN(2)/35))/(LN(2)/35)*CG102*CH102*VLOOKUP('Données projet'!$B$12,Paramètres!$A$1:$I$89,3,0)*0.475*44/12</f>
        <v>0.62691730955277425</v>
      </c>
      <c r="CL102" s="21">
        <f>EXP(-LN(2)/25)*CL101+(1-EXP(-LN(2)/25))/(LN(2)/25)*Calculateur!CG102*Calculateur!CI102*VLOOKUP('Données projet'!$B$12,Paramètres!$A$1:$I$89,3,0)*0.475*44/12</f>
        <v>2.1214345849319001</v>
      </c>
      <c r="CM102" s="21">
        <f>EXP(-LN(2)/2)*CM101+(1-EXP(-LN(2)/2))/(LN(2)/2)*CG102*CJ102*VLOOKUP('Données projet'!$B$12,Paramètres!$A$1:$I$89,3,0)*0.475*44/12</f>
        <v>8.7448689932318954E-10</v>
      </c>
      <c r="CN102" s="22">
        <f t="shared" si="66"/>
        <v>2.748351895359161</v>
      </c>
      <c r="CO102" s="75">
        <f>('Scénario référence'!$F$8+'Scénario référence'!$F$9+'Scénario référence'!$B$17+'Scénario référence'!$B$9+'Scénario référence'!$B$10)*70+IF((45+25*(1-EXP(-0.0175*A102)))&lt;70,'Scénario référence'!$B$16*(45+25*(1-EXP(-0.0175*A102))),70*'Scénario référence'!$B$16)+IF((32+38*(1-EXP(-0.0175*A102)))&lt;70,'Scénario référence'!$B$18*(32+38*(1-EXP(-0.0175*A102))),70*'Scénario référence'!$B$18)</f>
        <v>70</v>
      </c>
      <c r="CP102" s="12">
        <f>IF(A102&gt;30,10,('Scénario référence'!$B$16+'Scénario référence'!$B$17+'Scénario référence'!$B$18+'Scénario référence'!$B$9+'Scénario référence'!$B$10)*A102*10/30+('Scénario référence'!$F$8+'Scénario référence'!$F$9)*10)</f>
        <v>10</v>
      </c>
      <c r="CQ102" s="12" t="e">
        <f>VLOOKUP(A102,'Données projet'!$A$139:$I$159,2,0)</f>
        <v>#N/A</v>
      </c>
      <c r="CR102" s="12" t="e">
        <f>VLOOKUP(A102,'Données projet'!$A$139:$I$159,9,0)</f>
        <v>#N/A</v>
      </c>
      <c r="CS102" s="12">
        <f t="array" ref="CS102">INDEX(CR:CR,MIN(IF(ISNUMBER(CR102:CR298),ROW(CR102:CR298),"")))</f>
        <v>0</v>
      </c>
      <c r="CT102" s="12">
        <f>IF('Données projet'!$A$140&gt;35,CT101+CS102-DB101,IF(A102&lt;'Données projet'!$A$140,$CQ$205^A102,IF(A102='Données projet'!$A$140,'Données projet'!$B$140,CT101+CS102-DB101)))</f>
        <v>0</v>
      </c>
      <c r="CU102" s="17" t="e">
        <f>CT102*VLOOKUP('Données projet'!$B$13,Paramètres!$A$1:$I$89,3,0)*VLOOKUP('Données projet'!$B$13,Paramètres!$A$1:$I$89,5,0)</f>
        <v>#N/A</v>
      </c>
      <c r="CV102" s="13" t="e">
        <f t="shared" si="95"/>
        <v>#N/A</v>
      </c>
      <c r="CW102" s="20" t="e">
        <f t="shared" si="67"/>
        <v>#N/A</v>
      </c>
      <c r="CX102" s="59" t="e">
        <f t="shared" si="68"/>
        <v>#N/A</v>
      </c>
      <c r="CY102" s="59" t="e">
        <f ca="1">AVERAGE(OFFSET($CX$3,0,0,'Données projet'!$E$13+1,1))-AVERAGE(OFFSET($H$3,0,0,'Données projet'!$E$13+1,1))</f>
        <v>#N/A</v>
      </c>
      <c r="CZ102" s="59" t="e">
        <f t="shared" si="96"/>
        <v>#N/A</v>
      </c>
      <c r="DA102" s="15">
        <f>IF(ISNA(VLOOKUP(A102,'Données projet'!$A$139:$I$159,3,0)),0,VLOOKUP(A102,'Données projet'!$A$139:$I$159,3,0))</f>
        <v>0</v>
      </c>
      <c r="DB102" s="15">
        <f>IF(ISNA(VLOOKUP(A102,'Données projet'!$A$139:$I$159,4,0)),0,VLOOKUP(A102,'Données projet'!$A$139:$I$159,4,0))</f>
        <v>0</v>
      </c>
      <c r="DC102" s="16">
        <f>IF(ISNA(VLOOKUP(A102,'Données projet'!$A$139:$I$159,5,0)),0%,VLOOKUP(A102,'Données projet'!$A$139:$I$159,5,0)*VLOOKUP('Données projet'!$B$13,Paramètres!$A$1:$I$89,7,0))</f>
        <v>0</v>
      </c>
      <c r="DD102" s="16">
        <f>IF(ISNA(VLOOKUP(A102,'Données projet'!$A$139:$I$159,6,0)),0%,VLOOKUP(A102,'Données projet'!$A$139:$I$159,6,0)*VLOOKUP('Données projet'!$B$13,Paramètres!$A$1:$I$89,7,0))</f>
        <v>0</v>
      </c>
      <c r="DE102" s="16">
        <f>IF(ISNA(VLOOKUP(A102,'Données projet'!$A$139:$I$159,7,0)),0%,VLOOKUP(A102,'Données projet'!$A$139:$I$159,7,0))</f>
        <v>0</v>
      </c>
      <c r="DF102" s="21" t="e">
        <f>EXP(-LN(2)/35)*DF101+(1-EXP(-LN(2)/35))/(LN(2)/35)*DB102*DC102*VLOOKUP('Données projet'!$B$13,Paramètres!$A$1:$I$89,3,0)*0.475*44/12</f>
        <v>#N/A</v>
      </c>
      <c r="DG102" s="21" t="e">
        <f>EXP(-LN(2)/25)*DG101+(1-EXP(-LN(2)/25))/(LN(2)/25)*Calculateur!DB102*Calculateur!DD102*VLOOKUP('Données projet'!$B$13,Paramètres!$A$1:$I$89,3,0)*0.475*44/12</f>
        <v>#N/A</v>
      </c>
      <c r="DH102" s="21" t="e">
        <f>EXP(-LN(2)/2)*DH101+(1-EXP(-LN(2)/2))/(LN(2)/2)*DB102*DE102*VLOOKUP('Données projet'!$B$13,Paramètres!$A$1:$I$89,3,0)*0.475*44/12</f>
        <v>#N/A</v>
      </c>
      <c r="DI102" s="22" t="e">
        <f t="shared" si="69"/>
        <v>#N/A</v>
      </c>
      <c r="DJ102" s="75">
        <f>('Scénario référence'!$F$8+'Scénario référence'!$F$9+'Scénario référence'!$B$17+'Scénario référence'!$B$9+'Scénario référence'!$B$10)*70+IF((45+25*(1-EXP(-0.0175*A102)))&lt;70,'Scénario référence'!$B$16*(45+25*(1-EXP(-0.0175*A102))),70*'Scénario référence'!$B$16)+IF((32+38*(1-EXP(-0.0175*A102)))&lt;70,'Scénario référence'!$B$18*(32+38*(1-EXP(-0.0175*A102))),70*'Scénario référence'!$B$18)</f>
        <v>70</v>
      </c>
      <c r="DK102" s="12">
        <f>IF(A102&gt;30,10,('Scénario référence'!$B$16+'Scénario référence'!$B$17+'Scénario référence'!$B$18+'Scénario référence'!$B$9+'Scénario référence'!$B$10)*A102*10/30+('Scénario référence'!$F$8+'Scénario référence'!$F$9)*10)</f>
        <v>10</v>
      </c>
      <c r="DL102" s="12" t="e">
        <f>VLOOKUP(A102,'Données projet'!$A$165:$I$185,2,0)</f>
        <v>#N/A</v>
      </c>
      <c r="DM102" s="12" t="e">
        <f>VLOOKUP(A102,'Données projet'!$A$165:$I$185,9,0)</f>
        <v>#N/A</v>
      </c>
      <c r="DN102" s="12">
        <f t="array" ref="DN102">INDEX(DM:DM,MIN(IF(ISNUMBER(DM102:DM298),ROW(DM102:DM298),"")))</f>
        <v>0</v>
      </c>
      <c r="DO102" s="12">
        <f>IF('Données projet'!$A$166&gt;35,DO101+DN102-DW101,IF(A102&lt;'Données projet'!$A$166,$DL$205^A102,IF(A102='Données projet'!$A$166,'Données projet'!$B$166,DO101+DN102-DW101)))</f>
        <v>268.00000000000017</v>
      </c>
      <c r="DP102" s="17">
        <f>DO102*VLOOKUP('Données projet'!$B$14,Paramètres!$A$1:$I$89,3,0)*VLOOKUP('Données projet'!$B$14,Paramètres!$A$1:$I$89,5,0)</f>
        <v>175.59360000000012</v>
      </c>
      <c r="DQ102" s="13">
        <f t="shared" si="97"/>
        <v>44.340433728638573</v>
      </c>
      <c r="DR102" s="20">
        <f t="shared" si="70"/>
        <v>383.05177541071242</v>
      </c>
      <c r="DS102" s="59">
        <f t="shared" si="71"/>
        <v>676.38510874404574</v>
      </c>
      <c r="DT102" s="59">
        <f ca="1">AVERAGE(OFFSET($DS$3,0,0,'Données projet'!$E$14+1,1))-AVERAGE(OFFSET($H$3,0,0,'Données projet'!$E$14+1,1))</f>
        <v>188.68915783955595</v>
      </c>
      <c r="DU102" s="59">
        <f t="shared" si="98"/>
        <v>240.82467772396944</v>
      </c>
      <c r="DV102" s="15">
        <f>IF(ISNA(VLOOKUP(A102,'Données projet'!$A$165:$I$185,3,0)),0,VLOOKUP(A102,'Données projet'!$A$165:$I$185,3,0))</f>
        <v>0</v>
      </c>
      <c r="DW102" s="15">
        <f>IF(ISNA(VLOOKUP(A102,'Données projet'!$A$165:$I$185,4,0)),0,VLOOKUP(A102,'Données projet'!$A$165:$I$185,4,0))</f>
        <v>0</v>
      </c>
      <c r="DX102" s="16">
        <f>IF(ISNA(VLOOKUP(A102,'Données projet'!$A$165:$I$185,5,0)),0%,VLOOKUP(A102,'Données projet'!$A$165:$I$185,5,0)*VLOOKUP('Données projet'!$B$14,Paramètres!$A$1:$I$89,7,0))</f>
        <v>0</v>
      </c>
      <c r="DY102" s="16">
        <f>IF(ISNA(VLOOKUP(A102,'Données projet'!$A$165:$I$185,6,0)),0%,VLOOKUP(A102,'Données projet'!$A$165:$I$185,6,0)*VLOOKUP('Données projet'!$B$14,Paramètres!$A$1:$I$89,7,0))</f>
        <v>0</v>
      </c>
      <c r="DZ102" s="16">
        <f>IF(ISNA(VLOOKUP(A102,'Données projet'!$A$165:$I$185,7,0)),0%,VLOOKUP(A102,'Données projet'!$A$165:$I$185,7,0))</f>
        <v>0</v>
      </c>
      <c r="EA102" s="21">
        <f>EXP(-LN(2)/35)*EA101+(1-EXP(-LN(2)/35))/(LN(2)/35)*DW102*DX102*VLOOKUP('Données projet'!$B$14,Paramètres!$A$1:$I$89,3,0)*0.475*44/12</f>
        <v>0.39710040020072607</v>
      </c>
      <c r="EB102" s="21">
        <f>EXP(-LN(2)/25)*EB101+(1-EXP(-LN(2)/25))/(LN(2)/25)*Calculateur!DW102*Calculateur!DY102*VLOOKUP('Données projet'!$B$14,Paramètres!$A$1:$I$89,3,0)*0.475*44/12</f>
        <v>1.186606693506268</v>
      </c>
      <c r="EC102" s="21">
        <f>EXP(-LN(2)/2)*EC101+(1-EXP(-LN(2)/2))/(LN(2)/2)*DW102*DZ102*VLOOKUP('Données projet'!$B$14,Paramètres!$A$1:$I$89,3,0)*0.475*44/12</f>
        <v>5.7607860067513428E-10</v>
      </c>
      <c r="ED102" s="22">
        <f t="shared" si="72"/>
        <v>1.5837070942830727</v>
      </c>
      <c r="EE102" s="75">
        <f>('Scénario référence'!$F$8+'Scénario référence'!$F$9+'Scénario référence'!$B$17+'Scénario référence'!$B$9+'Scénario référence'!$B$10)*70+IF((45+25*(1-EXP(-0.0175*A102)))&lt;70,'Scénario référence'!$B$16*(45+25*(1-EXP(-0.0175*A102))),70*'Scénario référence'!$B$16)+IF((32+38*(1-EXP(-0.0175*A102)))&lt;70,'Scénario référence'!$B$18*(32+38*(1-EXP(-0.0175*A102))),70*'Scénario référence'!$B$18)</f>
        <v>70</v>
      </c>
      <c r="EF102" s="12">
        <f>IF(A102&gt;30,10,('Scénario référence'!$B$16+'Scénario référence'!$B$17+'Scénario référence'!$B$18+'Scénario référence'!$B$9+'Scénario référence'!$B$10)*A102*10/30+('Scénario référence'!$F$8+'Scénario référence'!$F$9)*10)</f>
        <v>10</v>
      </c>
      <c r="EG102" s="12" t="e">
        <f>VLOOKUP(A102,'Données projet'!$A$191:$I$211,2,0)</f>
        <v>#N/A</v>
      </c>
      <c r="EH102" s="12" t="e">
        <f>VLOOKUP(A102,'Données projet'!$A$191:$I$211,9,0)</f>
        <v>#N/A</v>
      </c>
      <c r="EI102" s="12">
        <f t="array" ref="EI102">INDEX(EH:EH,MIN(IF(ISNUMBER(EH102:EH298),ROW(EH102:EH298),"")))</f>
        <v>0</v>
      </c>
      <c r="EJ102" s="12">
        <f>IF('Données projet'!$A$192&gt;35,EJ101+EI102-ER101,IF(A102&lt;'Données projet'!$A$192,$EG$205^A102,IF(A102='Données projet'!$A$192,'Données projet'!$B$192,EJ101+EI102-ER101)))</f>
        <v>275.99999999999972</v>
      </c>
      <c r="EK102" s="17">
        <f>EJ102*VLOOKUP('Données projet'!$B$15,Paramètres!$A$1:$I$89,3,0)*VLOOKUP('Données projet'!$B$15,Paramètres!$A$1:$I$89,5,0)</f>
        <v>223.8911999999998</v>
      </c>
      <c r="EL102" s="13">
        <f t="shared" si="99"/>
        <v>54.95975389514858</v>
      </c>
      <c r="EM102" s="20">
        <f t="shared" si="73"/>
        <v>485.66541136738346</v>
      </c>
      <c r="EN102" s="59">
        <f t="shared" si="74"/>
        <v>778.99874470071677</v>
      </c>
      <c r="EO102" s="59">
        <f ca="1">AVERAGE(OFFSET($EN$3,0,0,'Données projet'!$E$15+1,1))-AVERAGE(OFFSET($H$3,0,0,'Données projet'!$E$15+1,1))</f>
        <v>205.5272583787887</v>
      </c>
      <c r="EP102" s="59">
        <f t="shared" si="100"/>
        <v>180.54762778843178</v>
      </c>
      <c r="EQ102" s="15">
        <f>IF(ISNA(VLOOKUP(A102,'Données projet'!$A$191:$I$211,3,0)),0,VLOOKUP(A102,'Données projet'!$A$191:$I$211,3,0))</f>
        <v>0</v>
      </c>
      <c r="ER102" s="15">
        <f>IF(ISNA(VLOOKUP(A102,'Données projet'!$A$191:$I$211,4,0)),0,VLOOKUP(A102,'Données projet'!$A$191:$I$211,4,0))</f>
        <v>0</v>
      </c>
      <c r="ES102" s="16">
        <f>IF(ISNA(VLOOKUP(A102,'Données projet'!$A$191:$I$211,5,0)),0%,VLOOKUP(A102,'Données projet'!$A$191:$I$211,5,0)*VLOOKUP('Données projet'!$B$15,Paramètres!$A$1:$I$89,7,0))</f>
        <v>0</v>
      </c>
      <c r="ET102" s="16">
        <f>IF(ISNA(VLOOKUP(A102,'Données projet'!$A$191:$I$211,6,0)),0%,VLOOKUP(A102,'Données projet'!$A$191:$I$211,6,0)*VLOOKUP('Données projet'!$B$15,Paramètres!$A$1:$I$89,7,0))</f>
        <v>0</v>
      </c>
      <c r="EU102" s="16">
        <f>IF(ISNA(VLOOKUP(A102,'Données projet'!$A$191:$I$211,7,0)),0%,VLOOKUP(A102,'Données projet'!$A$191:$I$211,7,0))</f>
        <v>0</v>
      </c>
      <c r="EV102" s="21">
        <f>EXP(-LN(2)/35)*EV101+(1-EXP(-LN(2)/35))/(LN(2)/35)*ER102*ES102*VLOOKUP('Données projet'!$B$15,Paramètres!$A$1:$I$89,3,0)*0.475*44/12</f>
        <v>0.25565701955780074</v>
      </c>
      <c r="EW102" s="21">
        <f>EXP(-LN(2)/25)*EW101+(1-EXP(-LN(2)/25))/(LN(2)/25)*Calculateur!ER102*Calculateur!ET102*VLOOKUP('Données projet'!$B$15,Paramètres!$A$1:$I$89,3,0)*0.475*44/12</f>
        <v>0.85676602957050574</v>
      </c>
      <c r="EX102" s="21">
        <f>EXP(-LN(2)/2)*EX101+(1-EXP(-LN(2)/2))/(LN(2)/2)*ER102*EU102*VLOOKUP('Données projet'!$B$15,Paramètres!$A$1:$I$89,3,0)*0.475*44/12</f>
        <v>3.7301131990476346E-10</v>
      </c>
      <c r="EY102" s="22">
        <f t="shared" si="75"/>
        <v>1.1124230495013179</v>
      </c>
      <c r="EZ102" s="75">
        <f>('Scénario référence'!$F$8+'Scénario référence'!$F$9+'Scénario référence'!$B$17+'Scénario référence'!$B$9+'Scénario référence'!$B$10)*70+IF((45+25*(1-EXP(-0.0175*A102)))&lt;70,'Scénario référence'!$B$16*(45+25*(1-EXP(-0.0175*A102))),70*'Scénario référence'!$B$16)+IF((32+38*(1-EXP(-0.0175*A102)))&lt;70,'Scénario référence'!$B$18*(32+38*(1-EXP(-0.0175*A102))),70*'Scénario référence'!$B$18)</f>
        <v>70</v>
      </c>
      <c r="FA102" s="12">
        <f>IF(A102&gt;30,10,('Scénario référence'!$B$16+'Scénario référence'!$B$17+'Scénario référence'!$B$18+'Scénario référence'!$B$9+'Scénario référence'!$B$10)*A102*10/30+('Scénario référence'!$F$8+'Scénario référence'!$F$9)*10)</f>
        <v>10</v>
      </c>
      <c r="FB102" s="12" t="e">
        <f>VLOOKUP(A102,'Données projet'!$A$217:$I$237,2,0)</f>
        <v>#N/A</v>
      </c>
      <c r="FC102" s="12" t="e">
        <f>VLOOKUP(A102,'Données projet'!$A$217:$I$237,9,0)</f>
        <v>#N/A</v>
      </c>
      <c r="FD102" s="12">
        <f t="array" ref="FD102">INDEX(FC:FC,MIN(IF(ISNUMBER(FC102:FC298),ROW(FC102:FC298),"")))</f>
        <v>9.6999999999999993</v>
      </c>
      <c r="FE102" s="12">
        <f>IF('Données projet'!$A$218&gt;35,FE101+FD102-FM101,IF(A102&lt;'Données projet'!$A$218,$FB$205^A102,IF(A102='Données projet'!$A$218,'Données projet'!$B$218,FE101+FD102-FM101)))</f>
        <v>426.29999999999984</v>
      </c>
      <c r="FF102" s="17">
        <f>FE102*VLOOKUP('Données projet'!$B$16,Paramètres!$A$1:$I$89,3,0)*VLOOKUP('Données projet'!$B$16,Paramètres!$A$1:$I$89,5,0)</f>
        <v>365.76539999999989</v>
      </c>
      <c r="FG102" s="13">
        <f t="shared" si="101"/>
        <v>84.800399908015635</v>
      </c>
      <c r="FH102" s="20">
        <f t="shared" si="76"/>
        <v>784.73543483979358</v>
      </c>
      <c r="FI102" s="59">
        <f t="shared" si="77"/>
        <v>1078.068768173127</v>
      </c>
      <c r="FJ102" s="59">
        <f ca="1">AVERAGE(OFFSET($FI$3,0,0,'Données projet'!$E$16+1,1))-AVERAGE(OFFSET($H$3,0,0,'Données projet'!$E$16+1,1))</f>
        <v>383.97627237444709</v>
      </c>
      <c r="FK102" s="59">
        <f t="shared" si="102"/>
        <v>203.35476578922339</v>
      </c>
      <c r="FL102" s="15">
        <f>IF(ISNA(VLOOKUP(A102,'Données projet'!$A$217:$I$237,3,0)),0,VLOOKUP(A102,'Données projet'!$A$217:$I$237,3,0))</f>
        <v>0</v>
      </c>
      <c r="FM102" s="15">
        <f>IF(ISNA(VLOOKUP(A102,'Données projet'!$A$217:$I$237,4,0)),0,VLOOKUP(A102,'Données projet'!$A$217:$I$237,4,0))</f>
        <v>0</v>
      </c>
      <c r="FN102" s="16">
        <f>IF(ISNA(VLOOKUP(A102,'Données projet'!$A$217:$I$237,5,0)),0%,VLOOKUP(A102,'Données projet'!$A$217:$I$237,5,0)*VLOOKUP('Données projet'!$B$16,Paramètres!$A$1:$I$89,7,0))</f>
        <v>0</v>
      </c>
      <c r="FO102" s="16">
        <f>IF(ISNA(VLOOKUP(A102,'Données projet'!$A$217:$I$237,6,0)),0%,VLOOKUP(A102,'Données projet'!$A$217:$I$237,6,0)*VLOOKUP('Données projet'!$B$16,Paramètres!$A$1:$I$89,7,0))</f>
        <v>0</v>
      </c>
      <c r="FP102" s="16">
        <f>IF(ISNA(VLOOKUP(A102,'Données projet'!$A$217:$I$237,7,0)),0%,VLOOKUP(A102,'Données projet'!$A$217:$I$237,7,0))</f>
        <v>0</v>
      </c>
      <c r="FQ102" s="21">
        <f>EXP(-LN(2)/35)*FQ101+(1-EXP(-LN(2)/35))/(LN(2)/35)*FM102*FN102*VLOOKUP('Données projet'!$B$16,Paramètres!$A$1:$I$89,3,0)*0.475*44/12</f>
        <v>1.3139383812289553</v>
      </c>
      <c r="FR102" s="21">
        <f>EXP(-LN(2)/25)*FR101+(1-EXP(-LN(2)/25))/(LN(2)/25)*Calculateur!FM102*Calculateur!FO102*VLOOKUP('Données projet'!$B$16,Paramètres!$A$1:$I$89,3,0)*0.475*44/12</f>
        <v>0.86970607519924625</v>
      </c>
      <c r="FS102" s="21">
        <f>EXP(-LN(2)/2)*FS101+(1-EXP(-LN(2)/2))/(LN(2)/2)*FM102*FP102*VLOOKUP('Données projet'!$B$16,Paramètres!$A$1:$I$89,3,0)*0.475*44/12</f>
        <v>6.8514524165871752E-10</v>
      </c>
      <c r="FT102" s="22">
        <f t="shared" si="78"/>
        <v>2.1836444571133469</v>
      </c>
      <c r="FU102" s="75">
        <f>('Scénario référence'!$F$8+'Scénario référence'!$F$9+'Scénario référence'!$B$17+'Scénario référence'!$B$9+'Scénario référence'!$B$10)*70+IF((45+25*(1-EXP(-0.0175*A102)))&lt;70,'Scénario référence'!$B$16*(45+25*(1-EXP(-0.0175*A102))),70*'Scénario référence'!$B$16)+IF((32+38*(1-EXP(-0.0175*A102)))&lt;70,'Scénario référence'!$B$18*(32+38*(1-EXP(-0.0175*A102))),70*'Scénario référence'!$B$18)</f>
        <v>70</v>
      </c>
      <c r="FV102" s="12">
        <f>IF(A102&gt;30,10,('Scénario référence'!$B$16+'Scénario référence'!$B$17+'Scénario référence'!$B$18+'Scénario référence'!$B$9+'Scénario référence'!$B$10)*A102*10/30+('Scénario référence'!$F$8+'Scénario référence'!$F$9)*10)</f>
        <v>10</v>
      </c>
      <c r="FW102" s="12">
        <f>VLOOKUP(A102,'Données projet'!$A$243:$I$263,2,0)</f>
        <v>318.25</v>
      </c>
      <c r="FX102" s="12">
        <f>VLOOKUP(A102,'Données projet'!$A$243:$I$263,9,0)</f>
        <v>7.1782051282051267</v>
      </c>
      <c r="FY102" s="12">
        <f t="array" ref="FY102">INDEX(FX:FX,MIN(IF(ISNUMBER(FX102:FX298),ROW(FX102:FX298),"")))</f>
        <v>7.1782051282051267</v>
      </c>
      <c r="FZ102" s="12">
        <f>IF('Données projet'!$A$244&gt;35,FZ101+FY102-GH101,IF(A102&lt;'Données projet'!$A$244,$FW$205^A102,IF(A102='Données projet'!$A$244,'Données projet'!$B$244,FZ101+FY102-GH101)))</f>
        <v>318.25000000000034</v>
      </c>
      <c r="GA102" s="17">
        <f>FZ102*VLOOKUP('Données projet'!$B$17,Paramètres!$A$1:$I$89,3,0)*VLOOKUP('Données projet'!$B$17,Paramètres!$A$1:$I$89,5,0)</f>
        <v>342.56430000000034</v>
      </c>
      <c r="GB102" s="13">
        <f t="shared" si="103"/>
        <v>80.029515132551893</v>
      </c>
      <c r="GC102" s="20">
        <f t="shared" si="79"/>
        <v>736.01756135586174</v>
      </c>
      <c r="GD102" s="59">
        <f t="shared" si="80"/>
        <v>1029.350894689195</v>
      </c>
      <c r="GE102" s="59">
        <f ca="1">AVERAGE(OFFSET($GD$3,0,0,'Données projet'!$E$17+1,1))-AVERAGE(OFFSET($H$3,0,0,'Données projet'!$E$17+1,1))</f>
        <v>286.77702855541287</v>
      </c>
      <c r="GF102" s="59">
        <f t="shared" si="104"/>
        <v>227.12211541860779</v>
      </c>
      <c r="GG102" s="15">
        <f>IF(ISNA(VLOOKUP(A102,'Données projet'!$A$243:$I$263,3,0)),0,VLOOKUP(A102,'Données projet'!$A$243:$I$263,3,0))</f>
        <v>9</v>
      </c>
      <c r="GH102" s="15">
        <f>IF(ISNA(VLOOKUP(A102,'Données projet'!$A$243:$I$263,4,0)),0,VLOOKUP(A102,'Données projet'!$A$243:$I$263,4,0))</f>
        <v>48.019230769230766</v>
      </c>
      <c r="GI102" s="16">
        <f>IF(ISNA(VLOOKUP(A102,'Données projet'!$A$243:$I$263,5,0)),0%,VLOOKUP(A102,'Données projet'!$A$243:$I$263,5,0)*VLOOKUP('Données projet'!$B$17,Paramètres!$A$1:$I$89,7,0))</f>
        <v>0</v>
      </c>
      <c r="GJ102" s="16">
        <f>IF(ISNA(VLOOKUP(A102,'Données projet'!$A$243:$I$263,6,0)),0%,VLOOKUP(A102,'Données projet'!$A$243:$I$263,6,0)*VLOOKUP('Données projet'!$B$17,Paramètres!$A$1:$I$89,7,0))</f>
        <v>0</v>
      </c>
      <c r="GK102" s="16">
        <f>IF(ISNA(VLOOKUP(A102,'Données projet'!$A$243:$I$263,7,0)),0%,VLOOKUP(A102,'Données projet'!$A$243:$I$263,7,0))</f>
        <v>0</v>
      </c>
      <c r="GL102" s="21">
        <f>EXP(-LN(2)/35)*GL101+(1-EXP(-LN(2)/35))/(LN(2)/35)*GH102*GI102*VLOOKUP('Données projet'!$B$17,Paramètres!$A$1:$I$89,3,0)*0.475*44/12</f>
        <v>0</v>
      </c>
      <c r="GM102" s="21">
        <f>EXP(-LN(2)/25)*GM101+(1-EXP(-LN(2)/25))/(LN(2)/25)*Calculateur!GH102*Calculateur!GJ102*VLOOKUP('Données projet'!$B$17,Paramètres!$A$1:$I$89,3,0)*0.475*44/12</f>
        <v>0</v>
      </c>
      <c r="GN102" s="21">
        <f>EXP(-LN(2)/2)*GN101+(1-EXP(-LN(2)/2))/(LN(2)/2)*GH102*GK102*VLOOKUP('Données projet'!$B$17,Paramètres!$A$1:$I$89,3,0)*0.475*44/12</f>
        <v>0</v>
      </c>
      <c r="GO102" s="21">
        <f t="shared" si="81"/>
        <v>0</v>
      </c>
      <c r="GP102" s="75">
        <f>('Scénario référence'!$F$8+'Scénario référence'!$F$9+'Scénario référence'!$B$17+'Scénario référence'!$B$9+'Scénario référence'!$B$10)*70+IF((45+25*(1-EXP(-0.0175*A102)))&lt;70,'Scénario référence'!$B$16*(45+25*(1-EXP(-0.0175*A102))),70*'Scénario référence'!$B$16)+IF((32+38*(1-EXP(-0.0175*A102)))&lt;70,'Scénario référence'!$B$18*(32+38*(1-EXP(-0.0175*A102))),70*'Scénario référence'!$B$18)</f>
        <v>70</v>
      </c>
      <c r="GQ102" s="12">
        <f>IF(A102&gt;30,10,('Scénario référence'!$B$16+'Scénario référence'!$B$17+'Scénario référence'!$B$18+'Scénario référence'!$B$9+'Scénario référence'!$B$10)*A102*10/30+('Scénario référence'!$F$8+'Scénario référence'!$F$9)*10)</f>
        <v>10</v>
      </c>
      <c r="GR102" s="12">
        <f>VLOOKUP(A102,'Données projet'!$A$269:$I$289,2,0)</f>
        <v>318.25</v>
      </c>
      <c r="GS102" s="12">
        <f>VLOOKUP(A102,'Données projet'!$A$269:$I$289,9,0)</f>
        <v>7.1782051282051267</v>
      </c>
      <c r="GT102" s="12">
        <f t="array" ref="GT102">INDEX(GS:GS,MIN(IF(ISNUMBER(GS102:GS298),ROW(GS102:GS298),"")))</f>
        <v>7.1782051282051267</v>
      </c>
      <c r="GU102" s="12">
        <f>IF('Données projet'!$A$270&gt;35,GU101+GT102-HC101,IF(A102&lt;'Données projet'!$A$270,$GR$205^A102,IF(A102='Données projet'!$A$270,'Données projet'!$B$270,GU101+GT102-HC101)))</f>
        <v>318.25000000000034</v>
      </c>
      <c r="GV102" s="17">
        <f>GU102*VLOOKUP('Données projet'!$B$18,Paramètres!$A$1:$I$89,3,0)*VLOOKUP('Données projet'!$B$18,Paramètres!$A$1:$I$89,5,0)</f>
        <v>342.56430000000034</v>
      </c>
      <c r="GW102" s="13">
        <f t="shared" si="105"/>
        <v>80.029515132551893</v>
      </c>
      <c r="GX102" s="20">
        <f t="shared" si="82"/>
        <v>736.01756135586174</v>
      </c>
      <c r="GY102" s="59">
        <f t="shared" si="83"/>
        <v>1029.350894689195</v>
      </c>
      <c r="GZ102" s="59">
        <f ca="1">AVERAGE(OFFSET($GY$3,0,0,'Données projet'!$E$18+1,1))-AVERAGE(OFFSET($H$3,0,0,'Données projet'!$E$18+1,1))</f>
        <v>286.77702855541287</v>
      </c>
      <c r="HA102" s="59">
        <f t="shared" si="106"/>
        <v>227.12211541860779</v>
      </c>
      <c r="HB102" s="15">
        <f>IF(ISNA(VLOOKUP(A102,'Données projet'!$A$269:$I$289,3,0)),0,VLOOKUP(A102,'Données projet'!$A$269:$I$289,3,0))</f>
        <v>9</v>
      </c>
      <c r="HC102" s="15">
        <f>IF(ISNA(VLOOKUP(A102,'Données projet'!$A$269:$I$289,4,0)),0,VLOOKUP(A102,'Données projet'!$A$269:$I$289,4,0))</f>
        <v>48.019230769230766</v>
      </c>
      <c r="HD102" s="16">
        <f>IF(ISNA(VLOOKUP(A102,'Données projet'!$A$269:$I$289,5,0)),0%,VLOOKUP(A102,'Données projet'!$A$269:$I$289,5,0)*VLOOKUP('Données projet'!$B$18,Paramètres!$A$1:$I$89,7,0))</f>
        <v>0</v>
      </c>
      <c r="HE102" s="16">
        <f>IF(ISNA(VLOOKUP(A102,'Données projet'!$A$269:$I$289,6,0)),0%,VLOOKUP(A102,'Données projet'!$A$269:$I$289,6,0)*VLOOKUP('Données projet'!$B$18,Paramètres!$A$1:$I$89,7,0))</f>
        <v>0</v>
      </c>
      <c r="HF102" s="16">
        <f>IF(ISNA(VLOOKUP(A102,'Données projet'!$A$269:$I$289,7,0)),0%,VLOOKUP(A102,'Données projet'!$A$269:$I$289,7,0))</f>
        <v>0</v>
      </c>
      <c r="HG102" s="21">
        <f>EXP(-LN(2)/35)*HG101+(1-EXP(-LN(2)/35))/(LN(2)/35)*HC102*HD102*VLOOKUP('Données projet'!$B$18,Paramètres!$A$1:$I$89,3,0)*0.475*44/12</f>
        <v>0</v>
      </c>
      <c r="HH102" s="21">
        <f>EXP(-LN(2)/25)*HH101+(1-EXP(-LN(2)/25))/(LN(2)/25)*Calculateur!HC102*Calculateur!HE102*VLOOKUP('Données projet'!$B$18,Paramètres!$A$1:$I$89,3,0)*0.475*44/12</f>
        <v>0</v>
      </c>
      <c r="HI102" s="21">
        <f>EXP(-LN(2)/2)*HI101+(1-EXP(-LN(2)/2))/(LN(2)/2)*HC102*HF102*VLOOKUP('Données projet'!$B$18,Paramètres!$A$1:$I$89,3,0)*0.475*44/12</f>
        <v>0</v>
      </c>
      <c r="HJ102" s="22">
        <f t="shared" si="84"/>
        <v>0</v>
      </c>
    </row>
    <row r="103" spans="1:218" x14ac:dyDescent="0.25">
      <c r="A103" s="10">
        <f t="shared" si="85"/>
        <v>100</v>
      </c>
      <c r="B103" s="73">
        <f>'Scénario référence'!$B$16*5+'Scénario référence'!$B$17*0+'Scénario référence'!$B$18*5</f>
        <v>0</v>
      </c>
      <c r="C103" s="19">
        <f>Calculateur!C102+'Scénario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88.920000000000144</v>
      </c>
      <c r="D103" s="11">
        <f t="shared" si="86"/>
        <v>24.304572270466512</v>
      </c>
      <c r="E10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03" s="11">
        <f>IF(OR('Scénario référence'!$F$8&gt;0,'Scénario référence'!$F$9&gt;0),('Scénario référence'!$F$8+'Scénario référence'!$F$9)*10,0)</f>
        <v>10</v>
      </c>
      <c r="G103" s="11">
        <f>'Scénario référence'!$B$8*B103*44/12+'Scénario référence'!$B$9*(C103+D103)/0.475*44/12+'Scénario référence'!$B$10*(C103+D103)/0.475*44/12+'Scénario référence'!$F$8*(C103+D103)/0.475*44/12+'Scénario référence'!$F$9*(C103+D103)/0.475*44/12</f>
        <v>874.01424208781282</v>
      </c>
      <c r="H103" s="67">
        <f t="shared" si="56"/>
        <v>490.53279670439605</v>
      </c>
      <c r="I103" s="70">
        <f>('Scénario référence'!$F$8+'Scénario référence'!$F$9+'Scénario référence'!$B$17+'Scénario référence'!$B$9+'Scénario référence'!$B$10)*70+IF((45+25*(1-EXP(-0.0175*A103)))&lt;70,'Scénario référence'!$B$16*(45+25*(1-EXP(-0.0175*A103))),70*'Scénario référence'!$B$16)+IF((32+38*(1-EXP(-0.0175*A103)))&lt;70,'Scénario référence'!$B$18*(32+38*(1-EXP(-0.0175*A103))),70*'Scénario référence'!$B$18)</f>
        <v>70</v>
      </c>
      <c r="J103" s="13">
        <f>IF(A103&gt;30,10,('Scénario référence'!$B$16+'Scénario référence'!$B$17+'Scénario référence'!$B$18+'Scénario référence'!$B$9+'Scénario référence'!$B$10)*A103*10/30+('Scénario référence'!$F$8+'Scénario référence'!$F$9)*10)</f>
        <v>10</v>
      </c>
      <c r="K103" s="12" t="e">
        <f>VLOOKUP(A103,'Données projet'!$A$35:$I$55,2,0)</f>
        <v>#N/A</v>
      </c>
      <c r="L103" s="12" t="e">
        <f>VLOOKUP(A103,'Données projet'!$A$35:$I$55,9,0)</f>
        <v>#N/A</v>
      </c>
      <c r="M103" s="12">
        <f t="array" ref="M103">INDEX(L:L,MIN(IF(ISNUMBER(L103:L299),ROW(L103:L299),"")))</f>
        <v>0</v>
      </c>
      <c r="N103" s="13">
        <f>IF('Données projet'!$A$36&gt;35,N102+M103-V102,IF(A103&lt;'Données projet'!$A$36,$K$205^A103,IF(A103='Données projet'!$A$36,'Données projet'!$B$36,N102+M103-V102)))</f>
        <v>-2.2737367544323206E-13</v>
      </c>
      <c r="O103" s="13">
        <f>N103*VLOOKUP('Données projet'!$B$9,Paramètres!$A$1:$I$89,3,0)*VLOOKUP('Données projet'!$B$9,Paramètres!$A$1:$I$89,5,0)</f>
        <v>-1.2710188457276673E-13</v>
      </c>
      <c r="P103" s="13" t="e">
        <f t="shared" si="87"/>
        <v>#NUM!</v>
      </c>
      <c r="Q103" s="20" t="e">
        <f t="shared" si="107"/>
        <v>#NUM!</v>
      </c>
      <c r="R103" s="59" t="e">
        <f t="shared" si="55"/>
        <v>#NUM!</v>
      </c>
      <c r="S103" s="59">
        <f ca="1">AVERAGE(OFFSET($R$3,0,0,'Données projet'!$E$9+1,1))-AVERAGE(OFFSET($H$3,0,0,'Données projet'!$E$9+1,1))</f>
        <v>255.5374979188561</v>
      </c>
      <c r="T103" s="59">
        <f t="shared" si="88"/>
        <v>343.10418468620901</v>
      </c>
      <c r="U103" s="15">
        <f>IF(ISNA(VLOOKUP(A103,'Données projet'!$A$35:$I$55,3,0)),0,VLOOKUP(A103,'Données projet'!$A$35:$I$55,3,0))</f>
        <v>0</v>
      </c>
      <c r="V103" s="15">
        <f>IF(ISNA(VLOOKUP(A103,'Données projet'!$A$35:$I$55,4,0)),0,VLOOKUP(A103,'Données projet'!$A$35:$I$55,4,0))</f>
        <v>0</v>
      </c>
      <c r="W103" s="16">
        <f>IF(ISNA(VLOOKUP(A103,'Données projet'!$A$35:$I$55,5,0)),0%,VLOOKUP(A103,'Données projet'!$A$35:$I$55,5,0)*VLOOKUP('Données projet'!$B$9,Paramètres!$A$1:$I$89,7,0))</f>
        <v>0</v>
      </c>
      <c r="X103" s="16">
        <f>IF(ISNA(VLOOKUP(A103,'Données projet'!$A$35:$I$55,6,0)),0%,VLOOKUP(A103,'Données projet'!$A$35:$I$55,6,0)*VLOOKUP('Données projet'!$B$9,Paramètres!$A$1:$I$89,7,0))</f>
        <v>0</v>
      </c>
      <c r="Y103" s="16">
        <f>IF(ISNA(VLOOKUP(A103,'Données projet'!$A$35:$I$55,7,0)),0%,VLOOKUP(A103,'Données projet'!$A$35:$I$55,7,0))</f>
        <v>0</v>
      </c>
      <c r="Z103" s="21">
        <f>EXP(-LN(2)/35)*Z102+(1-EXP(-LN(2)/35))/(LN(2)/35)*V103*W103*VLOOKUP('Données projet'!$B$9,Paramètres!$A$1:$I$89,3,0)*0.475*44/12</f>
        <v>0.77251021163860245</v>
      </c>
      <c r="AA103" s="21">
        <f>EXP(-LN(2)/25)*AA102+(1-EXP(-LN(2)/25))/(LN(2)/25)*Calculateur!V103*Calculateur!X103*VLOOKUP('Données projet'!$B$9,Paramètres!$A$1:$I$89,3,0)*0.475*44/12</f>
        <v>2.2916904260331616</v>
      </c>
      <c r="AB103" s="21">
        <f>EXP(-LN(2)/2)*AB102+(1-EXP(-LN(2)/2))/(LN(2)/2)*V103*Y103*VLOOKUP('Données projet'!$B$9,Paramètres!$A$1:$I$89,3,0)*0.475*44/12</f>
        <v>4.9262659142668884E-11</v>
      </c>
      <c r="AC103" s="22">
        <f t="shared" si="57"/>
        <v>3.0642006377210267</v>
      </c>
      <c r="AD103" s="13">
        <f>('Scénario référence'!$F$8+'Scénario référence'!$F$9+'Scénario référence'!$B$17+'Scénario référence'!$B$9+'Scénario référence'!$B$10)*70+IF((45+25*(1-EXP(-0.0175*A103)))&lt;70,'Scénario référence'!$B$16*(45+25*(1-EXP(-0.0175*A103))),70*'Scénario référence'!$B$16)+IF((32+38*(1-EXP(-0.0175*A103)))&lt;70,'Scénario référence'!$B$18*(32+38*(1-EXP(-0.0175*A103))),70*'Scénario référence'!$B$18)</f>
        <v>70</v>
      </c>
      <c r="AE103" s="13">
        <f>IF(A103&gt;30,10,('Scénario référence'!$B$16+'Scénario référence'!$B$17+'Scénario référence'!$B$18+'Scénario référence'!$B$9+'Scénario référence'!$B$10)*A103*10/30+('Scénario référence'!$F$8+'Scénario référence'!$F$9)*10)</f>
        <v>10</v>
      </c>
      <c r="AF103" s="12" t="e">
        <f>VLOOKUP(A103,'Données projet'!$A$61:$I$81,2,0)</f>
        <v>#N/A</v>
      </c>
      <c r="AG103" s="12" t="e">
        <f>VLOOKUP(A103,'Données projet'!$A$61:$I$81,9,0)</f>
        <v>#N/A</v>
      </c>
      <c r="AH103" s="12">
        <f t="array" ref="AH103">INDEX(AG:AG,MIN(IF(ISNUMBER(AG103:AG299),ROW(AG103:AG299),"")))</f>
        <v>0</v>
      </c>
      <c r="AI103" s="13">
        <f>IF('Données projet'!$A$62&gt;35,AI102+AH103-AQ102,IF(A103&lt;'Données projet'!$A$62,$AF$205^A103,IF(A103='Données projet'!$A$62,'Données projet'!$B$62,AI102+AH103-AQ102)))</f>
        <v>0</v>
      </c>
      <c r="AJ103" s="13">
        <f>AI103*VLOOKUP('Données projet'!$B$10,Paramètres!$A$1:$I$89,3,0)*VLOOKUP('Données projet'!$B$10,Paramètres!$A$1:$I$89,5,0)</f>
        <v>0</v>
      </c>
      <c r="AK103" s="13" t="e">
        <f t="shared" si="89"/>
        <v>#NUM!</v>
      </c>
      <c r="AL103" s="20" t="e">
        <f t="shared" si="58"/>
        <v>#NUM!</v>
      </c>
      <c r="AM103" s="59" t="e">
        <f t="shared" si="59"/>
        <v>#NUM!</v>
      </c>
      <c r="AN103" s="59">
        <f ca="1">AVERAGE(OFFSET($AM$3,0,0,'Données projet'!$E$10+1,1))-AVERAGE(OFFSET($H$3,0,0,'Données projet'!$E$10+1,1))</f>
        <v>261.78489480911571</v>
      </c>
      <c r="AO103" s="59">
        <f t="shared" si="90"/>
        <v>297.50513563712764</v>
      </c>
      <c r="AP103" s="15">
        <f>IF(ISNA(VLOOKUP(A103,'Données projet'!$A$61:$I$81,3,0)),0,VLOOKUP(A103,'Données projet'!$A$61:$I$81,3,0))</f>
        <v>0</v>
      </c>
      <c r="AQ103" s="15">
        <f>IF(ISNA(VLOOKUP(A103,'Données projet'!$A$61:$I$81,4,0)),0,VLOOKUP(A103,'Données projet'!$A$61:$I$81,4,0))</f>
        <v>0</v>
      </c>
      <c r="AR103" s="16">
        <f>IF(ISNA(VLOOKUP(A103,'Données projet'!$A$61:$I$81,5,0)),0%,VLOOKUP(A103,'Données projet'!$A$61:$I$81,5,0)*VLOOKUP('Données projet'!$B$10,Paramètres!$A$1:$I$89,7,0))</f>
        <v>0</v>
      </c>
      <c r="AS103" s="16">
        <f>IF(ISNA(VLOOKUP(A103,'Données projet'!$A$61:$I$81,6,0)),0%,VLOOKUP(A103,'Données projet'!$A$61:$I$81,6,0)*VLOOKUP('Données projet'!$B$10,Paramètres!$A$1:$I$89,7,0))</f>
        <v>0</v>
      </c>
      <c r="AT103" s="16">
        <f>IF(ISNA(VLOOKUP(A103,'Données projet'!$A$61:$I$81,7,0)),0%,VLOOKUP(A103,'Données projet'!$A$61:$I$81,7,0))</f>
        <v>0</v>
      </c>
      <c r="AU103" s="21">
        <f>EXP(-LN(2)/35)*AU102+(1-EXP(-LN(2)/35))/(LN(2)/35)*AQ103*AR103*VLOOKUP('Données projet'!$B$10,Paramètres!$A$1:$I$89,3,0)*0.475*44/12</f>
        <v>2.0859960748895636</v>
      </c>
      <c r="AV103" s="21">
        <f>EXP(-LN(2)/25)*AV102+(1-EXP(-LN(2)/25))/(LN(2)/25)*Calculateur!AQ103*Calculateur!AS103*VLOOKUP('Données projet'!$B$10,Paramètres!$A$1:$I$89,3,0)*0.475*44/12</f>
        <v>4.0017588990375632</v>
      </c>
      <c r="AW103" s="21">
        <f>EXP(-LN(2)/2)*AW102+(1-EXP(-LN(2)/2))/(LN(2)/2)*AQ103*AT103*VLOOKUP('Données projet'!$B$10,Paramètres!$A$1:$I$89,3,0)*0.475*44/12</f>
        <v>7.1016812979103648E-10</v>
      </c>
      <c r="AX103" s="21">
        <f t="shared" si="60"/>
        <v>6.0877549746372948</v>
      </c>
      <c r="AY103" s="74">
        <f>('Scénario référence'!$F$8+'Scénario référence'!$F$9+'Scénario référence'!$B$17+'Scénario référence'!$B$9+'Scénario référence'!$B$10)*70+IF((45+25*(1-EXP(-0.0175*A103)))&lt;70,'Scénario référence'!$B$16*(45+25*(1-EXP(-0.0175*A103))),70*'Scénario référence'!$B$16)+IF((32+38*(1-EXP(-0.0175*A103)))&lt;70,'Scénario référence'!$B$18*(32+38*(1-EXP(-0.0175*A103))),70*'Scénario référence'!$B$18)</f>
        <v>70</v>
      </c>
      <c r="AZ103" s="12">
        <f>IF(A103&gt;30,10,('Scénario référence'!$B$16+'Scénario référence'!$B$17+'Scénario référence'!$B$18+'Scénario référence'!$B$9+'Scénario référence'!$B$10)*A103*10/30+('Scénario référence'!$F$8+'Scénario référence'!$F$9)*10)</f>
        <v>10</v>
      </c>
      <c r="BA103" s="12" t="e">
        <f>VLOOKUP(A103,'Données projet'!$A$87:$I$107,2,0)</f>
        <v>#N/A</v>
      </c>
      <c r="BB103" s="12" t="e">
        <f>VLOOKUP(A103,'Données projet'!$A$87:$I$107,9,0)</f>
        <v>#N/A</v>
      </c>
      <c r="BC103" s="12">
        <f t="array" ref="BC103">INDEX(BB:BB,MIN(IF(ISNUMBER(BB103:BB299),ROW(BB103:BB299),"")))</f>
        <v>0</v>
      </c>
      <c r="BD103" s="12">
        <f>IF('Données projet'!$A$88&gt;35,BD102+BC103-BL102,IF(A103&lt;'Données projet'!$A$88,$BA$205^A103,IF(A103='Données projet'!$A$88,'Données projet'!$B$88,BD102+BC103-BL102)))</f>
        <v>553.99999999999955</v>
      </c>
      <c r="BE103" s="13">
        <f>BD103*VLOOKUP('Données projet'!$B$11,Paramètres!$A$1:$I$89,3,0)*VLOOKUP('Données projet'!$B$11,Paramètres!$A$1:$I$89,5,0)</f>
        <v>331.29199999999975</v>
      </c>
      <c r="BF103" s="13">
        <f t="shared" si="91"/>
        <v>77.698110787752</v>
      </c>
      <c r="BG103" s="20">
        <f t="shared" si="61"/>
        <v>712.32444295533423</v>
      </c>
      <c r="BH103" s="59">
        <f t="shared" si="62"/>
        <v>1005.6577762886675</v>
      </c>
      <c r="BI103" s="59">
        <f ca="1">AVERAGE(OFFSET($BH$3,0,0,'Données projet'!$E$11+1,1))-AVERAGE(OFFSET($H$3,0,0,'Données projet'!$E$11+1,1))</f>
        <v>316.58509520829671</v>
      </c>
      <c r="BJ103" s="59">
        <f t="shared" si="92"/>
        <v>240.71332110643596</v>
      </c>
      <c r="BK103" s="15">
        <f>IF(ISNA(VLOOKUP(A103,'Données projet'!$A$87:$I$107,3,0)),0,VLOOKUP(A103,'Données projet'!$A$87:$I$107,3,0))</f>
        <v>0</v>
      </c>
      <c r="BL103" s="15">
        <f>IF(ISNA(VLOOKUP(A103,'Données projet'!$A$87:$I$107,4,0)),0,VLOOKUP(A103,'Données projet'!$A$87:$I$107,4,0))</f>
        <v>0</v>
      </c>
      <c r="BM103" s="16">
        <f>IF(ISNA(VLOOKUP(A103,'Données projet'!$A$87:$I$107,5,0)),0%,VLOOKUP(A103,'Données projet'!$A$87:$I$107,5,0)*VLOOKUP('Données projet'!$B$11,Paramètres!$A$1:$I$89,7,0))</f>
        <v>0</v>
      </c>
      <c r="BN103" s="16">
        <f>IF(ISNA(VLOOKUP(A103,'Données projet'!$A$87:$I$107,6,0)),0%,VLOOKUP(A103,'Données projet'!$A$87:$I$107,6,0)*VLOOKUP('Données projet'!$B$11,Paramètres!$A$1:$I$89,7,0))</f>
        <v>0</v>
      </c>
      <c r="BO103" s="16">
        <f>IF(ISNA(VLOOKUP(A103,'Données projet'!$A$87:$I$107,7,0)),0%,VLOOKUP(A103,'Données projet'!$A$87:$I$107,7,0))</f>
        <v>0</v>
      </c>
      <c r="BP103" s="21">
        <f>EXP(-LN(2)/35)*BP102+(1-EXP(-LN(2)/35))/(LN(2)/35)*BL103*BM103*VLOOKUP('Données projet'!$B$11,Paramètres!$A$1:$I$89,3,0)*0.475*44/12</f>
        <v>0.63363682855183368</v>
      </c>
      <c r="BQ103" s="21">
        <f>EXP(-LN(2)/25)*BQ102+(1-EXP(-LN(2)/25))/(LN(2)/25)*Calculateur!BL103*Calculateur!BN103*VLOOKUP('Données projet'!$B$11,Paramètres!$A$1:$I$89,3,0)*0.475*44/12</f>
        <v>2.192280288520422</v>
      </c>
      <c r="BR103" s="21">
        <f>EXP(-LN(2)/2)*BR102+(1-EXP(-LN(2)/2))/(LN(2)/2)*BL103*BO103*VLOOKUP('Données projet'!$B$11,Paramètres!$A$1:$I$89,3,0)*0.475*44/12</f>
        <v>6.3851892104549646E-10</v>
      </c>
      <c r="BS103" s="22">
        <f t="shared" si="63"/>
        <v>2.8259171177107745</v>
      </c>
      <c r="BT103" s="75">
        <f>('Scénario référence'!$F$8+'Scénario référence'!$F$9+'Scénario référence'!$B$17+'Scénario référence'!$B$9+'Scénario référence'!$B$10)*70+IF((45+25*(1-EXP(-0.0175*A103)))&lt;70,'Scénario référence'!$B$16*(45+25*(1-EXP(-0.0175*A103))),70*'Scénario référence'!$B$16)+IF((32+38*(1-EXP(-0.0175*A103)))&lt;70,'Scénario référence'!$B$18*(32+38*(1-EXP(-0.0175*A103))),70*'Scénario référence'!$B$18)</f>
        <v>70</v>
      </c>
      <c r="BU103" s="12">
        <f>IF(A103&gt;30,10,('Scénario référence'!$B$16+'Scénario référence'!$B$17+'Scénario référence'!$B$18+'Scénario référence'!$B$9+'Scénario référence'!$B$10)*A103*10/30+('Scénario référence'!$F$8+'Scénario référence'!$F$9)*10)</f>
        <v>10</v>
      </c>
      <c r="BV103" s="12">
        <f>VLOOKUP(A103,'Données projet'!$A$113:$I$133,2,0)</f>
        <v>361</v>
      </c>
      <c r="BW103" s="12">
        <f>VLOOKUP(A103,'Données projet'!$A$113:$I$133,9,0)</f>
        <v>3.5</v>
      </c>
      <c r="BX103" s="12">
        <f t="array" ref="BX103">INDEX(BW:BW,MIN(IF(ISNUMBER(BW103:BW299),ROW(BW103:BW299),"")))</f>
        <v>3.5</v>
      </c>
      <c r="BY103" s="12">
        <f>IF('Données projet'!$A$114&gt;35,BY102+BX103-CG102,IF(A103&lt;'Données projet'!$A$114,$BV$205^A103,IF(A103='Données projet'!$A$114,'Données projet'!$B$114,BY102+BX103-CG102)))</f>
        <v>360.99999999999977</v>
      </c>
      <c r="BZ103" s="13">
        <f>BY103*VLOOKUP('Données projet'!$B$12,Paramètres!$A$1:$I$89,3,0)*VLOOKUP('Données projet'!$B$12,Paramètres!$A$1:$I$89,5,0)</f>
        <v>206.49199999999988</v>
      </c>
      <c r="CA103" s="13">
        <f t="shared" si="93"/>
        <v>51.168249475614097</v>
      </c>
      <c r="CB103" s="20">
        <f t="shared" si="64"/>
        <v>448.7582678366943</v>
      </c>
      <c r="CC103" s="59">
        <f t="shared" si="65"/>
        <v>742.09160117002762</v>
      </c>
      <c r="CD103" s="59">
        <f ca="1">AVERAGE(OFFSET($CC$3,0,0,'Données projet'!$E$12+1,1))-AVERAGE(OFFSET($H$3,0,0,'Données projet'!$E$12+1,1))</f>
        <v>188.64374818906128</v>
      </c>
      <c r="CE103" s="59">
        <f t="shared" si="94"/>
        <v>211.95157880548652</v>
      </c>
      <c r="CF103" s="15">
        <f>IF(ISNA(VLOOKUP(A103,'Données projet'!$A$113:$I$133,3,0)),0,VLOOKUP(A103,'Données projet'!$A$113:$I$133,3,0))</f>
        <v>9</v>
      </c>
      <c r="CG103" s="15">
        <f>IF(ISNA(VLOOKUP(A103,'Données projet'!$A$113:$I$133,4,0)),0,VLOOKUP(A103,'Données projet'!$A$113:$I$133,4,0))</f>
        <v>27</v>
      </c>
      <c r="CH103" s="16">
        <f>IF(ISNA(VLOOKUP(A103,'Données projet'!$A$113:$I$133,5,0)),0%,VLOOKUP(A103,'Données projet'!$A$113:$I$133,5,0)*VLOOKUP('Données projet'!$B$12,Paramètres!$A$1:$I$89,7,0))</f>
        <v>0</v>
      </c>
      <c r="CI103" s="16">
        <f>IF(ISNA(VLOOKUP(A103,'Données projet'!$A$113:$I$133,6,0)),0%,VLOOKUP(A103,'Données projet'!$A$113:$I$133,6,0)*VLOOKUP('Données projet'!$B$12,Paramètres!$A$1:$I$89,7,0))</f>
        <v>0</v>
      </c>
      <c r="CJ103" s="16">
        <f>IF(ISNA(VLOOKUP(A103,'Données projet'!$A$113:$I$133,7,0)),0%,VLOOKUP(A103,'Données projet'!$A$113:$I$133,7,0))</f>
        <v>0</v>
      </c>
      <c r="CK103" s="21">
        <f>EXP(-LN(2)/35)*CK102+(1-EXP(-LN(2)/35))/(LN(2)/35)*CG103*CH103*VLOOKUP('Données projet'!$B$12,Paramètres!$A$1:$I$89,3,0)*0.475*44/12</f>
        <v>0.61462384349424615</v>
      </c>
      <c r="CL103" s="21">
        <f>EXP(-LN(2)/25)*CL102+(1-EXP(-LN(2)/25))/(LN(2)/25)*Calculateur!CG103*Calculateur!CI103*VLOOKUP('Données projet'!$B$12,Paramètres!$A$1:$I$89,3,0)*0.475*44/12</f>
        <v>2.0634238446455408</v>
      </c>
      <c r="CM103" s="21">
        <f>EXP(-LN(2)/2)*CM102+(1-EXP(-LN(2)/2))/(LN(2)/2)*CG103*CJ103*VLOOKUP('Données projet'!$B$12,Paramètres!$A$1:$I$89,3,0)*0.475*44/12</f>
        <v>6.1835561657022499E-10</v>
      </c>
      <c r="CN103" s="22">
        <f t="shared" si="66"/>
        <v>2.6780476887581428</v>
      </c>
      <c r="CO103" s="75">
        <f>('Scénario référence'!$F$8+'Scénario référence'!$F$9+'Scénario référence'!$B$17+'Scénario référence'!$B$9+'Scénario référence'!$B$10)*70+IF((45+25*(1-EXP(-0.0175*A103)))&lt;70,'Scénario référence'!$B$16*(45+25*(1-EXP(-0.0175*A103))),70*'Scénario référence'!$B$16)+IF((32+38*(1-EXP(-0.0175*A103)))&lt;70,'Scénario référence'!$B$18*(32+38*(1-EXP(-0.0175*A103))),70*'Scénario référence'!$B$18)</f>
        <v>70</v>
      </c>
      <c r="CP103" s="12">
        <f>IF(A103&gt;30,10,('Scénario référence'!$B$16+'Scénario référence'!$B$17+'Scénario référence'!$B$18+'Scénario référence'!$B$9+'Scénario référence'!$B$10)*A103*10/30+('Scénario référence'!$F$8+'Scénario référence'!$F$9)*10)</f>
        <v>10</v>
      </c>
      <c r="CQ103" s="12" t="e">
        <f>VLOOKUP(A103,'Données projet'!$A$139:$I$159,2,0)</f>
        <v>#N/A</v>
      </c>
      <c r="CR103" s="12" t="e">
        <f>VLOOKUP(A103,'Données projet'!$A$139:$I$159,9,0)</f>
        <v>#N/A</v>
      </c>
      <c r="CS103" s="12">
        <f t="array" ref="CS103">INDEX(CR:CR,MIN(IF(ISNUMBER(CR103:CR299),ROW(CR103:CR299),"")))</f>
        <v>0</v>
      </c>
      <c r="CT103" s="12">
        <f>IF('Données projet'!$A$140&gt;35,CT102+CS103-DB102,IF(A103&lt;'Données projet'!$A$140,$CQ$205^A103,IF(A103='Données projet'!$A$140,'Données projet'!$B$140,CT102+CS103-DB102)))</f>
        <v>0</v>
      </c>
      <c r="CU103" s="17" t="e">
        <f>CT103*VLOOKUP('Données projet'!$B$13,Paramètres!$A$1:$I$89,3,0)*VLOOKUP('Données projet'!$B$13,Paramètres!$A$1:$I$89,5,0)</f>
        <v>#N/A</v>
      </c>
      <c r="CV103" s="13" t="e">
        <f t="shared" si="95"/>
        <v>#N/A</v>
      </c>
      <c r="CW103" s="20" t="e">
        <f t="shared" si="67"/>
        <v>#N/A</v>
      </c>
      <c r="CX103" s="59" t="e">
        <f t="shared" si="68"/>
        <v>#N/A</v>
      </c>
      <c r="CY103" s="59" t="e">
        <f ca="1">AVERAGE(OFFSET($CX$3,0,0,'Données projet'!$E$13+1,1))-AVERAGE(OFFSET($H$3,0,0,'Données projet'!$E$13+1,1))</f>
        <v>#N/A</v>
      </c>
      <c r="CZ103" s="59" t="e">
        <f t="shared" si="96"/>
        <v>#N/A</v>
      </c>
      <c r="DA103" s="15">
        <f>IF(ISNA(VLOOKUP(A103,'Données projet'!$A$139:$I$159,3,0)),0,VLOOKUP(A103,'Données projet'!$A$139:$I$159,3,0))</f>
        <v>0</v>
      </c>
      <c r="DB103" s="15">
        <f>IF(ISNA(VLOOKUP(A103,'Données projet'!$A$139:$I$159,4,0)),0,VLOOKUP(A103,'Données projet'!$A$139:$I$159,4,0))</f>
        <v>0</v>
      </c>
      <c r="DC103" s="16">
        <f>IF(ISNA(VLOOKUP(A103,'Données projet'!$A$139:$I$159,5,0)),0%,VLOOKUP(A103,'Données projet'!$A$139:$I$159,5,0)*VLOOKUP('Données projet'!$B$13,Paramètres!$A$1:$I$89,7,0))</f>
        <v>0</v>
      </c>
      <c r="DD103" s="16">
        <f>IF(ISNA(VLOOKUP(A103,'Données projet'!$A$139:$I$159,6,0)),0%,VLOOKUP(A103,'Données projet'!$A$139:$I$159,6,0)*VLOOKUP('Données projet'!$B$13,Paramètres!$A$1:$I$89,7,0))</f>
        <v>0</v>
      </c>
      <c r="DE103" s="16">
        <f>IF(ISNA(VLOOKUP(A103,'Données projet'!$A$139:$I$159,7,0)),0%,VLOOKUP(A103,'Données projet'!$A$139:$I$159,7,0))</f>
        <v>0</v>
      </c>
      <c r="DF103" s="21" t="e">
        <f>EXP(-LN(2)/35)*DF102+(1-EXP(-LN(2)/35))/(LN(2)/35)*DB103*DC103*VLOOKUP('Données projet'!$B$13,Paramètres!$A$1:$I$89,3,0)*0.475*44/12</f>
        <v>#N/A</v>
      </c>
      <c r="DG103" s="21" t="e">
        <f>EXP(-LN(2)/25)*DG102+(1-EXP(-LN(2)/25))/(LN(2)/25)*Calculateur!DB103*Calculateur!DD103*VLOOKUP('Données projet'!$B$13,Paramètres!$A$1:$I$89,3,0)*0.475*44/12</f>
        <v>#N/A</v>
      </c>
      <c r="DH103" s="21" t="e">
        <f>EXP(-LN(2)/2)*DH102+(1-EXP(-LN(2)/2))/(LN(2)/2)*DB103*DE103*VLOOKUP('Données projet'!$B$13,Paramètres!$A$1:$I$89,3,0)*0.475*44/12</f>
        <v>#N/A</v>
      </c>
      <c r="DI103" s="22" t="e">
        <f t="shared" si="69"/>
        <v>#N/A</v>
      </c>
      <c r="DJ103" s="75">
        <f>('Scénario référence'!$F$8+'Scénario référence'!$F$9+'Scénario référence'!$B$17+'Scénario référence'!$B$9+'Scénario référence'!$B$10)*70+IF((45+25*(1-EXP(-0.0175*A103)))&lt;70,'Scénario référence'!$B$16*(45+25*(1-EXP(-0.0175*A103))),70*'Scénario référence'!$B$16)+IF((32+38*(1-EXP(-0.0175*A103)))&lt;70,'Scénario référence'!$B$18*(32+38*(1-EXP(-0.0175*A103))),70*'Scénario référence'!$B$18)</f>
        <v>70</v>
      </c>
      <c r="DK103" s="12">
        <f>IF(A103&gt;30,10,('Scénario référence'!$B$16+'Scénario référence'!$B$17+'Scénario référence'!$B$18+'Scénario référence'!$B$9+'Scénario référence'!$B$10)*A103*10/30+('Scénario référence'!$F$8+'Scénario référence'!$F$9)*10)</f>
        <v>10</v>
      </c>
      <c r="DL103" s="12" t="e">
        <f>VLOOKUP(A103,'Données projet'!$A$165:$I$185,2,0)</f>
        <v>#N/A</v>
      </c>
      <c r="DM103" s="12" t="e">
        <f>VLOOKUP(A103,'Données projet'!$A$165:$I$185,9,0)</f>
        <v>#N/A</v>
      </c>
      <c r="DN103" s="12">
        <f t="array" ref="DN103">INDEX(DM:DM,MIN(IF(ISNUMBER(DM103:DM299),ROW(DM103:DM299),"")))</f>
        <v>0</v>
      </c>
      <c r="DO103" s="12">
        <f>IF('Données projet'!$A$166&gt;35,DO102+DN103-DW102,IF(A103&lt;'Données projet'!$A$166,$DL$205^A103,IF(A103='Données projet'!$A$166,'Données projet'!$B$166,DO102+DN103-DW102)))</f>
        <v>268.00000000000017</v>
      </c>
      <c r="DP103" s="17">
        <f>DO103*VLOOKUP('Données projet'!$B$14,Paramètres!$A$1:$I$89,3,0)*VLOOKUP('Données projet'!$B$14,Paramètres!$A$1:$I$89,5,0)</f>
        <v>175.59360000000012</v>
      </c>
      <c r="DQ103" s="13">
        <f t="shared" si="97"/>
        <v>44.340433728638573</v>
      </c>
      <c r="DR103" s="20">
        <f t="shared" si="70"/>
        <v>383.05177541071242</v>
      </c>
      <c r="DS103" s="59">
        <f t="shared" si="71"/>
        <v>676.38510874404574</v>
      </c>
      <c r="DT103" s="59">
        <f ca="1">AVERAGE(OFFSET($DS$3,0,0,'Données projet'!$E$14+1,1))-AVERAGE(OFFSET($H$3,0,0,'Données projet'!$E$14+1,1))</f>
        <v>188.68915783955595</v>
      </c>
      <c r="DU103" s="59">
        <f t="shared" si="98"/>
        <v>240.82467772396944</v>
      </c>
      <c r="DV103" s="15">
        <f>IF(ISNA(VLOOKUP(A103,'Données projet'!$A$165:$I$185,3,0)),0,VLOOKUP(A103,'Données projet'!$A$165:$I$185,3,0))</f>
        <v>0</v>
      </c>
      <c r="DW103" s="15">
        <f>IF(ISNA(VLOOKUP(A103,'Données projet'!$A$165:$I$185,4,0)),0,VLOOKUP(A103,'Données projet'!$A$165:$I$185,4,0))</f>
        <v>0</v>
      </c>
      <c r="DX103" s="16">
        <f>IF(ISNA(VLOOKUP(A103,'Données projet'!$A$165:$I$185,5,0)),0%,VLOOKUP(A103,'Données projet'!$A$165:$I$185,5,0)*VLOOKUP('Données projet'!$B$14,Paramètres!$A$1:$I$89,7,0))</f>
        <v>0</v>
      </c>
      <c r="DY103" s="16">
        <f>IF(ISNA(VLOOKUP(A103,'Données projet'!$A$165:$I$185,6,0)),0%,VLOOKUP(A103,'Données projet'!$A$165:$I$185,6,0)*VLOOKUP('Données projet'!$B$14,Paramètres!$A$1:$I$89,7,0))</f>
        <v>0</v>
      </c>
      <c r="DZ103" s="16">
        <f>IF(ISNA(VLOOKUP(A103,'Données projet'!$A$165:$I$185,7,0)),0%,VLOOKUP(A103,'Données projet'!$A$165:$I$185,7,0))</f>
        <v>0</v>
      </c>
      <c r="EA103" s="21">
        <f>EXP(-LN(2)/35)*EA102+(1-EXP(-LN(2)/35))/(LN(2)/35)*DW103*DX103*VLOOKUP('Données projet'!$B$14,Paramètres!$A$1:$I$89,3,0)*0.475*44/12</f>
        <v>0.38931350356011796</v>
      </c>
      <c r="EB103" s="21">
        <f>EXP(-LN(2)/25)*EB102+(1-EXP(-LN(2)/25))/(LN(2)/25)*Calculateur!DW103*Calculateur!DY103*VLOOKUP('Données projet'!$B$14,Paramètres!$A$1:$I$89,3,0)*0.475*44/12</f>
        <v>1.154158871071405</v>
      </c>
      <c r="EC103" s="21">
        <f>EXP(-LN(2)/2)*EC102+(1-EXP(-LN(2)/2))/(LN(2)/2)*DW103*DZ103*VLOOKUP('Données projet'!$B$14,Paramètres!$A$1:$I$89,3,0)*0.475*44/12</f>
        <v>4.0734908503384467E-10</v>
      </c>
      <c r="ED103" s="22">
        <f t="shared" si="72"/>
        <v>1.5434723750388721</v>
      </c>
      <c r="EE103" s="75">
        <f>('Scénario référence'!$F$8+'Scénario référence'!$F$9+'Scénario référence'!$B$17+'Scénario référence'!$B$9+'Scénario référence'!$B$10)*70+IF((45+25*(1-EXP(-0.0175*A103)))&lt;70,'Scénario référence'!$B$16*(45+25*(1-EXP(-0.0175*A103))),70*'Scénario référence'!$B$16)+IF((32+38*(1-EXP(-0.0175*A103)))&lt;70,'Scénario référence'!$B$18*(32+38*(1-EXP(-0.0175*A103))),70*'Scénario référence'!$B$18)</f>
        <v>70</v>
      </c>
      <c r="EF103" s="12">
        <f>IF(A103&gt;30,10,('Scénario référence'!$B$16+'Scénario référence'!$B$17+'Scénario référence'!$B$18+'Scénario référence'!$B$9+'Scénario référence'!$B$10)*A103*10/30+('Scénario référence'!$F$8+'Scénario référence'!$F$9)*10)</f>
        <v>10</v>
      </c>
      <c r="EG103" s="12" t="e">
        <f>VLOOKUP(A103,'Données projet'!$A$191:$I$211,2,0)</f>
        <v>#N/A</v>
      </c>
      <c r="EH103" s="12" t="e">
        <f>VLOOKUP(A103,'Données projet'!$A$191:$I$211,9,0)</f>
        <v>#N/A</v>
      </c>
      <c r="EI103" s="12">
        <f t="array" ref="EI103">INDEX(EH:EH,MIN(IF(ISNUMBER(EH103:EH299),ROW(EH103:EH299),"")))</f>
        <v>0</v>
      </c>
      <c r="EJ103" s="12">
        <f>IF('Données projet'!$A$192&gt;35,EJ102+EI103-ER102,IF(A103&lt;'Données projet'!$A$192,$EG$205^A103,IF(A103='Données projet'!$A$192,'Données projet'!$B$192,EJ102+EI103-ER102)))</f>
        <v>275.99999999999972</v>
      </c>
      <c r="EK103" s="17">
        <f>EJ103*VLOOKUP('Données projet'!$B$15,Paramètres!$A$1:$I$89,3,0)*VLOOKUP('Données projet'!$B$15,Paramètres!$A$1:$I$89,5,0)</f>
        <v>223.8911999999998</v>
      </c>
      <c r="EL103" s="13">
        <f t="shared" si="99"/>
        <v>54.95975389514858</v>
      </c>
      <c r="EM103" s="20">
        <f t="shared" si="73"/>
        <v>485.66541136738346</v>
      </c>
      <c r="EN103" s="59">
        <f t="shared" si="74"/>
        <v>778.99874470071677</v>
      </c>
      <c r="EO103" s="59">
        <f ca="1">AVERAGE(OFFSET($EN$3,0,0,'Données projet'!$E$15+1,1))-AVERAGE(OFFSET($H$3,0,0,'Données projet'!$E$15+1,1))</f>
        <v>205.5272583787887</v>
      </c>
      <c r="EP103" s="59">
        <f t="shared" si="100"/>
        <v>180.54762778843178</v>
      </c>
      <c r="EQ103" s="15">
        <f>IF(ISNA(VLOOKUP(A103,'Données projet'!$A$191:$I$211,3,0)),0,VLOOKUP(A103,'Données projet'!$A$191:$I$211,3,0))</f>
        <v>0</v>
      </c>
      <c r="ER103" s="15">
        <f>IF(ISNA(VLOOKUP(A103,'Données projet'!$A$191:$I$211,4,0)),0,VLOOKUP(A103,'Données projet'!$A$191:$I$211,4,0))</f>
        <v>0</v>
      </c>
      <c r="ES103" s="16">
        <f>IF(ISNA(VLOOKUP(A103,'Données projet'!$A$191:$I$211,5,0)),0%,VLOOKUP(A103,'Données projet'!$A$191:$I$211,5,0)*VLOOKUP('Données projet'!$B$15,Paramètres!$A$1:$I$89,7,0))</f>
        <v>0</v>
      </c>
      <c r="ET103" s="16">
        <f>IF(ISNA(VLOOKUP(A103,'Données projet'!$A$191:$I$211,6,0)),0%,VLOOKUP(A103,'Données projet'!$A$191:$I$211,6,0)*VLOOKUP('Données projet'!$B$15,Paramètres!$A$1:$I$89,7,0))</f>
        <v>0</v>
      </c>
      <c r="EU103" s="16">
        <f>IF(ISNA(VLOOKUP(A103,'Données projet'!$A$191:$I$211,7,0)),0%,VLOOKUP(A103,'Données projet'!$A$191:$I$211,7,0))</f>
        <v>0</v>
      </c>
      <c r="EV103" s="21">
        <f>EXP(-LN(2)/35)*EV102+(1-EXP(-LN(2)/35))/(LN(2)/35)*ER103*ES103*VLOOKUP('Données projet'!$B$15,Paramètres!$A$1:$I$89,3,0)*0.475*44/12</f>
        <v>0.25064374133965683</v>
      </c>
      <c r="EW103" s="21">
        <f>EXP(-LN(2)/25)*EW102+(1-EXP(-LN(2)/25))/(LN(2)/25)*Calculateur!ER103*Calculateur!ET103*VLOOKUP('Données projet'!$B$15,Paramètres!$A$1:$I$89,3,0)*0.475*44/12</f>
        <v>0.83333771743653295</v>
      </c>
      <c r="EX103" s="21">
        <f>EXP(-LN(2)/2)*EX102+(1-EXP(-LN(2)/2))/(LN(2)/2)*ER103*EU103*VLOOKUP('Données projet'!$B$15,Paramètres!$A$1:$I$89,3,0)*0.475*44/12</f>
        <v>2.6375883376400285E-10</v>
      </c>
      <c r="EY103" s="22">
        <f t="shared" si="75"/>
        <v>1.0839814590399486</v>
      </c>
      <c r="EZ103" s="75">
        <f>('Scénario référence'!$F$8+'Scénario référence'!$F$9+'Scénario référence'!$B$17+'Scénario référence'!$B$9+'Scénario référence'!$B$10)*70+IF((45+25*(1-EXP(-0.0175*A103)))&lt;70,'Scénario référence'!$B$16*(45+25*(1-EXP(-0.0175*A103))),70*'Scénario référence'!$B$16)+IF((32+38*(1-EXP(-0.0175*A103)))&lt;70,'Scénario référence'!$B$18*(32+38*(1-EXP(-0.0175*A103))),70*'Scénario référence'!$B$18)</f>
        <v>70</v>
      </c>
      <c r="FA103" s="12">
        <f>IF(A103&gt;30,10,('Scénario référence'!$B$16+'Scénario référence'!$B$17+'Scénario référence'!$B$18+'Scénario référence'!$B$9+'Scénario référence'!$B$10)*A103*10/30+('Scénario référence'!$F$8+'Scénario référence'!$F$9)*10)</f>
        <v>10</v>
      </c>
      <c r="FB103" s="12">
        <f>VLOOKUP(A103,'Données projet'!$A$217:$I$237,2,0)</f>
        <v>436</v>
      </c>
      <c r="FC103" s="12">
        <f>VLOOKUP(A103,'Données projet'!$A$217:$I$237,9,0)</f>
        <v>9.6999999999999993</v>
      </c>
      <c r="FD103" s="12">
        <f t="array" ref="FD103">INDEX(FC:FC,MIN(IF(ISNUMBER(FC103:FC299),ROW(FC103:FC299),"")))</f>
        <v>9.6999999999999993</v>
      </c>
      <c r="FE103" s="12">
        <f>IF('Données projet'!$A$218&gt;35,FE102+FD103-FM102,IF(A103&lt;'Données projet'!$A$218,$FB$205^A103,IF(A103='Données projet'!$A$218,'Données projet'!$B$218,FE102+FD103-FM102)))</f>
        <v>435.99999999999983</v>
      </c>
      <c r="FF103" s="17">
        <f>FE103*VLOOKUP('Données projet'!$B$16,Paramètres!$A$1:$I$89,3,0)*VLOOKUP('Données projet'!$B$16,Paramètres!$A$1:$I$89,5,0)</f>
        <v>374.08799999999991</v>
      </c>
      <c r="FG103" s="13">
        <f t="shared" si="101"/>
        <v>86.503104548004572</v>
      </c>
      <c r="FH103" s="20">
        <f t="shared" si="76"/>
        <v>802.19617375444113</v>
      </c>
      <c r="FI103" s="59">
        <f t="shared" si="77"/>
        <v>1095.5295070877744</v>
      </c>
      <c r="FJ103" s="59">
        <f ca="1">AVERAGE(OFFSET($FI$3,0,0,'Données projet'!$E$16+1,1))-AVERAGE(OFFSET($H$3,0,0,'Données projet'!$E$16+1,1))</f>
        <v>383.97627237444709</v>
      </c>
      <c r="FK103" s="59">
        <f t="shared" si="102"/>
        <v>203.35476578922339</v>
      </c>
      <c r="FL103" s="15">
        <f>IF(ISNA(VLOOKUP(A103,'Données projet'!$A$217:$I$237,3,0)),0,VLOOKUP(A103,'Données projet'!$A$217:$I$237,3,0))</f>
        <v>9</v>
      </c>
      <c r="FM103" s="15">
        <f>IF(ISNA(VLOOKUP(A103,'Données projet'!$A$217:$I$237,4,0)),0,VLOOKUP(A103,'Données projet'!$A$217:$I$237,4,0))</f>
        <v>76</v>
      </c>
      <c r="FN103" s="16">
        <f>IF(ISNA(VLOOKUP(A103,'Données projet'!$A$217:$I$237,5,0)),0%,VLOOKUP(A103,'Données projet'!$A$217:$I$237,5,0)*VLOOKUP('Données projet'!$B$16,Paramètres!$A$1:$I$89,7,0))</f>
        <v>0</v>
      </c>
      <c r="FO103" s="16">
        <f>IF(ISNA(VLOOKUP(A103,'Données projet'!$A$217:$I$237,6,0)),0%,VLOOKUP(A103,'Données projet'!$A$217:$I$237,6,0)*VLOOKUP('Données projet'!$B$16,Paramètres!$A$1:$I$89,7,0))</f>
        <v>0</v>
      </c>
      <c r="FP103" s="16">
        <f>IF(ISNA(VLOOKUP(A103,'Données projet'!$A$217:$I$237,7,0)),0%,VLOOKUP(A103,'Données projet'!$A$217:$I$237,7,0))</f>
        <v>0</v>
      </c>
      <c r="FQ103" s="21">
        <f>EXP(-LN(2)/35)*FQ102+(1-EXP(-LN(2)/35))/(LN(2)/35)*FM103*FN103*VLOOKUP('Données projet'!$B$16,Paramètres!$A$1:$I$89,3,0)*0.475*44/12</f>
        <v>1.2881728509963342</v>
      </c>
      <c r="FR103" s="21">
        <f>EXP(-LN(2)/25)*FR102+(1-EXP(-LN(2)/25))/(LN(2)/25)*Calculateur!FM103*Calculateur!FO103*VLOOKUP('Données projet'!$B$16,Paramètres!$A$1:$I$89,3,0)*0.475*44/12</f>
        <v>0.84592391683706813</v>
      </c>
      <c r="FS103" s="21">
        <f>EXP(-LN(2)/2)*FS102+(1-EXP(-LN(2)/2))/(LN(2)/2)*FM103*FP103*VLOOKUP('Données projet'!$B$16,Paramètres!$A$1:$I$89,3,0)*0.475*44/12</f>
        <v>4.8447084647457499E-10</v>
      </c>
      <c r="FT103" s="22">
        <f t="shared" si="78"/>
        <v>2.1340967683178729</v>
      </c>
      <c r="FU103" s="75">
        <f>('Scénario référence'!$F$8+'Scénario référence'!$F$9+'Scénario référence'!$B$17+'Scénario référence'!$B$9+'Scénario référence'!$B$10)*70+IF((45+25*(1-EXP(-0.0175*A103)))&lt;70,'Scénario référence'!$B$16*(45+25*(1-EXP(-0.0175*A103))),70*'Scénario référence'!$B$16)+IF((32+38*(1-EXP(-0.0175*A103)))&lt;70,'Scénario référence'!$B$18*(32+38*(1-EXP(-0.0175*A103))),70*'Scénario référence'!$B$18)</f>
        <v>70</v>
      </c>
      <c r="FV103" s="12">
        <f>IF(A103&gt;30,10,('Scénario référence'!$B$16+'Scénario référence'!$B$17+'Scénario référence'!$B$18+'Scénario référence'!$B$9+'Scénario référence'!$B$10)*A103*10/30+('Scénario référence'!$F$8+'Scénario référence'!$F$9)*10)</f>
        <v>10</v>
      </c>
      <c r="FW103" s="12" t="e">
        <f>VLOOKUP(A103,'Données projet'!$A$243:$I$263,2,0)</f>
        <v>#N/A</v>
      </c>
      <c r="FX103" s="12" t="e">
        <f>VLOOKUP(A103,'Données projet'!$A$243:$I$263,9,0)</f>
        <v>#N/A</v>
      </c>
      <c r="FY103" s="12">
        <f t="array" ref="FY103">INDEX(FX:FX,MIN(IF(ISNUMBER(FX103:FX299),ROW(FX103:FX299),"")))</f>
        <v>6.9935897435897401</v>
      </c>
      <c r="FZ103" s="12">
        <f>IF('Données projet'!$A$244&gt;35,FZ102+FY103-GH102,IF(A103&lt;'Données projet'!$A$244,$FW$205^A103,IF(A103='Données projet'!$A$244,'Données projet'!$B$244,FZ102+FY103-GH102)))</f>
        <v>277.22435897435929</v>
      </c>
      <c r="GA103" s="17">
        <f>FZ103*VLOOKUP('Données projet'!$B$17,Paramètres!$A$1:$I$89,3,0)*VLOOKUP('Données projet'!$B$17,Paramètres!$A$1:$I$89,5,0)</f>
        <v>298.40430000000032</v>
      </c>
      <c r="GB103" s="13">
        <f t="shared" si="103"/>
        <v>70.841839702665155</v>
      </c>
      <c r="GC103" s="20">
        <f t="shared" si="79"/>
        <v>643.10369331547565</v>
      </c>
      <c r="GD103" s="59">
        <f t="shared" si="80"/>
        <v>936.43702664880902</v>
      </c>
      <c r="GE103" s="59">
        <f ca="1">AVERAGE(OFFSET($GD$3,0,0,'Données projet'!$E$17+1,1))-AVERAGE(OFFSET($H$3,0,0,'Données projet'!$E$17+1,1))</f>
        <v>286.77702855541287</v>
      </c>
      <c r="GF103" s="59">
        <f t="shared" si="104"/>
        <v>227.12211541860779</v>
      </c>
      <c r="GG103" s="15">
        <f>IF(ISNA(VLOOKUP(A103,'Données projet'!$A$243:$I$263,3,0)),0,VLOOKUP(A103,'Données projet'!$A$243:$I$263,3,0))</f>
        <v>0</v>
      </c>
      <c r="GH103" s="15">
        <f>IF(ISNA(VLOOKUP(A103,'Données projet'!$A$243:$I$263,4,0)),0,VLOOKUP(A103,'Données projet'!$A$243:$I$263,4,0))</f>
        <v>0</v>
      </c>
      <c r="GI103" s="16">
        <f>IF(ISNA(VLOOKUP(A103,'Données projet'!$A$243:$I$263,5,0)),0%,VLOOKUP(A103,'Données projet'!$A$243:$I$263,5,0)*VLOOKUP('Données projet'!$B$17,Paramètres!$A$1:$I$89,7,0))</f>
        <v>0</v>
      </c>
      <c r="GJ103" s="16">
        <f>IF(ISNA(VLOOKUP(A103,'Données projet'!$A$243:$I$263,6,0)),0%,VLOOKUP(A103,'Données projet'!$A$243:$I$263,6,0)*VLOOKUP('Données projet'!$B$17,Paramètres!$A$1:$I$89,7,0))</f>
        <v>0</v>
      </c>
      <c r="GK103" s="16">
        <f>IF(ISNA(VLOOKUP(A103,'Données projet'!$A$243:$I$263,7,0)),0%,VLOOKUP(A103,'Données projet'!$A$243:$I$263,7,0))</f>
        <v>0</v>
      </c>
      <c r="GL103" s="21">
        <f>EXP(-LN(2)/35)*GL102+(1-EXP(-LN(2)/35))/(LN(2)/35)*GH103*GI103*VLOOKUP('Données projet'!$B$17,Paramètres!$A$1:$I$89,3,0)*0.475*44/12</f>
        <v>0</v>
      </c>
      <c r="GM103" s="21">
        <f>EXP(-LN(2)/25)*GM102+(1-EXP(-LN(2)/25))/(LN(2)/25)*Calculateur!GH103*Calculateur!GJ103*VLOOKUP('Données projet'!$B$17,Paramètres!$A$1:$I$89,3,0)*0.475*44/12</f>
        <v>0</v>
      </c>
      <c r="GN103" s="21">
        <f>EXP(-LN(2)/2)*GN102+(1-EXP(-LN(2)/2))/(LN(2)/2)*GH103*GK103*VLOOKUP('Données projet'!$B$17,Paramètres!$A$1:$I$89,3,0)*0.475*44/12</f>
        <v>0</v>
      </c>
      <c r="GO103" s="21">
        <f t="shared" si="81"/>
        <v>0</v>
      </c>
      <c r="GP103" s="75">
        <f>('Scénario référence'!$F$8+'Scénario référence'!$F$9+'Scénario référence'!$B$17+'Scénario référence'!$B$9+'Scénario référence'!$B$10)*70+IF((45+25*(1-EXP(-0.0175*A103)))&lt;70,'Scénario référence'!$B$16*(45+25*(1-EXP(-0.0175*A103))),70*'Scénario référence'!$B$16)+IF((32+38*(1-EXP(-0.0175*A103)))&lt;70,'Scénario référence'!$B$18*(32+38*(1-EXP(-0.0175*A103))),70*'Scénario référence'!$B$18)</f>
        <v>70</v>
      </c>
      <c r="GQ103" s="12">
        <f>IF(A103&gt;30,10,('Scénario référence'!$B$16+'Scénario référence'!$B$17+'Scénario référence'!$B$18+'Scénario référence'!$B$9+'Scénario référence'!$B$10)*A103*10/30+('Scénario référence'!$F$8+'Scénario référence'!$F$9)*10)</f>
        <v>10</v>
      </c>
      <c r="GR103" s="12" t="e">
        <f>VLOOKUP(A103,'Données projet'!$A$269:$I$289,2,0)</f>
        <v>#N/A</v>
      </c>
      <c r="GS103" s="12" t="e">
        <f>VLOOKUP(A103,'Données projet'!$A$269:$I$289,9,0)</f>
        <v>#N/A</v>
      </c>
      <c r="GT103" s="12">
        <f t="array" ref="GT103">INDEX(GS:GS,MIN(IF(ISNUMBER(GS103:GS299),ROW(GS103:GS299),"")))</f>
        <v>6.9935897435897401</v>
      </c>
      <c r="GU103" s="12">
        <f>IF('Données projet'!$A$270&gt;35,GU102+GT103-HC102,IF(A103&lt;'Données projet'!$A$270,$GR$205^A103,IF(A103='Données projet'!$A$270,'Données projet'!$B$270,GU102+GT103-HC102)))</f>
        <v>277.22435897435929</v>
      </c>
      <c r="GV103" s="17">
        <f>GU103*VLOOKUP('Données projet'!$B$18,Paramètres!$A$1:$I$89,3,0)*VLOOKUP('Données projet'!$B$18,Paramètres!$A$1:$I$89,5,0)</f>
        <v>298.40430000000032</v>
      </c>
      <c r="GW103" s="13">
        <f t="shared" si="105"/>
        <v>70.841839702665155</v>
      </c>
      <c r="GX103" s="20">
        <f t="shared" si="82"/>
        <v>643.10369331547565</v>
      </c>
      <c r="GY103" s="59">
        <f t="shared" si="83"/>
        <v>936.43702664880902</v>
      </c>
      <c r="GZ103" s="59">
        <f ca="1">AVERAGE(OFFSET($GY$3,0,0,'Données projet'!$E$18+1,1))-AVERAGE(OFFSET($H$3,0,0,'Données projet'!$E$18+1,1))</f>
        <v>286.77702855541287</v>
      </c>
      <c r="HA103" s="59">
        <f t="shared" si="106"/>
        <v>227.12211541860779</v>
      </c>
      <c r="HB103" s="15">
        <f>IF(ISNA(VLOOKUP(A103,'Données projet'!$A$269:$I$289,3,0)),0,VLOOKUP(A103,'Données projet'!$A$269:$I$289,3,0))</f>
        <v>0</v>
      </c>
      <c r="HC103" s="15">
        <f>IF(ISNA(VLOOKUP(A103,'Données projet'!$A$269:$I$289,4,0)),0,VLOOKUP(A103,'Données projet'!$A$269:$I$289,4,0))</f>
        <v>0</v>
      </c>
      <c r="HD103" s="16">
        <f>IF(ISNA(VLOOKUP(A103,'Données projet'!$A$269:$I$289,5,0)),0%,VLOOKUP(A103,'Données projet'!$A$269:$I$289,5,0)*VLOOKUP('Données projet'!$B$18,Paramètres!$A$1:$I$89,7,0))</f>
        <v>0</v>
      </c>
      <c r="HE103" s="16">
        <f>IF(ISNA(VLOOKUP(A103,'Données projet'!$A$269:$I$289,6,0)),0%,VLOOKUP(A103,'Données projet'!$A$269:$I$289,6,0)*VLOOKUP('Données projet'!$B$18,Paramètres!$A$1:$I$89,7,0))</f>
        <v>0</v>
      </c>
      <c r="HF103" s="16">
        <f>IF(ISNA(VLOOKUP(A103,'Données projet'!$A$269:$I$289,7,0)),0%,VLOOKUP(A103,'Données projet'!$A$269:$I$289,7,0))</f>
        <v>0</v>
      </c>
      <c r="HG103" s="21">
        <f>EXP(-LN(2)/35)*HG102+(1-EXP(-LN(2)/35))/(LN(2)/35)*HC103*HD103*VLOOKUP('Données projet'!$B$18,Paramètres!$A$1:$I$89,3,0)*0.475*44/12</f>
        <v>0</v>
      </c>
      <c r="HH103" s="21">
        <f>EXP(-LN(2)/25)*HH102+(1-EXP(-LN(2)/25))/(LN(2)/25)*Calculateur!HC103*Calculateur!HE103*VLOOKUP('Données projet'!$B$18,Paramètres!$A$1:$I$89,3,0)*0.475*44/12</f>
        <v>0</v>
      </c>
      <c r="HI103" s="21">
        <f>EXP(-LN(2)/2)*HI102+(1-EXP(-LN(2)/2))/(LN(2)/2)*HC103*HF103*VLOOKUP('Données projet'!$B$18,Paramètres!$A$1:$I$89,3,0)*0.475*44/12</f>
        <v>0</v>
      </c>
      <c r="HJ103" s="22">
        <f t="shared" si="84"/>
        <v>0</v>
      </c>
    </row>
    <row r="104" spans="1:218" x14ac:dyDescent="0.25">
      <c r="A104" s="10">
        <f t="shared" si="85"/>
        <v>101</v>
      </c>
      <c r="B104" s="73">
        <f>'Scénario référence'!$B$16*5+'Scénario référence'!$B$17*0+'Scénario référence'!$B$18*5</f>
        <v>0</v>
      </c>
      <c r="C104" s="19">
        <f>Calculateur!C103+'Scénario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89.809200000000146</v>
      </c>
      <c r="D104" s="11">
        <f t="shared" si="86"/>
        <v>24.519202946196138</v>
      </c>
      <c r="E10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04" s="11">
        <f>IF(OR('Scénario référence'!$F$8&gt;0,'Scénario référence'!$F$9&gt;0),('Scénario référence'!$F$8+'Scénario référence'!$F$9)*10,0)</f>
        <v>10</v>
      </c>
      <c r="G104" s="11">
        <f>'Scénario référence'!$B$8*B104*44/12+'Scénario référence'!$B$9*(C104+D104)/0.475*44/12+'Scénario référence'!$B$10*(C104+D104)/0.475*44/12+'Scénario référence'!$F$8*(C104+D104)/0.475*44/12+'Scénario référence'!$F$9*(C104+D104)/0.475*44/12</f>
        <v>882.53504028642749</v>
      </c>
      <c r="H104" s="67">
        <f t="shared" si="56"/>
        <v>492.4553017979585</v>
      </c>
      <c r="I104" s="70">
        <f>('Scénario référence'!$F$8+'Scénario référence'!$F$9+'Scénario référence'!$B$17+'Scénario référence'!$B$9+'Scénario référence'!$B$10)*70+IF((45+25*(1-EXP(-0.0175*A104)))&lt;70,'Scénario référence'!$B$16*(45+25*(1-EXP(-0.0175*A104))),70*'Scénario référence'!$B$16)+IF((32+38*(1-EXP(-0.0175*A104)))&lt;70,'Scénario référence'!$B$18*(32+38*(1-EXP(-0.0175*A104))),70*'Scénario référence'!$B$18)</f>
        <v>70</v>
      </c>
      <c r="J104" s="13">
        <f>IF(A104&gt;30,10,('Scénario référence'!$B$16+'Scénario référence'!$B$17+'Scénario référence'!$B$18+'Scénario référence'!$B$9+'Scénario référence'!$B$10)*A104*10/30+('Scénario référence'!$F$8+'Scénario référence'!$F$9)*10)</f>
        <v>10</v>
      </c>
      <c r="K104" s="12" t="e">
        <f>VLOOKUP(A104,'Données projet'!$A$35:$I$55,2,0)</f>
        <v>#N/A</v>
      </c>
      <c r="L104" s="12" t="e">
        <f>VLOOKUP(A104,'Données projet'!$A$35:$I$55,9,0)</f>
        <v>#N/A</v>
      </c>
      <c r="M104" s="12">
        <f t="array" ref="M104">INDEX(L:L,MIN(IF(ISNUMBER(L104:L300),ROW(L104:L300),"")))</f>
        <v>0</v>
      </c>
      <c r="N104" s="13">
        <f>IF('Données projet'!$A$36&gt;35,N103+M104-V103,IF(A104&lt;'Données projet'!$A$36,$K$205^A104,IF(A104='Données projet'!$A$36,'Données projet'!$B$36,N103+M104-V103)))</f>
        <v>-2.2737367544323206E-13</v>
      </c>
      <c r="O104" s="13">
        <f>N104*VLOOKUP('Données projet'!$B$9,Paramètres!$A$1:$I$89,3,0)*VLOOKUP('Données projet'!$B$9,Paramètres!$A$1:$I$89,5,0)</f>
        <v>-1.2710188457276673E-13</v>
      </c>
      <c r="P104" s="13" t="e">
        <f t="shared" si="87"/>
        <v>#NUM!</v>
      </c>
      <c r="Q104" s="20" t="e">
        <f t="shared" si="107"/>
        <v>#NUM!</v>
      </c>
      <c r="R104" s="59" t="e">
        <f t="shared" si="55"/>
        <v>#NUM!</v>
      </c>
      <c r="S104" s="59">
        <f ca="1">AVERAGE(OFFSET($R$3,0,0,'Données projet'!$E$9+1,1))-AVERAGE(OFFSET($H$3,0,0,'Données projet'!$E$9+1,1))</f>
        <v>255.5374979188561</v>
      </c>
      <c r="T104" s="59">
        <f t="shared" si="88"/>
        <v>343.10418468620901</v>
      </c>
      <c r="U104" s="15">
        <f>IF(ISNA(VLOOKUP(A104,'Données projet'!$A$35:$I$55,3,0)),0,VLOOKUP(A104,'Données projet'!$A$35:$I$55,3,0))</f>
        <v>0</v>
      </c>
      <c r="V104" s="15">
        <f>IF(ISNA(VLOOKUP(A104,'Données projet'!$A$35:$I$55,4,0)),0,VLOOKUP(A104,'Données projet'!$A$35:$I$55,4,0))</f>
        <v>0</v>
      </c>
      <c r="W104" s="16">
        <f>IF(ISNA(VLOOKUP(A104,'Données projet'!$A$35:$I$55,5,0)),0%,VLOOKUP(A104,'Données projet'!$A$35:$I$55,5,0)*VLOOKUP('Données projet'!$B$9,Paramètres!$A$1:$I$89,7,0))</f>
        <v>0</v>
      </c>
      <c r="X104" s="16">
        <f>IF(ISNA(VLOOKUP(A104,'Données projet'!$A$35:$I$55,6,0)),0%,VLOOKUP(A104,'Données projet'!$A$35:$I$55,6,0)*VLOOKUP('Données projet'!$B$9,Paramètres!$A$1:$I$89,7,0))</f>
        <v>0</v>
      </c>
      <c r="Y104" s="16">
        <f>IF(ISNA(VLOOKUP(A104,'Données projet'!$A$35:$I$55,7,0)),0%,VLOOKUP(A104,'Données projet'!$A$35:$I$55,7,0))</f>
        <v>0</v>
      </c>
      <c r="Z104" s="21">
        <f>EXP(-LN(2)/35)*Z103+(1-EXP(-LN(2)/35))/(LN(2)/35)*V104*W104*VLOOKUP('Données projet'!$B$9,Paramètres!$A$1:$I$89,3,0)*0.475*44/12</f>
        <v>0.75736175757307289</v>
      </c>
      <c r="AA104" s="21">
        <f>EXP(-LN(2)/25)*AA103+(1-EXP(-LN(2)/25))/(LN(2)/25)*Calculateur!V104*Calculateur!X104*VLOOKUP('Données projet'!$B$9,Paramètres!$A$1:$I$89,3,0)*0.475*44/12</f>
        <v>2.2290240308185232</v>
      </c>
      <c r="AB104" s="21">
        <f>EXP(-LN(2)/2)*AB103+(1-EXP(-LN(2)/2))/(LN(2)/2)*V104*Y104*VLOOKUP('Données projet'!$B$9,Paramètres!$A$1:$I$89,3,0)*0.475*44/12</f>
        <v>3.4833960339062641E-11</v>
      </c>
      <c r="AC104" s="22">
        <f t="shared" si="57"/>
        <v>2.9863857884264298</v>
      </c>
      <c r="AD104" s="13">
        <f>('Scénario référence'!$F$8+'Scénario référence'!$F$9+'Scénario référence'!$B$17+'Scénario référence'!$B$9+'Scénario référence'!$B$10)*70+IF((45+25*(1-EXP(-0.0175*A104)))&lt;70,'Scénario référence'!$B$16*(45+25*(1-EXP(-0.0175*A104))),70*'Scénario référence'!$B$16)+IF((32+38*(1-EXP(-0.0175*A104)))&lt;70,'Scénario référence'!$B$18*(32+38*(1-EXP(-0.0175*A104))),70*'Scénario référence'!$B$18)</f>
        <v>70</v>
      </c>
      <c r="AE104" s="13">
        <f>IF(A104&gt;30,10,('Scénario référence'!$B$16+'Scénario référence'!$B$17+'Scénario référence'!$B$18+'Scénario référence'!$B$9+'Scénario référence'!$B$10)*A104*10/30+('Scénario référence'!$F$8+'Scénario référence'!$F$9)*10)</f>
        <v>10</v>
      </c>
      <c r="AF104" s="12" t="e">
        <f>VLOOKUP(A104,'Données projet'!$A$61:$I$81,2,0)</f>
        <v>#N/A</v>
      </c>
      <c r="AG104" s="12" t="e">
        <f>VLOOKUP(A104,'Données projet'!$A$61:$I$81,9,0)</f>
        <v>#N/A</v>
      </c>
      <c r="AH104" s="12">
        <f t="array" ref="AH104">INDEX(AG:AG,MIN(IF(ISNUMBER(AG104:AG300),ROW(AG104:AG300),"")))</f>
        <v>0</v>
      </c>
      <c r="AI104" s="13">
        <f>IF('Données projet'!$A$62&gt;35,AI103+AH104-AQ103,IF(A104&lt;'Données projet'!$A$62,$AF$205^A104,IF(A104='Données projet'!$A$62,'Données projet'!$B$62,AI103+AH104-AQ103)))</f>
        <v>0</v>
      </c>
      <c r="AJ104" s="13">
        <f>AI104*VLOOKUP('Données projet'!$B$10,Paramètres!$A$1:$I$89,3,0)*VLOOKUP('Données projet'!$B$10,Paramètres!$A$1:$I$89,5,0)</f>
        <v>0</v>
      </c>
      <c r="AK104" s="13" t="e">
        <f t="shared" si="89"/>
        <v>#NUM!</v>
      </c>
      <c r="AL104" s="20" t="e">
        <f t="shared" si="58"/>
        <v>#NUM!</v>
      </c>
      <c r="AM104" s="59" t="e">
        <f t="shared" si="59"/>
        <v>#NUM!</v>
      </c>
      <c r="AN104" s="59">
        <f ca="1">AVERAGE(OFFSET($AM$3,0,0,'Données projet'!$E$10+1,1))-AVERAGE(OFFSET($H$3,0,0,'Données projet'!$E$10+1,1))</f>
        <v>261.78489480911571</v>
      </c>
      <c r="AO104" s="59">
        <f t="shared" si="90"/>
        <v>297.50513563712764</v>
      </c>
      <c r="AP104" s="15">
        <f>IF(ISNA(VLOOKUP(A104,'Données projet'!$A$61:$I$81,3,0)),0,VLOOKUP(A104,'Données projet'!$A$61:$I$81,3,0))</f>
        <v>0</v>
      </c>
      <c r="AQ104" s="15">
        <f>IF(ISNA(VLOOKUP(A104,'Données projet'!$A$61:$I$81,4,0)),0,VLOOKUP(A104,'Données projet'!$A$61:$I$81,4,0))</f>
        <v>0</v>
      </c>
      <c r="AR104" s="16">
        <f>IF(ISNA(VLOOKUP(A104,'Données projet'!$A$61:$I$81,5,0)),0%,VLOOKUP(A104,'Données projet'!$A$61:$I$81,5,0)*VLOOKUP('Données projet'!$B$10,Paramètres!$A$1:$I$89,7,0))</f>
        <v>0</v>
      </c>
      <c r="AS104" s="16">
        <f>IF(ISNA(VLOOKUP(A104,'Données projet'!$A$61:$I$81,6,0)),0%,VLOOKUP(A104,'Données projet'!$A$61:$I$81,6,0)*VLOOKUP('Données projet'!$B$10,Paramètres!$A$1:$I$89,7,0))</f>
        <v>0</v>
      </c>
      <c r="AT104" s="16">
        <f>IF(ISNA(VLOOKUP(A104,'Données projet'!$A$61:$I$81,7,0)),0%,VLOOKUP(A104,'Données projet'!$A$61:$I$81,7,0))</f>
        <v>0</v>
      </c>
      <c r="AU104" s="21">
        <f>EXP(-LN(2)/35)*AU103+(1-EXP(-LN(2)/35))/(LN(2)/35)*AQ104*AR104*VLOOKUP('Données projet'!$B$10,Paramètres!$A$1:$I$89,3,0)*0.475*44/12</f>
        <v>2.0450909641929527</v>
      </c>
      <c r="AV104" s="21">
        <f>EXP(-LN(2)/25)*AV103+(1-EXP(-LN(2)/25))/(LN(2)/25)*Calculateur!AQ104*Calculateur!AS104*VLOOKUP('Données projet'!$B$10,Paramètres!$A$1:$I$89,3,0)*0.475*44/12</f>
        <v>3.8923305915000266</v>
      </c>
      <c r="AW104" s="21">
        <f>EXP(-LN(2)/2)*AW103+(1-EXP(-LN(2)/2))/(LN(2)/2)*AQ104*AT104*VLOOKUP('Données projet'!$B$10,Paramètres!$A$1:$I$89,3,0)*0.475*44/12</f>
        <v>5.0216470035781011E-10</v>
      </c>
      <c r="AX104" s="21">
        <f t="shared" si="60"/>
        <v>5.9374215561951438</v>
      </c>
      <c r="AY104" s="74">
        <f>('Scénario référence'!$F$8+'Scénario référence'!$F$9+'Scénario référence'!$B$17+'Scénario référence'!$B$9+'Scénario référence'!$B$10)*70+IF((45+25*(1-EXP(-0.0175*A104)))&lt;70,'Scénario référence'!$B$16*(45+25*(1-EXP(-0.0175*A104))),70*'Scénario référence'!$B$16)+IF((32+38*(1-EXP(-0.0175*A104)))&lt;70,'Scénario référence'!$B$18*(32+38*(1-EXP(-0.0175*A104))),70*'Scénario référence'!$B$18)</f>
        <v>70</v>
      </c>
      <c r="AZ104" s="12">
        <f>IF(A104&gt;30,10,('Scénario référence'!$B$16+'Scénario référence'!$B$17+'Scénario référence'!$B$18+'Scénario référence'!$B$9+'Scénario référence'!$B$10)*A104*10/30+('Scénario référence'!$F$8+'Scénario référence'!$F$9)*10)</f>
        <v>10</v>
      </c>
      <c r="BA104" s="12" t="e">
        <f>VLOOKUP(A104,'Données projet'!$A$87:$I$107,2,0)</f>
        <v>#N/A</v>
      </c>
      <c r="BB104" s="12" t="e">
        <f>VLOOKUP(A104,'Données projet'!$A$87:$I$107,9,0)</f>
        <v>#N/A</v>
      </c>
      <c r="BC104" s="12">
        <f t="array" ref="BC104">INDEX(BB:BB,MIN(IF(ISNUMBER(BB104:BB300),ROW(BB104:BB300),"")))</f>
        <v>0</v>
      </c>
      <c r="BD104" s="12">
        <f>IF('Données projet'!$A$88&gt;35,BD103+BC104-BL103,IF(A104&lt;'Données projet'!$A$88,$BA$205^A104,IF(A104='Données projet'!$A$88,'Données projet'!$B$88,BD103+BC104-BL103)))</f>
        <v>553.99999999999955</v>
      </c>
      <c r="BE104" s="13">
        <f>BD104*VLOOKUP('Données projet'!$B$11,Paramètres!$A$1:$I$89,3,0)*VLOOKUP('Données projet'!$B$11,Paramètres!$A$1:$I$89,5,0)</f>
        <v>331.29199999999975</v>
      </c>
      <c r="BF104" s="13">
        <f t="shared" si="91"/>
        <v>77.698110787752</v>
      </c>
      <c r="BG104" s="20">
        <f t="shared" si="61"/>
        <v>712.32444295533423</v>
      </c>
      <c r="BH104" s="59">
        <f t="shared" si="62"/>
        <v>1005.6577762886675</v>
      </c>
      <c r="BI104" s="59">
        <f ca="1">AVERAGE(OFFSET($BH$3,0,0,'Données projet'!$E$11+1,1))-AVERAGE(OFFSET($H$3,0,0,'Données projet'!$E$11+1,1))</f>
        <v>316.58509520829671</v>
      </c>
      <c r="BJ104" s="59">
        <f t="shared" si="92"/>
        <v>240.71332110643596</v>
      </c>
      <c r="BK104" s="15">
        <f>IF(ISNA(VLOOKUP(A104,'Données projet'!$A$87:$I$107,3,0)),0,VLOOKUP(A104,'Données projet'!$A$87:$I$107,3,0))</f>
        <v>0</v>
      </c>
      <c r="BL104" s="15">
        <f>IF(ISNA(VLOOKUP(A104,'Données projet'!$A$87:$I$107,4,0)),0,VLOOKUP(A104,'Données projet'!$A$87:$I$107,4,0))</f>
        <v>0</v>
      </c>
      <c r="BM104" s="16">
        <f>IF(ISNA(VLOOKUP(A104,'Données projet'!$A$87:$I$107,5,0)),0%,VLOOKUP(A104,'Données projet'!$A$87:$I$107,5,0)*VLOOKUP('Données projet'!$B$11,Paramètres!$A$1:$I$89,7,0))</f>
        <v>0</v>
      </c>
      <c r="BN104" s="16">
        <f>IF(ISNA(VLOOKUP(A104,'Données projet'!$A$87:$I$107,6,0)),0%,VLOOKUP(A104,'Données projet'!$A$87:$I$107,6,0)*VLOOKUP('Données projet'!$B$11,Paramètres!$A$1:$I$89,7,0))</f>
        <v>0</v>
      </c>
      <c r="BO104" s="16">
        <f>IF(ISNA(VLOOKUP(A104,'Données projet'!$A$87:$I$107,7,0)),0%,VLOOKUP(A104,'Données projet'!$A$87:$I$107,7,0))</f>
        <v>0</v>
      </c>
      <c r="BP104" s="21">
        <f>EXP(-LN(2)/35)*BP103+(1-EXP(-LN(2)/35))/(LN(2)/35)*BL104*BM104*VLOOKUP('Données projet'!$B$11,Paramètres!$A$1:$I$89,3,0)*0.475*44/12</f>
        <v>0.62121159682423588</v>
      </c>
      <c r="BQ104" s="21">
        <f>EXP(-LN(2)/25)*BQ103+(1-EXP(-LN(2)/25))/(LN(2)/25)*Calculateur!BL104*Calculateur!BN104*VLOOKUP('Données projet'!$B$11,Paramètres!$A$1:$I$89,3,0)*0.475*44/12</f>
        <v>2.1323322687438213</v>
      </c>
      <c r="BR104" s="21">
        <f>EXP(-LN(2)/2)*BR103+(1-EXP(-LN(2)/2))/(LN(2)/2)*BL104*BO104*VLOOKUP('Données projet'!$B$11,Paramètres!$A$1:$I$89,3,0)*0.475*44/12</f>
        <v>4.5150105898718833E-10</v>
      </c>
      <c r="BS104" s="22">
        <f t="shared" si="63"/>
        <v>2.7535438660195584</v>
      </c>
      <c r="BT104" s="75">
        <f>('Scénario référence'!$F$8+'Scénario référence'!$F$9+'Scénario référence'!$B$17+'Scénario référence'!$B$9+'Scénario référence'!$B$10)*70+IF((45+25*(1-EXP(-0.0175*A104)))&lt;70,'Scénario référence'!$B$16*(45+25*(1-EXP(-0.0175*A104))),70*'Scénario référence'!$B$16)+IF((32+38*(1-EXP(-0.0175*A104)))&lt;70,'Scénario référence'!$B$18*(32+38*(1-EXP(-0.0175*A104))),70*'Scénario référence'!$B$18)</f>
        <v>70</v>
      </c>
      <c r="BU104" s="12">
        <f>IF(A104&gt;30,10,('Scénario référence'!$B$16+'Scénario référence'!$B$17+'Scénario référence'!$B$18+'Scénario référence'!$B$9+'Scénario référence'!$B$10)*A104*10/30+('Scénario référence'!$F$8+'Scénario référence'!$F$9)*10)</f>
        <v>10</v>
      </c>
      <c r="BV104" s="12" t="e">
        <f>VLOOKUP(A104,'Données projet'!$A$113:$I$133,2,0)</f>
        <v>#N/A</v>
      </c>
      <c r="BW104" s="12" t="e">
        <f>VLOOKUP(A104,'Données projet'!$A$113:$I$133,9,0)</f>
        <v>#N/A</v>
      </c>
      <c r="BX104" s="12">
        <f t="array" ref="BX104">INDEX(BW:BW,MIN(IF(ISNUMBER(BW104:BW300),ROW(BW104:BW300),"")))</f>
        <v>0</v>
      </c>
      <c r="BY104" s="12">
        <f>IF('Données projet'!$A$114&gt;35,BY103+BX104-CG103,IF(A104&lt;'Données projet'!$A$114,$BV$205^A104,IF(A104='Données projet'!$A$114,'Données projet'!$B$114,BY103+BX104-CG103)))</f>
        <v>333.99999999999977</v>
      </c>
      <c r="BZ104" s="13">
        <f>BY104*VLOOKUP('Données projet'!$B$12,Paramètres!$A$1:$I$89,3,0)*VLOOKUP('Données projet'!$B$12,Paramètres!$A$1:$I$89,5,0)</f>
        <v>191.04799999999986</v>
      </c>
      <c r="CA104" s="13">
        <f t="shared" si="93"/>
        <v>47.771576544305155</v>
      </c>
      <c r="CB104" s="20">
        <f t="shared" si="64"/>
        <v>415.94409581466454</v>
      </c>
      <c r="CC104" s="59">
        <f t="shared" si="65"/>
        <v>709.27742914799785</v>
      </c>
      <c r="CD104" s="59">
        <f ca="1">AVERAGE(OFFSET($CC$3,0,0,'Données projet'!$E$12+1,1))-AVERAGE(OFFSET($H$3,0,0,'Données projet'!$E$12+1,1))</f>
        <v>188.64374818906128</v>
      </c>
      <c r="CE104" s="59">
        <f t="shared" si="94"/>
        <v>211.95157880548652</v>
      </c>
      <c r="CF104" s="15">
        <f>IF(ISNA(VLOOKUP(A104,'Données projet'!$A$113:$I$133,3,0)),0,VLOOKUP(A104,'Données projet'!$A$113:$I$133,3,0))</f>
        <v>0</v>
      </c>
      <c r="CG104" s="15">
        <f>IF(ISNA(VLOOKUP(A104,'Données projet'!$A$113:$I$133,4,0)),0,VLOOKUP(A104,'Données projet'!$A$113:$I$133,4,0))</f>
        <v>0</v>
      </c>
      <c r="CH104" s="16">
        <f>IF(ISNA(VLOOKUP(A104,'Données projet'!$A$113:$I$133,5,0)),0%,VLOOKUP(A104,'Données projet'!$A$113:$I$133,5,0)*VLOOKUP('Données projet'!$B$12,Paramètres!$A$1:$I$89,7,0))</f>
        <v>0</v>
      </c>
      <c r="CI104" s="16">
        <f>IF(ISNA(VLOOKUP(A104,'Données projet'!$A$113:$I$133,6,0)),0%,VLOOKUP(A104,'Données projet'!$A$113:$I$133,6,0)*VLOOKUP('Données projet'!$B$12,Paramètres!$A$1:$I$89,7,0))</f>
        <v>0</v>
      </c>
      <c r="CJ104" s="16">
        <f>IF(ISNA(VLOOKUP(A104,'Données projet'!$A$113:$I$133,7,0)),0%,VLOOKUP(A104,'Données projet'!$A$113:$I$133,7,0))</f>
        <v>0</v>
      </c>
      <c r="CK104" s="21">
        <f>EXP(-LN(2)/35)*CK103+(1-EXP(-LN(2)/35))/(LN(2)/35)*CG104*CH104*VLOOKUP('Données projet'!$B$12,Paramètres!$A$1:$I$89,3,0)*0.475*44/12</f>
        <v>0.60257144480685187</v>
      </c>
      <c r="CL104" s="21">
        <f>EXP(-LN(2)/25)*CL103+(1-EXP(-LN(2)/25))/(LN(2)/25)*Calculateur!CG104*Calculateur!CI104*VLOOKUP('Données projet'!$B$12,Paramètres!$A$1:$I$89,3,0)*0.475*44/12</f>
        <v>2.0069994111029645</v>
      </c>
      <c r="CM104" s="21">
        <f>EXP(-LN(2)/2)*CM103+(1-EXP(-LN(2)/2))/(LN(2)/2)*CG104*CJ104*VLOOKUP('Données projet'!$B$12,Paramètres!$A$1:$I$89,3,0)*0.475*44/12</f>
        <v>4.3724344966159477E-10</v>
      </c>
      <c r="CN104" s="22">
        <f t="shared" si="66"/>
        <v>2.6095708563470601</v>
      </c>
      <c r="CO104" s="75">
        <f>('Scénario référence'!$F$8+'Scénario référence'!$F$9+'Scénario référence'!$B$17+'Scénario référence'!$B$9+'Scénario référence'!$B$10)*70+IF((45+25*(1-EXP(-0.0175*A104)))&lt;70,'Scénario référence'!$B$16*(45+25*(1-EXP(-0.0175*A104))),70*'Scénario référence'!$B$16)+IF((32+38*(1-EXP(-0.0175*A104)))&lt;70,'Scénario référence'!$B$18*(32+38*(1-EXP(-0.0175*A104))),70*'Scénario référence'!$B$18)</f>
        <v>70</v>
      </c>
      <c r="CP104" s="12">
        <f>IF(A104&gt;30,10,('Scénario référence'!$B$16+'Scénario référence'!$B$17+'Scénario référence'!$B$18+'Scénario référence'!$B$9+'Scénario référence'!$B$10)*A104*10/30+('Scénario référence'!$F$8+'Scénario référence'!$F$9)*10)</f>
        <v>10</v>
      </c>
      <c r="CQ104" s="12" t="e">
        <f>VLOOKUP(A104,'Données projet'!$A$139:$I$159,2,0)</f>
        <v>#N/A</v>
      </c>
      <c r="CR104" s="12" t="e">
        <f>VLOOKUP(A104,'Données projet'!$A$139:$I$159,9,0)</f>
        <v>#N/A</v>
      </c>
      <c r="CS104" s="12">
        <f t="array" ref="CS104">INDEX(CR:CR,MIN(IF(ISNUMBER(CR104:CR300),ROW(CR104:CR300),"")))</f>
        <v>0</v>
      </c>
      <c r="CT104" s="12">
        <f>IF('Données projet'!$A$140&gt;35,CT103+CS104-DB103,IF(A104&lt;'Données projet'!$A$140,$CQ$205^A104,IF(A104='Données projet'!$A$140,'Données projet'!$B$140,CT103+CS104-DB103)))</f>
        <v>0</v>
      </c>
      <c r="CU104" s="17" t="e">
        <f>CT104*VLOOKUP('Données projet'!$B$13,Paramètres!$A$1:$I$89,3,0)*VLOOKUP('Données projet'!$B$13,Paramètres!$A$1:$I$89,5,0)</f>
        <v>#N/A</v>
      </c>
      <c r="CV104" s="13" t="e">
        <f t="shared" si="95"/>
        <v>#N/A</v>
      </c>
      <c r="CW104" s="20" t="e">
        <f t="shared" si="67"/>
        <v>#N/A</v>
      </c>
      <c r="CX104" s="59" t="e">
        <f t="shared" si="68"/>
        <v>#N/A</v>
      </c>
      <c r="CY104" s="59" t="e">
        <f ca="1">AVERAGE(OFFSET($CX$3,0,0,'Données projet'!$E$13+1,1))-AVERAGE(OFFSET($H$3,0,0,'Données projet'!$E$13+1,1))</f>
        <v>#N/A</v>
      </c>
      <c r="CZ104" s="59" t="e">
        <f t="shared" si="96"/>
        <v>#N/A</v>
      </c>
      <c r="DA104" s="15">
        <f>IF(ISNA(VLOOKUP(A104,'Données projet'!$A$139:$I$159,3,0)),0,VLOOKUP(A104,'Données projet'!$A$139:$I$159,3,0))</f>
        <v>0</v>
      </c>
      <c r="DB104" s="15">
        <f>IF(ISNA(VLOOKUP(A104,'Données projet'!$A$139:$I$159,4,0)),0,VLOOKUP(A104,'Données projet'!$A$139:$I$159,4,0))</f>
        <v>0</v>
      </c>
      <c r="DC104" s="16">
        <f>IF(ISNA(VLOOKUP(A104,'Données projet'!$A$139:$I$159,5,0)),0%,VLOOKUP(A104,'Données projet'!$A$139:$I$159,5,0)*VLOOKUP('Données projet'!$B$13,Paramètres!$A$1:$I$89,7,0))</f>
        <v>0</v>
      </c>
      <c r="DD104" s="16">
        <f>IF(ISNA(VLOOKUP(A104,'Données projet'!$A$139:$I$159,6,0)),0%,VLOOKUP(A104,'Données projet'!$A$139:$I$159,6,0)*VLOOKUP('Données projet'!$B$13,Paramètres!$A$1:$I$89,7,0))</f>
        <v>0</v>
      </c>
      <c r="DE104" s="16">
        <f>IF(ISNA(VLOOKUP(A104,'Données projet'!$A$139:$I$159,7,0)),0%,VLOOKUP(A104,'Données projet'!$A$139:$I$159,7,0))</f>
        <v>0</v>
      </c>
      <c r="DF104" s="21" t="e">
        <f>EXP(-LN(2)/35)*DF103+(1-EXP(-LN(2)/35))/(LN(2)/35)*DB104*DC104*VLOOKUP('Données projet'!$B$13,Paramètres!$A$1:$I$89,3,0)*0.475*44/12</f>
        <v>#N/A</v>
      </c>
      <c r="DG104" s="21" t="e">
        <f>EXP(-LN(2)/25)*DG103+(1-EXP(-LN(2)/25))/(LN(2)/25)*Calculateur!DB104*Calculateur!DD104*VLOOKUP('Données projet'!$B$13,Paramètres!$A$1:$I$89,3,0)*0.475*44/12</f>
        <v>#N/A</v>
      </c>
      <c r="DH104" s="21" t="e">
        <f>EXP(-LN(2)/2)*DH103+(1-EXP(-LN(2)/2))/(LN(2)/2)*DB104*DE104*VLOOKUP('Données projet'!$B$13,Paramètres!$A$1:$I$89,3,0)*0.475*44/12</f>
        <v>#N/A</v>
      </c>
      <c r="DI104" s="22" t="e">
        <f t="shared" si="69"/>
        <v>#N/A</v>
      </c>
      <c r="DJ104" s="75">
        <f>('Scénario référence'!$F$8+'Scénario référence'!$F$9+'Scénario référence'!$B$17+'Scénario référence'!$B$9+'Scénario référence'!$B$10)*70+IF((45+25*(1-EXP(-0.0175*A104)))&lt;70,'Scénario référence'!$B$16*(45+25*(1-EXP(-0.0175*A104))),70*'Scénario référence'!$B$16)+IF((32+38*(1-EXP(-0.0175*A104)))&lt;70,'Scénario référence'!$B$18*(32+38*(1-EXP(-0.0175*A104))),70*'Scénario référence'!$B$18)</f>
        <v>70</v>
      </c>
      <c r="DK104" s="12">
        <f>IF(A104&gt;30,10,('Scénario référence'!$B$16+'Scénario référence'!$B$17+'Scénario référence'!$B$18+'Scénario référence'!$B$9+'Scénario référence'!$B$10)*A104*10/30+('Scénario référence'!$F$8+'Scénario référence'!$F$9)*10)</f>
        <v>10</v>
      </c>
      <c r="DL104" s="12" t="e">
        <f>VLOOKUP(A104,'Données projet'!$A$165:$I$185,2,0)</f>
        <v>#N/A</v>
      </c>
      <c r="DM104" s="12" t="e">
        <f>VLOOKUP(A104,'Données projet'!$A$165:$I$185,9,0)</f>
        <v>#N/A</v>
      </c>
      <c r="DN104" s="12">
        <f t="array" ref="DN104">INDEX(DM:DM,MIN(IF(ISNUMBER(DM104:DM300),ROW(DM104:DM300),"")))</f>
        <v>0</v>
      </c>
      <c r="DO104" s="12">
        <f>IF('Données projet'!$A$166&gt;35,DO103+DN104-DW103,IF(A104&lt;'Données projet'!$A$166,$DL$205^A104,IF(A104='Données projet'!$A$166,'Données projet'!$B$166,DO103+DN104-DW103)))</f>
        <v>268.00000000000017</v>
      </c>
      <c r="DP104" s="17">
        <f>DO104*VLOOKUP('Données projet'!$B$14,Paramètres!$A$1:$I$89,3,0)*VLOOKUP('Données projet'!$B$14,Paramètres!$A$1:$I$89,5,0)</f>
        <v>175.59360000000012</v>
      </c>
      <c r="DQ104" s="13">
        <f t="shared" si="97"/>
        <v>44.340433728638573</v>
      </c>
      <c r="DR104" s="20">
        <f t="shared" si="70"/>
        <v>383.05177541071242</v>
      </c>
      <c r="DS104" s="59">
        <f t="shared" si="71"/>
        <v>676.38510874404574</v>
      </c>
      <c r="DT104" s="59">
        <f ca="1">AVERAGE(OFFSET($DS$3,0,0,'Données projet'!$E$14+1,1))-AVERAGE(OFFSET($H$3,0,0,'Données projet'!$E$14+1,1))</f>
        <v>188.68915783955595</v>
      </c>
      <c r="DU104" s="59">
        <f t="shared" si="98"/>
        <v>240.82467772396944</v>
      </c>
      <c r="DV104" s="15">
        <f>IF(ISNA(VLOOKUP(A104,'Données projet'!$A$165:$I$185,3,0)),0,VLOOKUP(A104,'Données projet'!$A$165:$I$185,3,0))</f>
        <v>0</v>
      </c>
      <c r="DW104" s="15">
        <f>IF(ISNA(VLOOKUP(A104,'Données projet'!$A$165:$I$185,4,0)),0,VLOOKUP(A104,'Données projet'!$A$165:$I$185,4,0))</f>
        <v>0</v>
      </c>
      <c r="DX104" s="16">
        <f>IF(ISNA(VLOOKUP(A104,'Données projet'!$A$165:$I$185,5,0)),0%,VLOOKUP(A104,'Données projet'!$A$165:$I$185,5,0)*VLOOKUP('Données projet'!$B$14,Paramètres!$A$1:$I$89,7,0))</f>
        <v>0</v>
      </c>
      <c r="DY104" s="16">
        <f>IF(ISNA(VLOOKUP(A104,'Données projet'!$A$165:$I$185,6,0)),0%,VLOOKUP(A104,'Données projet'!$A$165:$I$185,6,0)*VLOOKUP('Données projet'!$B$14,Paramètres!$A$1:$I$89,7,0))</f>
        <v>0</v>
      </c>
      <c r="DZ104" s="16">
        <f>IF(ISNA(VLOOKUP(A104,'Données projet'!$A$165:$I$185,7,0)),0%,VLOOKUP(A104,'Données projet'!$A$165:$I$185,7,0))</f>
        <v>0</v>
      </c>
      <c r="EA104" s="21">
        <f>EXP(-LN(2)/35)*EA103+(1-EXP(-LN(2)/35))/(LN(2)/35)*DW104*DX104*VLOOKUP('Données projet'!$B$14,Paramètres!$A$1:$I$89,3,0)*0.475*44/12</f>
        <v>0.38167930321309418</v>
      </c>
      <c r="EB104" s="21">
        <f>EXP(-LN(2)/25)*EB103+(1-EXP(-LN(2)/25))/(LN(2)/25)*Calculateur!DW104*Calculateur!DY104*VLOOKUP('Données projet'!$B$14,Paramètres!$A$1:$I$89,3,0)*0.475*44/12</f>
        <v>1.1225983360473804</v>
      </c>
      <c r="EC104" s="21">
        <f>EXP(-LN(2)/2)*EC103+(1-EXP(-LN(2)/2))/(LN(2)/2)*DW104*DZ104*VLOOKUP('Données projet'!$B$14,Paramètres!$A$1:$I$89,3,0)*0.475*44/12</f>
        <v>2.8803930033756714E-10</v>
      </c>
      <c r="ED104" s="22">
        <f t="shared" si="72"/>
        <v>1.5042776395485138</v>
      </c>
      <c r="EE104" s="75">
        <f>('Scénario référence'!$F$8+'Scénario référence'!$F$9+'Scénario référence'!$B$17+'Scénario référence'!$B$9+'Scénario référence'!$B$10)*70+IF((45+25*(1-EXP(-0.0175*A104)))&lt;70,'Scénario référence'!$B$16*(45+25*(1-EXP(-0.0175*A104))),70*'Scénario référence'!$B$16)+IF((32+38*(1-EXP(-0.0175*A104)))&lt;70,'Scénario référence'!$B$18*(32+38*(1-EXP(-0.0175*A104))),70*'Scénario référence'!$B$18)</f>
        <v>70</v>
      </c>
      <c r="EF104" s="12">
        <f>IF(A104&gt;30,10,('Scénario référence'!$B$16+'Scénario référence'!$B$17+'Scénario référence'!$B$18+'Scénario référence'!$B$9+'Scénario référence'!$B$10)*A104*10/30+('Scénario référence'!$F$8+'Scénario référence'!$F$9)*10)</f>
        <v>10</v>
      </c>
      <c r="EG104" s="12" t="e">
        <f>VLOOKUP(A104,'Données projet'!$A$191:$I$211,2,0)</f>
        <v>#N/A</v>
      </c>
      <c r="EH104" s="12" t="e">
        <f>VLOOKUP(A104,'Données projet'!$A$191:$I$211,9,0)</f>
        <v>#N/A</v>
      </c>
      <c r="EI104" s="12">
        <f t="array" ref="EI104">INDEX(EH:EH,MIN(IF(ISNUMBER(EH104:EH300),ROW(EH104:EH300),"")))</f>
        <v>0</v>
      </c>
      <c r="EJ104" s="12">
        <f>IF('Données projet'!$A$192&gt;35,EJ103+EI104-ER103,IF(A104&lt;'Données projet'!$A$192,$EG$205^A104,IF(A104='Données projet'!$A$192,'Données projet'!$B$192,EJ103+EI104-ER103)))</f>
        <v>275.99999999999972</v>
      </c>
      <c r="EK104" s="17">
        <f>EJ104*VLOOKUP('Données projet'!$B$15,Paramètres!$A$1:$I$89,3,0)*VLOOKUP('Données projet'!$B$15,Paramètres!$A$1:$I$89,5,0)</f>
        <v>223.8911999999998</v>
      </c>
      <c r="EL104" s="13">
        <f t="shared" si="99"/>
        <v>54.95975389514858</v>
      </c>
      <c r="EM104" s="20">
        <f t="shared" si="73"/>
        <v>485.66541136738346</v>
      </c>
      <c r="EN104" s="59">
        <f t="shared" si="74"/>
        <v>778.99874470071677</v>
      </c>
      <c r="EO104" s="59">
        <f ca="1">AVERAGE(OFFSET($EN$3,0,0,'Données projet'!$E$15+1,1))-AVERAGE(OFFSET($H$3,0,0,'Données projet'!$E$15+1,1))</f>
        <v>205.5272583787887</v>
      </c>
      <c r="EP104" s="59">
        <f t="shared" si="100"/>
        <v>180.54762778843178</v>
      </c>
      <c r="EQ104" s="15">
        <f>IF(ISNA(VLOOKUP(A104,'Données projet'!$A$191:$I$211,3,0)),0,VLOOKUP(A104,'Données projet'!$A$191:$I$211,3,0))</f>
        <v>0</v>
      </c>
      <c r="ER104" s="15">
        <f>IF(ISNA(VLOOKUP(A104,'Données projet'!$A$191:$I$211,4,0)),0,VLOOKUP(A104,'Données projet'!$A$191:$I$211,4,0))</f>
        <v>0</v>
      </c>
      <c r="ES104" s="16">
        <f>IF(ISNA(VLOOKUP(A104,'Données projet'!$A$191:$I$211,5,0)),0%,VLOOKUP(A104,'Données projet'!$A$191:$I$211,5,0)*VLOOKUP('Données projet'!$B$15,Paramètres!$A$1:$I$89,7,0))</f>
        <v>0</v>
      </c>
      <c r="ET104" s="16">
        <f>IF(ISNA(VLOOKUP(A104,'Données projet'!$A$191:$I$211,6,0)),0%,VLOOKUP(A104,'Données projet'!$A$191:$I$211,6,0)*VLOOKUP('Données projet'!$B$15,Paramètres!$A$1:$I$89,7,0))</f>
        <v>0</v>
      </c>
      <c r="EU104" s="16">
        <f>IF(ISNA(VLOOKUP(A104,'Données projet'!$A$191:$I$211,7,0)),0%,VLOOKUP(A104,'Données projet'!$A$191:$I$211,7,0))</f>
        <v>0</v>
      </c>
      <c r="EV104" s="21">
        <f>EXP(-LN(2)/35)*EV103+(1-EXP(-LN(2)/35))/(LN(2)/35)*ER104*ES104*VLOOKUP('Données projet'!$B$15,Paramètres!$A$1:$I$89,3,0)*0.475*44/12</f>
        <v>0.24572877044957298</v>
      </c>
      <c r="EW104" s="21">
        <f>EXP(-LN(2)/25)*EW103+(1-EXP(-LN(2)/25))/(LN(2)/25)*Calculateur!ER104*Calculateur!ET104*VLOOKUP('Données projet'!$B$15,Paramètres!$A$1:$I$89,3,0)*0.475*44/12</f>
        <v>0.81055005372990507</v>
      </c>
      <c r="EX104" s="21">
        <f>EXP(-LN(2)/2)*EX103+(1-EXP(-LN(2)/2))/(LN(2)/2)*ER104*EU104*VLOOKUP('Données projet'!$B$15,Paramètres!$A$1:$I$89,3,0)*0.475*44/12</f>
        <v>1.8650565995238173E-10</v>
      </c>
      <c r="EY104" s="22">
        <f t="shared" si="75"/>
        <v>1.0562788243659837</v>
      </c>
      <c r="EZ104" s="75">
        <f>('Scénario référence'!$F$8+'Scénario référence'!$F$9+'Scénario référence'!$B$17+'Scénario référence'!$B$9+'Scénario référence'!$B$10)*70+IF((45+25*(1-EXP(-0.0175*A104)))&lt;70,'Scénario référence'!$B$16*(45+25*(1-EXP(-0.0175*A104))),70*'Scénario référence'!$B$16)+IF((32+38*(1-EXP(-0.0175*A104)))&lt;70,'Scénario référence'!$B$18*(32+38*(1-EXP(-0.0175*A104))),70*'Scénario référence'!$B$18)</f>
        <v>70</v>
      </c>
      <c r="FA104" s="12">
        <f>IF(A104&gt;30,10,('Scénario référence'!$B$16+'Scénario référence'!$B$17+'Scénario référence'!$B$18+'Scénario référence'!$B$9+'Scénario référence'!$B$10)*A104*10/30+('Scénario référence'!$F$8+'Scénario référence'!$F$9)*10)</f>
        <v>10</v>
      </c>
      <c r="FB104" s="12" t="e">
        <f>VLOOKUP(A104,'Données projet'!$A$217:$I$237,2,0)</f>
        <v>#N/A</v>
      </c>
      <c r="FC104" s="12" t="e">
        <f>VLOOKUP(A104,'Données projet'!$A$217:$I$237,9,0)</f>
        <v>#N/A</v>
      </c>
      <c r="FD104" s="12">
        <f t="array" ref="FD104">INDEX(FC:FC,MIN(IF(ISNUMBER(FC104:FC300),ROW(FC104:FC300),"")))</f>
        <v>8.6</v>
      </c>
      <c r="FE104" s="12">
        <f>IF('Données projet'!$A$218&gt;35,FE103+FD104-FM103,IF(A104&lt;'Données projet'!$A$218,$FB$205^A104,IF(A104='Données projet'!$A$218,'Données projet'!$B$218,FE103+FD104-FM103)))</f>
        <v>368.59999999999985</v>
      </c>
      <c r="FF104" s="17">
        <f>FE104*VLOOKUP('Données projet'!$B$16,Paramètres!$A$1:$I$89,3,0)*VLOOKUP('Données projet'!$B$16,Paramètres!$A$1:$I$89,5,0)</f>
        <v>316.25879999999989</v>
      </c>
      <c r="FG104" s="13">
        <f t="shared" si="101"/>
        <v>74.574392258616271</v>
      </c>
      <c r="FH104" s="20">
        <f t="shared" si="76"/>
        <v>680.70114318375647</v>
      </c>
      <c r="FI104" s="59">
        <f t="shared" si="77"/>
        <v>974.03447651708984</v>
      </c>
      <c r="FJ104" s="59">
        <f ca="1">AVERAGE(OFFSET($FI$3,0,0,'Données projet'!$E$16+1,1))-AVERAGE(OFFSET($H$3,0,0,'Données projet'!$E$16+1,1))</f>
        <v>383.97627237444709</v>
      </c>
      <c r="FK104" s="59">
        <f t="shared" si="102"/>
        <v>203.35476578922339</v>
      </c>
      <c r="FL104" s="15">
        <f>IF(ISNA(VLOOKUP(A104,'Données projet'!$A$217:$I$237,3,0)),0,VLOOKUP(A104,'Données projet'!$A$217:$I$237,3,0))</f>
        <v>0</v>
      </c>
      <c r="FM104" s="15">
        <f>IF(ISNA(VLOOKUP(A104,'Données projet'!$A$217:$I$237,4,0)),0,VLOOKUP(A104,'Données projet'!$A$217:$I$237,4,0))</f>
        <v>0</v>
      </c>
      <c r="FN104" s="16">
        <f>IF(ISNA(VLOOKUP(A104,'Données projet'!$A$217:$I$237,5,0)),0%,VLOOKUP(A104,'Données projet'!$A$217:$I$237,5,0)*VLOOKUP('Données projet'!$B$16,Paramètres!$A$1:$I$89,7,0))</f>
        <v>0</v>
      </c>
      <c r="FO104" s="16">
        <f>IF(ISNA(VLOOKUP(A104,'Données projet'!$A$217:$I$237,6,0)),0%,VLOOKUP(A104,'Données projet'!$A$217:$I$237,6,0)*VLOOKUP('Données projet'!$B$16,Paramètres!$A$1:$I$89,7,0))</f>
        <v>0</v>
      </c>
      <c r="FP104" s="16">
        <f>IF(ISNA(VLOOKUP(A104,'Données projet'!$A$217:$I$237,7,0)),0%,VLOOKUP(A104,'Données projet'!$A$217:$I$237,7,0))</f>
        <v>0</v>
      </c>
      <c r="FQ104" s="21">
        <f>EXP(-LN(2)/35)*FQ103+(1-EXP(-LN(2)/35))/(LN(2)/35)*FM104*FN104*VLOOKUP('Données projet'!$B$16,Paramètres!$A$1:$I$89,3,0)*0.475*44/12</f>
        <v>1.262912567096153</v>
      </c>
      <c r="FR104" s="21">
        <f>EXP(-LN(2)/25)*FR103+(1-EXP(-LN(2)/25))/(LN(2)/25)*Calculateur!FM104*Calculateur!FO104*VLOOKUP('Données projet'!$B$16,Paramètres!$A$1:$I$89,3,0)*0.475*44/12</f>
        <v>0.82279208284595307</v>
      </c>
      <c r="FS104" s="21">
        <f>EXP(-LN(2)/2)*FS103+(1-EXP(-LN(2)/2))/(LN(2)/2)*FM104*FP104*VLOOKUP('Données projet'!$B$16,Paramètres!$A$1:$I$89,3,0)*0.475*44/12</f>
        <v>3.4257262082935876E-10</v>
      </c>
      <c r="FT104" s="22">
        <f t="shared" si="78"/>
        <v>2.0857046502846788</v>
      </c>
      <c r="FU104" s="75">
        <f>('Scénario référence'!$F$8+'Scénario référence'!$F$9+'Scénario référence'!$B$17+'Scénario référence'!$B$9+'Scénario référence'!$B$10)*70+IF((45+25*(1-EXP(-0.0175*A104)))&lt;70,'Scénario référence'!$B$16*(45+25*(1-EXP(-0.0175*A104))),70*'Scénario référence'!$B$16)+IF((32+38*(1-EXP(-0.0175*A104)))&lt;70,'Scénario référence'!$B$18*(32+38*(1-EXP(-0.0175*A104))),70*'Scénario référence'!$B$18)</f>
        <v>70</v>
      </c>
      <c r="FV104" s="12">
        <f>IF(A104&gt;30,10,('Scénario référence'!$B$16+'Scénario référence'!$B$17+'Scénario référence'!$B$18+'Scénario référence'!$B$9+'Scénario référence'!$B$10)*A104*10/30+('Scénario référence'!$F$8+'Scénario référence'!$F$9)*10)</f>
        <v>10</v>
      </c>
      <c r="FW104" s="12" t="e">
        <f>VLOOKUP(A104,'Données projet'!$A$243:$I$263,2,0)</f>
        <v>#N/A</v>
      </c>
      <c r="FX104" s="12" t="e">
        <f>VLOOKUP(A104,'Données projet'!$A$243:$I$263,9,0)</f>
        <v>#N/A</v>
      </c>
      <c r="FY104" s="12">
        <f t="array" ref="FY104">INDEX(FX:FX,MIN(IF(ISNUMBER(FX104:FX300),ROW(FX104:FX300),"")))</f>
        <v>6.9935897435897401</v>
      </c>
      <c r="FZ104" s="12">
        <f>IF('Données projet'!$A$244&gt;35,FZ103+FY104-GH103,IF(A104&lt;'Données projet'!$A$244,$FW$205^A104,IF(A104='Données projet'!$A$244,'Données projet'!$B$244,FZ103+FY104-GH103)))</f>
        <v>284.21794871794901</v>
      </c>
      <c r="GA104" s="17">
        <f>FZ104*VLOOKUP('Données projet'!$B$17,Paramètres!$A$1:$I$89,3,0)*VLOOKUP('Données projet'!$B$17,Paramètres!$A$1:$I$89,5,0)</f>
        <v>305.93220000000031</v>
      </c>
      <c r="GB104" s="13">
        <f t="shared" si="103"/>
        <v>72.418659664207524</v>
      </c>
      <c r="GC104" s="20">
        <f t="shared" si="79"/>
        <v>658.9610805818287</v>
      </c>
      <c r="GD104" s="59">
        <f t="shared" si="80"/>
        <v>952.29441391516207</v>
      </c>
      <c r="GE104" s="59">
        <f ca="1">AVERAGE(OFFSET($GD$3,0,0,'Données projet'!$E$17+1,1))-AVERAGE(OFFSET($H$3,0,0,'Données projet'!$E$17+1,1))</f>
        <v>286.77702855541287</v>
      </c>
      <c r="GF104" s="59">
        <f t="shared" si="104"/>
        <v>227.12211541860779</v>
      </c>
      <c r="GG104" s="15">
        <f>IF(ISNA(VLOOKUP(A104,'Données projet'!$A$243:$I$263,3,0)),0,VLOOKUP(A104,'Données projet'!$A$243:$I$263,3,0))</f>
        <v>0</v>
      </c>
      <c r="GH104" s="15">
        <f>IF(ISNA(VLOOKUP(A104,'Données projet'!$A$243:$I$263,4,0)),0,VLOOKUP(A104,'Données projet'!$A$243:$I$263,4,0))</f>
        <v>0</v>
      </c>
      <c r="GI104" s="16">
        <f>IF(ISNA(VLOOKUP(A104,'Données projet'!$A$243:$I$263,5,0)),0%,VLOOKUP(A104,'Données projet'!$A$243:$I$263,5,0)*VLOOKUP('Données projet'!$B$17,Paramètres!$A$1:$I$89,7,0))</f>
        <v>0</v>
      </c>
      <c r="GJ104" s="16">
        <f>IF(ISNA(VLOOKUP(A104,'Données projet'!$A$243:$I$263,6,0)),0%,VLOOKUP(A104,'Données projet'!$A$243:$I$263,6,0)*VLOOKUP('Données projet'!$B$17,Paramètres!$A$1:$I$89,7,0))</f>
        <v>0</v>
      </c>
      <c r="GK104" s="16">
        <f>IF(ISNA(VLOOKUP(A104,'Données projet'!$A$243:$I$263,7,0)),0%,VLOOKUP(A104,'Données projet'!$A$243:$I$263,7,0))</f>
        <v>0</v>
      </c>
      <c r="GL104" s="21">
        <f>EXP(-LN(2)/35)*GL103+(1-EXP(-LN(2)/35))/(LN(2)/35)*GH104*GI104*VLOOKUP('Données projet'!$B$17,Paramètres!$A$1:$I$89,3,0)*0.475*44/12</f>
        <v>0</v>
      </c>
      <c r="GM104" s="21">
        <f>EXP(-LN(2)/25)*GM103+(1-EXP(-LN(2)/25))/(LN(2)/25)*Calculateur!GH104*Calculateur!GJ104*VLOOKUP('Données projet'!$B$17,Paramètres!$A$1:$I$89,3,0)*0.475*44/12</f>
        <v>0</v>
      </c>
      <c r="GN104" s="21">
        <f>EXP(-LN(2)/2)*GN103+(1-EXP(-LN(2)/2))/(LN(2)/2)*GH104*GK104*VLOOKUP('Données projet'!$B$17,Paramètres!$A$1:$I$89,3,0)*0.475*44/12</f>
        <v>0</v>
      </c>
      <c r="GO104" s="21">
        <f t="shared" si="81"/>
        <v>0</v>
      </c>
      <c r="GP104" s="75">
        <f>('Scénario référence'!$F$8+'Scénario référence'!$F$9+'Scénario référence'!$B$17+'Scénario référence'!$B$9+'Scénario référence'!$B$10)*70+IF((45+25*(1-EXP(-0.0175*A104)))&lt;70,'Scénario référence'!$B$16*(45+25*(1-EXP(-0.0175*A104))),70*'Scénario référence'!$B$16)+IF((32+38*(1-EXP(-0.0175*A104)))&lt;70,'Scénario référence'!$B$18*(32+38*(1-EXP(-0.0175*A104))),70*'Scénario référence'!$B$18)</f>
        <v>70</v>
      </c>
      <c r="GQ104" s="12">
        <f>IF(A104&gt;30,10,('Scénario référence'!$B$16+'Scénario référence'!$B$17+'Scénario référence'!$B$18+'Scénario référence'!$B$9+'Scénario référence'!$B$10)*A104*10/30+('Scénario référence'!$F$8+'Scénario référence'!$F$9)*10)</f>
        <v>10</v>
      </c>
      <c r="GR104" s="12" t="e">
        <f>VLOOKUP(A104,'Données projet'!$A$269:$I$289,2,0)</f>
        <v>#N/A</v>
      </c>
      <c r="GS104" s="12" t="e">
        <f>VLOOKUP(A104,'Données projet'!$A$269:$I$289,9,0)</f>
        <v>#N/A</v>
      </c>
      <c r="GT104" s="12">
        <f t="array" ref="GT104">INDEX(GS:GS,MIN(IF(ISNUMBER(GS104:GS300),ROW(GS104:GS300),"")))</f>
        <v>6.9935897435897401</v>
      </c>
      <c r="GU104" s="12">
        <f>IF('Données projet'!$A$270&gt;35,GU103+GT104-HC103,IF(A104&lt;'Données projet'!$A$270,$GR$205^A104,IF(A104='Données projet'!$A$270,'Données projet'!$B$270,GU103+GT104-HC103)))</f>
        <v>284.21794871794901</v>
      </c>
      <c r="GV104" s="17">
        <f>GU104*VLOOKUP('Données projet'!$B$18,Paramètres!$A$1:$I$89,3,0)*VLOOKUP('Données projet'!$B$18,Paramètres!$A$1:$I$89,5,0)</f>
        <v>305.93220000000031</v>
      </c>
      <c r="GW104" s="13">
        <f t="shared" si="105"/>
        <v>72.418659664207524</v>
      </c>
      <c r="GX104" s="20">
        <f t="shared" si="82"/>
        <v>658.9610805818287</v>
      </c>
      <c r="GY104" s="59">
        <f t="shared" si="83"/>
        <v>952.29441391516207</v>
      </c>
      <c r="GZ104" s="59">
        <f ca="1">AVERAGE(OFFSET($GY$3,0,0,'Données projet'!$E$18+1,1))-AVERAGE(OFFSET($H$3,0,0,'Données projet'!$E$18+1,1))</f>
        <v>286.77702855541287</v>
      </c>
      <c r="HA104" s="59">
        <f t="shared" si="106"/>
        <v>227.12211541860779</v>
      </c>
      <c r="HB104" s="15">
        <f>IF(ISNA(VLOOKUP(A104,'Données projet'!$A$269:$I$289,3,0)),0,VLOOKUP(A104,'Données projet'!$A$269:$I$289,3,0))</f>
        <v>0</v>
      </c>
      <c r="HC104" s="15">
        <f>IF(ISNA(VLOOKUP(A104,'Données projet'!$A$269:$I$289,4,0)),0,VLOOKUP(A104,'Données projet'!$A$269:$I$289,4,0))</f>
        <v>0</v>
      </c>
      <c r="HD104" s="16">
        <f>IF(ISNA(VLOOKUP(A104,'Données projet'!$A$269:$I$289,5,0)),0%,VLOOKUP(A104,'Données projet'!$A$269:$I$289,5,0)*VLOOKUP('Données projet'!$B$18,Paramètres!$A$1:$I$89,7,0))</f>
        <v>0</v>
      </c>
      <c r="HE104" s="16">
        <f>IF(ISNA(VLOOKUP(A104,'Données projet'!$A$269:$I$289,6,0)),0%,VLOOKUP(A104,'Données projet'!$A$269:$I$289,6,0)*VLOOKUP('Données projet'!$B$18,Paramètres!$A$1:$I$89,7,0))</f>
        <v>0</v>
      </c>
      <c r="HF104" s="16">
        <f>IF(ISNA(VLOOKUP(A104,'Données projet'!$A$269:$I$289,7,0)),0%,VLOOKUP(A104,'Données projet'!$A$269:$I$289,7,0))</f>
        <v>0</v>
      </c>
      <c r="HG104" s="21">
        <f>EXP(-LN(2)/35)*HG103+(1-EXP(-LN(2)/35))/(LN(2)/35)*HC104*HD104*VLOOKUP('Données projet'!$B$18,Paramètres!$A$1:$I$89,3,0)*0.475*44/12</f>
        <v>0</v>
      </c>
      <c r="HH104" s="21">
        <f>EXP(-LN(2)/25)*HH103+(1-EXP(-LN(2)/25))/(LN(2)/25)*Calculateur!HC104*Calculateur!HE104*VLOOKUP('Données projet'!$B$18,Paramètres!$A$1:$I$89,3,0)*0.475*44/12</f>
        <v>0</v>
      </c>
      <c r="HI104" s="21">
        <f>EXP(-LN(2)/2)*HI103+(1-EXP(-LN(2)/2))/(LN(2)/2)*HC104*HF104*VLOOKUP('Données projet'!$B$18,Paramètres!$A$1:$I$89,3,0)*0.475*44/12</f>
        <v>0</v>
      </c>
      <c r="HJ104" s="22">
        <f t="shared" si="84"/>
        <v>0</v>
      </c>
    </row>
    <row r="105" spans="1:218" x14ac:dyDescent="0.25">
      <c r="A105" s="10">
        <f t="shared" si="85"/>
        <v>102</v>
      </c>
      <c r="B105" s="73">
        <f>'Scénario référence'!$B$16*5+'Scénario référence'!$B$17*0+'Scénario référence'!$B$18*5</f>
        <v>0</v>
      </c>
      <c r="C105" s="19">
        <f>Calculateur!C104+'Scénario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90.698400000000149</v>
      </c>
      <c r="D105" s="11">
        <f t="shared" si="86"/>
        <v>24.733586403594217</v>
      </c>
      <c r="E10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05" s="11">
        <f>IF(OR('Scénario référence'!$F$8&gt;0,'Scénario référence'!$F$9&gt;0),('Scénario référence'!$F$8+'Scénario référence'!$F$9)*10,0)</f>
        <v>10</v>
      </c>
      <c r="G105" s="11">
        <f>'Scénario référence'!$B$8*B105*44/12+'Scénario référence'!$B$9*(C105+D105)/0.475*44/12+'Scénario référence'!$B$10*(C105+D105)/0.475*44/12+'Scénario référence'!$F$8*(C105+D105)/0.475*44/12+'Scénario référence'!$F$9*(C105+D105)/0.475*44/12</f>
        <v>891.05393013300909</v>
      </c>
      <c r="H105" s="67">
        <f t="shared" si="56"/>
        <v>494.37737631959351</v>
      </c>
      <c r="I105" s="70">
        <f>('Scénario référence'!$F$8+'Scénario référence'!$F$9+'Scénario référence'!$B$17+'Scénario référence'!$B$9+'Scénario référence'!$B$10)*70+IF((45+25*(1-EXP(-0.0175*A105)))&lt;70,'Scénario référence'!$B$16*(45+25*(1-EXP(-0.0175*A105))),70*'Scénario référence'!$B$16)+IF((32+38*(1-EXP(-0.0175*A105)))&lt;70,'Scénario référence'!$B$18*(32+38*(1-EXP(-0.0175*A105))),70*'Scénario référence'!$B$18)</f>
        <v>70</v>
      </c>
      <c r="J105" s="13">
        <f>IF(A105&gt;30,10,('Scénario référence'!$B$16+'Scénario référence'!$B$17+'Scénario référence'!$B$18+'Scénario référence'!$B$9+'Scénario référence'!$B$10)*A105*10/30+('Scénario référence'!$F$8+'Scénario référence'!$F$9)*10)</f>
        <v>10</v>
      </c>
      <c r="K105" s="12" t="e">
        <f>VLOOKUP(A105,'Données projet'!$A$35:$I$55,2,0)</f>
        <v>#N/A</v>
      </c>
      <c r="L105" s="12" t="e">
        <f>VLOOKUP(A105,'Données projet'!$A$35:$I$55,9,0)</f>
        <v>#N/A</v>
      </c>
      <c r="M105" s="12">
        <f t="array" ref="M105">INDEX(L:L,MIN(IF(ISNUMBER(L105:L301),ROW(L105:L301),"")))</f>
        <v>0</v>
      </c>
      <c r="N105" s="13">
        <f>IF('Données projet'!$A$36&gt;35,N104+M105-V104,IF(A105&lt;'Données projet'!$A$36,$K$205^A105,IF(A105='Données projet'!$A$36,'Données projet'!$B$36,N104+M105-V104)))</f>
        <v>-2.2737367544323206E-13</v>
      </c>
      <c r="O105" s="13">
        <f>N105*VLOOKUP('Données projet'!$B$9,Paramètres!$A$1:$I$89,3,0)*VLOOKUP('Données projet'!$B$9,Paramètres!$A$1:$I$89,5,0)</f>
        <v>-1.2710188457276673E-13</v>
      </c>
      <c r="P105" s="13" t="e">
        <f t="shared" si="87"/>
        <v>#NUM!</v>
      </c>
      <c r="Q105" s="20" t="e">
        <f t="shared" si="107"/>
        <v>#NUM!</v>
      </c>
      <c r="R105" s="59" t="e">
        <f t="shared" si="55"/>
        <v>#NUM!</v>
      </c>
      <c r="S105" s="59">
        <f ca="1">AVERAGE(OFFSET($R$3,0,0,'Données projet'!$E$9+1,1))-AVERAGE(OFFSET($H$3,0,0,'Données projet'!$E$9+1,1))</f>
        <v>255.5374979188561</v>
      </c>
      <c r="T105" s="59">
        <f t="shared" si="88"/>
        <v>343.10418468620901</v>
      </c>
      <c r="U105" s="15">
        <f>IF(ISNA(VLOOKUP(A105,'Données projet'!$A$35:$I$55,3,0)),0,VLOOKUP(A105,'Données projet'!$A$35:$I$55,3,0))</f>
        <v>0</v>
      </c>
      <c r="V105" s="15">
        <f>IF(ISNA(VLOOKUP(A105,'Données projet'!$A$35:$I$55,4,0)),0,VLOOKUP(A105,'Données projet'!$A$35:$I$55,4,0))</f>
        <v>0</v>
      </c>
      <c r="W105" s="16">
        <f>IF(ISNA(VLOOKUP(A105,'Données projet'!$A$35:$I$55,5,0)),0%,VLOOKUP(A105,'Données projet'!$A$35:$I$55,5,0)*VLOOKUP('Données projet'!$B$9,Paramètres!$A$1:$I$89,7,0))</f>
        <v>0</v>
      </c>
      <c r="X105" s="16">
        <f>IF(ISNA(VLOOKUP(A105,'Données projet'!$A$35:$I$55,6,0)),0%,VLOOKUP(A105,'Données projet'!$A$35:$I$55,6,0)*VLOOKUP('Données projet'!$B$9,Paramètres!$A$1:$I$89,7,0))</f>
        <v>0</v>
      </c>
      <c r="Y105" s="16">
        <f>IF(ISNA(VLOOKUP(A105,'Données projet'!$A$35:$I$55,7,0)),0%,VLOOKUP(A105,'Données projet'!$A$35:$I$55,7,0))</f>
        <v>0</v>
      </c>
      <c r="Z105" s="21">
        <f>EXP(-LN(2)/35)*Z104+(1-EXP(-LN(2)/35))/(LN(2)/35)*V105*W105*VLOOKUP('Données projet'!$B$9,Paramètres!$A$1:$I$89,3,0)*0.475*44/12</f>
        <v>0.74251035545212374</v>
      </c>
      <c r="AA105" s="21">
        <f>EXP(-LN(2)/25)*AA104+(1-EXP(-LN(2)/25))/(LN(2)/25)*Calculateur!V105*Calculateur!X105*VLOOKUP('Données projet'!$B$9,Paramètres!$A$1:$I$89,3,0)*0.475*44/12</f>
        <v>2.1680712514765115</v>
      </c>
      <c r="AB105" s="21">
        <f>EXP(-LN(2)/2)*AB104+(1-EXP(-LN(2)/2))/(LN(2)/2)*V105*Y105*VLOOKUP('Données projet'!$B$9,Paramètres!$A$1:$I$89,3,0)*0.475*44/12</f>
        <v>2.4631329571334442E-11</v>
      </c>
      <c r="AC105" s="22">
        <f t="shared" si="57"/>
        <v>2.9105816069532664</v>
      </c>
      <c r="AD105" s="13">
        <f>('Scénario référence'!$F$8+'Scénario référence'!$F$9+'Scénario référence'!$B$17+'Scénario référence'!$B$9+'Scénario référence'!$B$10)*70+IF((45+25*(1-EXP(-0.0175*A105)))&lt;70,'Scénario référence'!$B$16*(45+25*(1-EXP(-0.0175*A105))),70*'Scénario référence'!$B$16)+IF((32+38*(1-EXP(-0.0175*A105)))&lt;70,'Scénario référence'!$B$18*(32+38*(1-EXP(-0.0175*A105))),70*'Scénario référence'!$B$18)</f>
        <v>70</v>
      </c>
      <c r="AE105" s="13">
        <f>IF(A105&gt;30,10,('Scénario référence'!$B$16+'Scénario référence'!$B$17+'Scénario référence'!$B$18+'Scénario référence'!$B$9+'Scénario référence'!$B$10)*A105*10/30+('Scénario référence'!$F$8+'Scénario référence'!$F$9)*10)</f>
        <v>10</v>
      </c>
      <c r="AF105" s="12" t="e">
        <f>VLOOKUP(A105,'Données projet'!$A$61:$I$81,2,0)</f>
        <v>#N/A</v>
      </c>
      <c r="AG105" s="12" t="e">
        <f>VLOOKUP(A105,'Données projet'!$A$61:$I$81,9,0)</f>
        <v>#N/A</v>
      </c>
      <c r="AH105" s="12">
        <f t="array" ref="AH105">INDEX(AG:AG,MIN(IF(ISNUMBER(AG105:AG301),ROW(AG105:AG301),"")))</f>
        <v>0</v>
      </c>
      <c r="AI105" s="13">
        <f>IF('Données projet'!$A$62&gt;35,AI104+AH105-AQ104,IF(A105&lt;'Données projet'!$A$62,$AF$205^A105,IF(A105='Données projet'!$A$62,'Données projet'!$B$62,AI104+AH105-AQ104)))</f>
        <v>0</v>
      </c>
      <c r="AJ105" s="13">
        <f>AI105*VLOOKUP('Données projet'!$B$10,Paramètres!$A$1:$I$89,3,0)*VLOOKUP('Données projet'!$B$10,Paramètres!$A$1:$I$89,5,0)</f>
        <v>0</v>
      </c>
      <c r="AK105" s="13" t="e">
        <f t="shared" si="89"/>
        <v>#NUM!</v>
      </c>
      <c r="AL105" s="20" t="e">
        <f t="shared" si="58"/>
        <v>#NUM!</v>
      </c>
      <c r="AM105" s="59" t="e">
        <f t="shared" si="59"/>
        <v>#NUM!</v>
      </c>
      <c r="AN105" s="59">
        <f ca="1">AVERAGE(OFFSET($AM$3,0,0,'Données projet'!$E$10+1,1))-AVERAGE(OFFSET($H$3,0,0,'Données projet'!$E$10+1,1))</f>
        <v>261.78489480911571</v>
      </c>
      <c r="AO105" s="59">
        <f t="shared" si="90"/>
        <v>297.50513563712764</v>
      </c>
      <c r="AP105" s="15">
        <f>IF(ISNA(VLOOKUP(A105,'Données projet'!$A$61:$I$81,3,0)),0,VLOOKUP(A105,'Données projet'!$A$61:$I$81,3,0))</f>
        <v>0</v>
      </c>
      <c r="AQ105" s="15">
        <f>IF(ISNA(VLOOKUP(A105,'Données projet'!$A$61:$I$81,4,0)),0,VLOOKUP(A105,'Données projet'!$A$61:$I$81,4,0))</f>
        <v>0</v>
      </c>
      <c r="AR105" s="16">
        <f>IF(ISNA(VLOOKUP(A105,'Données projet'!$A$61:$I$81,5,0)),0%,VLOOKUP(A105,'Données projet'!$A$61:$I$81,5,0)*VLOOKUP('Données projet'!$B$10,Paramètres!$A$1:$I$89,7,0))</f>
        <v>0</v>
      </c>
      <c r="AS105" s="16">
        <f>IF(ISNA(VLOOKUP(A105,'Données projet'!$A$61:$I$81,6,0)),0%,VLOOKUP(A105,'Données projet'!$A$61:$I$81,6,0)*VLOOKUP('Données projet'!$B$10,Paramètres!$A$1:$I$89,7,0))</f>
        <v>0</v>
      </c>
      <c r="AT105" s="16">
        <f>IF(ISNA(VLOOKUP(A105,'Données projet'!$A$61:$I$81,7,0)),0%,VLOOKUP(A105,'Données projet'!$A$61:$I$81,7,0))</f>
        <v>0</v>
      </c>
      <c r="AU105" s="21">
        <f>EXP(-LN(2)/35)*AU104+(1-EXP(-LN(2)/35))/(LN(2)/35)*AQ105*AR105*VLOOKUP('Données projet'!$B$10,Paramètres!$A$1:$I$89,3,0)*0.475*44/12</f>
        <v>2.0049879777674482</v>
      </c>
      <c r="AV105" s="21">
        <f>EXP(-LN(2)/25)*AV104+(1-EXP(-LN(2)/25))/(LN(2)/25)*Calculateur!AQ105*Calculateur!AS105*VLOOKUP('Données projet'!$B$10,Paramètres!$A$1:$I$89,3,0)*0.475*44/12</f>
        <v>3.7858946067866888</v>
      </c>
      <c r="AW105" s="21">
        <f>EXP(-LN(2)/2)*AW104+(1-EXP(-LN(2)/2))/(LN(2)/2)*AQ105*AT105*VLOOKUP('Données projet'!$B$10,Paramètres!$A$1:$I$89,3,0)*0.475*44/12</f>
        <v>3.5508406489551824E-10</v>
      </c>
      <c r="AX105" s="21">
        <f t="shared" si="60"/>
        <v>5.7908825849092205</v>
      </c>
      <c r="AY105" s="74">
        <f>('Scénario référence'!$F$8+'Scénario référence'!$F$9+'Scénario référence'!$B$17+'Scénario référence'!$B$9+'Scénario référence'!$B$10)*70+IF((45+25*(1-EXP(-0.0175*A105)))&lt;70,'Scénario référence'!$B$16*(45+25*(1-EXP(-0.0175*A105))),70*'Scénario référence'!$B$16)+IF((32+38*(1-EXP(-0.0175*A105)))&lt;70,'Scénario référence'!$B$18*(32+38*(1-EXP(-0.0175*A105))),70*'Scénario référence'!$B$18)</f>
        <v>70</v>
      </c>
      <c r="AZ105" s="12">
        <f>IF(A105&gt;30,10,('Scénario référence'!$B$16+'Scénario référence'!$B$17+'Scénario référence'!$B$18+'Scénario référence'!$B$9+'Scénario référence'!$B$10)*A105*10/30+('Scénario référence'!$F$8+'Scénario référence'!$F$9)*10)</f>
        <v>10</v>
      </c>
      <c r="BA105" s="12" t="e">
        <f>VLOOKUP(A105,'Données projet'!$A$87:$I$107,2,0)</f>
        <v>#N/A</v>
      </c>
      <c r="BB105" s="12" t="e">
        <f>VLOOKUP(A105,'Données projet'!$A$87:$I$107,9,0)</f>
        <v>#N/A</v>
      </c>
      <c r="BC105" s="12">
        <f t="array" ref="BC105">INDEX(BB:BB,MIN(IF(ISNUMBER(BB105:BB301),ROW(BB105:BB301),"")))</f>
        <v>0</v>
      </c>
      <c r="BD105" s="12">
        <f>IF('Données projet'!$A$88&gt;35,BD104+BC105-BL104,IF(A105&lt;'Données projet'!$A$88,$BA$205^A105,IF(A105='Données projet'!$A$88,'Données projet'!$B$88,BD104+BC105-BL104)))</f>
        <v>553.99999999999955</v>
      </c>
      <c r="BE105" s="13">
        <f>BD105*VLOOKUP('Données projet'!$B$11,Paramètres!$A$1:$I$89,3,0)*VLOOKUP('Données projet'!$B$11,Paramètres!$A$1:$I$89,5,0)</f>
        <v>331.29199999999975</v>
      </c>
      <c r="BF105" s="13">
        <f t="shared" si="91"/>
        <v>77.698110787752</v>
      </c>
      <c r="BG105" s="20">
        <f t="shared" si="61"/>
        <v>712.32444295533423</v>
      </c>
      <c r="BH105" s="59">
        <f t="shared" si="62"/>
        <v>1005.6577762886675</v>
      </c>
      <c r="BI105" s="59">
        <f ca="1">AVERAGE(OFFSET($BH$3,0,0,'Données projet'!$E$11+1,1))-AVERAGE(OFFSET($H$3,0,0,'Données projet'!$E$11+1,1))</f>
        <v>316.58509520829671</v>
      </c>
      <c r="BJ105" s="59">
        <f t="shared" si="92"/>
        <v>240.71332110643596</v>
      </c>
      <c r="BK105" s="15">
        <f>IF(ISNA(VLOOKUP(A105,'Données projet'!$A$87:$I$107,3,0)),0,VLOOKUP(A105,'Données projet'!$A$87:$I$107,3,0))</f>
        <v>0</v>
      </c>
      <c r="BL105" s="15">
        <f>IF(ISNA(VLOOKUP(A105,'Données projet'!$A$87:$I$107,4,0)),0,VLOOKUP(A105,'Données projet'!$A$87:$I$107,4,0))</f>
        <v>0</v>
      </c>
      <c r="BM105" s="16">
        <f>IF(ISNA(VLOOKUP(A105,'Données projet'!$A$87:$I$107,5,0)),0%,VLOOKUP(A105,'Données projet'!$A$87:$I$107,5,0)*VLOOKUP('Données projet'!$B$11,Paramètres!$A$1:$I$89,7,0))</f>
        <v>0</v>
      </c>
      <c r="BN105" s="16">
        <f>IF(ISNA(VLOOKUP(A105,'Données projet'!$A$87:$I$107,6,0)),0%,VLOOKUP(A105,'Données projet'!$A$87:$I$107,6,0)*VLOOKUP('Données projet'!$B$11,Paramètres!$A$1:$I$89,7,0))</f>
        <v>0</v>
      </c>
      <c r="BO105" s="16">
        <f>IF(ISNA(VLOOKUP(A105,'Données projet'!$A$87:$I$107,7,0)),0%,VLOOKUP(A105,'Données projet'!$A$87:$I$107,7,0))</f>
        <v>0</v>
      </c>
      <c r="BP105" s="21">
        <f>EXP(-LN(2)/35)*BP104+(1-EXP(-LN(2)/35))/(LN(2)/35)*BL105*BM105*VLOOKUP('Données projet'!$B$11,Paramètres!$A$1:$I$89,3,0)*0.475*44/12</f>
        <v>0.60903001631217324</v>
      </c>
      <c r="BQ105" s="21">
        <f>EXP(-LN(2)/25)*BQ104+(1-EXP(-LN(2)/25))/(LN(2)/25)*Calculateur!BL105*Calculateur!BN105*VLOOKUP('Données projet'!$B$11,Paramètres!$A$1:$I$89,3,0)*0.475*44/12</f>
        <v>2.0740235307205408</v>
      </c>
      <c r="BR105" s="21">
        <f>EXP(-LN(2)/2)*BR104+(1-EXP(-LN(2)/2))/(LN(2)/2)*BL105*BO105*VLOOKUP('Données projet'!$B$11,Paramètres!$A$1:$I$89,3,0)*0.475*44/12</f>
        <v>3.1925946052274828E-10</v>
      </c>
      <c r="BS105" s="22">
        <f t="shared" si="63"/>
        <v>2.6830535473519732</v>
      </c>
      <c r="BT105" s="75">
        <f>('Scénario référence'!$F$8+'Scénario référence'!$F$9+'Scénario référence'!$B$17+'Scénario référence'!$B$9+'Scénario référence'!$B$10)*70+IF((45+25*(1-EXP(-0.0175*A105)))&lt;70,'Scénario référence'!$B$16*(45+25*(1-EXP(-0.0175*A105))),70*'Scénario référence'!$B$16)+IF((32+38*(1-EXP(-0.0175*A105)))&lt;70,'Scénario référence'!$B$18*(32+38*(1-EXP(-0.0175*A105))),70*'Scénario référence'!$B$18)</f>
        <v>70</v>
      </c>
      <c r="BU105" s="12">
        <f>IF(A105&gt;30,10,('Scénario référence'!$B$16+'Scénario référence'!$B$17+'Scénario référence'!$B$18+'Scénario référence'!$B$9+'Scénario référence'!$B$10)*A105*10/30+('Scénario référence'!$F$8+'Scénario référence'!$F$9)*10)</f>
        <v>10</v>
      </c>
      <c r="BV105" s="12" t="e">
        <f>VLOOKUP(A105,'Données projet'!$A$113:$I$133,2,0)</f>
        <v>#N/A</v>
      </c>
      <c r="BW105" s="12" t="e">
        <f>VLOOKUP(A105,'Données projet'!$A$113:$I$133,9,0)</f>
        <v>#N/A</v>
      </c>
      <c r="BX105" s="12">
        <f t="array" ref="BX105">INDEX(BW:BW,MIN(IF(ISNUMBER(BW105:BW301),ROW(BW105:BW301),"")))</f>
        <v>0</v>
      </c>
      <c r="BY105" s="12">
        <f>IF('Données projet'!$A$114&gt;35,BY104+BX105-CG104,IF(A105&lt;'Données projet'!$A$114,$BV$205^A105,IF(A105='Données projet'!$A$114,'Données projet'!$B$114,BY104+BX105-CG104)))</f>
        <v>333.99999999999977</v>
      </c>
      <c r="BZ105" s="13">
        <f>BY105*VLOOKUP('Données projet'!$B$12,Paramètres!$A$1:$I$89,3,0)*VLOOKUP('Données projet'!$B$12,Paramètres!$A$1:$I$89,5,0)</f>
        <v>191.04799999999986</v>
      </c>
      <c r="CA105" s="13">
        <f t="shared" si="93"/>
        <v>47.771576544305155</v>
      </c>
      <c r="CB105" s="20">
        <f t="shared" si="64"/>
        <v>415.94409581466454</v>
      </c>
      <c r="CC105" s="59">
        <f t="shared" si="65"/>
        <v>709.27742914799785</v>
      </c>
      <c r="CD105" s="59">
        <f ca="1">AVERAGE(OFFSET($CC$3,0,0,'Données projet'!$E$12+1,1))-AVERAGE(OFFSET($H$3,0,0,'Données projet'!$E$12+1,1))</f>
        <v>188.64374818906128</v>
      </c>
      <c r="CE105" s="59">
        <f t="shared" si="94"/>
        <v>211.95157880548652</v>
      </c>
      <c r="CF105" s="15">
        <f>IF(ISNA(VLOOKUP(A105,'Données projet'!$A$113:$I$133,3,0)),0,VLOOKUP(A105,'Données projet'!$A$113:$I$133,3,0))</f>
        <v>0</v>
      </c>
      <c r="CG105" s="15">
        <f>IF(ISNA(VLOOKUP(A105,'Données projet'!$A$113:$I$133,4,0)),0,VLOOKUP(A105,'Données projet'!$A$113:$I$133,4,0))</f>
        <v>0</v>
      </c>
      <c r="CH105" s="16">
        <f>IF(ISNA(VLOOKUP(A105,'Données projet'!$A$113:$I$133,5,0)),0%,VLOOKUP(A105,'Données projet'!$A$113:$I$133,5,0)*VLOOKUP('Données projet'!$B$12,Paramètres!$A$1:$I$89,7,0))</f>
        <v>0</v>
      </c>
      <c r="CI105" s="16">
        <f>IF(ISNA(VLOOKUP(A105,'Données projet'!$A$113:$I$133,6,0)),0%,VLOOKUP(A105,'Données projet'!$A$113:$I$133,6,0)*VLOOKUP('Données projet'!$B$12,Paramètres!$A$1:$I$89,7,0))</f>
        <v>0</v>
      </c>
      <c r="CJ105" s="16">
        <f>IF(ISNA(VLOOKUP(A105,'Données projet'!$A$113:$I$133,7,0)),0%,VLOOKUP(A105,'Données projet'!$A$113:$I$133,7,0))</f>
        <v>0</v>
      </c>
      <c r="CK105" s="21">
        <f>EXP(-LN(2)/35)*CK104+(1-EXP(-LN(2)/35))/(LN(2)/35)*CG105*CH105*VLOOKUP('Données projet'!$B$12,Paramètres!$A$1:$I$89,3,0)*0.475*44/12</f>
        <v>0.59075538630648006</v>
      </c>
      <c r="CL105" s="21">
        <f>EXP(-LN(2)/25)*CL104+(1-EXP(-LN(2)/25))/(LN(2)/25)*Calculateur!CG105*Calculateur!CI105*VLOOKUP('Données projet'!$B$12,Paramètres!$A$1:$I$89,3,0)*0.475*44/12</f>
        <v>1.952117906662842</v>
      </c>
      <c r="CM105" s="21">
        <f>EXP(-LN(2)/2)*CM104+(1-EXP(-LN(2)/2))/(LN(2)/2)*CG105*CJ105*VLOOKUP('Données projet'!$B$12,Paramètres!$A$1:$I$89,3,0)*0.475*44/12</f>
        <v>3.091778082851125E-10</v>
      </c>
      <c r="CN105" s="22">
        <f t="shared" si="66"/>
        <v>2.5428732932784999</v>
      </c>
      <c r="CO105" s="75">
        <f>('Scénario référence'!$F$8+'Scénario référence'!$F$9+'Scénario référence'!$B$17+'Scénario référence'!$B$9+'Scénario référence'!$B$10)*70+IF((45+25*(1-EXP(-0.0175*A105)))&lt;70,'Scénario référence'!$B$16*(45+25*(1-EXP(-0.0175*A105))),70*'Scénario référence'!$B$16)+IF((32+38*(1-EXP(-0.0175*A105)))&lt;70,'Scénario référence'!$B$18*(32+38*(1-EXP(-0.0175*A105))),70*'Scénario référence'!$B$18)</f>
        <v>70</v>
      </c>
      <c r="CP105" s="12">
        <f>IF(A105&gt;30,10,('Scénario référence'!$B$16+'Scénario référence'!$B$17+'Scénario référence'!$B$18+'Scénario référence'!$B$9+'Scénario référence'!$B$10)*A105*10/30+('Scénario référence'!$F$8+'Scénario référence'!$F$9)*10)</f>
        <v>10</v>
      </c>
      <c r="CQ105" s="12" t="e">
        <f>VLOOKUP(A105,'Données projet'!$A$139:$I$159,2,0)</f>
        <v>#N/A</v>
      </c>
      <c r="CR105" s="12" t="e">
        <f>VLOOKUP(A105,'Données projet'!$A$139:$I$159,9,0)</f>
        <v>#N/A</v>
      </c>
      <c r="CS105" s="12">
        <f t="array" ref="CS105">INDEX(CR:CR,MIN(IF(ISNUMBER(CR105:CR301),ROW(CR105:CR301),"")))</f>
        <v>0</v>
      </c>
      <c r="CT105" s="12">
        <f>IF('Données projet'!$A$140&gt;35,CT104+CS105-DB104,IF(A105&lt;'Données projet'!$A$140,$CQ$205^A105,IF(A105='Données projet'!$A$140,'Données projet'!$B$140,CT104+CS105-DB104)))</f>
        <v>0</v>
      </c>
      <c r="CU105" s="17" t="e">
        <f>CT105*VLOOKUP('Données projet'!$B$13,Paramètres!$A$1:$I$89,3,0)*VLOOKUP('Données projet'!$B$13,Paramètres!$A$1:$I$89,5,0)</f>
        <v>#N/A</v>
      </c>
      <c r="CV105" s="13" t="e">
        <f t="shared" si="95"/>
        <v>#N/A</v>
      </c>
      <c r="CW105" s="20" t="e">
        <f t="shared" si="67"/>
        <v>#N/A</v>
      </c>
      <c r="CX105" s="59" t="e">
        <f t="shared" si="68"/>
        <v>#N/A</v>
      </c>
      <c r="CY105" s="59" t="e">
        <f ca="1">AVERAGE(OFFSET($CX$3,0,0,'Données projet'!$E$13+1,1))-AVERAGE(OFFSET($H$3,0,0,'Données projet'!$E$13+1,1))</f>
        <v>#N/A</v>
      </c>
      <c r="CZ105" s="59" t="e">
        <f t="shared" si="96"/>
        <v>#N/A</v>
      </c>
      <c r="DA105" s="15">
        <f>IF(ISNA(VLOOKUP(A105,'Données projet'!$A$139:$I$159,3,0)),0,VLOOKUP(A105,'Données projet'!$A$139:$I$159,3,0))</f>
        <v>0</v>
      </c>
      <c r="DB105" s="15">
        <f>IF(ISNA(VLOOKUP(A105,'Données projet'!$A$139:$I$159,4,0)),0,VLOOKUP(A105,'Données projet'!$A$139:$I$159,4,0))</f>
        <v>0</v>
      </c>
      <c r="DC105" s="16">
        <f>IF(ISNA(VLOOKUP(A105,'Données projet'!$A$139:$I$159,5,0)),0%,VLOOKUP(A105,'Données projet'!$A$139:$I$159,5,0)*VLOOKUP('Données projet'!$B$13,Paramètres!$A$1:$I$89,7,0))</f>
        <v>0</v>
      </c>
      <c r="DD105" s="16">
        <f>IF(ISNA(VLOOKUP(A105,'Données projet'!$A$139:$I$159,6,0)),0%,VLOOKUP(A105,'Données projet'!$A$139:$I$159,6,0)*VLOOKUP('Données projet'!$B$13,Paramètres!$A$1:$I$89,7,0))</f>
        <v>0</v>
      </c>
      <c r="DE105" s="16">
        <f>IF(ISNA(VLOOKUP(A105,'Données projet'!$A$139:$I$159,7,0)),0%,VLOOKUP(A105,'Données projet'!$A$139:$I$159,7,0))</f>
        <v>0</v>
      </c>
      <c r="DF105" s="21" t="e">
        <f>EXP(-LN(2)/35)*DF104+(1-EXP(-LN(2)/35))/(LN(2)/35)*DB105*DC105*VLOOKUP('Données projet'!$B$13,Paramètres!$A$1:$I$89,3,0)*0.475*44/12</f>
        <v>#N/A</v>
      </c>
      <c r="DG105" s="21" t="e">
        <f>EXP(-LN(2)/25)*DG104+(1-EXP(-LN(2)/25))/(LN(2)/25)*Calculateur!DB105*Calculateur!DD105*VLOOKUP('Données projet'!$B$13,Paramètres!$A$1:$I$89,3,0)*0.475*44/12</f>
        <v>#N/A</v>
      </c>
      <c r="DH105" s="21" t="e">
        <f>EXP(-LN(2)/2)*DH104+(1-EXP(-LN(2)/2))/(LN(2)/2)*DB105*DE105*VLOOKUP('Données projet'!$B$13,Paramètres!$A$1:$I$89,3,0)*0.475*44/12</f>
        <v>#N/A</v>
      </c>
      <c r="DI105" s="22" t="e">
        <f t="shared" si="69"/>
        <v>#N/A</v>
      </c>
      <c r="DJ105" s="75">
        <f>('Scénario référence'!$F$8+'Scénario référence'!$F$9+'Scénario référence'!$B$17+'Scénario référence'!$B$9+'Scénario référence'!$B$10)*70+IF((45+25*(1-EXP(-0.0175*A105)))&lt;70,'Scénario référence'!$B$16*(45+25*(1-EXP(-0.0175*A105))),70*'Scénario référence'!$B$16)+IF((32+38*(1-EXP(-0.0175*A105)))&lt;70,'Scénario référence'!$B$18*(32+38*(1-EXP(-0.0175*A105))),70*'Scénario référence'!$B$18)</f>
        <v>70</v>
      </c>
      <c r="DK105" s="12">
        <f>IF(A105&gt;30,10,('Scénario référence'!$B$16+'Scénario référence'!$B$17+'Scénario référence'!$B$18+'Scénario référence'!$B$9+'Scénario référence'!$B$10)*A105*10/30+('Scénario référence'!$F$8+'Scénario référence'!$F$9)*10)</f>
        <v>10</v>
      </c>
      <c r="DL105" s="12" t="e">
        <f>VLOOKUP(A105,'Données projet'!$A$165:$I$185,2,0)</f>
        <v>#N/A</v>
      </c>
      <c r="DM105" s="12" t="e">
        <f>VLOOKUP(A105,'Données projet'!$A$165:$I$185,9,0)</f>
        <v>#N/A</v>
      </c>
      <c r="DN105" s="12">
        <f t="array" ref="DN105">INDEX(DM:DM,MIN(IF(ISNUMBER(DM105:DM301),ROW(DM105:DM301),"")))</f>
        <v>0</v>
      </c>
      <c r="DO105" s="12">
        <f>IF('Données projet'!$A$166&gt;35,DO104+DN105-DW104,IF(A105&lt;'Données projet'!$A$166,$DL$205^A105,IF(A105='Données projet'!$A$166,'Données projet'!$B$166,DO104+DN105-DW104)))</f>
        <v>268.00000000000017</v>
      </c>
      <c r="DP105" s="17">
        <f>DO105*VLOOKUP('Données projet'!$B$14,Paramètres!$A$1:$I$89,3,0)*VLOOKUP('Données projet'!$B$14,Paramètres!$A$1:$I$89,5,0)</f>
        <v>175.59360000000012</v>
      </c>
      <c r="DQ105" s="13">
        <f t="shared" si="97"/>
        <v>44.340433728638573</v>
      </c>
      <c r="DR105" s="20">
        <f t="shared" si="70"/>
        <v>383.05177541071242</v>
      </c>
      <c r="DS105" s="59">
        <f t="shared" si="71"/>
        <v>676.38510874404574</v>
      </c>
      <c r="DT105" s="59">
        <f ca="1">AVERAGE(OFFSET($DS$3,0,0,'Données projet'!$E$14+1,1))-AVERAGE(OFFSET($H$3,0,0,'Données projet'!$E$14+1,1))</f>
        <v>188.68915783955595</v>
      </c>
      <c r="DU105" s="59">
        <f t="shared" si="98"/>
        <v>240.82467772396944</v>
      </c>
      <c r="DV105" s="15">
        <f>IF(ISNA(VLOOKUP(A105,'Données projet'!$A$165:$I$185,3,0)),0,VLOOKUP(A105,'Données projet'!$A$165:$I$185,3,0))</f>
        <v>0</v>
      </c>
      <c r="DW105" s="15">
        <f>IF(ISNA(VLOOKUP(A105,'Données projet'!$A$165:$I$185,4,0)),0,VLOOKUP(A105,'Données projet'!$A$165:$I$185,4,0))</f>
        <v>0</v>
      </c>
      <c r="DX105" s="16">
        <f>IF(ISNA(VLOOKUP(A105,'Données projet'!$A$165:$I$185,5,0)),0%,VLOOKUP(A105,'Données projet'!$A$165:$I$185,5,0)*VLOOKUP('Données projet'!$B$14,Paramètres!$A$1:$I$89,7,0))</f>
        <v>0</v>
      </c>
      <c r="DY105" s="16">
        <f>IF(ISNA(VLOOKUP(A105,'Données projet'!$A$165:$I$185,6,0)),0%,VLOOKUP(A105,'Données projet'!$A$165:$I$185,6,0)*VLOOKUP('Données projet'!$B$14,Paramètres!$A$1:$I$89,7,0))</f>
        <v>0</v>
      </c>
      <c r="DZ105" s="16">
        <f>IF(ISNA(VLOOKUP(A105,'Données projet'!$A$165:$I$185,7,0)),0%,VLOOKUP(A105,'Données projet'!$A$165:$I$185,7,0))</f>
        <v>0</v>
      </c>
      <c r="EA105" s="21">
        <f>EXP(-LN(2)/35)*EA104+(1-EXP(-LN(2)/35))/(LN(2)/35)*DW105*DX105*VLOOKUP('Données projet'!$B$14,Paramètres!$A$1:$I$89,3,0)*0.475*44/12</f>
        <v>0.37419480487847312</v>
      </c>
      <c r="EB105" s="21">
        <f>EXP(-LN(2)/25)*EB104+(1-EXP(-LN(2)/25))/(LN(2)/25)*Calculateur!DW105*Calculateur!DY105*VLOOKUP('Données projet'!$B$14,Paramètres!$A$1:$I$89,3,0)*0.475*44/12</f>
        <v>1.091900825513284</v>
      </c>
      <c r="EC105" s="21">
        <f>EXP(-LN(2)/2)*EC104+(1-EXP(-LN(2)/2))/(LN(2)/2)*DW105*DZ105*VLOOKUP('Données projet'!$B$14,Paramètres!$A$1:$I$89,3,0)*0.475*44/12</f>
        <v>2.0367454251692233E-10</v>
      </c>
      <c r="ED105" s="22">
        <f t="shared" si="72"/>
        <v>1.4660956305954318</v>
      </c>
      <c r="EE105" s="75">
        <f>('Scénario référence'!$F$8+'Scénario référence'!$F$9+'Scénario référence'!$B$17+'Scénario référence'!$B$9+'Scénario référence'!$B$10)*70+IF((45+25*(1-EXP(-0.0175*A105)))&lt;70,'Scénario référence'!$B$16*(45+25*(1-EXP(-0.0175*A105))),70*'Scénario référence'!$B$16)+IF((32+38*(1-EXP(-0.0175*A105)))&lt;70,'Scénario référence'!$B$18*(32+38*(1-EXP(-0.0175*A105))),70*'Scénario référence'!$B$18)</f>
        <v>70</v>
      </c>
      <c r="EF105" s="12">
        <f>IF(A105&gt;30,10,('Scénario référence'!$B$16+'Scénario référence'!$B$17+'Scénario référence'!$B$18+'Scénario référence'!$B$9+'Scénario référence'!$B$10)*A105*10/30+('Scénario référence'!$F$8+'Scénario référence'!$F$9)*10)</f>
        <v>10</v>
      </c>
      <c r="EG105" s="12" t="e">
        <f>VLOOKUP(A105,'Données projet'!$A$191:$I$211,2,0)</f>
        <v>#N/A</v>
      </c>
      <c r="EH105" s="12" t="e">
        <f>VLOOKUP(A105,'Données projet'!$A$191:$I$211,9,0)</f>
        <v>#N/A</v>
      </c>
      <c r="EI105" s="12">
        <f t="array" ref="EI105">INDEX(EH:EH,MIN(IF(ISNUMBER(EH105:EH301),ROW(EH105:EH301),"")))</f>
        <v>0</v>
      </c>
      <c r="EJ105" s="12">
        <f>IF('Données projet'!$A$192&gt;35,EJ104+EI105-ER104,IF(A105&lt;'Données projet'!$A$192,$EG$205^A105,IF(A105='Données projet'!$A$192,'Données projet'!$B$192,EJ104+EI105-ER104)))</f>
        <v>275.99999999999972</v>
      </c>
      <c r="EK105" s="17">
        <f>EJ105*VLOOKUP('Données projet'!$B$15,Paramètres!$A$1:$I$89,3,0)*VLOOKUP('Données projet'!$B$15,Paramètres!$A$1:$I$89,5,0)</f>
        <v>223.8911999999998</v>
      </c>
      <c r="EL105" s="13">
        <f t="shared" si="99"/>
        <v>54.95975389514858</v>
      </c>
      <c r="EM105" s="20">
        <f t="shared" si="73"/>
        <v>485.66541136738346</v>
      </c>
      <c r="EN105" s="59">
        <f t="shared" si="74"/>
        <v>778.99874470071677</v>
      </c>
      <c r="EO105" s="59">
        <f ca="1">AVERAGE(OFFSET($EN$3,0,0,'Données projet'!$E$15+1,1))-AVERAGE(OFFSET($H$3,0,0,'Données projet'!$E$15+1,1))</f>
        <v>205.5272583787887</v>
      </c>
      <c r="EP105" s="59">
        <f t="shared" si="100"/>
        <v>180.54762778843178</v>
      </c>
      <c r="EQ105" s="15">
        <f>IF(ISNA(VLOOKUP(A105,'Données projet'!$A$191:$I$211,3,0)),0,VLOOKUP(A105,'Données projet'!$A$191:$I$211,3,0))</f>
        <v>0</v>
      </c>
      <c r="ER105" s="15">
        <f>IF(ISNA(VLOOKUP(A105,'Données projet'!$A$191:$I$211,4,0)),0,VLOOKUP(A105,'Données projet'!$A$191:$I$211,4,0))</f>
        <v>0</v>
      </c>
      <c r="ES105" s="16">
        <f>IF(ISNA(VLOOKUP(A105,'Données projet'!$A$191:$I$211,5,0)),0%,VLOOKUP(A105,'Données projet'!$A$191:$I$211,5,0)*VLOOKUP('Données projet'!$B$15,Paramètres!$A$1:$I$89,7,0))</f>
        <v>0</v>
      </c>
      <c r="ET105" s="16">
        <f>IF(ISNA(VLOOKUP(A105,'Données projet'!$A$191:$I$211,6,0)),0%,VLOOKUP(A105,'Données projet'!$A$191:$I$211,6,0)*VLOOKUP('Données projet'!$B$15,Paramètres!$A$1:$I$89,7,0))</f>
        <v>0</v>
      </c>
      <c r="EU105" s="16">
        <f>IF(ISNA(VLOOKUP(A105,'Données projet'!$A$191:$I$211,7,0)),0%,VLOOKUP(A105,'Données projet'!$A$191:$I$211,7,0))</f>
        <v>0</v>
      </c>
      <c r="EV105" s="21">
        <f>EXP(-LN(2)/35)*EV104+(1-EXP(-LN(2)/35))/(LN(2)/35)*ER105*ES105*VLOOKUP('Données projet'!$B$15,Paramètres!$A$1:$I$89,3,0)*0.475*44/12</f>
        <v>0.24091017914080742</v>
      </c>
      <c r="EW105" s="21">
        <f>EXP(-LN(2)/25)*EW104+(1-EXP(-LN(2)/25))/(LN(2)/25)*Calculateur!ER105*Calculateur!ET105*VLOOKUP('Données projet'!$B$15,Paramètres!$A$1:$I$89,3,0)*0.475*44/12</f>
        <v>0.78838551988568606</v>
      </c>
      <c r="EX105" s="21">
        <f>EXP(-LN(2)/2)*EX104+(1-EXP(-LN(2)/2))/(LN(2)/2)*ER105*EU105*VLOOKUP('Données projet'!$B$15,Paramètres!$A$1:$I$89,3,0)*0.475*44/12</f>
        <v>1.3187941688200143E-10</v>
      </c>
      <c r="EY105" s="22">
        <f t="shared" si="75"/>
        <v>1.0292956991583728</v>
      </c>
      <c r="EZ105" s="75">
        <f>('Scénario référence'!$F$8+'Scénario référence'!$F$9+'Scénario référence'!$B$17+'Scénario référence'!$B$9+'Scénario référence'!$B$10)*70+IF((45+25*(1-EXP(-0.0175*A105)))&lt;70,'Scénario référence'!$B$16*(45+25*(1-EXP(-0.0175*A105))),70*'Scénario référence'!$B$16)+IF((32+38*(1-EXP(-0.0175*A105)))&lt;70,'Scénario référence'!$B$18*(32+38*(1-EXP(-0.0175*A105))),70*'Scénario référence'!$B$18)</f>
        <v>70</v>
      </c>
      <c r="FA105" s="12">
        <f>IF(A105&gt;30,10,('Scénario référence'!$B$16+'Scénario référence'!$B$17+'Scénario référence'!$B$18+'Scénario référence'!$B$9+'Scénario référence'!$B$10)*A105*10/30+('Scénario référence'!$F$8+'Scénario référence'!$F$9)*10)</f>
        <v>10</v>
      </c>
      <c r="FB105" s="12" t="e">
        <f>VLOOKUP(A105,'Données projet'!$A$217:$I$237,2,0)</f>
        <v>#N/A</v>
      </c>
      <c r="FC105" s="12" t="e">
        <f>VLOOKUP(A105,'Données projet'!$A$217:$I$237,9,0)</f>
        <v>#N/A</v>
      </c>
      <c r="FD105" s="12">
        <f t="array" ref="FD105">INDEX(FC:FC,MIN(IF(ISNUMBER(FC105:FC301),ROW(FC105:FC301),"")))</f>
        <v>8.6</v>
      </c>
      <c r="FE105" s="12">
        <f>IF('Données projet'!$A$218&gt;35,FE104+FD105-FM104,IF(A105&lt;'Données projet'!$A$218,$FB$205^A105,IF(A105='Données projet'!$A$218,'Données projet'!$B$218,FE104+FD105-FM104)))</f>
        <v>377.19999999999987</v>
      </c>
      <c r="FF105" s="17">
        <f>FE105*VLOOKUP('Données projet'!$B$16,Paramètres!$A$1:$I$89,3,0)*VLOOKUP('Données projet'!$B$16,Paramètres!$A$1:$I$89,5,0)</f>
        <v>323.63759999999991</v>
      </c>
      <c r="FG105" s="13">
        <f t="shared" si="101"/>
        <v>76.109728452986189</v>
      </c>
      <c r="FH105" s="20">
        <f t="shared" si="76"/>
        <v>696.22659705561739</v>
      </c>
      <c r="FI105" s="59">
        <f t="shared" si="77"/>
        <v>989.55993038895076</v>
      </c>
      <c r="FJ105" s="59">
        <f ca="1">AVERAGE(OFFSET($FI$3,0,0,'Données projet'!$E$16+1,1))-AVERAGE(OFFSET($H$3,0,0,'Données projet'!$E$16+1,1))</f>
        <v>383.97627237444709</v>
      </c>
      <c r="FK105" s="59">
        <f t="shared" si="102"/>
        <v>203.35476578922339</v>
      </c>
      <c r="FL105" s="15">
        <f>IF(ISNA(VLOOKUP(A105,'Données projet'!$A$217:$I$237,3,0)),0,VLOOKUP(A105,'Données projet'!$A$217:$I$237,3,0))</f>
        <v>0</v>
      </c>
      <c r="FM105" s="15">
        <f>IF(ISNA(VLOOKUP(A105,'Données projet'!$A$217:$I$237,4,0)),0,VLOOKUP(A105,'Données projet'!$A$217:$I$237,4,0))</f>
        <v>0</v>
      </c>
      <c r="FN105" s="16">
        <f>IF(ISNA(VLOOKUP(A105,'Données projet'!$A$217:$I$237,5,0)),0%,VLOOKUP(A105,'Données projet'!$A$217:$I$237,5,0)*VLOOKUP('Données projet'!$B$16,Paramètres!$A$1:$I$89,7,0))</f>
        <v>0</v>
      </c>
      <c r="FO105" s="16">
        <f>IF(ISNA(VLOOKUP(A105,'Données projet'!$A$217:$I$237,6,0)),0%,VLOOKUP(A105,'Données projet'!$A$217:$I$237,6,0)*VLOOKUP('Données projet'!$B$16,Paramètres!$A$1:$I$89,7,0))</f>
        <v>0</v>
      </c>
      <c r="FP105" s="16">
        <f>IF(ISNA(VLOOKUP(A105,'Données projet'!$A$217:$I$237,7,0)),0%,VLOOKUP(A105,'Données projet'!$A$217:$I$237,7,0))</f>
        <v>0</v>
      </c>
      <c r="FQ105" s="21">
        <f>EXP(-LN(2)/35)*FQ104+(1-EXP(-LN(2)/35))/(LN(2)/35)*FM105*FN105*VLOOKUP('Données projet'!$B$16,Paramètres!$A$1:$I$89,3,0)*0.475*44/12</f>
        <v>1.2381476219560024</v>
      </c>
      <c r="FR105" s="21">
        <f>EXP(-LN(2)/25)*FR104+(1-EXP(-LN(2)/25))/(LN(2)/25)*Calculateur!FM105*Calculateur!FO105*VLOOKUP('Données projet'!$B$16,Paramètres!$A$1:$I$89,3,0)*0.475*44/12</f>
        <v>0.80029279007177534</v>
      </c>
      <c r="FS105" s="21">
        <f>EXP(-LN(2)/2)*FS104+(1-EXP(-LN(2)/2))/(LN(2)/2)*FM105*FP105*VLOOKUP('Données projet'!$B$16,Paramètres!$A$1:$I$89,3,0)*0.475*44/12</f>
        <v>2.422354232372875E-10</v>
      </c>
      <c r="FT105" s="22">
        <f t="shared" si="78"/>
        <v>2.0384404122700133</v>
      </c>
      <c r="FU105" s="75">
        <f>('Scénario référence'!$F$8+'Scénario référence'!$F$9+'Scénario référence'!$B$17+'Scénario référence'!$B$9+'Scénario référence'!$B$10)*70+IF((45+25*(1-EXP(-0.0175*A105)))&lt;70,'Scénario référence'!$B$16*(45+25*(1-EXP(-0.0175*A105))),70*'Scénario référence'!$B$16)+IF((32+38*(1-EXP(-0.0175*A105)))&lt;70,'Scénario référence'!$B$18*(32+38*(1-EXP(-0.0175*A105))),70*'Scénario référence'!$B$18)</f>
        <v>70</v>
      </c>
      <c r="FV105" s="12">
        <f>IF(A105&gt;30,10,('Scénario référence'!$B$16+'Scénario référence'!$B$17+'Scénario référence'!$B$18+'Scénario référence'!$B$9+'Scénario référence'!$B$10)*A105*10/30+('Scénario référence'!$F$8+'Scénario référence'!$F$9)*10)</f>
        <v>10</v>
      </c>
      <c r="FW105" s="12" t="e">
        <f>VLOOKUP(A105,'Données projet'!$A$243:$I$263,2,0)</f>
        <v>#N/A</v>
      </c>
      <c r="FX105" s="12" t="e">
        <f>VLOOKUP(A105,'Données projet'!$A$243:$I$263,9,0)</f>
        <v>#N/A</v>
      </c>
      <c r="FY105" s="12">
        <f t="array" ref="FY105">INDEX(FX:FX,MIN(IF(ISNUMBER(FX105:FX301),ROW(FX105:FX301),"")))</f>
        <v>6.9935897435897401</v>
      </c>
      <c r="FZ105" s="12">
        <f>IF('Données projet'!$A$244&gt;35,FZ104+FY105-GH104,IF(A105&lt;'Données projet'!$A$244,$FW$205^A105,IF(A105='Données projet'!$A$244,'Données projet'!$B$244,FZ104+FY105-GH104)))</f>
        <v>291.21153846153874</v>
      </c>
      <c r="GA105" s="17">
        <f>FZ105*VLOOKUP('Données projet'!$B$17,Paramètres!$A$1:$I$89,3,0)*VLOOKUP('Données projet'!$B$17,Paramètres!$A$1:$I$89,5,0)</f>
        <v>313.4601000000003</v>
      </c>
      <c r="GB105" s="13">
        <f t="shared" si="103"/>
        <v>73.990969296374502</v>
      </c>
      <c r="GC105" s="20">
        <f t="shared" si="79"/>
        <v>674.81061235785273</v>
      </c>
      <c r="GD105" s="59">
        <f t="shared" si="80"/>
        <v>968.14394569118599</v>
      </c>
      <c r="GE105" s="59">
        <f ca="1">AVERAGE(OFFSET($GD$3,0,0,'Données projet'!$E$17+1,1))-AVERAGE(OFFSET($H$3,0,0,'Données projet'!$E$17+1,1))</f>
        <v>286.77702855541287</v>
      </c>
      <c r="GF105" s="59">
        <f t="shared" si="104"/>
        <v>227.12211541860779</v>
      </c>
      <c r="GG105" s="15">
        <f>IF(ISNA(VLOOKUP(A105,'Données projet'!$A$243:$I$263,3,0)),0,VLOOKUP(A105,'Données projet'!$A$243:$I$263,3,0))</f>
        <v>0</v>
      </c>
      <c r="GH105" s="15">
        <f>IF(ISNA(VLOOKUP(A105,'Données projet'!$A$243:$I$263,4,0)),0,VLOOKUP(A105,'Données projet'!$A$243:$I$263,4,0))</f>
        <v>0</v>
      </c>
      <c r="GI105" s="16">
        <f>IF(ISNA(VLOOKUP(A105,'Données projet'!$A$243:$I$263,5,0)),0%,VLOOKUP(A105,'Données projet'!$A$243:$I$263,5,0)*VLOOKUP('Données projet'!$B$17,Paramètres!$A$1:$I$89,7,0))</f>
        <v>0</v>
      </c>
      <c r="GJ105" s="16">
        <f>IF(ISNA(VLOOKUP(A105,'Données projet'!$A$243:$I$263,6,0)),0%,VLOOKUP(A105,'Données projet'!$A$243:$I$263,6,0)*VLOOKUP('Données projet'!$B$17,Paramètres!$A$1:$I$89,7,0))</f>
        <v>0</v>
      </c>
      <c r="GK105" s="16">
        <f>IF(ISNA(VLOOKUP(A105,'Données projet'!$A$243:$I$263,7,0)),0%,VLOOKUP(A105,'Données projet'!$A$243:$I$263,7,0))</f>
        <v>0</v>
      </c>
      <c r="GL105" s="21">
        <f>EXP(-LN(2)/35)*GL104+(1-EXP(-LN(2)/35))/(LN(2)/35)*GH105*GI105*VLOOKUP('Données projet'!$B$17,Paramètres!$A$1:$I$89,3,0)*0.475*44/12</f>
        <v>0</v>
      </c>
      <c r="GM105" s="21">
        <f>EXP(-LN(2)/25)*GM104+(1-EXP(-LN(2)/25))/(LN(2)/25)*Calculateur!GH105*Calculateur!GJ105*VLOOKUP('Données projet'!$B$17,Paramètres!$A$1:$I$89,3,0)*0.475*44/12</f>
        <v>0</v>
      </c>
      <c r="GN105" s="21">
        <f>EXP(-LN(2)/2)*GN104+(1-EXP(-LN(2)/2))/(LN(2)/2)*GH105*GK105*VLOOKUP('Données projet'!$B$17,Paramètres!$A$1:$I$89,3,0)*0.475*44/12</f>
        <v>0</v>
      </c>
      <c r="GO105" s="21">
        <f t="shared" si="81"/>
        <v>0</v>
      </c>
      <c r="GP105" s="75">
        <f>('Scénario référence'!$F$8+'Scénario référence'!$F$9+'Scénario référence'!$B$17+'Scénario référence'!$B$9+'Scénario référence'!$B$10)*70+IF((45+25*(1-EXP(-0.0175*A105)))&lt;70,'Scénario référence'!$B$16*(45+25*(1-EXP(-0.0175*A105))),70*'Scénario référence'!$B$16)+IF((32+38*(1-EXP(-0.0175*A105)))&lt;70,'Scénario référence'!$B$18*(32+38*(1-EXP(-0.0175*A105))),70*'Scénario référence'!$B$18)</f>
        <v>70</v>
      </c>
      <c r="GQ105" s="12">
        <f>IF(A105&gt;30,10,('Scénario référence'!$B$16+'Scénario référence'!$B$17+'Scénario référence'!$B$18+'Scénario référence'!$B$9+'Scénario référence'!$B$10)*A105*10/30+('Scénario référence'!$F$8+'Scénario référence'!$F$9)*10)</f>
        <v>10</v>
      </c>
      <c r="GR105" s="12" t="e">
        <f>VLOOKUP(A105,'Données projet'!$A$269:$I$289,2,0)</f>
        <v>#N/A</v>
      </c>
      <c r="GS105" s="12" t="e">
        <f>VLOOKUP(A105,'Données projet'!$A$269:$I$289,9,0)</f>
        <v>#N/A</v>
      </c>
      <c r="GT105" s="12">
        <f t="array" ref="GT105">INDEX(GS:GS,MIN(IF(ISNUMBER(GS105:GS301),ROW(GS105:GS301),"")))</f>
        <v>6.9935897435897401</v>
      </c>
      <c r="GU105" s="12">
        <f>IF('Données projet'!$A$270&gt;35,GU104+GT105-HC104,IF(A105&lt;'Données projet'!$A$270,$GR$205^A105,IF(A105='Données projet'!$A$270,'Données projet'!$B$270,GU104+GT105-HC104)))</f>
        <v>291.21153846153874</v>
      </c>
      <c r="GV105" s="17">
        <f>GU105*VLOOKUP('Données projet'!$B$18,Paramètres!$A$1:$I$89,3,0)*VLOOKUP('Données projet'!$B$18,Paramètres!$A$1:$I$89,5,0)</f>
        <v>313.4601000000003</v>
      </c>
      <c r="GW105" s="13">
        <f t="shared" si="105"/>
        <v>73.990969296374502</v>
      </c>
      <c r="GX105" s="20">
        <f t="shared" si="82"/>
        <v>674.81061235785273</v>
      </c>
      <c r="GY105" s="59">
        <f t="shared" si="83"/>
        <v>968.14394569118599</v>
      </c>
      <c r="GZ105" s="59">
        <f ca="1">AVERAGE(OFFSET($GY$3,0,0,'Données projet'!$E$18+1,1))-AVERAGE(OFFSET($H$3,0,0,'Données projet'!$E$18+1,1))</f>
        <v>286.77702855541287</v>
      </c>
      <c r="HA105" s="59">
        <f t="shared" si="106"/>
        <v>227.12211541860779</v>
      </c>
      <c r="HB105" s="15">
        <f>IF(ISNA(VLOOKUP(A105,'Données projet'!$A$269:$I$289,3,0)),0,VLOOKUP(A105,'Données projet'!$A$269:$I$289,3,0))</f>
        <v>0</v>
      </c>
      <c r="HC105" s="15">
        <f>IF(ISNA(VLOOKUP(A105,'Données projet'!$A$269:$I$289,4,0)),0,VLOOKUP(A105,'Données projet'!$A$269:$I$289,4,0))</f>
        <v>0</v>
      </c>
      <c r="HD105" s="16">
        <f>IF(ISNA(VLOOKUP(A105,'Données projet'!$A$269:$I$289,5,0)),0%,VLOOKUP(A105,'Données projet'!$A$269:$I$289,5,0)*VLOOKUP('Données projet'!$B$18,Paramètres!$A$1:$I$89,7,0))</f>
        <v>0</v>
      </c>
      <c r="HE105" s="16">
        <f>IF(ISNA(VLOOKUP(A105,'Données projet'!$A$269:$I$289,6,0)),0%,VLOOKUP(A105,'Données projet'!$A$269:$I$289,6,0)*VLOOKUP('Données projet'!$B$18,Paramètres!$A$1:$I$89,7,0))</f>
        <v>0</v>
      </c>
      <c r="HF105" s="16">
        <f>IF(ISNA(VLOOKUP(A105,'Données projet'!$A$269:$I$289,7,0)),0%,VLOOKUP(A105,'Données projet'!$A$269:$I$289,7,0))</f>
        <v>0</v>
      </c>
      <c r="HG105" s="21">
        <f>EXP(-LN(2)/35)*HG104+(1-EXP(-LN(2)/35))/(LN(2)/35)*HC105*HD105*VLOOKUP('Données projet'!$B$18,Paramètres!$A$1:$I$89,3,0)*0.475*44/12</f>
        <v>0</v>
      </c>
      <c r="HH105" s="21">
        <f>EXP(-LN(2)/25)*HH104+(1-EXP(-LN(2)/25))/(LN(2)/25)*Calculateur!HC105*Calculateur!HE105*VLOOKUP('Données projet'!$B$18,Paramètres!$A$1:$I$89,3,0)*0.475*44/12</f>
        <v>0</v>
      </c>
      <c r="HI105" s="21">
        <f>EXP(-LN(2)/2)*HI104+(1-EXP(-LN(2)/2))/(LN(2)/2)*HC105*HF105*VLOOKUP('Données projet'!$B$18,Paramètres!$A$1:$I$89,3,0)*0.475*44/12</f>
        <v>0</v>
      </c>
      <c r="HJ105" s="22">
        <f t="shared" si="84"/>
        <v>0</v>
      </c>
    </row>
    <row r="106" spans="1:218" x14ac:dyDescent="0.25">
      <c r="A106" s="10">
        <f t="shared" si="85"/>
        <v>103</v>
      </c>
      <c r="B106" s="73">
        <f>'Scénario référence'!$B$16*5+'Scénario référence'!$B$17*0+'Scénario référence'!$B$18*5</f>
        <v>0</v>
      </c>
      <c r="C106" s="19">
        <f>Calculateur!C105+'Scénario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91.587600000000151</v>
      </c>
      <c r="D106" s="11">
        <f t="shared" si="86"/>
        <v>24.947725347033305</v>
      </c>
      <c r="E10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06" s="11">
        <f>IF(OR('Scénario référence'!$F$8&gt;0,'Scénario référence'!$F$9&gt;0),('Scénario référence'!$F$8+'Scénario référence'!$F$9)*10,0)</f>
        <v>10</v>
      </c>
      <c r="G106" s="11">
        <f>'Scénario référence'!$B$8*B106*44/12+'Scénario référence'!$B$9*(C106+D106)/0.475*44/12+'Scénario référence'!$B$10*(C106+D106)/0.475*44/12+'Scénario référence'!$F$8*(C106+D106)/0.475*44/12+'Scénario référence'!$F$9*(C106+D106)/0.475*44/12</f>
        <v>899.5709325034162</v>
      </c>
      <c r="H106" s="67">
        <f t="shared" si="56"/>
        <v>496.29902497941657</v>
      </c>
      <c r="I106" s="70">
        <f>('Scénario référence'!$F$8+'Scénario référence'!$F$9+'Scénario référence'!$B$17+'Scénario référence'!$B$9+'Scénario référence'!$B$10)*70+IF((45+25*(1-EXP(-0.0175*A106)))&lt;70,'Scénario référence'!$B$16*(45+25*(1-EXP(-0.0175*A106))),70*'Scénario référence'!$B$16)+IF((32+38*(1-EXP(-0.0175*A106)))&lt;70,'Scénario référence'!$B$18*(32+38*(1-EXP(-0.0175*A106))),70*'Scénario référence'!$B$18)</f>
        <v>70</v>
      </c>
      <c r="J106" s="13">
        <f>IF(A106&gt;30,10,('Scénario référence'!$B$16+'Scénario référence'!$B$17+'Scénario référence'!$B$18+'Scénario référence'!$B$9+'Scénario référence'!$B$10)*A106*10/30+('Scénario référence'!$F$8+'Scénario référence'!$F$9)*10)</f>
        <v>10</v>
      </c>
      <c r="K106" s="12" t="e">
        <f>VLOOKUP(A106,'Données projet'!$A$35:$I$55,2,0)</f>
        <v>#N/A</v>
      </c>
      <c r="L106" s="12" t="e">
        <f>VLOOKUP(A106,'Données projet'!$A$35:$I$55,9,0)</f>
        <v>#N/A</v>
      </c>
      <c r="M106" s="12">
        <f t="array" ref="M106">INDEX(L:L,MIN(IF(ISNUMBER(L106:L302),ROW(L106:L302),"")))</f>
        <v>0</v>
      </c>
      <c r="N106" s="13">
        <f>IF('Données projet'!$A$36&gt;35,N105+M106-V105,IF(A106&lt;'Données projet'!$A$36,$K$205^A106,IF(A106='Données projet'!$A$36,'Données projet'!$B$36,N105+M106-V105)))</f>
        <v>-2.2737367544323206E-13</v>
      </c>
      <c r="O106" s="13">
        <f>N106*VLOOKUP('Données projet'!$B$9,Paramètres!$A$1:$I$89,3,0)*VLOOKUP('Données projet'!$B$9,Paramètres!$A$1:$I$89,5,0)</f>
        <v>-1.2710188457276673E-13</v>
      </c>
      <c r="P106" s="13" t="e">
        <f t="shared" si="87"/>
        <v>#NUM!</v>
      </c>
      <c r="Q106" s="20" t="e">
        <f t="shared" si="107"/>
        <v>#NUM!</v>
      </c>
      <c r="R106" s="59" t="e">
        <f t="shared" si="55"/>
        <v>#NUM!</v>
      </c>
      <c r="S106" s="59">
        <f ca="1">AVERAGE(OFFSET($R$3,0,0,'Données projet'!$E$9+1,1))-AVERAGE(OFFSET($H$3,0,0,'Données projet'!$E$9+1,1))</f>
        <v>255.5374979188561</v>
      </c>
      <c r="T106" s="59">
        <f t="shared" si="88"/>
        <v>343.10418468620901</v>
      </c>
      <c r="U106" s="15">
        <f>IF(ISNA(VLOOKUP(A106,'Données projet'!$A$35:$I$55,3,0)),0,VLOOKUP(A106,'Données projet'!$A$35:$I$55,3,0))</f>
        <v>0</v>
      </c>
      <c r="V106" s="15">
        <f>IF(ISNA(VLOOKUP(A106,'Données projet'!$A$35:$I$55,4,0)),0,VLOOKUP(A106,'Données projet'!$A$35:$I$55,4,0))</f>
        <v>0</v>
      </c>
      <c r="W106" s="16">
        <f>IF(ISNA(VLOOKUP(A106,'Données projet'!$A$35:$I$55,5,0)),0%,VLOOKUP(A106,'Données projet'!$A$35:$I$55,5,0)*VLOOKUP('Données projet'!$B$9,Paramètres!$A$1:$I$89,7,0))</f>
        <v>0</v>
      </c>
      <c r="X106" s="16">
        <f>IF(ISNA(VLOOKUP(A106,'Données projet'!$A$35:$I$55,6,0)),0%,VLOOKUP(A106,'Données projet'!$A$35:$I$55,6,0)*VLOOKUP('Données projet'!$B$9,Paramètres!$A$1:$I$89,7,0))</f>
        <v>0</v>
      </c>
      <c r="Y106" s="16">
        <f>IF(ISNA(VLOOKUP(A106,'Données projet'!$A$35:$I$55,7,0)),0%,VLOOKUP(A106,'Données projet'!$A$35:$I$55,7,0))</f>
        <v>0</v>
      </c>
      <c r="Z106" s="21">
        <f>EXP(-LN(2)/35)*Z105+(1-EXP(-LN(2)/35))/(LN(2)/35)*V106*W106*VLOOKUP('Données projet'!$B$9,Paramètres!$A$1:$I$89,3,0)*0.475*44/12</f>
        <v>0.7279501802683056</v>
      </c>
      <c r="AA106" s="21">
        <f>EXP(-LN(2)/25)*AA105+(1-EXP(-LN(2)/25))/(LN(2)/25)*Calculateur!V106*Calculateur!X106*VLOOKUP('Données projet'!$B$9,Paramètres!$A$1:$I$89,3,0)*0.475*44/12</f>
        <v>2.1087852290909743</v>
      </c>
      <c r="AB106" s="21">
        <f>EXP(-LN(2)/2)*AB105+(1-EXP(-LN(2)/2))/(LN(2)/2)*V106*Y106*VLOOKUP('Données projet'!$B$9,Paramètres!$A$1:$I$89,3,0)*0.475*44/12</f>
        <v>1.741698016953132E-11</v>
      </c>
      <c r="AC106" s="22">
        <f t="shared" si="57"/>
        <v>2.836735409376697</v>
      </c>
      <c r="AD106" s="13">
        <f>('Scénario référence'!$F$8+'Scénario référence'!$F$9+'Scénario référence'!$B$17+'Scénario référence'!$B$9+'Scénario référence'!$B$10)*70+IF((45+25*(1-EXP(-0.0175*A106)))&lt;70,'Scénario référence'!$B$16*(45+25*(1-EXP(-0.0175*A106))),70*'Scénario référence'!$B$16)+IF((32+38*(1-EXP(-0.0175*A106)))&lt;70,'Scénario référence'!$B$18*(32+38*(1-EXP(-0.0175*A106))),70*'Scénario référence'!$B$18)</f>
        <v>70</v>
      </c>
      <c r="AE106" s="13">
        <f>IF(A106&gt;30,10,('Scénario référence'!$B$16+'Scénario référence'!$B$17+'Scénario référence'!$B$18+'Scénario référence'!$B$9+'Scénario référence'!$B$10)*A106*10/30+('Scénario référence'!$F$8+'Scénario référence'!$F$9)*10)</f>
        <v>10</v>
      </c>
      <c r="AF106" s="12" t="e">
        <f>VLOOKUP(A106,'Données projet'!$A$61:$I$81,2,0)</f>
        <v>#N/A</v>
      </c>
      <c r="AG106" s="12" t="e">
        <f>VLOOKUP(A106,'Données projet'!$A$61:$I$81,9,0)</f>
        <v>#N/A</v>
      </c>
      <c r="AH106" s="12">
        <f t="array" ref="AH106">INDEX(AG:AG,MIN(IF(ISNUMBER(AG106:AG302),ROW(AG106:AG302),"")))</f>
        <v>0</v>
      </c>
      <c r="AI106" s="13">
        <f>IF('Données projet'!$A$62&gt;35,AI105+AH106-AQ105,IF(A106&lt;'Données projet'!$A$62,$AF$205^A106,IF(A106='Données projet'!$A$62,'Données projet'!$B$62,AI105+AH106-AQ105)))</f>
        <v>0</v>
      </c>
      <c r="AJ106" s="13">
        <f>AI106*VLOOKUP('Données projet'!$B$10,Paramètres!$A$1:$I$89,3,0)*VLOOKUP('Données projet'!$B$10,Paramètres!$A$1:$I$89,5,0)</f>
        <v>0</v>
      </c>
      <c r="AK106" s="13" t="e">
        <f t="shared" si="89"/>
        <v>#NUM!</v>
      </c>
      <c r="AL106" s="20" t="e">
        <f t="shared" si="58"/>
        <v>#NUM!</v>
      </c>
      <c r="AM106" s="59" t="e">
        <f t="shared" si="59"/>
        <v>#NUM!</v>
      </c>
      <c r="AN106" s="59">
        <f ca="1">AVERAGE(OFFSET($AM$3,0,0,'Données projet'!$E$10+1,1))-AVERAGE(OFFSET($H$3,0,0,'Données projet'!$E$10+1,1))</f>
        <v>261.78489480911571</v>
      </c>
      <c r="AO106" s="59">
        <f t="shared" si="90"/>
        <v>297.50513563712764</v>
      </c>
      <c r="AP106" s="15">
        <f>IF(ISNA(VLOOKUP(A106,'Données projet'!$A$61:$I$81,3,0)),0,VLOOKUP(A106,'Données projet'!$A$61:$I$81,3,0))</f>
        <v>0</v>
      </c>
      <c r="AQ106" s="15">
        <f>IF(ISNA(VLOOKUP(A106,'Données projet'!$A$61:$I$81,4,0)),0,VLOOKUP(A106,'Données projet'!$A$61:$I$81,4,0))</f>
        <v>0</v>
      </c>
      <c r="AR106" s="16">
        <f>IF(ISNA(VLOOKUP(A106,'Données projet'!$A$61:$I$81,5,0)),0%,VLOOKUP(A106,'Données projet'!$A$61:$I$81,5,0)*VLOOKUP('Données projet'!$B$10,Paramètres!$A$1:$I$89,7,0))</f>
        <v>0</v>
      </c>
      <c r="AS106" s="16">
        <f>IF(ISNA(VLOOKUP(A106,'Données projet'!$A$61:$I$81,6,0)),0%,VLOOKUP(A106,'Données projet'!$A$61:$I$81,6,0)*VLOOKUP('Données projet'!$B$10,Paramètres!$A$1:$I$89,7,0))</f>
        <v>0</v>
      </c>
      <c r="AT106" s="16">
        <f>IF(ISNA(VLOOKUP(A106,'Données projet'!$A$61:$I$81,7,0)),0%,VLOOKUP(A106,'Données projet'!$A$61:$I$81,7,0))</f>
        <v>0</v>
      </c>
      <c r="AU106" s="21">
        <f>EXP(-LN(2)/35)*AU105+(1-EXP(-LN(2)/35))/(LN(2)/35)*AQ106*AR106*VLOOKUP('Données projet'!$B$10,Paramètres!$A$1:$I$89,3,0)*0.475*44/12</f>
        <v>1.9656713864453415</v>
      </c>
      <c r="AV106" s="21">
        <f>EXP(-LN(2)/25)*AV105+(1-EXP(-LN(2)/25))/(LN(2)/25)*Calculateur!AQ106*Calculateur!AS106*VLOOKUP('Données projet'!$B$10,Paramètres!$A$1:$I$89,3,0)*0.475*44/12</f>
        <v>3.6823691196725621</v>
      </c>
      <c r="AW106" s="21">
        <f>EXP(-LN(2)/2)*AW105+(1-EXP(-LN(2)/2))/(LN(2)/2)*AQ106*AT106*VLOOKUP('Données projet'!$B$10,Paramètres!$A$1:$I$89,3,0)*0.475*44/12</f>
        <v>2.5108235017890505E-10</v>
      </c>
      <c r="AX106" s="21">
        <f t="shared" si="60"/>
        <v>5.6480405063689858</v>
      </c>
      <c r="AY106" s="74">
        <f>('Scénario référence'!$F$8+'Scénario référence'!$F$9+'Scénario référence'!$B$17+'Scénario référence'!$B$9+'Scénario référence'!$B$10)*70+IF((45+25*(1-EXP(-0.0175*A106)))&lt;70,'Scénario référence'!$B$16*(45+25*(1-EXP(-0.0175*A106))),70*'Scénario référence'!$B$16)+IF((32+38*(1-EXP(-0.0175*A106)))&lt;70,'Scénario référence'!$B$18*(32+38*(1-EXP(-0.0175*A106))),70*'Scénario référence'!$B$18)</f>
        <v>70</v>
      </c>
      <c r="AZ106" s="12">
        <f>IF(A106&gt;30,10,('Scénario référence'!$B$16+'Scénario référence'!$B$17+'Scénario référence'!$B$18+'Scénario référence'!$B$9+'Scénario référence'!$B$10)*A106*10/30+('Scénario référence'!$F$8+'Scénario référence'!$F$9)*10)</f>
        <v>10</v>
      </c>
      <c r="BA106" s="12" t="e">
        <f>VLOOKUP(A106,'Données projet'!$A$87:$I$107,2,0)</f>
        <v>#N/A</v>
      </c>
      <c r="BB106" s="12" t="e">
        <f>VLOOKUP(A106,'Données projet'!$A$87:$I$107,9,0)</f>
        <v>#N/A</v>
      </c>
      <c r="BC106" s="12">
        <f t="array" ref="BC106">INDEX(BB:BB,MIN(IF(ISNUMBER(BB106:BB302),ROW(BB106:BB302),"")))</f>
        <v>0</v>
      </c>
      <c r="BD106" s="12">
        <f>IF('Données projet'!$A$88&gt;35,BD105+BC106-BL105,IF(A106&lt;'Données projet'!$A$88,$BA$205^A106,IF(A106='Données projet'!$A$88,'Données projet'!$B$88,BD105+BC106-BL105)))</f>
        <v>553.99999999999955</v>
      </c>
      <c r="BE106" s="13">
        <f>BD106*VLOOKUP('Données projet'!$B$11,Paramètres!$A$1:$I$89,3,0)*VLOOKUP('Données projet'!$B$11,Paramètres!$A$1:$I$89,5,0)</f>
        <v>331.29199999999975</v>
      </c>
      <c r="BF106" s="13">
        <f t="shared" si="91"/>
        <v>77.698110787752</v>
      </c>
      <c r="BG106" s="20">
        <f t="shared" si="61"/>
        <v>712.32444295533423</v>
      </c>
      <c r="BH106" s="59">
        <f t="shared" si="62"/>
        <v>1005.6577762886675</v>
      </c>
      <c r="BI106" s="59">
        <f ca="1">AVERAGE(OFFSET($BH$3,0,0,'Données projet'!$E$11+1,1))-AVERAGE(OFFSET($H$3,0,0,'Données projet'!$E$11+1,1))</f>
        <v>316.58509520829671</v>
      </c>
      <c r="BJ106" s="59">
        <f t="shared" si="92"/>
        <v>240.71332110643596</v>
      </c>
      <c r="BK106" s="15">
        <f>IF(ISNA(VLOOKUP(A106,'Données projet'!$A$87:$I$107,3,0)),0,VLOOKUP(A106,'Données projet'!$A$87:$I$107,3,0))</f>
        <v>0</v>
      </c>
      <c r="BL106" s="15">
        <f>IF(ISNA(VLOOKUP(A106,'Données projet'!$A$87:$I$107,4,0)),0,VLOOKUP(A106,'Données projet'!$A$87:$I$107,4,0))</f>
        <v>0</v>
      </c>
      <c r="BM106" s="16">
        <f>IF(ISNA(VLOOKUP(A106,'Données projet'!$A$87:$I$107,5,0)),0%,VLOOKUP(A106,'Données projet'!$A$87:$I$107,5,0)*VLOOKUP('Données projet'!$B$11,Paramètres!$A$1:$I$89,7,0))</f>
        <v>0</v>
      </c>
      <c r="BN106" s="16">
        <f>IF(ISNA(VLOOKUP(A106,'Données projet'!$A$87:$I$107,6,0)),0%,VLOOKUP(A106,'Données projet'!$A$87:$I$107,6,0)*VLOOKUP('Données projet'!$B$11,Paramètres!$A$1:$I$89,7,0))</f>
        <v>0</v>
      </c>
      <c r="BO106" s="16">
        <f>IF(ISNA(VLOOKUP(A106,'Données projet'!$A$87:$I$107,7,0)),0%,VLOOKUP(A106,'Données projet'!$A$87:$I$107,7,0))</f>
        <v>0</v>
      </c>
      <c r="BP106" s="21">
        <f>EXP(-LN(2)/35)*BP105+(1-EXP(-LN(2)/35))/(LN(2)/35)*BL106*BM106*VLOOKUP('Données projet'!$B$11,Paramètres!$A$1:$I$89,3,0)*0.475*44/12</f>
        <v>0.59708730916392172</v>
      </c>
      <c r="BQ106" s="21">
        <f>EXP(-LN(2)/25)*BQ105+(1-EXP(-LN(2)/25))/(LN(2)/25)*Calculateur!BL106*Calculateur!BN106*VLOOKUP('Données projet'!$B$11,Paramètres!$A$1:$I$89,3,0)*0.475*44/12</f>
        <v>2.0173092482048305</v>
      </c>
      <c r="BR106" s="21">
        <f>EXP(-LN(2)/2)*BR105+(1-EXP(-LN(2)/2))/(LN(2)/2)*BL106*BO106*VLOOKUP('Données projet'!$B$11,Paramètres!$A$1:$I$89,3,0)*0.475*44/12</f>
        <v>2.2575052949359419E-10</v>
      </c>
      <c r="BS106" s="22">
        <f t="shared" si="63"/>
        <v>2.6143965575945027</v>
      </c>
      <c r="BT106" s="75">
        <f>('Scénario référence'!$F$8+'Scénario référence'!$F$9+'Scénario référence'!$B$17+'Scénario référence'!$B$9+'Scénario référence'!$B$10)*70+IF((45+25*(1-EXP(-0.0175*A106)))&lt;70,'Scénario référence'!$B$16*(45+25*(1-EXP(-0.0175*A106))),70*'Scénario référence'!$B$16)+IF((32+38*(1-EXP(-0.0175*A106)))&lt;70,'Scénario référence'!$B$18*(32+38*(1-EXP(-0.0175*A106))),70*'Scénario référence'!$B$18)</f>
        <v>70</v>
      </c>
      <c r="BU106" s="12">
        <f>IF(A106&gt;30,10,('Scénario référence'!$B$16+'Scénario référence'!$B$17+'Scénario référence'!$B$18+'Scénario référence'!$B$9+'Scénario référence'!$B$10)*A106*10/30+('Scénario référence'!$F$8+'Scénario référence'!$F$9)*10)</f>
        <v>10</v>
      </c>
      <c r="BV106" s="12" t="e">
        <f>VLOOKUP(A106,'Données projet'!$A$113:$I$133,2,0)</f>
        <v>#N/A</v>
      </c>
      <c r="BW106" s="12" t="e">
        <f>VLOOKUP(A106,'Données projet'!$A$113:$I$133,9,0)</f>
        <v>#N/A</v>
      </c>
      <c r="BX106" s="12">
        <f t="array" ref="BX106">INDEX(BW:BW,MIN(IF(ISNUMBER(BW106:BW302),ROW(BW106:BW302),"")))</f>
        <v>0</v>
      </c>
      <c r="BY106" s="12">
        <f>IF('Données projet'!$A$114&gt;35,BY105+BX106-CG105,IF(A106&lt;'Données projet'!$A$114,$BV$205^A106,IF(A106='Données projet'!$A$114,'Données projet'!$B$114,BY105+BX106-CG105)))</f>
        <v>333.99999999999977</v>
      </c>
      <c r="BZ106" s="13">
        <f>BY106*VLOOKUP('Données projet'!$B$12,Paramètres!$A$1:$I$89,3,0)*VLOOKUP('Données projet'!$B$12,Paramètres!$A$1:$I$89,5,0)</f>
        <v>191.04799999999986</v>
      </c>
      <c r="CA106" s="13">
        <f t="shared" si="93"/>
        <v>47.771576544305155</v>
      </c>
      <c r="CB106" s="20">
        <f t="shared" si="64"/>
        <v>415.94409581466454</v>
      </c>
      <c r="CC106" s="59">
        <f t="shared" si="65"/>
        <v>709.27742914799785</v>
      </c>
      <c r="CD106" s="59">
        <f ca="1">AVERAGE(OFFSET($CC$3,0,0,'Données projet'!$E$12+1,1))-AVERAGE(OFFSET($H$3,0,0,'Données projet'!$E$12+1,1))</f>
        <v>188.64374818906128</v>
      </c>
      <c r="CE106" s="59">
        <f t="shared" si="94"/>
        <v>211.95157880548652</v>
      </c>
      <c r="CF106" s="15">
        <f>IF(ISNA(VLOOKUP(A106,'Données projet'!$A$113:$I$133,3,0)),0,VLOOKUP(A106,'Données projet'!$A$113:$I$133,3,0))</f>
        <v>0</v>
      </c>
      <c r="CG106" s="15">
        <f>IF(ISNA(VLOOKUP(A106,'Données projet'!$A$113:$I$133,4,0)),0,VLOOKUP(A106,'Données projet'!$A$113:$I$133,4,0))</f>
        <v>0</v>
      </c>
      <c r="CH106" s="16">
        <f>IF(ISNA(VLOOKUP(A106,'Données projet'!$A$113:$I$133,5,0)),0%,VLOOKUP(A106,'Données projet'!$A$113:$I$133,5,0)*VLOOKUP('Données projet'!$B$12,Paramètres!$A$1:$I$89,7,0))</f>
        <v>0</v>
      </c>
      <c r="CI106" s="16">
        <f>IF(ISNA(VLOOKUP(A106,'Données projet'!$A$113:$I$133,6,0)),0%,VLOOKUP(A106,'Données projet'!$A$113:$I$133,6,0)*VLOOKUP('Données projet'!$B$12,Paramètres!$A$1:$I$89,7,0))</f>
        <v>0</v>
      </c>
      <c r="CJ106" s="16">
        <f>IF(ISNA(VLOOKUP(A106,'Données projet'!$A$113:$I$133,7,0)),0%,VLOOKUP(A106,'Données projet'!$A$113:$I$133,7,0))</f>
        <v>0</v>
      </c>
      <c r="CK106" s="21">
        <f>EXP(-LN(2)/35)*CK105+(1-EXP(-LN(2)/35))/(LN(2)/35)*CG106*CH106*VLOOKUP('Données projet'!$B$12,Paramètres!$A$1:$I$89,3,0)*0.475*44/12</f>
        <v>0.57917103350621646</v>
      </c>
      <c r="CL106" s="21">
        <f>EXP(-LN(2)/25)*CL105+(1-EXP(-LN(2)/25))/(LN(2)/25)*Calculateur!CG106*Calculateur!CI106*VLOOKUP('Données projet'!$B$12,Paramètres!$A$1:$I$89,3,0)*0.475*44/12</f>
        <v>1.8987371398477275</v>
      </c>
      <c r="CM106" s="21">
        <f>EXP(-LN(2)/2)*CM105+(1-EXP(-LN(2)/2))/(LN(2)/2)*CG106*CJ106*VLOOKUP('Données projet'!$B$12,Paramètres!$A$1:$I$89,3,0)*0.475*44/12</f>
        <v>2.1862172483079739E-10</v>
      </c>
      <c r="CN106" s="22">
        <f t="shared" si="66"/>
        <v>2.4779081735725654</v>
      </c>
      <c r="CO106" s="75">
        <f>('Scénario référence'!$F$8+'Scénario référence'!$F$9+'Scénario référence'!$B$17+'Scénario référence'!$B$9+'Scénario référence'!$B$10)*70+IF((45+25*(1-EXP(-0.0175*A106)))&lt;70,'Scénario référence'!$B$16*(45+25*(1-EXP(-0.0175*A106))),70*'Scénario référence'!$B$16)+IF((32+38*(1-EXP(-0.0175*A106)))&lt;70,'Scénario référence'!$B$18*(32+38*(1-EXP(-0.0175*A106))),70*'Scénario référence'!$B$18)</f>
        <v>70</v>
      </c>
      <c r="CP106" s="12">
        <f>IF(A106&gt;30,10,('Scénario référence'!$B$16+'Scénario référence'!$B$17+'Scénario référence'!$B$18+'Scénario référence'!$B$9+'Scénario référence'!$B$10)*A106*10/30+('Scénario référence'!$F$8+'Scénario référence'!$F$9)*10)</f>
        <v>10</v>
      </c>
      <c r="CQ106" s="12" t="e">
        <f>VLOOKUP(A106,'Données projet'!$A$139:$I$159,2,0)</f>
        <v>#N/A</v>
      </c>
      <c r="CR106" s="12" t="e">
        <f>VLOOKUP(A106,'Données projet'!$A$139:$I$159,9,0)</f>
        <v>#N/A</v>
      </c>
      <c r="CS106" s="12">
        <f t="array" ref="CS106">INDEX(CR:CR,MIN(IF(ISNUMBER(CR106:CR302),ROW(CR106:CR302),"")))</f>
        <v>0</v>
      </c>
      <c r="CT106" s="12">
        <f>IF('Données projet'!$A$140&gt;35,CT105+CS106-DB105,IF(A106&lt;'Données projet'!$A$140,$CQ$205^A106,IF(A106='Données projet'!$A$140,'Données projet'!$B$140,CT105+CS106-DB105)))</f>
        <v>0</v>
      </c>
      <c r="CU106" s="17" t="e">
        <f>CT106*VLOOKUP('Données projet'!$B$13,Paramètres!$A$1:$I$89,3,0)*VLOOKUP('Données projet'!$B$13,Paramètres!$A$1:$I$89,5,0)</f>
        <v>#N/A</v>
      </c>
      <c r="CV106" s="13" t="e">
        <f t="shared" si="95"/>
        <v>#N/A</v>
      </c>
      <c r="CW106" s="20" t="e">
        <f t="shared" si="67"/>
        <v>#N/A</v>
      </c>
      <c r="CX106" s="59" t="e">
        <f t="shared" si="68"/>
        <v>#N/A</v>
      </c>
      <c r="CY106" s="59" t="e">
        <f ca="1">AVERAGE(OFFSET($CX$3,0,0,'Données projet'!$E$13+1,1))-AVERAGE(OFFSET($H$3,0,0,'Données projet'!$E$13+1,1))</f>
        <v>#N/A</v>
      </c>
      <c r="CZ106" s="59" t="e">
        <f t="shared" si="96"/>
        <v>#N/A</v>
      </c>
      <c r="DA106" s="15">
        <f>IF(ISNA(VLOOKUP(A106,'Données projet'!$A$139:$I$159,3,0)),0,VLOOKUP(A106,'Données projet'!$A$139:$I$159,3,0))</f>
        <v>0</v>
      </c>
      <c r="DB106" s="15">
        <f>IF(ISNA(VLOOKUP(A106,'Données projet'!$A$139:$I$159,4,0)),0,VLOOKUP(A106,'Données projet'!$A$139:$I$159,4,0))</f>
        <v>0</v>
      </c>
      <c r="DC106" s="16">
        <f>IF(ISNA(VLOOKUP(A106,'Données projet'!$A$139:$I$159,5,0)),0%,VLOOKUP(A106,'Données projet'!$A$139:$I$159,5,0)*VLOOKUP('Données projet'!$B$13,Paramètres!$A$1:$I$89,7,0))</f>
        <v>0</v>
      </c>
      <c r="DD106" s="16">
        <f>IF(ISNA(VLOOKUP(A106,'Données projet'!$A$139:$I$159,6,0)),0%,VLOOKUP(A106,'Données projet'!$A$139:$I$159,6,0)*VLOOKUP('Données projet'!$B$13,Paramètres!$A$1:$I$89,7,0))</f>
        <v>0</v>
      </c>
      <c r="DE106" s="16">
        <f>IF(ISNA(VLOOKUP(A106,'Données projet'!$A$139:$I$159,7,0)),0%,VLOOKUP(A106,'Données projet'!$A$139:$I$159,7,0))</f>
        <v>0</v>
      </c>
      <c r="DF106" s="21" t="e">
        <f>EXP(-LN(2)/35)*DF105+(1-EXP(-LN(2)/35))/(LN(2)/35)*DB106*DC106*VLOOKUP('Données projet'!$B$13,Paramètres!$A$1:$I$89,3,0)*0.475*44/12</f>
        <v>#N/A</v>
      </c>
      <c r="DG106" s="21" t="e">
        <f>EXP(-LN(2)/25)*DG105+(1-EXP(-LN(2)/25))/(LN(2)/25)*Calculateur!DB106*Calculateur!DD106*VLOOKUP('Données projet'!$B$13,Paramètres!$A$1:$I$89,3,0)*0.475*44/12</f>
        <v>#N/A</v>
      </c>
      <c r="DH106" s="21" t="e">
        <f>EXP(-LN(2)/2)*DH105+(1-EXP(-LN(2)/2))/(LN(2)/2)*DB106*DE106*VLOOKUP('Données projet'!$B$13,Paramètres!$A$1:$I$89,3,0)*0.475*44/12</f>
        <v>#N/A</v>
      </c>
      <c r="DI106" s="22" t="e">
        <f t="shared" si="69"/>
        <v>#N/A</v>
      </c>
      <c r="DJ106" s="75">
        <f>('Scénario référence'!$F$8+'Scénario référence'!$F$9+'Scénario référence'!$B$17+'Scénario référence'!$B$9+'Scénario référence'!$B$10)*70+IF((45+25*(1-EXP(-0.0175*A106)))&lt;70,'Scénario référence'!$B$16*(45+25*(1-EXP(-0.0175*A106))),70*'Scénario référence'!$B$16)+IF((32+38*(1-EXP(-0.0175*A106)))&lt;70,'Scénario référence'!$B$18*(32+38*(1-EXP(-0.0175*A106))),70*'Scénario référence'!$B$18)</f>
        <v>70</v>
      </c>
      <c r="DK106" s="12">
        <f>IF(A106&gt;30,10,('Scénario référence'!$B$16+'Scénario référence'!$B$17+'Scénario référence'!$B$18+'Scénario référence'!$B$9+'Scénario référence'!$B$10)*A106*10/30+('Scénario référence'!$F$8+'Scénario référence'!$F$9)*10)</f>
        <v>10</v>
      </c>
      <c r="DL106" s="12" t="e">
        <f>VLOOKUP(A106,'Données projet'!$A$165:$I$185,2,0)</f>
        <v>#N/A</v>
      </c>
      <c r="DM106" s="12" t="e">
        <f>VLOOKUP(A106,'Données projet'!$A$165:$I$185,9,0)</f>
        <v>#N/A</v>
      </c>
      <c r="DN106" s="12">
        <f t="array" ref="DN106">INDEX(DM:DM,MIN(IF(ISNUMBER(DM106:DM302),ROW(DM106:DM302),"")))</f>
        <v>0</v>
      </c>
      <c r="DO106" s="12">
        <f>IF('Données projet'!$A$166&gt;35,DO105+DN106-DW105,IF(A106&lt;'Données projet'!$A$166,$DL$205^A106,IF(A106='Données projet'!$A$166,'Données projet'!$B$166,DO105+DN106-DW105)))</f>
        <v>268.00000000000017</v>
      </c>
      <c r="DP106" s="17">
        <f>DO106*VLOOKUP('Données projet'!$B$14,Paramètres!$A$1:$I$89,3,0)*VLOOKUP('Données projet'!$B$14,Paramètres!$A$1:$I$89,5,0)</f>
        <v>175.59360000000012</v>
      </c>
      <c r="DQ106" s="13">
        <f t="shared" si="97"/>
        <v>44.340433728638573</v>
      </c>
      <c r="DR106" s="20">
        <f t="shared" si="70"/>
        <v>383.05177541071242</v>
      </c>
      <c r="DS106" s="59">
        <f t="shared" si="71"/>
        <v>676.38510874404574</v>
      </c>
      <c r="DT106" s="59">
        <f ca="1">AVERAGE(OFFSET($DS$3,0,0,'Données projet'!$E$14+1,1))-AVERAGE(OFFSET($H$3,0,0,'Données projet'!$E$14+1,1))</f>
        <v>188.68915783955595</v>
      </c>
      <c r="DU106" s="59">
        <f t="shared" si="98"/>
        <v>240.82467772396944</v>
      </c>
      <c r="DV106" s="15">
        <f>IF(ISNA(VLOOKUP(A106,'Données projet'!$A$165:$I$185,3,0)),0,VLOOKUP(A106,'Données projet'!$A$165:$I$185,3,0))</f>
        <v>0</v>
      </c>
      <c r="DW106" s="15">
        <f>IF(ISNA(VLOOKUP(A106,'Données projet'!$A$165:$I$185,4,0)),0,VLOOKUP(A106,'Données projet'!$A$165:$I$185,4,0))</f>
        <v>0</v>
      </c>
      <c r="DX106" s="16">
        <f>IF(ISNA(VLOOKUP(A106,'Données projet'!$A$165:$I$185,5,0)),0%,VLOOKUP(A106,'Données projet'!$A$165:$I$185,5,0)*VLOOKUP('Données projet'!$B$14,Paramètres!$A$1:$I$89,7,0))</f>
        <v>0</v>
      </c>
      <c r="DY106" s="16">
        <f>IF(ISNA(VLOOKUP(A106,'Données projet'!$A$165:$I$185,6,0)),0%,VLOOKUP(A106,'Données projet'!$A$165:$I$185,6,0)*VLOOKUP('Données projet'!$B$14,Paramètres!$A$1:$I$89,7,0))</f>
        <v>0</v>
      </c>
      <c r="DZ106" s="16">
        <f>IF(ISNA(VLOOKUP(A106,'Données projet'!$A$165:$I$185,7,0)),0%,VLOOKUP(A106,'Données projet'!$A$165:$I$185,7,0))</f>
        <v>0</v>
      </c>
      <c r="EA106" s="21">
        <f>EXP(-LN(2)/35)*EA105+(1-EXP(-LN(2)/35))/(LN(2)/35)*DW106*DX106*VLOOKUP('Données projet'!$B$14,Paramètres!$A$1:$I$89,3,0)*0.475*44/12</f>
        <v>0.36685707299110076</v>
      </c>
      <c r="EB106" s="21">
        <f>EXP(-LN(2)/25)*EB105+(1-EXP(-LN(2)/25))/(LN(2)/25)*Calculateur!DW106*Calculateur!DY106*VLOOKUP('Données projet'!$B$14,Paramètres!$A$1:$I$89,3,0)*0.475*44/12</f>
        <v>1.0620427400190544</v>
      </c>
      <c r="EC106" s="21">
        <f>EXP(-LN(2)/2)*EC105+(1-EXP(-LN(2)/2))/(LN(2)/2)*DW106*DZ106*VLOOKUP('Données projet'!$B$14,Paramètres!$A$1:$I$89,3,0)*0.475*44/12</f>
        <v>1.4401965016878357E-10</v>
      </c>
      <c r="ED106" s="22">
        <f t="shared" si="72"/>
        <v>1.4288998131541748</v>
      </c>
      <c r="EE106" s="75">
        <f>('Scénario référence'!$F$8+'Scénario référence'!$F$9+'Scénario référence'!$B$17+'Scénario référence'!$B$9+'Scénario référence'!$B$10)*70+IF((45+25*(1-EXP(-0.0175*A106)))&lt;70,'Scénario référence'!$B$16*(45+25*(1-EXP(-0.0175*A106))),70*'Scénario référence'!$B$16)+IF((32+38*(1-EXP(-0.0175*A106)))&lt;70,'Scénario référence'!$B$18*(32+38*(1-EXP(-0.0175*A106))),70*'Scénario référence'!$B$18)</f>
        <v>70</v>
      </c>
      <c r="EF106" s="12">
        <f>IF(A106&gt;30,10,('Scénario référence'!$B$16+'Scénario référence'!$B$17+'Scénario référence'!$B$18+'Scénario référence'!$B$9+'Scénario référence'!$B$10)*A106*10/30+('Scénario référence'!$F$8+'Scénario référence'!$F$9)*10)</f>
        <v>10</v>
      </c>
      <c r="EG106" s="12" t="e">
        <f>VLOOKUP(A106,'Données projet'!$A$191:$I$211,2,0)</f>
        <v>#N/A</v>
      </c>
      <c r="EH106" s="12" t="e">
        <f>VLOOKUP(A106,'Données projet'!$A$191:$I$211,9,0)</f>
        <v>#N/A</v>
      </c>
      <c r="EI106" s="12">
        <f t="array" ref="EI106">INDEX(EH:EH,MIN(IF(ISNUMBER(EH106:EH302),ROW(EH106:EH302),"")))</f>
        <v>0</v>
      </c>
      <c r="EJ106" s="12">
        <f>IF('Données projet'!$A$192&gt;35,EJ105+EI106-ER105,IF(A106&lt;'Données projet'!$A$192,$EG$205^A106,IF(A106='Données projet'!$A$192,'Données projet'!$B$192,EJ105+EI106-ER105)))</f>
        <v>275.99999999999972</v>
      </c>
      <c r="EK106" s="17">
        <f>EJ106*VLOOKUP('Données projet'!$B$15,Paramètres!$A$1:$I$89,3,0)*VLOOKUP('Données projet'!$B$15,Paramètres!$A$1:$I$89,5,0)</f>
        <v>223.8911999999998</v>
      </c>
      <c r="EL106" s="13">
        <f t="shared" si="99"/>
        <v>54.95975389514858</v>
      </c>
      <c r="EM106" s="20">
        <f t="shared" si="73"/>
        <v>485.66541136738346</v>
      </c>
      <c r="EN106" s="59">
        <f t="shared" si="74"/>
        <v>778.99874470071677</v>
      </c>
      <c r="EO106" s="59">
        <f ca="1">AVERAGE(OFFSET($EN$3,0,0,'Données projet'!$E$15+1,1))-AVERAGE(OFFSET($H$3,0,0,'Données projet'!$E$15+1,1))</f>
        <v>205.5272583787887</v>
      </c>
      <c r="EP106" s="59">
        <f t="shared" si="100"/>
        <v>180.54762778843178</v>
      </c>
      <c r="EQ106" s="15">
        <f>IF(ISNA(VLOOKUP(A106,'Données projet'!$A$191:$I$211,3,0)),0,VLOOKUP(A106,'Données projet'!$A$191:$I$211,3,0))</f>
        <v>0</v>
      </c>
      <c r="ER106" s="15">
        <f>IF(ISNA(VLOOKUP(A106,'Données projet'!$A$191:$I$211,4,0)),0,VLOOKUP(A106,'Données projet'!$A$191:$I$211,4,0))</f>
        <v>0</v>
      </c>
      <c r="ES106" s="16">
        <f>IF(ISNA(VLOOKUP(A106,'Données projet'!$A$191:$I$211,5,0)),0%,VLOOKUP(A106,'Données projet'!$A$191:$I$211,5,0)*VLOOKUP('Données projet'!$B$15,Paramètres!$A$1:$I$89,7,0))</f>
        <v>0</v>
      </c>
      <c r="ET106" s="16">
        <f>IF(ISNA(VLOOKUP(A106,'Données projet'!$A$191:$I$211,6,0)),0%,VLOOKUP(A106,'Données projet'!$A$191:$I$211,6,0)*VLOOKUP('Données projet'!$B$15,Paramètres!$A$1:$I$89,7,0))</f>
        <v>0</v>
      </c>
      <c r="EU106" s="16">
        <f>IF(ISNA(VLOOKUP(A106,'Données projet'!$A$191:$I$211,7,0)),0%,VLOOKUP(A106,'Données projet'!$A$191:$I$211,7,0))</f>
        <v>0</v>
      </c>
      <c r="EV106" s="21">
        <f>EXP(-LN(2)/35)*EV105+(1-EXP(-LN(2)/35))/(LN(2)/35)*ER106*ES106*VLOOKUP('Données projet'!$B$15,Paramètres!$A$1:$I$89,3,0)*0.475*44/12</f>
        <v>0.23618607746855627</v>
      </c>
      <c r="EW106" s="21">
        <f>EXP(-LN(2)/25)*EW105+(1-EXP(-LN(2)/25))/(LN(2)/25)*Calculateur!ER106*Calculateur!ET106*VLOOKUP('Données projet'!$B$15,Paramètres!$A$1:$I$89,3,0)*0.475*44/12</f>
        <v>0.76682707638501935</v>
      </c>
      <c r="EX106" s="21">
        <f>EXP(-LN(2)/2)*EX105+(1-EXP(-LN(2)/2))/(LN(2)/2)*ER106*EU106*VLOOKUP('Données projet'!$B$15,Paramètres!$A$1:$I$89,3,0)*0.475*44/12</f>
        <v>9.3252829976190866E-11</v>
      </c>
      <c r="EY106" s="22">
        <f t="shared" si="75"/>
        <v>1.0030131539468283</v>
      </c>
      <c r="EZ106" s="75">
        <f>('Scénario référence'!$F$8+'Scénario référence'!$F$9+'Scénario référence'!$B$17+'Scénario référence'!$B$9+'Scénario référence'!$B$10)*70+IF((45+25*(1-EXP(-0.0175*A106)))&lt;70,'Scénario référence'!$B$16*(45+25*(1-EXP(-0.0175*A106))),70*'Scénario référence'!$B$16)+IF((32+38*(1-EXP(-0.0175*A106)))&lt;70,'Scénario référence'!$B$18*(32+38*(1-EXP(-0.0175*A106))),70*'Scénario référence'!$B$18)</f>
        <v>70</v>
      </c>
      <c r="FA106" s="12">
        <f>IF(A106&gt;30,10,('Scénario référence'!$B$16+'Scénario référence'!$B$17+'Scénario référence'!$B$18+'Scénario référence'!$B$9+'Scénario référence'!$B$10)*A106*10/30+('Scénario référence'!$F$8+'Scénario référence'!$F$9)*10)</f>
        <v>10</v>
      </c>
      <c r="FB106" s="12" t="e">
        <f>VLOOKUP(A106,'Données projet'!$A$217:$I$237,2,0)</f>
        <v>#N/A</v>
      </c>
      <c r="FC106" s="12" t="e">
        <f>VLOOKUP(A106,'Données projet'!$A$217:$I$237,9,0)</f>
        <v>#N/A</v>
      </c>
      <c r="FD106" s="12">
        <f t="array" ref="FD106">INDEX(FC:FC,MIN(IF(ISNUMBER(FC106:FC302),ROW(FC106:FC302),"")))</f>
        <v>8.6</v>
      </c>
      <c r="FE106" s="12">
        <f>IF('Données projet'!$A$218&gt;35,FE105+FD106-FM105,IF(A106&lt;'Données projet'!$A$218,$FB$205^A106,IF(A106='Données projet'!$A$218,'Données projet'!$B$218,FE105+FD106-FM105)))</f>
        <v>385.7999999999999</v>
      </c>
      <c r="FF106" s="17">
        <f>FE106*VLOOKUP('Données projet'!$B$16,Paramètres!$A$1:$I$89,3,0)*VLOOKUP('Données projet'!$B$16,Paramètres!$A$1:$I$89,5,0)</f>
        <v>331.01639999999998</v>
      </c>
      <c r="FG106" s="13">
        <f t="shared" si="101"/>
        <v>77.640995093013743</v>
      </c>
      <c r="FH106" s="20">
        <f t="shared" si="76"/>
        <v>711.74496312033227</v>
      </c>
      <c r="FI106" s="59">
        <f t="shared" si="77"/>
        <v>1005.0782964536656</v>
      </c>
      <c r="FJ106" s="59">
        <f ca="1">AVERAGE(OFFSET($FI$3,0,0,'Données projet'!$E$16+1,1))-AVERAGE(OFFSET($H$3,0,0,'Données projet'!$E$16+1,1))</f>
        <v>383.97627237444709</v>
      </c>
      <c r="FK106" s="59">
        <f t="shared" si="102"/>
        <v>203.35476578922339</v>
      </c>
      <c r="FL106" s="15">
        <f>IF(ISNA(VLOOKUP(A106,'Données projet'!$A$217:$I$237,3,0)),0,VLOOKUP(A106,'Données projet'!$A$217:$I$237,3,0))</f>
        <v>0</v>
      </c>
      <c r="FM106" s="15">
        <f>IF(ISNA(VLOOKUP(A106,'Données projet'!$A$217:$I$237,4,0)),0,VLOOKUP(A106,'Données projet'!$A$217:$I$237,4,0))</f>
        <v>0</v>
      </c>
      <c r="FN106" s="16">
        <f>IF(ISNA(VLOOKUP(A106,'Données projet'!$A$217:$I$237,5,0)),0%,VLOOKUP(A106,'Données projet'!$A$217:$I$237,5,0)*VLOOKUP('Données projet'!$B$16,Paramètres!$A$1:$I$89,7,0))</f>
        <v>0</v>
      </c>
      <c r="FO106" s="16">
        <f>IF(ISNA(VLOOKUP(A106,'Données projet'!$A$217:$I$237,6,0)),0%,VLOOKUP(A106,'Données projet'!$A$217:$I$237,6,0)*VLOOKUP('Données projet'!$B$16,Paramètres!$A$1:$I$89,7,0))</f>
        <v>0</v>
      </c>
      <c r="FP106" s="16">
        <f>IF(ISNA(VLOOKUP(A106,'Données projet'!$A$217:$I$237,7,0)),0%,VLOOKUP(A106,'Données projet'!$A$217:$I$237,7,0))</f>
        <v>0</v>
      </c>
      <c r="FQ106" s="21">
        <f>EXP(-LN(2)/35)*FQ105+(1-EXP(-LN(2)/35))/(LN(2)/35)*FM106*FN106*VLOOKUP('Données projet'!$B$16,Paramètres!$A$1:$I$89,3,0)*0.475*44/12</f>
        <v>1.2138683022849253</v>
      </c>
      <c r="FR106" s="21">
        <f>EXP(-LN(2)/25)*FR105+(1-EXP(-LN(2)/25))/(LN(2)/25)*Calculateur!FM106*Calculateur!FO106*VLOOKUP('Données projet'!$B$16,Paramètres!$A$1:$I$89,3,0)*0.475*44/12</f>
        <v>0.77840874164169394</v>
      </c>
      <c r="FS106" s="21">
        <f>EXP(-LN(2)/2)*FS105+(1-EXP(-LN(2)/2))/(LN(2)/2)*FM106*FP106*VLOOKUP('Données projet'!$B$16,Paramètres!$A$1:$I$89,3,0)*0.475*44/12</f>
        <v>1.7128631041467938E-10</v>
      </c>
      <c r="FT106" s="22">
        <f t="shared" si="78"/>
        <v>1.9922770440979056</v>
      </c>
      <c r="FU106" s="75">
        <f>('Scénario référence'!$F$8+'Scénario référence'!$F$9+'Scénario référence'!$B$17+'Scénario référence'!$B$9+'Scénario référence'!$B$10)*70+IF((45+25*(1-EXP(-0.0175*A106)))&lt;70,'Scénario référence'!$B$16*(45+25*(1-EXP(-0.0175*A106))),70*'Scénario référence'!$B$16)+IF((32+38*(1-EXP(-0.0175*A106)))&lt;70,'Scénario référence'!$B$18*(32+38*(1-EXP(-0.0175*A106))),70*'Scénario référence'!$B$18)</f>
        <v>70</v>
      </c>
      <c r="FV106" s="12">
        <f>IF(A106&gt;30,10,('Scénario référence'!$B$16+'Scénario référence'!$B$17+'Scénario référence'!$B$18+'Scénario référence'!$B$9+'Scénario référence'!$B$10)*A106*10/30+('Scénario référence'!$F$8+'Scénario référence'!$F$9)*10)</f>
        <v>10</v>
      </c>
      <c r="FW106" s="12" t="e">
        <f>VLOOKUP(A106,'Données projet'!$A$243:$I$263,2,0)</f>
        <v>#N/A</v>
      </c>
      <c r="FX106" s="12" t="e">
        <f>VLOOKUP(A106,'Données projet'!$A$243:$I$263,9,0)</f>
        <v>#N/A</v>
      </c>
      <c r="FY106" s="12">
        <f t="array" ref="FY106">INDEX(FX:FX,MIN(IF(ISNUMBER(FX106:FX302),ROW(FX106:FX302),"")))</f>
        <v>6.9935897435897401</v>
      </c>
      <c r="FZ106" s="12">
        <f>IF('Données projet'!$A$244&gt;35,FZ105+FY106-GH105,IF(A106&lt;'Données projet'!$A$244,$FW$205^A106,IF(A106='Données projet'!$A$244,'Données projet'!$B$244,FZ105+FY106-GH105)))</f>
        <v>298.20512820512846</v>
      </c>
      <c r="GA106" s="17">
        <f>FZ106*VLOOKUP('Données projet'!$B$17,Paramètres!$A$1:$I$89,3,0)*VLOOKUP('Données projet'!$B$17,Paramètres!$A$1:$I$89,5,0)</f>
        <v>320.98800000000028</v>
      </c>
      <c r="GB106" s="13">
        <f t="shared" si="103"/>
        <v>75.558889379773333</v>
      </c>
      <c r="GC106" s="20">
        <f t="shared" si="79"/>
        <v>690.65249900310573</v>
      </c>
      <c r="GD106" s="59">
        <f t="shared" si="80"/>
        <v>983.98583233643899</v>
      </c>
      <c r="GE106" s="59">
        <f ca="1">AVERAGE(OFFSET($GD$3,0,0,'Données projet'!$E$17+1,1))-AVERAGE(OFFSET($H$3,0,0,'Données projet'!$E$17+1,1))</f>
        <v>286.77702855541287</v>
      </c>
      <c r="GF106" s="59">
        <f t="shared" si="104"/>
        <v>227.12211541860779</v>
      </c>
      <c r="GG106" s="15">
        <f>IF(ISNA(VLOOKUP(A106,'Données projet'!$A$243:$I$263,3,0)),0,VLOOKUP(A106,'Données projet'!$A$243:$I$263,3,0))</f>
        <v>0</v>
      </c>
      <c r="GH106" s="15">
        <f>IF(ISNA(VLOOKUP(A106,'Données projet'!$A$243:$I$263,4,0)),0,VLOOKUP(A106,'Données projet'!$A$243:$I$263,4,0))</f>
        <v>0</v>
      </c>
      <c r="GI106" s="16">
        <f>IF(ISNA(VLOOKUP(A106,'Données projet'!$A$243:$I$263,5,0)),0%,VLOOKUP(A106,'Données projet'!$A$243:$I$263,5,0)*VLOOKUP('Données projet'!$B$17,Paramètres!$A$1:$I$89,7,0))</f>
        <v>0</v>
      </c>
      <c r="GJ106" s="16">
        <f>IF(ISNA(VLOOKUP(A106,'Données projet'!$A$243:$I$263,6,0)),0%,VLOOKUP(A106,'Données projet'!$A$243:$I$263,6,0)*VLOOKUP('Données projet'!$B$17,Paramètres!$A$1:$I$89,7,0))</f>
        <v>0</v>
      </c>
      <c r="GK106" s="16">
        <f>IF(ISNA(VLOOKUP(A106,'Données projet'!$A$243:$I$263,7,0)),0%,VLOOKUP(A106,'Données projet'!$A$243:$I$263,7,0))</f>
        <v>0</v>
      </c>
      <c r="GL106" s="21">
        <f>EXP(-LN(2)/35)*GL105+(1-EXP(-LN(2)/35))/(LN(2)/35)*GH106*GI106*VLOOKUP('Données projet'!$B$17,Paramètres!$A$1:$I$89,3,0)*0.475*44/12</f>
        <v>0</v>
      </c>
      <c r="GM106" s="21">
        <f>EXP(-LN(2)/25)*GM105+(1-EXP(-LN(2)/25))/(LN(2)/25)*Calculateur!GH106*Calculateur!GJ106*VLOOKUP('Données projet'!$B$17,Paramètres!$A$1:$I$89,3,0)*0.475*44/12</f>
        <v>0</v>
      </c>
      <c r="GN106" s="21">
        <f>EXP(-LN(2)/2)*GN105+(1-EXP(-LN(2)/2))/(LN(2)/2)*GH106*GK106*VLOOKUP('Données projet'!$B$17,Paramètres!$A$1:$I$89,3,0)*0.475*44/12</f>
        <v>0</v>
      </c>
      <c r="GO106" s="21">
        <f t="shared" si="81"/>
        <v>0</v>
      </c>
      <c r="GP106" s="75">
        <f>('Scénario référence'!$F$8+'Scénario référence'!$F$9+'Scénario référence'!$B$17+'Scénario référence'!$B$9+'Scénario référence'!$B$10)*70+IF((45+25*(1-EXP(-0.0175*A106)))&lt;70,'Scénario référence'!$B$16*(45+25*(1-EXP(-0.0175*A106))),70*'Scénario référence'!$B$16)+IF((32+38*(1-EXP(-0.0175*A106)))&lt;70,'Scénario référence'!$B$18*(32+38*(1-EXP(-0.0175*A106))),70*'Scénario référence'!$B$18)</f>
        <v>70</v>
      </c>
      <c r="GQ106" s="12">
        <f>IF(A106&gt;30,10,('Scénario référence'!$B$16+'Scénario référence'!$B$17+'Scénario référence'!$B$18+'Scénario référence'!$B$9+'Scénario référence'!$B$10)*A106*10/30+('Scénario référence'!$F$8+'Scénario référence'!$F$9)*10)</f>
        <v>10</v>
      </c>
      <c r="GR106" s="12" t="e">
        <f>VLOOKUP(A106,'Données projet'!$A$269:$I$289,2,0)</f>
        <v>#N/A</v>
      </c>
      <c r="GS106" s="12" t="e">
        <f>VLOOKUP(A106,'Données projet'!$A$269:$I$289,9,0)</f>
        <v>#N/A</v>
      </c>
      <c r="GT106" s="12">
        <f t="array" ref="GT106">INDEX(GS:GS,MIN(IF(ISNUMBER(GS106:GS302),ROW(GS106:GS302),"")))</f>
        <v>6.9935897435897401</v>
      </c>
      <c r="GU106" s="12">
        <f>IF('Données projet'!$A$270&gt;35,GU105+GT106-HC105,IF(A106&lt;'Données projet'!$A$270,$GR$205^A106,IF(A106='Données projet'!$A$270,'Données projet'!$B$270,GU105+GT106-HC105)))</f>
        <v>298.20512820512846</v>
      </c>
      <c r="GV106" s="17">
        <f>GU106*VLOOKUP('Données projet'!$B$18,Paramètres!$A$1:$I$89,3,0)*VLOOKUP('Données projet'!$B$18,Paramètres!$A$1:$I$89,5,0)</f>
        <v>320.98800000000028</v>
      </c>
      <c r="GW106" s="13">
        <f t="shared" si="105"/>
        <v>75.558889379773333</v>
      </c>
      <c r="GX106" s="20">
        <f t="shared" si="82"/>
        <v>690.65249900310573</v>
      </c>
      <c r="GY106" s="59">
        <f t="shared" si="83"/>
        <v>983.98583233643899</v>
      </c>
      <c r="GZ106" s="59">
        <f ca="1">AVERAGE(OFFSET($GY$3,0,0,'Données projet'!$E$18+1,1))-AVERAGE(OFFSET($H$3,0,0,'Données projet'!$E$18+1,1))</f>
        <v>286.77702855541287</v>
      </c>
      <c r="HA106" s="59">
        <f t="shared" si="106"/>
        <v>227.12211541860779</v>
      </c>
      <c r="HB106" s="15">
        <f>IF(ISNA(VLOOKUP(A106,'Données projet'!$A$269:$I$289,3,0)),0,VLOOKUP(A106,'Données projet'!$A$269:$I$289,3,0))</f>
        <v>0</v>
      </c>
      <c r="HC106" s="15">
        <f>IF(ISNA(VLOOKUP(A106,'Données projet'!$A$269:$I$289,4,0)),0,VLOOKUP(A106,'Données projet'!$A$269:$I$289,4,0))</f>
        <v>0</v>
      </c>
      <c r="HD106" s="16">
        <f>IF(ISNA(VLOOKUP(A106,'Données projet'!$A$269:$I$289,5,0)),0%,VLOOKUP(A106,'Données projet'!$A$269:$I$289,5,0)*VLOOKUP('Données projet'!$B$18,Paramètres!$A$1:$I$89,7,0))</f>
        <v>0</v>
      </c>
      <c r="HE106" s="16">
        <f>IF(ISNA(VLOOKUP(A106,'Données projet'!$A$269:$I$289,6,0)),0%,VLOOKUP(A106,'Données projet'!$A$269:$I$289,6,0)*VLOOKUP('Données projet'!$B$18,Paramètres!$A$1:$I$89,7,0))</f>
        <v>0</v>
      </c>
      <c r="HF106" s="16">
        <f>IF(ISNA(VLOOKUP(A106,'Données projet'!$A$269:$I$289,7,0)),0%,VLOOKUP(A106,'Données projet'!$A$269:$I$289,7,0))</f>
        <v>0</v>
      </c>
      <c r="HG106" s="21">
        <f>EXP(-LN(2)/35)*HG105+(1-EXP(-LN(2)/35))/(LN(2)/35)*HC106*HD106*VLOOKUP('Données projet'!$B$18,Paramètres!$A$1:$I$89,3,0)*0.475*44/12</f>
        <v>0</v>
      </c>
      <c r="HH106" s="21">
        <f>EXP(-LN(2)/25)*HH105+(1-EXP(-LN(2)/25))/(LN(2)/25)*Calculateur!HC106*Calculateur!HE106*VLOOKUP('Données projet'!$B$18,Paramètres!$A$1:$I$89,3,0)*0.475*44/12</f>
        <v>0</v>
      </c>
      <c r="HI106" s="21">
        <f>EXP(-LN(2)/2)*HI105+(1-EXP(-LN(2)/2))/(LN(2)/2)*HC106*HF106*VLOOKUP('Données projet'!$B$18,Paramètres!$A$1:$I$89,3,0)*0.475*44/12</f>
        <v>0</v>
      </c>
      <c r="HJ106" s="22">
        <f t="shared" si="84"/>
        <v>0</v>
      </c>
    </row>
    <row r="107" spans="1:218" x14ac:dyDescent="0.25">
      <c r="A107" s="10">
        <f t="shared" si="85"/>
        <v>104</v>
      </c>
      <c r="B107" s="73">
        <f>'Scénario référence'!$B$16*5+'Scénario référence'!$B$17*0+'Scénario référence'!$B$18*5</f>
        <v>0</v>
      </c>
      <c r="C107" s="19">
        <f>Calculateur!C106+'Scénario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92.476800000000154</v>
      </c>
      <c r="D107" s="11">
        <f t="shared" si="86"/>
        <v>25.161622425346469</v>
      </c>
      <c r="E10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07" s="11">
        <f>IF(OR('Scénario référence'!$F$8&gt;0,'Scénario référence'!$F$9&gt;0),('Scénario référence'!$F$8+'Scénario référence'!$F$9)*10,0)</f>
        <v>10</v>
      </c>
      <c r="G107" s="11">
        <f>'Scénario référence'!$B$8*B107*44/12+'Scénario référence'!$B$9*(C107+D107)/0.475*44/12+'Scénario référence'!$B$10*(C107+D107)/0.475*44/12+'Scénario référence'!$F$8*(C107+D107)/0.475*44/12+'Scénario référence'!$F$9*(C107+D107)/0.475*44/12</f>
        <v>908.08606784478104</v>
      </c>
      <c r="H107" s="67">
        <f t="shared" si="56"/>
        <v>498.22025239081199</v>
      </c>
      <c r="I107" s="70">
        <f>('Scénario référence'!$F$8+'Scénario référence'!$F$9+'Scénario référence'!$B$17+'Scénario référence'!$B$9+'Scénario référence'!$B$10)*70+IF((45+25*(1-EXP(-0.0175*A107)))&lt;70,'Scénario référence'!$B$16*(45+25*(1-EXP(-0.0175*A107))),70*'Scénario référence'!$B$16)+IF((32+38*(1-EXP(-0.0175*A107)))&lt;70,'Scénario référence'!$B$18*(32+38*(1-EXP(-0.0175*A107))),70*'Scénario référence'!$B$18)</f>
        <v>70</v>
      </c>
      <c r="J107" s="13">
        <f>IF(A107&gt;30,10,('Scénario référence'!$B$16+'Scénario référence'!$B$17+'Scénario référence'!$B$18+'Scénario référence'!$B$9+'Scénario référence'!$B$10)*A107*10/30+('Scénario référence'!$F$8+'Scénario référence'!$F$9)*10)</f>
        <v>10</v>
      </c>
      <c r="K107" s="12" t="e">
        <f>VLOOKUP(A107,'Données projet'!$A$35:$I$55,2,0)</f>
        <v>#N/A</v>
      </c>
      <c r="L107" s="12" t="e">
        <f>VLOOKUP(A107,'Données projet'!$A$35:$I$55,9,0)</f>
        <v>#N/A</v>
      </c>
      <c r="M107" s="12">
        <f t="array" ref="M107">INDEX(L:L,MIN(IF(ISNUMBER(L107:L303),ROW(L107:L303),"")))</f>
        <v>0</v>
      </c>
      <c r="N107" s="13">
        <f>IF('Données projet'!$A$36&gt;35,N106+M107-V106,IF(A107&lt;'Données projet'!$A$36,$K$205^A107,IF(A107='Données projet'!$A$36,'Données projet'!$B$36,N106+M107-V106)))</f>
        <v>-2.2737367544323206E-13</v>
      </c>
      <c r="O107" s="13">
        <f>N107*VLOOKUP('Données projet'!$B$9,Paramètres!$A$1:$I$89,3,0)*VLOOKUP('Données projet'!$B$9,Paramètres!$A$1:$I$89,5,0)</f>
        <v>-1.2710188457276673E-13</v>
      </c>
      <c r="P107" s="13" t="e">
        <f t="shared" si="87"/>
        <v>#NUM!</v>
      </c>
      <c r="Q107" s="20" t="e">
        <f t="shared" si="107"/>
        <v>#NUM!</v>
      </c>
      <c r="R107" s="59" t="e">
        <f t="shared" si="55"/>
        <v>#NUM!</v>
      </c>
      <c r="S107" s="59">
        <f ca="1">AVERAGE(OFFSET($R$3,0,0,'Données projet'!$E$9+1,1))-AVERAGE(OFFSET($H$3,0,0,'Données projet'!$E$9+1,1))</f>
        <v>255.5374979188561</v>
      </c>
      <c r="T107" s="59">
        <f t="shared" si="88"/>
        <v>343.10418468620901</v>
      </c>
      <c r="U107" s="15">
        <f>IF(ISNA(VLOOKUP(A107,'Données projet'!$A$35:$I$55,3,0)),0,VLOOKUP(A107,'Données projet'!$A$35:$I$55,3,0))</f>
        <v>0</v>
      </c>
      <c r="V107" s="15">
        <f>IF(ISNA(VLOOKUP(A107,'Données projet'!$A$35:$I$55,4,0)),0,VLOOKUP(A107,'Données projet'!$A$35:$I$55,4,0))</f>
        <v>0</v>
      </c>
      <c r="W107" s="16">
        <f>IF(ISNA(VLOOKUP(A107,'Données projet'!$A$35:$I$55,5,0)),0%,VLOOKUP(A107,'Données projet'!$A$35:$I$55,5,0)*VLOOKUP('Données projet'!$B$9,Paramètres!$A$1:$I$89,7,0))</f>
        <v>0</v>
      </c>
      <c r="X107" s="16">
        <f>IF(ISNA(VLOOKUP(A107,'Données projet'!$A$35:$I$55,6,0)),0%,VLOOKUP(A107,'Données projet'!$A$35:$I$55,6,0)*VLOOKUP('Données projet'!$B$9,Paramètres!$A$1:$I$89,7,0))</f>
        <v>0</v>
      </c>
      <c r="Y107" s="16">
        <f>IF(ISNA(VLOOKUP(A107,'Données projet'!$A$35:$I$55,7,0)),0%,VLOOKUP(A107,'Données projet'!$A$35:$I$55,7,0))</f>
        <v>0</v>
      </c>
      <c r="Z107" s="21">
        <f>EXP(-LN(2)/35)*Z106+(1-EXP(-LN(2)/35))/(LN(2)/35)*V107*W107*VLOOKUP('Données projet'!$B$9,Paramètres!$A$1:$I$89,3,0)*0.475*44/12</f>
        <v>0.71367552123901212</v>
      </c>
      <c r="AA107" s="21">
        <f>EXP(-LN(2)/25)*AA106+(1-EXP(-LN(2)/25))/(LN(2)/25)*Calculateur!V107*Calculateur!X107*VLOOKUP('Données projet'!$B$9,Paramètres!$A$1:$I$89,3,0)*0.475*44/12</f>
        <v>2.051120386105286</v>
      </c>
      <c r="AB107" s="21">
        <f>EXP(-LN(2)/2)*AB106+(1-EXP(-LN(2)/2))/(LN(2)/2)*V107*Y107*VLOOKUP('Données projet'!$B$9,Paramètres!$A$1:$I$89,3,0)*0.475*44/12</f>
        <v>1.2315664785667221E-11</v>
      </c>
      <c r="AC107" s="22">
        <f t="shared" si="57"/>
        <v>2.7647959073566137</v>
      </c>
      <c r="AD107" s="13">
        <f>('Scénario référence'!$F$8+'Scénario référence'!$F$9+'Scénario référence'!$B$17+'Scénario référence'!$B$9+'Scénario référence'!$B$10)*70+IF((45+25*(1-EXP(-0.0175*A107)))&lt;70,'Scénario référence'!$B$16*(45+25*(1-EXP(-0.0175*A107))),70*'Scénario référence'!$B$16)+IF((32+38*(1-EXP(-0.0175*A107)))&lt;70,'Scénario référence'!$B$18*(32+38*(1-EXP(-0.0175*A107))),70*'Scénario référence'!$B$18)</f>
        <v>70</v>
      </c>
      <c r="AE107" s="13">
        <f>IF(A107&gt;30,10,('Scénario référence'!$B$16+'Scénario référence'!$B$17+'Scénario référence'!$B$18+'Scénario référence'!$B$9+'Scénario référence'!$B$10)*A107*10/30+('Scénario référence'!$F$8+'Scénario référence'!$F$9)*10)</f>
        <v>10</v>
      </c>
      <c r="AF107" s="12" t="e">
        <f>VLOOKUP(A107,'Données projet'!$A$61:$I$81,2,0)</f>
        <v>#N/A</v>
      </c>
      <c r="AG107" s="12" t="e">
        <f>VLOOKUP(A107,'Données projet'!$A$61:$I$81,9,0)</f>
        <v>#N/A</v>
      </c>
      <c r="AH107" s="12">
        <f t="array" ref="AH107">INDEX(AG:AG,MIN(IF(ISNUMBER(AG107:AG303),ROW(AG107:AG303),"")))</f>
        <v>0</v>
      </c>
      <c r="AI107" s="13">
        <f>IF('Données projet'!$A$62&gt;35,AI106+AH107-AQ106,IF(A107&lt;'Données projet'!$A$62,$AF$205^A107,IF(A107='Données projet'!$A$62,'Données projet'!$B$62,AI106+AH107-AQ106)))</f>
        <v>0</v>
      </c>
      <c r="AJ107" s="13">
        <f>AI107*VLOOKUP('Données projet'!$B$10,Paramètres!$A$1:$I$89,3,0)*VLOOKUP('Données projet'!$B$10,Paramètres!$A$1:$I$89,5,0)</f>
        <v>0</v>
      </c>
      <c r="AK107" s="13" t="e">
        <f t="shared" si="89"/>
        <v>#NUM!</v>
      </c>
      <c r="AL107" s="20" t="e">
        <f t="shared" si="58"/>
        <v>#NUM!</v>
      </c>
      <c r="AM107" s="59" t="e">
        <f t="shared" si="59"/>
        <v>#NUM!</v>
      </c>
      <c r="AN107" s="59">
        <f ca="1">AVERAGE(OFFSET($AM$3,0,0,'Données projet'!$E$10+1,1))-AVERAGE(OFFSET($H$3,0,0,'Données projet'!$E$10+1,1))</f>
        <v>261.78489480911571</v>
      </c>
      <c r="AO107" s="59">
        <f t="shared" si="90"/>
        <v>297.50513563712764</v>
      </c>
      <c r="AP107" s="15">
        <f>IF(ISNA(VLOOKUP(A107,'Données projet'!$A$61:$I$81,3,0)),0,VLOOKUP(A107,'Données projet'!$A$61:$I$81,3,0))</f>
        <v>0</v>
      </c>
      <c r="AQ107" s="15">
        <f>IF(ISNA(VLOOKUP(A107,'Données projet'!$A$61:$I$81,4,0)),0,VLOOKUP(A107,'Données projet'!$A$61:$I$81,4,0))</f>
        <v>0</v>
      </c>
      <c r="AR107" s="16">
        <f>IF(ISNA(VLOOKUP(A107,'Données projet'!$A$61:$I$81,5,0)),0%,VLOOKUP(A107,'Données projet'!$A$61:$I$81,5,0)*VLOOKUP('Données projet'!$B$10,Paramètres!$A$1:$I$89,7,0))</f>
        <v>0</v>
      </c>
      <c r="AS107" s="16">
        <f>IF(ISNA(VLOOKUP(A107,'Données projet'!$A$61:$I$81,6,0)),0%,VLOOKUP(A107,'Données projet'!$A$61:$I$81,6,0)*VLOOKUP('Données projet'!$B$10,Paramètres!$A$1:$I$89,7,0))</f>
        <v>0</v>
      </c>
      <c r="AT107" s="16">
        <f>IF(ISNA(VLOOKUP(A107,'Données projet'!$A$61:$I$81,7,0)),0%,VLOOKUP(A107,'Données projet'!$A$61:$I$81,7,0))</f>
        <v>0</v>
      </c>
      <c r="AU107" s="21">
        <f>EXP(-LN(2)/35)*AU106+(1-EXP(-LN(2)/35))/(LN(2)/35)*AQ107*AR107*VLOOKUP('Données projet'!$B$10,Paramètres!$A$1:$I$89,3,0)*0.475*44/12</f>
        <v>1.9271257694983084</v>
      </c>
      <c r="AV107" s="21">
        <f>EXP(-LN(2)/25)*AV106+(1-EXP(-LN(2)/25))/(LN(2)/25)*Calculateur!AQ107*Calculateur!AS107*VLOOKUP('Données projet'!$B$10,Paramètres!$A$1:$I$89,3,0)*0.475*44/12</f>
        <v>3.5816745424477401</v>
      </c>
      <c r="AW107" s="21">
        <f>EXP(-LN(2)/2)*AW106+(1-EXP(-LN(2)/2))/(LN(2)/2)*AQ107*AT107*VLOOKUP('Données projet'!$B$10,Paramètres!$A$1:$I$89,3,0)*0.475*44/12</f>
        <v>1.7754203244775912E-10</v>
      </c>
      <c r="AX107" s="21">
        <f t="shared" si="60"/>
        <v>5.5088003121235909</v>
      </c>
      <c r="AY107" s="74">
        <f>('Scénario référence'!$F$8+'Scénario référence'!$F$9+'Scénario référence'!$B$17+'Scénario référence'!$B$9+'Scénario référence'!$B$10)*70+IF((45+25*(1-EXP(-0.0175*A107)))&lt;70,'Scénario référence'!$B$16*(45+25*(1-EXP(-0.0175*A107))),70*'Scénario référence'!$B$16)+IF((32+38*(1-EXP(-0.0175*A107)))&lt;70,'Scénario référence'!$B$18*(32+38*(1-EXP(-0.0175*A107))),70*'Scénario référence'!$B$18)</f>
        <v>70</v>
      </c>
      <c r="AZ107" s="12">
        <f>IF(A107&gt;30,10,('Scénario référence'!$B$16+'Scénario référence'!$B$17+'Scénario référence'!$B$18+'Scénario référence'!$B$9+'Scénario référence'!$B$10)*A107*10/30+('Scénario référence'!$F$8+'Scénario référence'!$F$9)*10)</f>
        <v>10</v>
      </c>
      <c r="BA107" s="12" t="e">
        <f>VLOOKUP(A107,'Données projet'!$A$87:$I$107,2,0)</f>
        <v>#N/A</v>
      </c>
      <c r="BB107" s="12" t="e">
        <f>VLOOKUP(A107,'Données projet'!$A$87:$I$107,9,0)</f>
        <v>#N/A</v>
      </c>
      <c r="BC107" s="12">
        <f t="array" ref="BC107">INDEX(BB:BB,MIN(IF(ISNUMBER(BB107:BB303),ROW(BB107:BB303),"")))</f>
        <v>0</v>
      </c>
      <c r="BD107" s="12">
        <f>IF('Données projet'!$A$88&gt;35,BD106+BC107-BL106,IF(A107&lt;'Données projet'!$A$88,$BA$205^A107,IF(A107='Données projet'!$A$88,'Données projet'!$B$88,BD106+BC107-BL106)))</f>
        <v>553.99999999999955</v>
      </c>
      <c r="BE107" s="13">
        <f>BD107*VLOOKUP('Données projet'!$B$11,Paramètres!$A$1:$I$89,3,0)*VLOOKUP('Données projet'!$B$11,Paramètres!$A$1:$I$89,5,0)</f>
        <v>331.29199999999975</v>
      </c>
      <c r="BF107" s="13">
        <f t="shared" si="91"/>
        <v>77.698110787752</v>
      </c>
      <c r="BG107" s="20">
        <f t="shared" si="61"/>
        <v>712.32444295533423</v>
      </c>
      <c r="BH107" s="59">
        <f t="shared" si="62"/>
        <v>1005.6577762886675</v>
      </c>
      <c r="BI107" s="59">
        <f ca="1">AVERAGE(OFFSET($BH$3,0,0,'Données projet'!$E$11+1,1))-AVERAGE(OFFSET($H$3,0,0,'Données projet'!$E$11+1,1))</f>
        <v>316.58509520829671</v>
      </c>
      <c r="BJ107" s="59">
        <f t="shared" si="92"/>
        <v>240.71332110643596</v>
      </c>
      <c r="BK107" s="15">
        <f>IF(ISNA(VLOOKUP(A107,'Données projet'!$A$87:$I$107,3,0)),0,VLOOKUP(A107,'Données projet'!$A$87:$I$107,3,0))</f>
        <v>0</v>
      </c>
      <c r="BL107" s="15">
        <f>IF(ISNA(VLOOKUP(A107,'Données projet'!$A$87:$I$107,4,0)),0,VLOOKUP(A107,'Données projet'!$A$87:$I$107,4,0))</f>
        <v>0</v>
      </c>
      <c r="BM107" s="16">
        <f>IF(ISNA(VLOOKUP(A107,'Données projet'!$A$87:$I$107,5,0)),0%,VLOOKUP(A107,'Données projet'!$A$87:$I$107,5,0)*VLOOKUP('Données projet'!$B$11,Paramètres!$A$1:$I$89,7,0))</f>
        <v>0</v>
      </c>
      <c r="BN107" s="16">
        <f>IF(ISNA(VLOOKUP(A107,'Données projet'!$A$87:$I$107,6,0)),0%,VLOOKUP(A107,'Données projet'!$A$87:$I$107,6,0)*VLOOKUP('Données projet'!$B$11,Paramètres!$A$1:$I$89,7,0))</f>
        <v>0</v>
      </c>
      <c r="BO107" s="16">
        <f>IF(ISNA(VLOOKUP(A107,'Données projet'!$A$87:$I$107,7,0)),0%,VLOOKUP(A107,'Données projet'!$A$87:$I$107,7,0))</f>
        <v>0</v>
      </c>
      <c r="BP107" s="21">
        <f>EXP(-LN(2)/35)*BP106+(1-EXP(-LN(2)/35))/(LN(2)/35)*BL107*BM107*VLOOKUP('Données projet'!$B$11,Paramètres!$A$1:$I$89,3,0)*0.475*44/12</f>
        <v>0.58537879121851533</v>
      </c>
      <c r="BQ107" s="21">
        <f>EXP(-LN(2)/25)*BQ106+(1-EXP(-LN(2)/25))/(LN(2)/25)*Calculateur!BL107*Calculateur!BN107*VLOOKUP('Données projet'!$B$11,Paramètres!$A$1:$I$89,3,0)*0.475*44/12</f>
        <v>1.9621458207269866</v>
      </c>
      <c r="BR107" s="21">
        <f>EXP(-LN(2)/2)*BR106+(1-EXP(-LN(2)/2))/(LN(2)/2)*BL107*BO107*VLOOKUP('Données projet'!$B$11,Paramètres!$A$1:$I$89,3,0)*0.475*44/12</f>
        <v>1.5962973026137417E-10</v>
      </c>
      <c r="BS107" s="22">
        <f t="shared" si="63"/>
        <v>2.5475246121051316</v>
      </c>
      <c r="BT107" s="75">
        <f>('Scénario référence'!$F$8+'Scénario référence'!$F$9+'Scénario référence'!$B$17+'Scénario référence'!$B$9+'Scénario référence'!$B$10)*70+IF((45+25*(1-EXP(-0.0175*A107)))&lt;70,'Scénario référence'!$B$16*(45+25*(1-EXP(-0.0175*A107))),70*'Scénario référence'!$B$16)+IF((32+38*(1-EXP(-0.0175*A107)))&lt;70,'Scénario référence'!$B$18*(32+38*(1-EXP(-0.0175*A107))),70*'Scénario référence'!$B$18)</f>
        <v>70</v>
      </c>
      <c r="BU107" s="12">
        <f>IF(A107&gt;30,10,('Scénario référence'!$B$16+'Scénario référence'!$B$17+'Scénario référence'!$B$18+'Scénario référence'!$B$9+'Scénario référence'!$B$10)*A107*10/30+('Scénario référence'!$F$8+'Scénario référence'!$F$9)*10)</f>
        <v>10</v>
      </c>
      <c r="BV107" s="12" t="e">
        <f>VLOOKUP(A107,'Données projet'!$A$113:$I$133,2,0)</f>
        <v>#N/A</v>
      </c>
      <c r="BW107" s="12" t="e">
        <f>VLOOKUP(A107,'Données projet'!$A$113:$I$133,9,0)</f>
        <v>#N/A</v>
      </c>
      <c r="BX107" s="12">
        <f t="array" ref="BX107">INDEX(BW:BW,MIN(IF(ISNUMBER(BW107:BW303),ROW(BW107:BW303),"")))</f>
        <v>0</v>
      </c>
      <c r="BY107" s="12">
        <f>IF('Données projet'!$A$114&gt;35,BY106+BX107-CG106,IF(A107&lt;'Données projet'!$A$114,$BV$205^A107,IF(A107='Données projet'!$A$114,'Données projet'!$B$114,BY106+BX107-CG106)))</f>
        <v>333.99999999999977</v>
      </c>
      <c r="BZ107" s="13">
        <f>BY107*VLOOKUP('Données projet'!$B$12,Paramètres!$A$1:$I$89,3,0)*VLOOKUP('Données projet'!$B$12,Paramètres!$A$1:$I$89,5,0)</f>
        <v>191.04799999999986</v>
      </c>
      <c r="CA107" s="13">
        <f t="shared" si="93"/>
        <v>47.771576544305155</v>
      </c>
      <c r="CB107" s="20">
        <f t="shared" si="64"/>
        <v>415.94409581466454</v>
      </c>
      <c r="CC107" s="59">
        <f t="shared" si="65"/>
        <v>709.27742914799785</v>
      </c>
      <c r="CD107" s="59">
        <f ca="1">AVERAGE(OFFSET($CC$3,0,0,'Données projet'!$E$12+1,1))-AVERAGE(OFFSET($H$3,0,0,'Données projet'!$E$12+1,1))</f>
        <v>188.64374818906128</v>
      </c>
      <c r="CE107" s="59">
        <f t="shared" si="94"/>
        <v>211.95157880548652</v>
      </c>
      <c r="CF107" s="15">
        <f>IF(ISNA(VLOOKUP(A107,'Données projet'!$A$113:$I$133,3,0)),0,VLOOKUP(A107,'Données projet'!$A$113:$I$133,3,0))</f>
        <v>0</v>
      </c>
      <c r="CG107" s="15">
        <f>IF(ISNA(VLOOKUP(A107,'Données projet'!$A$113:$I$133,4,0)),0,VLOOKUP(A107,'Données projet'!$A$113:$I$133,4,0))</f>
        <v>0</v>
      </c>
      <c r="CH107" s="16">
        <f>IF(ISNA(VLOOKUP(A107,'Données projet'!$A$113:$I$133,5,0)),0%,VLOOKUP(A107,'Données projet'!$A$113:$I$133,5,0)*VLOOKUP('Données projet'!$B$12,Paramètres!$A$1:$I$89,7,0))</f>
        <v>0</v>
      </c>
      <c r="CI107" s="16">
        <f>IF(ISNA(VLOOKUP(A107,'Données projet'!$A$113:$I$133,6,0)),0%,VLOOKUP(A107,'Données projet'!$A$113:$I$133,6,0)*VLOOKUP('Données projet'!$B$12,Paramètres!$A$1:$I$89,7,0))</f>
        <v>0</v>
      </c>
      <c r="CJ107" s="16">
        <f>IF(ISNA(VLOOKUP(A107,'Données projet'!$A$113:$I$133,7,0)),0%,VLOOKUP(A107,'Données projet'!$A$113:$I$133,7,0))</f>
        <v>0</v>
      </c>
      <c r="CK107" s="21">
        <f>EXP(-LN(2)/35)*CK106+(1-EXP(-LN(2)/35))/(LN(2)/35)*CG107*CH107*VLOOKUP('Données projet'!$B$12,Paramètres!$A$1:$I$89,3,0)*0.475*44/12</f>
        <v>0.56781384279860847</v>
      </c>
      <c r="CL107" s="21">
        <f>EXP(-LN(2)/25)*CL106+(1-EXP(-LN(2)/25))/(LN(2)/25)*Calculateur!CG107*Calculateur!CI107*VLOOKUP('Données projet'!$B$12,Paramètres!$A$1:$I$89,3,0)*0.475*44/12</f>
        <v>1.8468160729083449</v>
      </c>
      <c r="CM107" s="21">
        <f>EXP(-LN(2)/2)*CM106+(1-EXP(-LN(2)/2))/(LN(2)/2)*CG107*CJ107*VLOOKUP('Données projet'!$B$12,Paramètres!$A$1:$I$89,3,0)*0.475*44/12</f>
        <v>1.5458890414255625E-10</v>
      </c>
      <c r="CN107" s="22">
        <f t="shared" si="66"/>
        <v>2.4146299158615423</v>
      </c>
      <c r="CO107" s="75">
        <f>('Scénario référence'!$F$8+'Scénario référence'!$F$9+'Scénario référence'!$B$17+'Scénario référence'!$B$9+'Scénario référence'!$B$10)*70+IF((45+25*(1-EXP(-0.0175*A107)))&lt;70,'Scénario référence'!$B$16*(45+25*(1-EXP(-0.0175*A107))),70*'Scénario référence'!$B$16)+IF((32+38*(1-EXP(-0.0175*A107)))&lt;70,'Scénario référence'!$B$18*(32+38*(1-EXP(-0.0175*A107))),70*'Scénario référence'!$B$18)</f>
        <v>70</v>
      </c>
      <c r="CP107" s="12">
        <f>IF(A107&gt;30,10,('Scénario référence'!$B$16+'Scénario référence'!$B$17+'Scénario référence'!$B$18+'Scénario référence'!$B$9+'Scénario référence'!$B$10)*A107*10/30+('Scénario référence'!$F$8+'Scénario référence'!$F$9)*10)</f>
        <v>10</v>
      </c>
      <c r="CQ107" s="12" t="e">
        <f>VLOOKUP(A107,'Données projet'!$A$139:$I$159,2,0)</f>
        <v>#N/A</v>
      </c>
      <c r="CR107" s="12" t="e">
        <f>VLOOKUP(A107,'Données projet'!$A$139:$I$159,9,0)</f>
        <v>#N/A</v>
      </c>
      <c r="CS107" s="12">
        <f t="array" ref="CS107">INDEX(CR:CR,MIN(IF(ISNUMBER(CR107:CR303),ROW(CR107:CR303),"")))</f>
        <v>0</v>
      </c>
      <c r="CT107" s="12">
        <f>IF('Données projet'!$A$140&gt;35,CT106+CS107-DB106,IF(A107&lt;'Données projet'!$A$140,$CQ$205^A107,IF(A107='Données projet'!$A$140,'Données projet'!$B$140,CT106+CS107-DB106)))</f>
        <v>0</v>
      </c>
      <c r="CU107" s="17" t="e">
        <f>CT107*VLOOKUP('Données projet'!$B$13,Paramètres!$A$1:$I$89,3,0)*VLOOKUP('Données projet'!$B$13,Paramètres!$A$1:$I$89,5,0)</f>
        <v>#N/A</v>
      </c>
      <c r="CV107" s="13" t="e">
        <f t="shared" si="95"/>
        <v>#N/A</v>
      </c>
      <c r="CW107" s="20" t="e">
        <f t="shared" si="67"/>
        <v>#N/A</v>
      </c>
      <c r="CX107" s="59" t="e">
        <f t="shared" si="68"/>
        <v>#N/A</v>
      </c>
      <c r="CY107" s="59" t="e">
        <f ca="1">AVERAGE(OFFSET($CX$3,0,0,'Données projet'!$E$13+1,1))-AVERAGE(OFFSET($H$3,0,0,'Données projet'!$E$13+1,1))</f>
        <v>#N/A</v>
      </c>
      <c r="CZ107" s="59" t="e">
        <f t="shared" si="96"/>
        <v>#N/A</v>
      </c>
      <c r="DA107" s="15">
        <f>IF(ISNA(VLOOKUP(A107,'Données projet'!$A$139:$I$159,3,0)),0,VLOOKUP(A107,'Données projet'!$A$139:$I$159,3,0))</f>
        <v>0</v>
      </c>
      <c r="DB107" s="15">
        <f>IF(ISNA(VLOOKUP(A107,'Données projet'!$A$139:$I$159,4,0)),0,VLOOKUP(A107,'Données projet'!$A$139:$I$159,4,0))</f>
        <v>0</v>
      </c>
      <c r="DC107" s="16">
        <f>IF(ISNA(VLOOKUP(A107,'Données projet'!$A$139:$I$159,5,0)),0%,VLOOKUP(A107,'Données projet'!$A$139:$I$159,5,0)*VLOOKUP('Données projet'!$B$13,Paramètres!$A$1:$I$89,7,0))</f>
        <v>0</v>
      </c>
      <c r="DD107" s="16">
        <f>IF(ISNA(VLOOKUP(A107,'Données projet'!$A$139:$I$159,6,0)),0%,VLOOKUP(A107,'Données projet'!$A$139:$I$159,6,0)*VLOOKUP('Données projet'!$B$13,Paramètres!$A$1:$I$89,7,0))</f>
        <v>0</v>
      </c>
      <c r="DE107" s="16">
        <f>IF(ISNA(VLOOKUP(A107,'Données projet'!$A$139:$I$159,7,0)),0%,VLOOKUP(A107,'Données projet'!$A$139:$I$159,7,0))</f>
        <v>0</v>
      </c>
      <c r="DF107" s="21" t="e">
        <f>EXP(-LN(2)/35)*DF106+(1-EXP(-LN(2)/35))/(LN(2)/35)*DB107*DC107*VLOOKUP('Données projet'!$B$13,Paramètres!$A$1:$I$89,3,0)*0.475*44/12</f>
        <v>#N/A</v>
      </c>
      <c r="DG107" s="21" t="e">
        <f>EXP(-LN(2)/25)*DG106+(1-EXP(-LN(2)/25))/(LN(2)/25)*Calculateur!DB107*Calculateur!DD107*VLOOKUP('Données projet'!$B$13,Paramètres!$A$1:$I$89,3,0)*0.475*44/12</f>
        <v>#N/A</v>
      </c>
      <c r="DH107" s="21" t="e">
        <f>EXP(-LN(2)/2)*DH106+(1-EXP(-LN(2)/2))/(LN(2)/2)*DB107*DE107*VLOOKUP('Données projet'!$B$13,Paramètres!$A$1:$I$89,3,0)*0.475*44/12</f>
        <v>#N/A</v>
      </c>
      <c r="DI107" s="22" t="e">
        <f t="shared" si="69"/>
        <v>#N/A</v>
      </c>
      <c r="DJ107" s="75">
        <f>('Scénario référence'!$F$8+'Scénario référence'!$F$9+'Scénario référence'!$B$17+'Scénario référence'!$B$9+'Scénario référence'!$B$10)*70+IF((45+25*(1-EXP(-0.0175*A107)))&lt;70,'Scénario référence'!$B$16*(45+25*(1-EXP(-0.0175*A107))),70*'Scénario référence'!$B$16)+IF((32+38*(1-EXP(-0.0175*A107)))&lt;70,'Scénario référence'!$B$18*(32+38*(1-EXP(-0.0175*A107))),70*'Scénario référence'!$B$18)</f>
        <v>70</v>
      </c>
      <c r="DK107" s="12">
        <f>IF(A107&gt;30,10,('Scénario référence'!$B$16+'Scénario référence'!$B$17+'Scénario référence'!$B$18+'Scénario référence'!$B$9+'Scénario référence'!$B$10)*A107*10/30+('Scénario référence'!$F$8+'Scénario référence'!$F$9)*10)</f>
        <v>10</v>
      </c>
      <c r="DL107" s="12" t="e">
        <f>VLOOKUP(A107,'Données projet'!$A$165:$I$185,2,0)</f>
        <v>#N/A</v>
      </c>
      <c r="DM107" s="12" t="e">
        <f>VLOOKUP(A107,'Données projet'!$A$165:$I$185,9,0)</f>
        <v>#N/A</v>
      </c>
      <c r="DN107" s="12">
        <f t="array" ref="DN107">INDEX(DM:DM,MIN(IF(ISNUMBER(DM107:DM303),ROW(DM107:DM303),"")))</f>
        <v>0</v>
      </c>
      <c r="DO107" s="12">
        <f>IF('Données projet'!$A$166&gt;35,DO106+DN107-DW106,IF(A107&lt;'Données projet'!$A$166,$DL$205^A107,IF(A107='Données projet'!$A$166,'Données projet'!$B$166,DO106+DN107-DW106)))</f>
        <v>268.00000000000017</v>
      </c>
      <c r="DP107" s="17">
        <f>DO107*VLOOKUP('Données projet'!$B$14,Paramètres!$A$1:$I$89,3,0)*VLOOKUP('Données projet'!$B$14,Paramètres!$A$1:$I$89,5,0)</f>
        <v>175.59360000000012</v>
      </c>
      <c r="DQ107" s="13">
        <f t="shared" si="97"/>
        <v>44.340433728638573</v>
      </c>
      <c r="DR107" s="20">
        <f t="shared" si="70"/>
        <v>383.05177541071242</v>
      </c>
      <c r="DS107" s="59">
        <f t="shared" si="71"/>
        <v>676.38510874404574</v>
      </c>
      <c r="DT107" s="59">
        <f ca="1">AVERAGE(OFFSET($DS$3,0,0,'Données projet'!$E$14+1,1))-AVERAGE(OFFSET($H$3,0,0,'Données projet'!$E$14+1,1))</f>
        <v>188.68915783955595</v>
      </c>
      <c r="DU107" s="59">
        <f t="shared" si="98"/>
        <v>240.82467772396944</v>
      </c>
      <c r="DV107" s="15">
        <f>IF(ISNA(VLOOKUP(A107,'Données projet'!$A$165:$I$185,3,0)),0,VLOOKUP(A107,'Données projet'!$A$165:$I$185,3,0))</f>
        <v>0</v>
      </c>
      <c r="DW107" s="15">
        <f>IF(ISNA(VLOOKUP(A107,'Données projet'!$A$165:$I$185,4,0)),0,VLOOKUP(A107,'Données projet'!$A$165:$I$185,4,0))</f>
        <v>0</v>
      </c>
      <c r="DX107" s="16">
        <f>IF(ISNA(VLOOKUP(A107,'Données projet'!$A$165:$I$185,5,0)),0%,VLOOKUP(A107,'Données projet'!$A$165:$I$185,5,0)*VLOOKUP('Données projet'!$B$14,Paramètres!$A$1:$I$89,7,0))</f>
        <v>0</v>
      </c>
      <c r="DY107" s="16">
        <f>IF(ISNA(VLOOKUP(A107,'Données projet'!$A$165:$I$185,6,0)),0%,VLOOKUP(A107,'Données projet'!$A$165:$I$185,6,0)*VLOOKUP('Données projet'!$B$14,Paramètres!$A$1:$I$89,7,0))</f>
        <v>0</v>
      </c>
      <c r="DZ107" s="16">
        <f>IF(ISNA(VLOOKUP(A107,'Données projet'!$A$165:$I$185,7,0)),0%,VLOOKUP(A107,'Données projet'!$A$165:$I$185,7,0))</f>
        <v>0</v>
      </c>
      <c r="EA107" s="21">
        <f>EXP(-LN(2)/35)*EA106+(1-EXP(-LN(2)/35))/(LN(2)/35)*DW107*DX107*VLOOKUP('Données projet'!$B$14,Paramètres!$A$1:$I$89,3,0)*0.475*44/12</f>
        <v>0.35966322955046526</v>
      </c>
      <c r="EB107" s="21">
        <f>EXP(-LN(2)/25)*EB106+(1-EXP(-LN(2)/25))/(LN(2)/25)*Calculateur!DW107*Calculateur!DY107*VLOOKUP('Données projet'!$B$14,Paramètres!$A$1:$I$89,3,0)*0.475*44/12</f>
        <v>1.0330011254428331</v>
      </c>
      <c r="EC107" s="21">
        <f>EXP(-LN(2)/2)*EC106+(1-EXP(-LN(2)/2))/(LN(2)/2)*DW107*DZ107*VLOOKUP('Données projet'!$B$14,Paramètres!$A$1:$I$89,3,0)*0.475*44/12</f>
        <v>1.0183727125846117E-10</v>
      </c>
      <c r="ED107" s="22">
        <f t="shared" si="72"/>
        <v>1.3926643550951354</v>
      </c>
      <c r="EE107" s="75">
        <f>('Scénario référence'!$F$8+'Scénario référence'!$F$9+'Scénario référence'!$B$17+'Scénario référence'!$B$9+'Scénario référence'!$B$10)*70+IF((45+25*(1-EXP(-0.0175*A107)))&lt;70,'Scénario référence'!$B$16*(45+25*(1-EXP(-0.0175*A107))),70*'Scénario référence'!$B$16)+IF((32+38*(1-EXP(-0.0175*A107)))&lt;70,'Scénario référence'!$B$18*(32+38*(1-EXP(-0.0175*A107))),70*'Scénario référence'!$B$18)</f>
        <v>70</v>
      </c>
      <c r="EF107" s="12">
        <f>IF(A107&gt;30,10,('Scénario référence'!$B$16+'Scénario référence'!$B$17+'Scénario référence'!$B$18+'Scénario référence'!$B$9+'Scénario référence'!$B$10)*A107*10/30+('Scénario référence'!$F$8+'Scénario référence'!$F$9)*10)</f>
        <v>10</v>
      </c>
      <c r="EG107" s="12" t="e">
        <f>VLOOKUP(A107,'Données projet'!$A$191:$I$211,2,0)</f>
        <v>#N/A</v>
      </c>
      <c r="EH107" s="12" t="e">
        <f>VLOOKUP(A107,'Données projet'!$A$191:$I$211,9,0)</f>
        <v>#N/A</v>
      </c>
      <c r="EI107" s="12">
        <f t="array" ref="EI107">INDEX(EH:EH,MIN(IF(ISNUMBER(EH107:EH303),ROW(EH107:EH303),"")))</f>
        <v>0</v>
      </c>
      <c r="EJ107" s="12">
        <f>IF('Données projet'!$A$192&gt;35,EJ106+EI107-ER106,IF(A107&lt;'Données projet'!$A$192,$EG$205^A107,IF(A107='Données projet'!$A$192,'Données projet'!$B$192,EJ106+EI107-ER106)))</f>
        <v>275.99999999999972</v>
      </c>
      <c r="EK107" s="17">
        <f>EJ107*VLOOKUP('Données projet'!$B$15,Paramètres!$A$1:$I$89,3,0)*VLOOKUP('Données projet'!$B$15,Paramètres!$A$1:$I$89,5,0)</f>
        <v>223.8911999999998</v>
      </c>
      <c r="EL107" s="13">
        <f t="shared" si="99"/>
        <v>54.95975389514858</v>
      </c>
      <c r="EM107" s="20">
        <f t="shared" si="73"/>
        <v>485.66541136738346</v>
      </c>
      <c r="EN107" s="59">
        <f t="shared" si="74"/>
        <v>778.99874470071677</v>
      </c>
      <c r="EO107" s="59">
        <f ca="1">AVERAGE(OFFSET($EN$3,0,0,'Données projet'!$E$15+1,1))-AVERAGE(OFFSET($H$3,0,0,'Données projet'!$E$15+1,1))</f>
        <v>205.5272583787887</v>
      </c>
      <c r="EP107" s="59">
        <f t="shared" si="100"/>
        <v>180.54762778843178</v>
      </c>
      <c r="EQ107" s="15">
        <f>IF(ISNA(VLOOKUP(A107,'Données projet'!$A$191:$I$211,3,0)),0,VLOOKUP(A107,'Données projet'!$A$191:$I$211,3,0))</f>
        <v>0</v>
      </c>
      <c r="ER107" s="15">
        <f>IF(ISNA(VLOOKUP(A107,'Données projet'!$A$191:$I$211,4,0)),0,VLOOKUP(A107,'Données projet'!$A$191:$I$211,4,0))</f>
        <v>0</v>
      </c>
      <c r="ES107" s="16">
        <f>IF(ISNA(VLOOKUP(A107,'Données projet'!$A$191:$I$211,5,0)),0%,VLOOKUP(A107,'Données projet'!$A$191:$I$211,5,0)*VLOOKUP('Données projet'!$B$15,Paramètres!$A$1:$I$89,7,0))</f>
        <v>0</v>
      </c>
      <c r="ET107" s="16">
        <f>IF(ISNA(VLOOKUP(A107,'Données projet'!$A$191:$I$211,6,0)),0%,VLOOKUP(A107,'Données projet'!$A$191:$I$211,6,0)*VLOOKUP('Données projet'!$B$15,Paramètres!$A$1:$I$89,7,0))</f>
        <v>0</v>
      </c>
      <c r="EU107" s="16">
        <f>IF(ISNA(VLOOKUP(A107,'Données projet'!$A$191:$I$211,7,0)),0%,VLOOKUP(A107,'Données projet'!$A$191:$I$211,7,0))</f>
        <v>0</v>
      </c>
      <c r="EV107" s="21">
        <f>EXP(-LN(2)/35)*EV106+(1-EXP(-LN(2)/35))/(LN(2)/35)*ER107*ES107*VLOOKUP('Données projet'!$B$15,Paramètres!$A$1:$I$89,3,0)*0.475*44/12</f>
        <v>0.23155461254868046</v>
      </c>
      <c r="EW107" s="21">
        <f>EXP(-LN(2)/25)*EW106+(1-EXP(-LN(2)/25))/(LN(2)/25)*Calculateur!ER107*Calculateur!ET107*VLOOKUP('Données projet'!$B$15,Paramètres!$A$1:$I$89,3,0)*0.475*44/12</f>
        <v>0.74585814965558761</v>
      </c>
      <c r="EX107" s="21">
        <f>EXP(-LN(2)/2)*EX106+(1-EXP(-LN(2)/2))/(LN(2)/2)*ER107*EU107*VLOOKUP('Données projet'!$B$15,Paramètres!$A$1:$I$89,3,0)*0.475*44/12</f>
        <v>6.5939708441000713E-11</v>
      </c>
      <c r="EY107" s="22">
        <f t="shared" si="75"/>
        <v>0.97741276227020779</v>
      </c>
      <c r="EZ107" s="75">
        <f>('Scénario référence'!$F$8+'Scénario référence'!$F$9+'Scénario référence'!$B$17+'Scénario référence'!$B$9+'Scénario référence'!$B$10)*70+IF((45+25*(1-EXP(-0.0175*A107)))&lt;70,'Scénario référence'!$B$16*(45+25*(1-EXP(-0.0175*A107))),70*'Scénario référence'!$B$16)+IF((32+38*(1-EXP(-0.0175*A107)))&lt;70,'Scénario référence'!$B$18*(32+38*(1-EXP(-0.0175*A107))),70*'Scénario référence'!$B$18)</f>
        <v>70</v>
      </c>
      <c r="FA107" s="12">
        <f>IF(A107&gt;30,10,('Scénario référence'!$B$16+'Scénario référence'!$B$17+'Scénario référence'!$B$18+'Scénario référence'!$B$9+'Scénario référence'!$B$10)*A107*10/30+('Scénario référence'!$F$8+'Scénario référence'!$F$9)*10)</f>
        <v>10</v>
      </c>
      <c r="FB107" s="12" t="e">
        <f>VLOOKUP(A107,'Données projet'!$A$217:$I$237,2,0)</f>
        <v>#N/A</v>
      </c>
      <c r="FC107" s="12" t="e">
        <f>VLOOKUP(A107,'Données projet'!$A$217:$I$237,9,0)</f>
        <v>#N/A</v>
      </c>
      <c r="FD107" s="12">
        <f t="array" ref="FD107">INDEX(FC:FC,MIN(IF(ISNUMBER(FC107:FC303),ROW(FC107:FC303),"")))</f>
        <v>8.6</v>
      </c>
      <c r="FE107" s="12">
        <f>IF('Données projet'!$A$218&gt;35,FE106+FD107-FM106,IF(A107&lt;'Données projet'!$A$218,$FB$205^A107,IF(A107='Données projet'!$A$218,'Données projet'!$B$218,FE106+FD107-FM106)))</f>
        <v>394.39999999999992</v>
      </c>
      <c r="FF107" s="17">
        <f>FE107*VLOOKUP('Données projet'!$B$16,Paramètres!$A$1:$I$89,3,0)*VLOOKUP('Données projet'!$B$16,Paramètres!$A$1:$I$89,5,0)</f>
        <v>338.39519999999999</v>
      </c>
      <c r="FG107" s="13">
        <f t="shared" si="101"/>
        <v>79.168293339502085</v>
      </c>
      <c r="FH107" s="20">
        <f t="shared" si="76"/>
        <v>727.25641756629955</v>
      </c>
      <c r="FI107" s="59">
        <f t="shared" si="77"/>
        <v>1020.5897508996329</v>
      </c>
      <c r="FJ107" s="59">
        <f ca="1">AVERAGE(OFFSET($FI$3,0,0,'Données projet'!$E$16+1,1))-AVERAGE(OFFSET($H$3,0,0,'Données projet'!$E$16+1,1))</f>
        <v>383.97627237444709</v>
      </c>
      <c r="FK107" s="59">
        <f t="shared" si="102"/>
        <v>203.35476578922339</v>
      </c>
      <c r="FL107" s="15">
        <f>IF(ISNA(VLOOKUP(A107,'Données projet'!$A$217:$I$237,3,0)),0,VLOOKUP(A107,'Données projet'!$A$217:$I$237,3,0))</f>
        <v>0</v>
      </c>
      <c r="FM107" s="15">
        <f>IF(ISNA(VLOOKUP(A107,'Données projet'!$A$217:$I$237,4,0)),0,VLOOKUP(A107,'Données projet'!$A$217:$I$237,4,0))</f>
        <v>0</v>
      </c>
      <c r="FN107" s="16">
        <f>IF(ISNA(VLOOKUP(A107,'Données projet'!$A$217:$I$237,5,0)),0%,VLOOKUP(A107,'Données projet'!$A$217:$I$237,5,0)*VLOOKUP('Données projet'!$B$16,Paramètres!$A$1:$I$89,7,0))</f>
        <v>0</v>
      </c>
      <c r="FO107" s="16">
        <f>IF(ISNA(VLOOKUP(A107,'Données projet'!$A$217:$I$237,6,0)),0%,VLOOKUP(A107,'Données projet'!$A$217:$I$237,6,0)*VLOOKUP('Données projet'!$B$16,Paramètres!$A$1:$I$89,7,0))</f>
        <v>0</v>
      </c>
      <c r="FP107" s="16">
        <f>IF(ISNA(VLOOKUP(A107,'Données projet'!$A$217:$I$237,7,0)),0%,VLOOKUP(A107,'Données projet'!$A$217:$I$237,7,0))</f>
        <v>0</v>
      </c>
      <c r="FQ107" s="21">
        <f>EXP(-LN(2)/35)*FQ106+(1-EXP(-LN(2)/35))/(LN(2)/35)*FM107*FN107*VLOOKUP('Données projet'!$B$16,Paramètres!$A$1:$I$89,3,0)*0.475*44/12</f>
        <v>1.1900650852636752</v>
      </c>
      <c r="FR107" s="21">
        <f>EXP(-LN(2)/25)*FR106+(1-EXP(-LN(2)/25))/(LN(2)/25)*Calculateur!FM107*Calculateur!FO107*VLOOKUP('Données projet'!$B$16,Paramètres!$A$1:$I$89,3,0)*0.475*44/12</f>
        <v>0.75712311366676521</v>
      </c>
      <c r="FS107" s="21">
        <f>EXP(-LN(2)/2)*FS106+(1-EXP(-LN(2)/2))/(LN(2)/2)*FM107*FP107*VLOOKUP('Données projet'!$B$16,Paramètres!$A$1:$I$89,3,0)*0.475*44/12</f>
        <v>1.2111771161864375E-10</v>
      </c>
      <c r="FT107" s="22">
        <f t="shared" si="78"/>
        <v>1.947188199051558</v>
      </c>
      <c r="FU107" s="75">
        <f>('Scénario référence'!$F$8+'Scénario référence'!$F$9+'Scénario référence'!$B$17+'Scénario référence'!$B$9+'Scénario référence'!$B$10)*70+IF((45+25*(1-EXP(-0.0175*A107)))&lt;70,'Scénario référence'!$B$16*(45+25*(1-EXP(-0.0175*A107))),70*'Scénario référence'!$B$16)+IF((32+38*(1-EXP(-0.0175*A107)))&lt;70,'Scénario référence'!$B$18*(32+38*(1-EXP(-0.0175*A107))),70*'Scénario référence'!$B$18)</f>
        <v>70</v>
      </c>
      <c r="FV107" s="12">
        <f>IF(A107&gt;30,10,('Scénario référence'!$B$16+'Scénario référence'!$B$17+'Scénario référence'!$B$18+'Scénario référence'!$B$9+'Scénario référence'!$B$10)*A107*10/30+('Scénario référence'!$F$8+'Scénario référence'!$F$9)*10)</f>
        <v>10</v>
      </c>
      <c r="FW107" s="12" t="e">
        <f>VLOOKUP(A107,'Données projet'!$A$243:$I$263,2,0)</f>
        <v>#N/A</v>
      </c>
      <c r="FX107" s="12" t="e">
        <f>VLOOKUP(A107,'Données projet'!$A$243:$I$263,9,0)</f>
        <v>#N/A</v>
      </c>
      <c r="FY107" s="12">
        <f t="array" ref="FY107">INDEX(FX:FX,MIN(IF(ISNUMBER(FX107:FX303),ROW(FX107:FX303),"")))</f>
        <v>6.9935897435897401</v>
      </c>
      <c r="FZ107" s="12">
        <f>IF('Données projet'!$A$244&gt;35,FZ106+FY107-GH106,IF(A107&lt;'Données projet'!$A$244,$FW$205^A107,IF(A107='Données projet'!$A$244,'Données projet'!$B$244,FZ106+FY107-GH106)))</f>
        <v>305.19871794871818</v>
      </c>
      <c r="GA107" s="17">
        <f>FZ107*VLOOKUP('Données projet'!$B$17,Paramètres!$A$1:$I$89,3,0)*VLOOKUP('Données projet'!$B$17,Paramètres!$A$1:$I$89,5,0)</f>
        <v>328.51590000000027</v>
      </c>
      <c r="GB107" s="13">
        <f t="shared" si="103"/>
        <v>77.122534706660645</v>
      </c>
      <c r="GC107" s="20">
        <f t="shared" si="79"/>
        <v>706.48694044743434</v>
      </c>
      <c r="GD107" s="59">
        <f t="shared" si="80"/>
        <v>999.82027378076759</v>
      </c>
      <c r="GE107" s="59">
        <f ca="1">AVERAGE(OFFSET($GD$3,0,0,'Données projet'!$E$17+1,1))-AVERAGE(OFFSET($H$3,0,0,'Données projet'!$E$17+1,1))</f>
        <v>286.77702855541287</v>
      </c>
      <c r="GF107" s="59">
        <f t="shared" si="104"/>
        <v>227.12211541860779</v>
      </c>
      <c r="GG107" s="15">
        <f>IF(ISNA(VLOOKUP(A107,'Données projet'!$A$243:$I$263,3,0)),0,VLOOKUP(A107,'Données projet'!$A$243:$I$263,3,0))</f>
        <v>0</v>
      </c>
      <c r="GH107" s="15">
        <f>IF(ISNA(VLOOKUP(A107,'Données projet'!$A$243:$I$263,4,0)),0,VLOOKUP(A107,'Données projet'!$A$243:$I$263,4,0))</f>
        <v>0</v>
      </c>
      <c r="GI107" s="16">
        <f>IF(ISNA(VLOOKUP(A107,'Données projet'!$A$243:$I$263,5,0)),0%,VLOOKUP(A107,'Données projet'!$A$243:$I$263,5,0)*VLOOKUP('Données projet'!$B$17,Paramètres!$A$1:$I$89,7,0))</f>
        <v>0</v>
      </c>
      <c r="GJ107" s="16">
        <f>IF(ISNA(VLOOKUP(A107,'Données projet'!$A$243:$I$263,6,0)),0%,VLOOKUP(A107,'Données projet'!$A$243:$I$263,6,0)*VLOOKUP('Données projet'!$B$17,Paramètres!$A$1:$I$89,7,0))</f>
        <v>0</v>
      </c>
      <c r="GK107" s="16">
        <f>IF(ISNA(VLOOKUP(A107,'Données projet'!$A$243:$I$263,7,0)),0%,VLOOKUP(A107,'Données projet'!$A$243:$I$263,7,0))</f>
        <v>0</v>
      </c>
      <c r="GL107" s="21">
        <f>EXP(-LN(2)/35)*GL106+(1-EXP(-LN(2)/35))/(LN(2)/35)*GH107*GI107*VLOOKUP('Données projet'!$B$17,Paramètres!$A$1:$I$89,3,0)*0.475*44/12</f>
        <v>0</v>
      </c>
      <c r="GM107" s="21">
        <f>EXP(-LN(2)/25)*GM106+(1-EXP(-LN(2)/25))/(LN(2)/25)*Calculateur!GH107*Calculateur!GJ107*VLOOKUP('Données projet'!$B$17,Paramètres!$A$1:$I$89,3,0)*0.475*44/12</f>
        <v>0</v>
      </c>
      <c r="GN107" s="21">
        <f>EXP(-LN(2)/2)*GN106+(1-EXP(-LN(2)/2))/(LN(2)/2)*GH107*GK107*VLOOKUP('Données projet'!$B$17,Paramètres!$A$1:$I$89,3,0)*0.475*44/12</f>
        <v>0</v>
      </c>
      <c r="GO107" s="21">
        <f t="shared" si="81"/>
        <v>0</v>
      </c>
      <c r="GP107" s="75">
        <f>('Scénario référence'!$F$8+'Scénario référence'!$F$9+'Scénario référence'!$B$17+'Scénario référence'!$B$9+'Scénario référence'!$B$10)*70+IF((45+25*(1-EXP(-0.0175*A107)))&lt;70,'Scénario référence'!$B$16*(45+25*(1-EXP(-0.0175*A107))),70*'Scénario référence'!$B$16)+IF((32+38*(1-EXP(-0.0175*A107)))&lt;70,'Scénario référence'!$B$18*(32+38*(1-EXP(-0.0175*A107))),70*'Scénario référence'!$B$18)</f>
        <v>70</v>
      </c>
      <c r="GQ107" s="12">
        <f>IF(A107&gt;30,10,('Scénario référence'!$B$16+'Scénario référence'!$B$17+'Scénario référence'!$B$18+'Scénario référence'!$B$9+'Scénario référence'!$B$10)*A107*10/30+('Scénario référence'!$F$8+'Scénario référence'!$F$9)*10)</f>
        <v>10</v>
      </c>
      <c r="GR107" s="12" t="e">
        <f>VLOOKUP(A107,'Données projet'!$A$269:$I$289,2,0)</f>
        <v>#N/A</v>
      </c>
      <c r="GS107" s="12" t="e">
        <f>VLOOKUP(A107,'Données projet'!$A$269:$I$289,9,0)</f>
        <v>#N/A</v>
      </c>
      <c r="GT107" s="12">
        <f t="array" ref="GT107">INDEX(GS:GS,MIN(IF(ISNUMBER(GS107:GS303),ROW(GS107:GS303),"")))</f>
        <v>6.9935897435897401</v>
      </c>
      <c r="GU107" s="12">
        <f>IF('Données projet'!$A$270&gt;35,GU106+GT107-HC106,IF(A107&lt;'Données projet'!$A$270,$GR$205^A107,IF(A107='Données projet'!$A$270,'Données projet'!$B$270,GU106+GT107-HC106)))</f>
        <v>305.19871794871818</v>
      </c>
      <c r="GV107" s="17">
        <f>GU107*VLOOKUP('Données projet'!$B$18,Paramètres!$A$1:$I$89,3,0)*VLOOKUP('Données projet'!$B$18,Paramètres!$A$1:$I$89,5,0)</f>
        <v>328.51590000000027</v>
      </c>
      <c r="GW107" s="13">
        <f t="shared" si="105"/>
        <v>77.122534706660645</v>
      </c>
      <c r="GX107" s="20">
        <f t="shared" si="82"/>
        <v>706.48694044743434</v>
      </c>
      <c r="GY107" s="59">
        <f t="shared" si="83"/>
        <v>999.82027378076759</v>
      </c>
      <c r="GZ107" s="59">
        <f ca="1">AVERAGE(OFFSET($GY$3,0,0,'Données projet'!$E$18+1,1))-AVERAGE(OFFSET($H$3,0,0,'Données projet'!$E$18+1,1))</f>
        <v>286.77702855541287</v>
      </c>
      <c r="HA107" s="59">
        <f t="shared" si="106"/>
        <v>227.12211541860779</v>
      </c>
      <c r="HB107" s="15">
        <f>IF(ISNA(VLOOKUP(A107,'Données projet'!$A$269:$I$289,3,0)),0,VLOOKUP(A107,'Données projet'!$A$269:$I$289,3,0))</f>
        <v>0</v>
      </c>
      <c r="HC107" s="15">
        <f>IF(ISNA(VLOOKUP(A107,'Données projet'!$A$269:$I$289,4,0)),0,VLOOKUP(A107,'Données projet'!$A$269:$I$289,4,0))</f>
        <v>0</v>
      </c>
      <c r="HD107" s="16">
        <f>IF(ISNA(VLOOKUP(A107,'Données projet'!$A$269:$I$289,5,0)),0%,VLOOKUP(A107,'Données projet'!$A$269:$I$289,5,0)*VLOOKUP('Données projet'!$B$18,Paramètres!$A$1:$I$89,7,0))</f>
        <v>0</v>
      </c>
      <c r="HE107" s="16">
        <f>IF(ISNA(VLOOKUP(A107,'Données projet'!$A$269:$I$289,6,0)),0%,VLOOKUP(A107,'Données projet'!$A$269:$I$289,6,0)*VLOOKUP('Données projet'!$B$18,Paramètres!$A$1:$I$89,7,0))</f>
        <v>0</v>
      </c>
      <c r="HF107" s="16">
        <f>IF(ISNA(VLOOKUP(A107,'Données projet'!$A$269:$I$289,7,0)),0%,VLOOKUP(A107,'Données projet'!$A$269:$I$289,7,0))</f>
        <v>0</v>
      </c>
      <c r="HG107" s="21">
        <f>EXP(-LN(2)/35)*HG106+(1-EXP(-LN(2)/35))/(LN(2)/35)*HC107*HD107*VLOOKUP('Données projet'!$B$18,Paramètres!$A$1:$I$89,3,0)*0.475*44/12</f>
        <v>0</v>
      </c>
      <c r="HH107" s="21">
        <f>EXP(-LN(2)/25)*HH106+(1-EXP(-LN(2)/25))/(LN(2)/25)*Calculateur!HC107*Calculateur!HE107*VLOOKUP('Données projet'!$B$18,Paramètres!$A$1:$I$89,3,0)*0.475*44/12</f>
        <v>0</v>
      </c>
      <c r="HI107" s="21">
        <f>EXP(-LN(2)/2)*HI106+(1-EXP(-LN(2)/2))/(LN(2)/2)*HC107*HF107*VLOOKUP('Données projet'!$B$18,Paramètres!$A$1:$I$89,3,0)*0.475*44/12</f>
        <v>0</v>
      </c>
      <c r="HJ107" s="22">
        <f t="shared" si="84"/>
        <v>0</v>
      </c>
    </row>
    <row r="108" spans="1:218" x14ac:dyDescent="0.25">
      <c r="A108" s="10">
        <f t="shared" si="85"/>
        <v>105</v>
      </c>
      <c r="B108" s="73">
        <f>'Scénario référence'!$B$16*5+'Scénario référence'!$B$17*0+'Scénario référence'!$B$18*5</f>
        <v>0</v>
      </c>
      <c r="C108" s="19">
        <f>Calculateur!C107+'Scénario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93.366000000000156</v>
      </c>
      <c r="D108" s="11">
        <f t="shared" si="86"/>
        <v>25.375280233490724</v>
      </c>
      <c r="E10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08" s="11">
        <f>IF(OR('Scénario référence'!$F$8&gt;0,'Scénario référence'!$F$9&gt;0),('Scénario référence'!$F$8+'Scénario référence'!$F$9)*10,0)</f>
        <v>10</v>
      </c>
      <c r="G108" s="11">
        <f>'Scénario référence'!$B$8*B108*44/12+'Scénario référence'!$B$9*(C108+D108)/0.475*44/12+'Scénario référence'!$B$10*(C108+D108)/0.475*44/12+'Scénario référence'!$F$8*(C108+D108)/0.475*44/12+'Scénario référence'!$F$9*(C108+D108)/0.475*44/12</f>
        <v>916.59935618835073</v>
      </c>
      <c r="H108" s="67">
        <f t="shared" si="56"/>
        <v>500.14106307332992</v>
      </c>
      <c r="I108" s="70">
        <f>('Scénario référence'!$F$8+'Scénario référence'!$F$9+'Scénario référence'!$B$17+'Scénario référence'!$B$9+'Scénario référence'!$B$10)*70+IF((45+25*(1-EXP(-0.0175*A108)))&lt;70,'Scénario référence'!$B$16*(45+25*(1-EXP(-0.0175*A108))),70*'Scénario référence'!$B$16)+IF((32+38*(1-EXP(-0.0175*A108)))&lt;70,'Scénario référence'!$B$18*(32+38*(1-EXP(-0.0175*A108))),70*'Scénario référence'!$B$18)</f>
        <v>70</v>
      </c>
      <c r="J108" s="13">
        <f>IF(A108&gt;30,10,('Scénario référence'!$B$16+'Scénario référence'!$B$17+'Scénario référence'!$B$18+'Scénario référence'!$B$9+'Scénario référence'!$B$10)*A108*10/30+('Scénario référence'!$F$8+'Scénario référence'!$F$9)*10)</f>
        <v>10</v>
      </c>
      <c r="K108" s="12" t="e">
        <f>VLOOKUP(A108,'Données projet'!$A$35:$I$55,2,0)</f>
        <v>#N/A</v>
      </c>
      <c r="L108" s="12" t="e">
        <f>VLOOKUP(A108,'Données projet'!$A$35:$I$55,9,0)</f>
        <v>#N/A</v>
      </c>
      <c r="M108" s="12">
        <f t="array" ref="M108">INDEX(L:L,MIN(IF(ISNUMBER(L108:L304),ROW(L108:L304),"")))</f>
        <v>0</v>
      </c>
      <c r="N108" s="13">
        <f>IF('Données projet'!$A$36&gt;35,N107+M108-V107,IF(A108&lt;'Données projet'!$A$36,$K$205^A108,IF(A108='Données projet'!$A$36,'Données projet'!$B$36,N107+M108-V107)))</f>
        <v>-2.2737367544323206E-13</v>
      </c>
      <c r="O108" s="13">
        <f>N108*VLOOKUP('Données projet'!$B$9,Paramètres!$A$1:$I$89,3,0)*VLOOKUP('Données projet'!$B$9,Paramètres!$A$1:$I$89,5,0)</f>
        <v>-1.2710188457276673E-13</v>
      </c>
      <c r="P108" s="13" t="e">
        <f t="shared" si="87"/>
        <v>#NUM!</v>
      </c>
      <c r="Q108" s="20" t="e">
        <f t="shared" si="107"/>
        <v>#NUM!</v>
      </c>
      <c r="R108" s="59" t="e">
        <f t="shared" si="55"/>
        <v>#NUM!</v>
      </c>
      <c r="S108" s="59">
        <f ca="1">AVERAGE(OFFSET($R$3,0,0,'Données projet'!$E$9+1,1))-AVERAGE(OFFSET($H$3,0,0,'Données projet'!$E$9+1,1))</f>
        <v>255.5374979188561</v>
      </c>
      <c r="T108" s="59">
        <f t="shared" si="88"/>
        <v>343.10418468620901</v>
      </c>
      <c r="U108" s="15">
        <f>IF(ISNA(VLOOKUP(A108,'Données projet'!$A$35:$I$55,3,0)),0,VLOOKUP(A108,'Données projet'!$A$35:$I$55,3,0))</f>
        <v>0</v>
      </c>
      <c r="V108" s="15">
        <f>IF(ISNA(VLOOKUP(A108,'Données projet'!$A$35:$I$55,4,0)),0,VLOOKUP(A108,'Données projet'!$A$35:$I$55,4,0))</f>
        <v>0</v>
      </c>
      <c r="W108" s="16">
        <f>IF(ISNA(VLOOKUP(A108,'Données projet'!$A$35:$I$55,5,0)),0%,VLOOKUP(A108,'Données projet'!$A$35:$I$55,5,0)*VLOOKUP('Données projet'!$B$9,Paramètres!$A$1:$I$89,7,0))</f>
        <v>0</v>
      </c>
      <c r="X108" s="16">
        <f>IF(ISNA(VLOOKUP(A108,'Données projet'!$A$35:$I$55,6,0)),0%,VLOOKUP(A108,'Données projet'!$A$35:$I$55,6,0)*VLOOKUP('Données projet'!$B$9,Paramètres!$A$1:$I$89,7,0))</f>
        <v>0</v>
      </c>
      <c r="Y108" s="16">
        <f>IF(ISNA(VLOOKUP(A108,'Données projet'!$A$35:$I$55,7,0)),0%,VLOOKUP(A108,'Données projet'!$A$35:$I$55,7,0))</f>
        <v>0</v>
      </c>
      <c r="Z108" s="21">
        <f>EXP(-LN(2)/35)*Z107+(1-EXP(-LN(2)/35))/(LN(2)/35)*V108*W108*VLOOKUP('Données projet'!$B$9,Paramètres!$A$1:$I$89,3,0)*0.475*44/12</f>
        <v>0.6996807795666008</v>
      </c>
      <c r="AA108" s="21">
        <f>EXP(-LN(2)/25)*AA107+(1-EXP(-LN(2)/25))/(LN(2)/25)*Calculateur!V108*Calculateur!X108*VLOOKUP('Données projet'!$B$9,Paramètres!$A$1:$I$89,3,0)*0.475*44/12</f>
        <v>1.9950323912835037</v>
      </c>
      <c r="AB108" s="21">
        <f>EXP(-LN(2)/2)*AB107+(1-EXP(-LN(2)/2))/(LN(2)/2)*V108*Y108*VLOOKUP('Données projet'!$B$9,Paramètres!$A$1:$I$89,3,0)*0.475*44/12</f>
        <v>8.7084900847656602E-12</v>
      </c>
      <c r="AC108" s="22">
        <f t="shared" si="57"/>
        <v>2.694713170858813</v>
      </c>
      <c r="AD108" s="13">
        <f>('Scénario référence'!$F$8+'Scénario référence'!$F$9+'Scénario référence'!$B$17+'Scénario référence'!$B$9+'Scénario référence'!$B$10)*70+IF((45+25*(1-EXP(-0.0175*A108)))&lt;70,'Scénario référence'!$B$16*(45+25*(1-EXP(-0.0175*A108))),70*'Scénario référence'!$B$16)+IF((32+38*(1-EXP(-0.0175*A108)))&lt;70,'Scénario référence'!$B$18*(32+38*(1-EXP(-0.0175*A108))),70*'Scénario référence'!$B$18)</f>
        <v>70</v>
      </c>
      <c r="AE108" s="13">
        <f>IF(A108&gt;30,10,('Scénario référence'!$B$16+'Scénario référence'!$B$17+'Scénario référence'!$B$18+'Scénario référence'!$B$9+'Scénario référence'!$B$10)*A108*10/30+('Scénario référence'!$F$8+'Scénario référence'!$F$9)*10)</f>
        <v>10</v>
      </c>
      <c r="AF108" s="12" t="e">
        <f>VLOOKUP(A108,'Données projet'!$A$61:$I$81,2,0)</f>
        <v>#N/A</v>
      </c>
      <c r="AG108" s="12" t="e">
        <f>VLOOKUP(A108,'Données projet'!$A$61:$I$81,9,0)</f>
        <v>#N/A</v>
      </c>
      <c r="AH108" s="12">
        <f t="array" ref="AH108">INDEX(AG:AG,MIN(IF(ISNUMBER(AG108:AG304),ROW(AG108:AG304),"")))</f>
        <v>0</v>
      </c>
      <c r="AI108" s="13">
        <f>IF('Données projet'!$A$62&gt;35,AI107+AH108-AQ107,IF(A108&lt;'Données projet'!$A$62,$AF$205^A108,IF(A108='Données projet'!$A$62,'Données projet'!$B$62,AI107+AH108-AQ107)))</f>
        <v>0</v>
      </c>
      <c r="AJ108" s="13">
        <f>AI108*VLOOKUP('Données projet'!$B$10,Paramètres!$A$1:$I$89,3,0)*VLOOKUP('Données projet'!$B$10,Paramètres!$A$1:$I$89,5,0)</f>
        <v>0</v>
      </c>
      <c r="AK108" s="13" t="e">
        <f t="shared" si="89"/>
        <v>#NUM!</v>
      </c>
      <c r="AL108" s="20" t="e">
        <f t="shared" si="58"/>
        <v>#NUM!</v>
      </c>
      <c r="AM108" s="59" t="e">
        <f t="shared" si="59"/>
        <v>#NUM!</v>
      </c>
      <c r="AN108" s="59">
        <f ca="1">AVERAGE(OFFSET($AM$3,0,0,'Données projet'!$E$10+1,1))-AVERAGE(OFFSET($H$3,0,0,'Données projet'!$E$10+1,1))</f>
        <v>261.78489480911571</v>
      </c>
      <c r="AO108" s="59">
        <f t="shared" si="90"/>
        <v>297.50513563712764</v>
      </c>
      <c r="AP108" s="15">
        <f>IF(ISNA(VLOOKUP(A108,'Données projet'!$A$61:$I$81,3,0)),0,VLOOKUP(A108,'Données projet'!$A$61:$I$81,3,0))</f>
        <v>0</v>
      </c>
      <c r="AQ108" s="15">
        <f>IF(ISNA(VLOOKUP(A108,'Données projet'!$A$61:$I$81,4,0)),0,VLOOKUP(A108,'Données projet'!$A$61:$I$81,4,0))</f>
        <v>0</v>
      </c>
      <c r="AR108" s="16">
        <f>IF(ISNA(VLOOKUP(A108,'Données projet'!$A$61:$I$81,5,0)),0%,VLOOKUP(A108,'Données projet'!$A$61:$I$81,5,0)*VLOOKUP('Données projet'!$B$10,Paramètres!$A$1:$I$89,7,0))</f>
        <v>0</v>
      </c>
      <c r="AS108" s="16">
        <f>IF(ISNA(VLOOKUP(A108,'Données projet'!$A$61:$I$81,6,0)),0%,VLOOKUP(A108,'Données projet'!$A$61:$I$81,6,0)*VLOOKUP('Données projet'!$B$10,Paramètres!$A$1:$I$89,7,0))</f>
        <v>0</v>
      </c>
      <c r="AT108" s="16">
        <f>IF(ISNA(VLOOKUP(A108,'Données projet'!$A$61:$I$81,7,0)),0%,VLOOKUP(A108,'Données projet'!$A$61:$I$81,7,0))</f>
        <v>0</v>
      </c>
      <c r="AU108" s="21">
        <f>EXP(-LN(2)/35)*AU107+(1-EXP(-LN(2)/35))/(LN(2)/35)*AQ108*AR108*VLOOKUP('Données projet'!$B$10,Paramètres!$A$1:$I$89,3,0)*0.475*44/12</f>
        <v>1.8893360085891018</v>
      </c>
      <c r="AV108" s="21">
        <f>EXP(-LN(2)/25)*AV107+(1-EXP(-LN(2)/25))/(LN(2)/25)*Calculateur!AQ108*Calculateur!AS108*VLOOKUP('Données projet'!$B$10,Paramètres!$A$1:$I$89,3,0)*0.475*44/12</f>
        <v>3.4837334637324284</v>
      </c>
      <c r="AW108" s="21">
        <f>EXP(-LN(2)/2)*AW107+(1-EXP(-LN(2)/2))/(LN(2)/2)*AQ108*AT108*VLOOKUP('Données projet'!$B$10,Paramètres!$A$1:$I$89,3,0)*0.475*44/12</f>
        <v>1.2554117508945253E-10</v>
      </c>
      <c r="AX108" s="21">
        <f t="shared" si="60"/>
        <v>5.3730694724470718</v>
      </c>
      <c r="AY108" s="74">
        <f>('Scénario référence'!$F$8+'Scénario référence'!$F$9+'Scénario référence'!$B$17+'Scénario référence'!$B$9+'Scénario référence'!$B$10)*70+IF((45+25*(1-EXP(-0.0175*A108)))&lt;70,'Scénario référence'!$B$16*(45+25*(1-EXP(-0.0175*A108))),70*'Scénario référence'!$B$16)+IF((32+38*(1-EXP(-0.0175*A108)))&lt;70,'Scénario référence'!$B$18*(32+38*(1-EXP(-0.0175*A108))),70*'Scénario référence'!$B$18)</f>
        <v>70</v>
      </c>
      <c r="AZ108" s="12">
        <f>IF(A108&gt;30,10,('Scénario référence'!$B$16+'Scénario référence'!$B$17+'Scénario référence'!$B$18+'Scénario référence'!$B$9+'Scénario référence'!$B$10)*A108*10/30+('Scénario référence'!$F$8+'Scénario référence'!$F$9)*10)</f>
        <v>10</v>
      </c>
      <c r="BA108" s="12" t="e">
        <f>VLOOKUP(A108,'Données projet'!$A$87:$I$107,2,0)</f>
        <v>#N/A</v>
      </c>
      <c r="BB108" s="12" t="e">
        <f>VLOOKUP(A108,'Données projet'!$A$87:$I$107,9,0)</f>
        <v>#N/A</v>
      </c>
      <c r="BC108" s="12">
        <f t="array" ref="BC108">INDEX(BB:BB,MIN(IF(ISNUMBER(BB108:BB304),ROW(BB108:BB304),"")))</f>
        <v>0</v>
      </c>
      <c r="BD108" s="12">
        <f>IF('Données projet'!$A$88&gt;35,BD107+BC108-BL107,IF(A108&lt;'Données projet'!$A$88,$BA$205^A108,IF(A108='Données projet'!$A$88,'Données projet'!$B$88,BD107+BC108-BL107)))</f>
        <v>553.99999999999955</v>
      </c>
      <c r="BE108" s="13">
        <f>BD108*VLOOKUP('Données projet'!$B$11,Paramètres!$A$1:$I$89,3,0)*VLOOKUP('Données projet'!$B$11,Paramètres!$A$1:$I$89,5,0)</f>
        <v>331.29199999999975</v>
      </c>
      <c r="BF108" s="13">
        <f t="shared" si="91"/>
        <v>77.698110787752</v>
      </c>
      <c r="BG108" s="20">
        <f t="shared" si="61"/>
        <v>712.32444295533423</v>
      </c>
      <c r="BH108" s="59">
        <f t="shared" si="62"/>
        <v>1005.6577762886675</v>
      </c>
      <c r="BI108" s="59">
        <f ca="1">AVERAGE(OFFSET($BH$3,0,0,'Données projet'!$E$11+1,1))-AVERAGE(OFFSET($H$3,0,0,'Données projet'!$E$11+1,1))</f>
        <v>316.58509520829671</v>
      </c>
      <c r="BJ108" s="59">
        <f t="shared" si="92"/>
        <v>240.71332110643596</v>
      </c>
      <c r="BK108" s="15">
        <f>IF(ISNA(VLOOKUP(A108,'Données projet'!$A$87:$I$107,3,0)),0,VLOOKUP(A108,'Données projet'!$A$87:$I$107,3,0))</f>
        <v>0</v>
      </c>
      <c r="BL108" s="15">
        <f>IF(ISNA(VLOOKUP(A108,'Données projet'!$A$87:$I$107,4,0)),0,VLOOKUP(A108,'Données projet'!$A$87:$I$107,4,0))</f>
        <v>0</v>
      </c>
      <c r="BM108" s="16">
        <f>IF(ISNA(VLOOKUP(A108,'Données projet'!$A$87:$I$107,5,0)),0%,VLOOKUP(A108,'Données projet'!$A$87:$I$107,5,0)*VLOOKUP('Données projet'!$B$11,Paramètres!$A$1:$I$89,7,0))</f>
        <v>0</v>
      </c>
      <c r="BN108" s="16">
        <f>IF(ISNA(VLOOKUP(A108,'Données projet'!$A$87:$I$107,6,0)),0%,VLOOKUP(A108,'Données projet'!$A$87:$I$107,6,0)*VLOOKUP('Données projet'!$B$11,Paramètres!$A$1:$I$89,7,0))</f>
        <v>0</v>
      </c>
      <c r="BO108" s="16">
        <f>IF(ISNA(VLOOKUP(A108,'Données projet'!$A$87:$I$107,7,0)),0%,VLOOKUP(A108,'Données projet'!$A$87:$I$107,7,0))</f>
        <v>0</v>
      </c>
      <c r="BP108" s="21">
        <f>EXP(-LN(2)/35)*BP107+(1-EXP(-LN(2)/35))/(LN(2)/35)*BL108*BM108*VLOOKUP('Données projet'!$B$11,Paramètres!$A$1:$I$89,3,0)*0.475*44/12</f>
        <v>0.5738998701685275</v>
      </c>
      <c r="BQ108" s="21">
        <f>EXP(-LN(2)/25)*BQ107+(1-EXP(-LN(2)/25))/(LN(2)/25)*Calculateur!BL108*Calculateur!BN108*VLOOKUP('Données projet'!$B$11,Paramètres!$A$1:$I$89,3,0)*0.475*44/12</f>
        <v>1.9084908400744429</v>
      </c>
      <c r="BR108" s="21">
        <f>EXP(-LN(2)/2)*BR107+(1-EXP(-LN(2)/2))/(LN(2)/2)*BL108*BO108*VLOOKUP('Données projet'!$B$11,Paramètres!$A$1:$I$89,3,0)*0.475*44/12</f>
        <v>1.1287526474679711E-10</v>
      </c>
      <c r="BS108" s="22">
        <f t="shared" si="63"/>
        <v>2.4823907103558458</v>
      </c>
      <c r="BT108" s="75">
        <f>('Scénario référence'!$F$8+'Scénario référence'!$F$9+'Scénario référence'!$B$17+'Scénario référence'!$B$9+'Scénario référence'!$B$10)*70+IF((45+25*(1-EXP(-0.0175*A108)))&lt;70,'Scénario référence'!$B$16*(45+25*(1-EXP(-0.0175*A108))),70*'Scénario référence'!$B$16)+IF((32+38*(1-EXP(-0.0175*A108)))&lt;70,'Scénario référence'!$B$18*(32+38*(1-EXP(-0.0175*A108))),70*'Scénario référence'!$B$18)</f>
        <v>70</v>
      </c>
      <c r="BU108" s="12">
        <f>IF(A108&gt;30,10,('Scénario référence'!$B$16+'Scénario référence'!$B$17+'Scénario référence'!$B$18+'Scénario référence'!$B$9+'Scénario référence'!$B$10)*A108*10/30+('Scénario référence'!$F$8+'Scénario référence'!$F$9)*10)</f>
        <v>10</v>
      </c>
      <c r="BV108" s="12" t="e">
        <f>VLOOKUP(A108,'Données projet'!$A$113:$I$133,2,0)</f>
        <v>#N/A</v>
      </c>
      <c r="BW108" s="12" t="e">
        <f>VLOOKUP(A108,'Données projet'!$A$113:$I$133,9,0)</f>
        <v>#N/A</v>
      </c>
      <c r="BX108" s="12">
        <f t="array" ref="BX108">INDEX(BW:BW,MIN(IF(ISNUMBER(BW108:BW304),ROW(BW108:BW304),"")))</f>
        <v>0</v>
      </c>
      <c r="BY108" s="12">
        <f>IF('Données projet'!$A$114&gt;35,BY107+BX108-CG107,IF(A108&lt;'Données projet'!$A$114,$BV$205^A108,IF(A108='Données projet'!$A$114,'Données projet'!$B$114,BY107+BX108-CG107)))</f>
        <v>333.99999999999977</v>
      </c>
      <c r="BZ108" s="13">
        <f>BY108*VLOOKUP('Données projet'!$B$12,Paramètres!$A$1:$I$89,3,0)*VLOOKUP('Données projet'!$B$12,Paramètres!$A$1:$I$89,5,0)</f>
        <v>191.04799999999986</v>
      </c>
      <c r="CA108" s="13">
        <f t="shared" si="93"/>
        <v>47.771576544305155</v>
      </c>
      <c r="CB108" s="20">
        <f t="shared" si="64"/>
        <v>415.94409581466454</v>
      </c>
      <c r="CC108" s="59">
        <f t="shared" si="65"/>
        <v>709.27742914799785</v>
      </c>
      <c r="CD108" s="59">
        <f ca="1">AVERAGE(OFFSET($CC$3,0,0,'Données projet'!$E$12+1,1))-AVERAGE(OFFSET($H$3,0,0,'Données projet'!$E$12+1,1))</f>
        <v>188.64374818906128</v>
      </c>
      <c r="CE108" s="59">
        <f t="shared" si="94"/>
        <v>211.95157880548652</v>
      </c>
      <c r="CF108" s="15">
        <f>IF(ISNA(VLOOKUP(A108,'Données projet'!$A$113:$I$133,3,0)),0,VLOOKUP(A108,'Données projet'!$A$113:$I$133,3,0))</f>
        <v>0</v>
      </c>
      <c r="CG108" s="15">
        <f>IF(ISNA(VLOOKUP(A108,'Données projet'!$A$113:$I$133,4,0)),0,VLOOKUP(A108,'Données projet'!$A$113:$I$133,4,0))</f>
        <v>0</v>
      </c>
      <c r="CH108" s="16">
        <f>IF(ISNA(VLOOKUP(A108,'Données projet'!$A$113:$I$133,5,0)),0%,VLOOKUP(A108,'Données projet'!$A$113:$I$133,5,0)*VLOOKUP('Données projet'!$B$12,Paramètres!$A$1:$I$89,7,0))</f>
        <v>0</v>
      </c>
      <c r="CI108" s="16">
        <f>IF(ISNA(VLOOKUP(A108,'Données projet'!$A$113:$I$133,6,0)),0%,VLOOKUP(A108,'Données projet'!$A$113:$I$133,6,0)*VLOOKUP('Données projet'!$B$12,Paramètres!$A$1:$I$89,7,0))</f>
        <v>0</v>
      </c>
      <c r="CJ108" s="16">
        <f>IF(ISNA(VLOOKUP(A108,'Données projet'!$A$113:$I$133,7,0)),0%,VLOOKUP(A108,'Données projet'!$A$113:$I$133,7,0))</f>
        <v>0</v>
      </c>
      <c r="CK108" s="21">
        <f>EXP(-LN(2)/35)*CK107+(1-EXP(-LN(2)/35))/(LN(2)/35)*CG108*CH108*VLOOKUP('Données projet'!$B$12,Paramètres!$A$1:$I$89,3,0)*0.475*44/12</f>
        <v>0.5566793596735744</v>
      </c>
      <c r="CL108" s="21">
        <f>EXP(-LN(2)/25)*CL107+(1-EXP(-LN(2)/25))/(LN(2)/25)*Calculateur!CG108*Calculateur!CI108*VLOOKUP('Données projet'!$B$12,Paramètres!$A$1:$I$89,3,0)*0.475*44/12</f>
        <v>1.79631479027483</v>
      </c>
      <c r="CM108" s="21">
        <f>EXP(-LN(2)/2)*CM107+(1-EXP(-LN(2)/2))/(LN(2)/2)*CG108*CJ108*VLOOKUP('Données projet'!$B$12,Paramètres!$A$1:$I$89,3,0)*0.475*44/12</f>
        <v>1.0931086241539869E-10</v>
      </c>
      <c r="CN108" s="22">
        <f t="shared" si="66"/>
        <v>2.3529941500577154</v>
      </c>
      <c r="CO108" s="75">
        <f>('Scénario référence'!$F$8+'Scénario référence'!$F$9+'Scénario référence'!$B$17+'Scénario référence'!$B$9+'Scénario référence'!$B$10)*70+IF((45+25*(1-EXP(-0.0175*A108)))&lt;70,'Scénario référence'!$B$16*(45+25*(1-EXP(-0.0175*A108))),70*'Scénario référence'!$B$16)+IF((32+38*(1-EXP(-0.0175*A108)))&lt;70,'Scénario référence'!$B$18*(32+38*(1-EXP(-0.0175*A108))),70*'Scénario référence'!$B$18)</f>
        <v>70</v>
      </c>
      <c r="CP108" s="12">
        <f>IF(A108&gt;30,10,('Scénario référence'!$B$16+'Scénario référence'!$B$17+'Scénario référence'!$B$18+'Scénario référence'!$B$9+'Scénario référence'!$B$10)*A108*10/30+('Scénario référence'!$F$8+'Scénario référence'!$F$9)*10)</f>
        <v>10</v>
      </c>
      <c r="CQ108" s="12" t="e">
        <f>VLOOKUP(A108,'Données projet'!$A$139:$I$159,2,0)</f>
        <v>#N/A</v>
      </c>
      <c r="CR108" s="12" t="e">
        <f>VLOOKUP(A108,'Données projet'!$A$139:$I$159,9,0)</f>
        <v>#N/A</v>
      </c>
      <c r="CS108" s="12">
        <f t="array" ref="CS108">INDEX(CR:CR,MIN(IF(ISNUMBER(CR108:CR304),ROW(CR108:CR304),"")))</f>
        <v>0</v>
      </c>
      <c r="CT108" s="12">
        <f>IF('Données projet'!$A$140&gt;35,CT107+CS108-DB107,IF(A108&lt;'Données projet'!$A$140,$CQ$205^A108,IF(A108='Données projet'!$A$140,'Données projet'!$B$140,CT107+CS108-DB107)))</f>
        <v>0</v>
      </c>
      <c r="CU108" s="17" t="e">
        <f>CT108*VLOOKUP('Données projet'!$B$13,Paramètres!$A$1:$I$89,3,0)*VLOOKUP('Données projet'!$B$13,Paramètres!$A$1:$I$89,5,0)</f>
        <v>#N/A</v>
      </c>
      <c r="CV108" s="13" t="e">
        <f t="shared" si="95"/>
        <v>#N/A</v>
      </c>
      <c r="CW108" s="20" t="e">
        <f t="shared" si="67"/>
        <v>#N/A</v>
      </c>
      <c r="CX108" s="59" t="e">
        <f t="shared" si="68"/>
        <v>#N/A</v>
      </c>
      <c r="CY108" s="59" t="e">
        <f ca="1">AVERAGE(OFFSET($CX$3,0,0,'Données projet'!$E$13+1,1))-AVERAGE(OFFSET($H$3,0,0,'Données projet'!$E$13+1,1))</f>
        <v>#N/A</v>
      </c>
      <c r="CZ108" s="59" t="e">
        <f t="shared" si="96"/>
        <v>#N/A</v>
      </c>
      <c r="DA108" s="15">
        <f>IF(ISNA(VLOOKUP(A108,'Données projet'!$A$139:$I$159,3,0)),0,VLOOKUP(A108,'Données projet'!$A$139:$I$159,3,0))</f>
        <v>0</v>
      </c>
      <c r="DB108" s="15">
        <f>IF(ISNA(VLOOKUP(A108,'Données projet'!$A$139:$I$159,4,0)),0,VLOOKUP(A108,'Données projet'!$A$139:$I$159,4,0))</f>
        <v>0</v>
      </c>
      <c r="DC108" s="16">
        <f>IF(ISNA(VLOOKUP(A108,'Données projet'!$A$139:$I$159,5,0)),0%,VLOOKUP(A108,'Données projet'!$A$139:$I$159,5,0)*VLOOKUP('Données projet'!$B$13,Paramètres!$A$1:$I$89,7,0))</f>
        <v>0</v>
      </c>
      <c r="DD108" s="16">
        <f>IF(ISNA(VLOOKUP(A108,'Données projet'!$A$139:$I$159,6,0)),0%,VLOOKUP(A108,'Données projet'!$A$139:$I$159,6,0)*VLOOKUP('Données projet'!$B$13,Paramètres!$A$1:$I$89,7,0))</f>
        <v>0</v>
      </c>
      <c r="DE108" s="16">
        <f>IF(ISNA(VLOOKUP(A108,'Données projet'!$A$139:$I$159,7,0)),0%,VLOOKUP(A108,'Données projet'!$A$139:$I$159,7,0))</f>
        <v>0</v>
      </c>
      <c r="DF108" s="21" t="e">
        <f>EXP(-LN(2)/35)*DF107+(1-EXP(-LN(2)/35))/(LN(2)/35)*DB108*DC108*VLOOKUP('Données projet'!$B$13,Paramètres!$A$1:$I$89,3,0)*0.475*44/12</f>
        <v>#N/A</v>
      </c>
      <c r="DG108" s="21" t="e">
        <f>EXP(-LN(2)/25)*DG107+(1-EXP(-LN(2)/25))/(LN(2)/25)*Calculateur!DB108*Calculateur!DD108*VLOOKUP('Données projet'!$B$13,Paramètres!$A$1:$I$89,3,0)*0.475*44/12</f>
        <v>#N/A</v>
      </c>
      <c r="DH108" s="21" t="e">
        <f>EXP(-LN(2)/2)*DH107+(1-EXP(-LN(2)/2))/(LN(2)/2)*DB108*DE108*VLOOKUP('Données projet'!$B$13,Paramètres!$A$1:$I$89,3,0)*0.475*44/12</f>
        <v>#N/A</v>
      </c>
      <c r="DI108" s="22" t="e">
        <f t="shared" si="69"/>
        <v>#N/A</v>
      </c>
      <c r="DJ108" s="75">
        <f>('Scénario référence'!$F$8+'Scénario référence'!$F$9+'Scénario référence'!$B$17+'Scénario référence'!$B$9+'Scénario référence'!$B$10)*70+IF((45+25*(1-EXP(-0.0175*A108)))&lt;70,'Scénario référence'!$B$16*(45+25*(1-EXP(-0.0175*A108))),70*'Scénario référence'!$B$16)+IF((32+38*(1-EXP(-0.0175*A108)))&lt;70,'Scénario référence'!$B$18*(32+38*(1-EXP(-0.0175*A108))),70*'Scénario référence'!$B$18)</f>
        <v>70</v>
      </c>
      <c r="DK108" s="12">
        <f>IF(A108&gt;30,10,('Scénario référence'!$B$16+'Scénario référence'!$B$17+'Scénario référence'!$B$18+'Scénario référence'!$B$9+'Scénario référence'!$B$10)*A108*10/30+('Scénario référence'!$F$8+'Scénario référence'!$F$9)*10)</f>
        <v>10</v>
      </c>
      <c r="DL108" s="12" t="e">
        <f>VLOOKUP(A108,'Données projet'!$A$165:$I$185,2,0)</f>
        <v>#N/A</v>
      </c>
      <c r="DM108" s="12" t="e">
        <f>VLOOKUP(A108,'Données projet'!$A$165:$I$185,9,0)</f>
        <v>#N/A</v>
      </c>
      <c r="DN108" s="12">
        <f t="array" ref="DN108">INDEX(DM:DM,MIN(IF(ISNUMBER(DM108:DM304),ROW(DM108:DM304),"")))</f>
        <v>0</v>
      </c>
      <c r="DO108" s="12">
        <f>IF('Données projet'!$A$166&gt;35,DO107+DN108-DW107,IF(A108&lt;'Données projet'!$A$166,$DL$205^A108,IF(A108='Données projet'!$A$166,'Données projet'!$B$166,DO107+DN108-DW107)))</f>
        <v>268.00000000000017</v>
      </c>
      <c r="DP108" s="17">
        <f>DO108*VLOOKUP('Données projet'!$B$14,Paramètres!$A$1:$I$89,3,0)*VLOOKUP('Données projet'!$B$14,Paramètres!$A$1:$I$89,5,0)</f>
        <v>175.59360000000012</v>
      </c>
      <c r="DQ108" s="13">
        <f t="shared" si="97"/>
        <v>44.340433728638573</v>
      </c>
      <c r="DR108" s="20">
        <f t="shared" si="70"/>
        <v>383.05177541071242</v>
      </c>
      <c r="DS108" s="59">
        <f t="shared" si="71"/>
        <v>676.38510874404574</v>
      </c>
      <c r="DT108" s="59">
        <f ca="1">AVERAGE(OFFSET($DS$3,0,0,'Données projet'!$E$14+1,1))-AVERAGE(OFFSET($H$3,0,0,'Données projet'!$E$14+1,1))</f>
        <v>188.68915783955595</v>
      </c>
      <c r="DU108" s="59">
        <f t="shared" si="98"/>
        <v>240.82467772396944</v>
      </c>
      <c r="DV108" s="15">
        <f>IF(ISNA(VLOOKUP(A108,'Données projet'!$A$165:$I$185,3,0)),0,VLOOKUP(A108,'Données projet'!$A$165:$I$185,3,0))</f>
        <v>0</v>
      </c>
      <c r="DW108" s="15">
        <f>IF(ISNA(VLOOKUP(A108,'Données projet'!$A$165:$I$185,4,0)),0,VLOOKUP(A108,'Données projet'!$A$165:$I$185,4,0))</f>
        <v>0</v>
      </c>
      <c r="DX108" s="16">
        <f>IF(ISNA(VLOOKUP(A108,'Données projet'!$A$165:$I$185,5,0)),0%,VLOOKUP(A108,'Données projet'!$A$165:$I$185,5,0)*VLOOKUP('Données projet'!$B$14,Paramètres!$A$1:$I$89,7,0))</f>
        <v>0</v>
      </c>
      <c r="DY108" s="16">
        <f>IF(ISNA(VLOOKUP(A108,'Données projet'!$A$165:$I$185,6,0)),0%,VLOOKUP(A108,'Données projet'!$A$165:$I$185,6,0)*VLOOKUP('Données projet'!$B$14,Paramètres!$A$1:$I$89,7,0))</f>
        <v>0</v>
      </c>
      <c r="DZ108" s="16">
        <f>IF(ISNA(VLOOKUP(A108,'Données projet'!$A$165:$I$185,7,0)),0%,VLOOKUP(A108,'Données projet'!$A$165:$I$185,7,0))</f>
        <v>0</v>
      </c>
      <c r="EA108" s="21">
        <f>EXP(-LN(2)/35)*EA107+(1-EXP(-LN(2)/35))/(LN(2)/35)*DW108*DX108*VLOOKUP('Données projet'!$B$14,Paramètres!$A$1:$I$89,3,0)*0.475*44/12</f>
        <v>0.35261045299188937</v>
      </c>
      <c r="EB108" s="21">
        <f>EXP(-LN(2)/25)*EB107+(1-EXP(-LN(2)/25))/(LN(2)/25)*Calculateur!DW108*Calculateur!DY108*VLOOKUP('Données projet'!$B$14,Paramètres!$A$1:$I$89,3,0)*0.475*44/12</f>
        <v>1.0047536553444305</v>
      </c>
      <c r="EC108" s="21">
        <f>EXP(-LN(2)/2)*EC107+(1-EXP(-LN(2)/2))/(LN(2)/2)*DW108*DZ108*VLOOKUP('Données projet'!$B$14,Paramètres!$A$1:$I$89,3,0)*0.475*44/12</f>
        <v>7.2009825084391785E-11</v>
      </c>
      <c r="ED108" s="22">
        <f t="shared" si="72"/>
        <v>1.3573641084083297</v>
      </c>
      <c r="EE108" s="75">
        <f>('Scénario référence'!$F$8+'Scénario référence'!$F$9+'Scénario référence'!$B$17+'Scénario référence'!$B$9+'Scénario référence'!$B$10)*70+IF((45+25*(1-EXP(-0.0175*A108)))&lt;70,'Scénario référence'!$B$16*(45+25*(1-EXP(-0.0175*A108))),70*'Scénario référence'!$B$16)+IF((32+38*(1-EXP(-0.0175*A108)))&lt;70,'Scénario référence'!$B$18*(32+38*(1-EXP(-0.0175*A108))),70*'Scénario référence'!$B$18)</f>
        <v>70</v>
      </c>
      <c r="EF108" s="12">
        <f>IF(A108&gt;30,10,('Scénario référence'!$B$16+'Scénario référence'!$B$17+'Scénario référence'!$B$18+'Scénario référence'!$B$9+'Scénario référence'!$B$10)*A108*10/30+('Scénario référence'!$F$8+'Scénario référence'!$F$9)*10)</f>
        <v>10</v>
      </c>
      <c r="EG108" s="12" t="e">
        <f>VLOOKUP(A108,'Données projet'!$A$191:$I$211,2,0)</f>
        <v>#N/A</v>
      </c>
      <c r="EH108" s="12" t="e">
        <f>VLOOKUP(A108,'Données projet'!$A$191:$I$211,9,0)</f>
        <v>#N/A</v>
      </c>
      <c r="EI108" s="12">
        <f t="array" ref="EI108">INDEX(EH:EH,MIN(IF(ISNUMBER(EH108:EH304),ROW(EH108:EH304),"")))</f>
        <v>0</v>
      </c>
      <c r="EJ108" s="12">
        <f>IF('Données projet'!$A$192&gt;35,EJ107+EI108-ER107,IF(A108&lt;'Données projet'!$A$192,$EG$205^A108,IF(A108='Données projet'!$A$192,'Données projet'!$B$192,EJ107+EI108-ER107)))</f>
        <v>275.99999999999972</v>
      </c>
      <c r="EK108" s="17">
        <f>EJ108*VLOOKUP('Données projet'!$B$15,Paramètres!$A$1:$I$89,3,0)*VLOOKUP('Données projet'!$B$15,Paramètres!$A$1:$I$89,5,0)</f>
        <v>223.8911999999998</v>
      </c>
      <c r="EL108" s="13">
        <f t="shared" si="99"/>
        <v>54.95975389514858</v>
      </c>
      <c r="EM108" s="20">
        <f t="shared" si="73"/>
        <v>485.66541136738346</v>
      </c>
      <c r="EN108" s="59">
        <f t="shared" si="74"/>
        <v>778.99874470071677</v>
      </c>
      <c r="EO108" s="59">
        <f ca="1">AVERAGE(OFFSET($EN$3,0,0,'Données projet'!$E$15+1,1))-AVERAGE(OFFSET($H$3,0,0,'Données projet'!$E$15+1,1))</f>
        <v>205.5272583787887</v>
      </c>
      <c r="EP108" s="59">
        <f t="shared" si="100"/>
        <v>180.54762778843178</v>
      </c>
      <c r="EQ108" s="15">
        <f>IF(ISNA(VLOOKUP(A108,'Données projet'!$A$191:$I$211,3,0)),0,VLOOKUP(A108,'Données projet'!$A$191:$I$211,3,0))</f>
        <v>0</v>
      </c>
      <c r="ER108" s="15">
        <f>IF(ISNA(VLOOKUP(A108,'Données projet'!$A$191:$I$211,4,0)),0,VLOOKUP(A108,'Données projet'!$A$191:$I$211,4,0))</f>
        <v>0</v>
      </c>
      <c r="ES108" s="16">
        <f>IF(ISNA(VLOOKUP(A108,'Données projet'!$A$191:$I$211,5,0)),0%,VLOOKUP(A108,'Données projet'!$A$191:$I$211,5,0)*VLOOKUP('Données projet'!$B$15,Paramètres!$A$1:$I$89,7,0))</f>
        <v>0</v>
      </c>
      <c r="ET108" s="16">
        <f>IF(ISNA(VLOOKUP(A108,'Données projet'!$A$191:$I$211,6,0)),0%,VLOOKUP(A108,'Données projet'!$A$191:$I$211,6,0)*VLOOKUP('Données projet'!$B$15,Paramètres!$A$1:$I$89,7,0))</f>
        <v>0</v>
      </c>
      <c r="EU108" s="16">
        <f>IF(ISNA(VLOOKUP(A108,'Données projet'!$A$191:$I$211,7,0)),0%,VLOOKUP(A108,'Données projet'!$A$191:$I$211,7,0))</f>
        <v>0</v>
      </c>
      <c r="EV108" s="21">
        <f>EXP(-LN(2)/35)*EV107+(1-EXP(-LN(2)/35))/(LN(2)/35)*ER108*ES108*VLOOKUP('Données projet'!$B$15,Paramètres!$A$1:$I$89,3,0)*0.475*44/12</f>
        <v>0.22701396783096875</v>
      </c>
      <c r="EW108" s="21">
        <f>EXP(-LN(2)/25)*EW107+(1-EXP(-LN(2)/25))/(LN(2)/25)*Calculateur!ER108*Calculateur!ET108*VLOOKUP('Données projet'!$B$15,Paramètres!$A$1:$I$89,3,0)*0.475*44/12</f>
        <v>0.72546261933028011</v>
      </c>
      <c r="EX108" s="21">
        <f>EXP(-LN(2)/2)*EX107+(1-EXP(-LN(2)/2))/(LN(2)/2)*ER108*EU108*VLOOKUP('Données projet'!$B$15,Paramètres!$A$1:$I$89,3,0)*0.475*44/12</f>
        <v>4.6626414988095433E-11</v>
      </c>
      <c r="EY108" s="22">
        <f t="shared" si="75"/>
        <v>0.9524765872078752</v>
      </c>
      <c r="EZ108" s="75">
        <f>('Scénario référence'!$F$8+'Scénario référence'!$F$9+'Scénario référence'!$B$17+'Scénario référence'!$B$9+'Scénario référence'!$B$10)*70+IF((45+25*(1-EXP(-0.0175*A108)))&lt;70,'Scénario référence'!$B$16*(45+25*(1-EXP(-0.0175*A108))),70*'Scénario référence'!$B$16)+IF((32+38*(1-EXP(-0.0175*A108)))&lt;70,'Scénario référence'!$B$18*(32+38*(1-EXP(-0.0175*A108))),70*'Scénario référence'!$B$18)</f>
        <v>70</v>
      </c>
      <c r="FA108" s="12">
        <f>IF(A108&gt;30,10,('Scénario référence'!$B$16+'Scénario référence'!$B$17+'Scénario référence'!$B$18+'Scénario référence'!$B$9+'Scénario référence'!$B$10)*A108*10/30+('Scénario référence'!$F$8+'Scénario référence'!$F$9)*10)</f>
        <v>10</v>
      </c>
      <c r="FB108" s="12" t="e">
        <f>VLOOKUP(A108,'Données projet'!$A$217:$I$237,2,0)</f>
        <v>#N/A</v>
      </c>
      <c r="FC108" s="12" t="e">
        <f>VLOOKUP(A108,'Données projet'!$A$217:$I$237,9,0)</f>
        <v>#N/A</v>
      </c>
      <c r="FD108" s="12">
        <f t="array" ref="FD108">INDEX(FC:FC,MIN(IF(ISNUMBER(FC108:FC304),ROW(FC108:FC304),"")))</f>
        <v>8.6</v>
      </c>
      <c r="FE108" s="12">
        <f>IF('Données projet'!$A$218&gt;35,FE107+FD108-FM107,IF(A108&lt;'Données projet'!$A$218,$FB$205^A108,IF(A108='Données projet'!$A$218,'Données projet'!$B$218,FE107+FD108-FM107)))</f>
        <v>402.99999999999994</v>
      </c>
      <c r="FF108" s="17">
        <f>FE108*VLOOKUP('Données projet'!$B$16,Paramètres!$A$1:$I$89,3,0)*VLOOKUP('Données projet'!$B$16,Paramètres!$A$1:$I$89,5,0)</f>
        <v>345.774</v>
      </c>
      <c r="FG108" s="13">
        <f t="shared" si="101"/>
        <v>80.691719689626183</v>
      </c>
      <c r="FH108" s="20">
        <f t="shared" si="76"/>
        <v>742.76112845943226</v>
      </c>
      <c r="FI108" s="59">
        <f t="shared" si="77"/>
        <v>1036.0944617927655</v>
      </c>
      <c r="FJ108" s="59">
        <f ca="1">AVERAGE(OFFSET($FI$3,0,0,'Données projet'!$E$16+1,1))-AVERAGE(OFFSET($H$3,0,0,'Données projet'!$E$16+1,1))</f>
        <v>383.97627237444709</v>
      </c>
      <c r="FK108" s="59">
        <f t="shared" si="102"/>
        <v>203.35476578922339</v>
      </c>
      <c r="FL108" s="15">
        <f>IF(ISNA(VLOOKUP(A108,'Données projet'!$A$217:$I$237,3,0)),0,VLOOKUP(A108,'Données projet'!$A$217:$I$237,3,0))</f>
        <v>0</v>
      </c>
      <c r="FM108" s="15">
        <f>IF(ISNA(VLOOKUP(A108,'Données projet'!$A$217:$I$237,4,0)),0,VLOOKUP(A108,'Données projet'!$A$217:$I$237,4,0))</f>
        <v>0</v>
      </c>
      <c r="FN108" s="16">
        <f>IF(ISNA(VLOOKUP(A108,'Données projet'!$A$217:$I$237,5,0)),0%,VLOOKUP(A108,'Données projet'!$A$217:$I$237,5,0)*VLOOKUP('Données projet'!$B$16,Paramètres!$A$1:$I$89,7,0))</f>
        <v>0</v>
      </c>
      <c r="FO108" s="16">
        <f>IF(ISNA(VLOOKUP(A108,'Données projet'!$A$217:$I$237,6,0)),0%,VLOOKUP(A108,'Données projet'!$A$217:$I$237,6,0)*VLOOKUP('Données projet'!$B$16,Paramètres!$A$1:$I$89,7,0))</f>
        <v>0</v>
      </c>
      <c r="FP108" s="16">
        <f>IF(ISNA(VLOOKUP(A108,'Données projet'!$A$217:$I$237,7,0)),0%,VLOOKUP(A108,'Données projet'!$A$217:$I$237,7,0))</f>
        <v>0</v>
      </c>
      <c r="FQ108" s="21">
        <f>EXP(-LN(2)/35)*FQ107+(1-EXP(-LN(2)/35))/(LN(2)/35)*FM108*FN108*VLOOKUP('Données projet'!$B$16,Paramètres!$A$1:$I$89,3,0)*0.475*44/12</f>
        <v>1.166728634809683</v>
      </c>
      <c r="FR108" s="21">
        <f>EXP(-LN(2)/25)*FR107+(1-EXP(-LN(2)/25))/(LN(2)/25)*Calculateur!FM108*Calculateur!FO108*VLOOKUP('Données projet'!$B$16,Paramètres!$A$1:$I$89,3,0)*0.475*44/12</f>
        <v>0.73641954230817341</v>
      </c>
      <c r="FS108" s="21">
        <f>EXP(-LN(2)/2)*FS107+(1-EXP(-LN(2)/2))/(LN(2)/2)*FM108*FP108*VLOOKUP('Données projet'!$B$16,Paramètres!$A$1:$I$89,3,0)*0.475*44/12</f>
        <v>8.564315520733969E-11</v>
      </c>
      <c r="FT108" s="22">
        <f t="shared" si="78"/>
        <v>1.9031481772034995</v>
      </c>
      <c r="FU108" s="75">
        <f>('Scénario référence'!$F$8+'Scénario référence'!$F$9+'Scénario référence'!$B$17+'Scénario référence'!$B$9+'Scénario référence'!$B$10)*70+IF((45+25*(1-EXP(-0.0175*A108)))&lt;70,'Scénario référence'!$B$16*(45+25*(1-EXP(-0.0175*A108))),70*'Scénario référence'!$B$16)+IF((32+38*(1-EXP(-0.0175*A108)))&lt;70,'Scénario référence'!$B$18*(32+38*(1-EXP(-0.0175*A108))),70*'Scénario référence'!$B$18)</f>
        <v>70</v>
      </c>
      <c r="FV108" s="12">
        <f>IF(A108&gt;30,10,('Scénario référence'!$B$16+'Scénario référence'!$B$17+'Scénario référence'!$B$18+'Scénario référence'!$B$9+'Scénario référence'!$B$10)*A108*10/30+('Scénario référence'!$F$8+'Scénario référence'!$F$9)*10)</f>
        <v>10</v>
      </c>
      <c r="FW108" s="12" t="e">
        <f>VLOOKUP(A108,'Données projet'!$A$243:$I$263,2,0)</f>
        <v>#N/A</v>
      </c>
      <c r="FX108" s="12" t="e">
        <f>VLOOKUP(A108,'Données projet'!$A$243:$I$263,9,0)</f>
        <v>#N/A</v>
      </c>
      <c r="FY108" s="12">
        <f t="array" ref="FY108">INDEX(FX:FX,MIN(IF(ISNUMBER(FX108:FX304),ROW(FX108:FX304),"")))</f>
        <v>6.9935897435897401</v>
      </c>
      <c r="FZ108" s="12">
        <f>IF('Données projet'!$A$244&gt;35,FZ107+FY108-GH107,IF(A108&lt;'Données projet'!$A$244,$FW$205^A108,IF(A108='Données projet'!$A$244,'Données projet'!$B$244,FZ107+FY108-GH107)))</f>
        <v>312.19230769230791</v>
      </c>
      <c r="GA108" s="17">
        <f>FZ108*VLOOKUP('Données projet'!$B$17,Paramètres!$A$1:$I$89,3,0)*VLOOKUP('Données projet'!$B$17,Paramètres!$A$1:$I$89,5,0)</f>
        <v>336.04380000000026</v>
      </c>
      <c r="GB108" s="13">
        <f t="shared" si="103"/>
        <v>78.68201450816278</v>
      </c>
      <c r="GC108" s="20">
        <f t="shared" si="79"/>
        <v>722.31412693505047</v>
      </c>
      <c r="GD108" s="59">
        <f t="shared" si="80"/>
        <v>1015.6474602683838</v>
      </c>
      <c r="GE108" s="59">
        <f ca="1">AVERAGE(OFFSET($GD$3,0,0,'Données projet'!$E$17+1,1))-AVERAGE(OFFSET($H$3,0,0,'Données projet'!$E$17+1,1))</f>
        <v>286.77702855541287</v>
      </c>
      <c r="GF108" s="59">
        <f t="shared" si="104"/>
        <v>227.12211541860779</v>
      </c>
      <c r="GG108" s="15">
        <f>IF(ISNA(VLOOKUP(A108,'Données projet'!$A$243:$I$263,3,0)),0,VLOOKUP(A108,'Données projet'!$A$243:$I$263,3,0))</f>
        <v>0</v>
      </c>
      <c r="GH108" s="15">
        <f>IF(ISNA(VLOOKUP(A108,'Données projet'!$A$243:$I$263,4,0)),0,VLOOKUP(A108,'Données projet'!$A$243:$I$263,4,0))</f>
        <v>0</v>
      </c>
      <c r="GI108" s="16">
        <f>IF(ISNA(VLOOKUP(A108,'Données projet'!$A$243:$I$263,5,0)),0%,VLOOKUP(A108,'Données projet'!$A$243:$I$263,5,0)*VLOOKUP('Données projet'!$B$17,Paramètres!$A$1:$I$89,7,0))</f>
        <v>0</v>
      </c>
      <c r="GJ108" s="16">
        <f>IF(ISNA(VLOOKUP(A108,'Données projet'!$A$243:$I$263,6,0)),0%,VLOOKUP(A108,'Données projet'!$A$243:$I$263,6,0)*VLOOKUP('Données projet'!$B$17,Paramètres!$A$1:$I$89,7,0))</f>
        <v>0</v>
      </c>
      <c r="GK108" s="16">
        <f>IF(ISNA(VLOOKUP(A108,'Données projet'!$A$243:$I$263,7,0)),0%,VLOOKUP(A108,'Données projet'!$A$243:$I$263,7,0))</f>
        <v>0</v>
      </c>
      <c r="GL108" s="21">
        <f>EXP(-LN(2)/35)*GL107+(1-EXP(-LN(2)/35))/(LN(2)/35)*GH108*GI108*VLOOKUP('Données projet'!$B$17,Paramètres!$A$1:$I$89,3,0)*0.475*44/12</f>
        <v>0</v>
      </c>
      <c r="GM108" s="21">
        <f>EXP(-LN(2)/25)*GM107+(1-EXP(-LN(2)/25))/(LN(2)/25)*Calculateur!GH108*Calculateur!GJ108*VLOOKUP('Données projet'!$B$17,Paramètres!$A$1:$I$89,3,0)*0.475*44/12</f>
        <v>0</v>
      </c>
      <c r="GN108" s="21">
        <f>EXP(-LN(2)/2)*GN107+(1-EXP(-LN(2)/2))/(LN(2)/2)*GH108*GK108*VLOOKUP('Données projet'!$B$17,Paramètres!$A$1:$I$89,3,0)*0.475*44/12</f>
        <v>0</v>
      </c>
      <c r="GO108" s="21">
        <f t="shared" si="81"/>
        <v>0</v>
      </c>
      <c r="GP108" s="75">
        <f>('Scénario référence'!$F$8+'Scénario référence'!$F$9+'Scénario référence'!$B$17+'Scénario référence'!$B$9+'Scénario référence'!$B$10)*70+IF((45+25*(1-EXP(-0.0175*A108)))&lt;70,'Scénario référence'!$B$16*(45+25*(1-EXP(-0.0175*A108))),70*'Scénario référence'!$B$16)+IF((32+38*(1-EXP(-0.0175*A108)))&lt;70,'Scénario référence'!$B$18*(32+38*(1-EXP(-0.0175*A108))),70*'Scénario référence'!$B$18)</f>
        <v>70</v>
      </c>
      <c r="GQ108" s="12">
        <f>IF(A108&gt;30,10,('Scénario référence'!$B$16+'Scénario référence'!$B$17+'Scénario référence'!$B$18+'Scénario référence'!$B$9+'Scénario référence'!$B$10)*A108*10/30+('Scénario référence'!$F$8+'Scénario référence'!$F$9)*10)</f>
        <v>10</v>
      </c>
      <c r="GR108" s="12" t="e">
        <f>VLOOKUP(A108,'Données projet'!$A$269:$I$289,2,0)</f>
        <v>#N/A</v>
      </c>
      <c r="GS108" s="12" t="e">
        <f>VLOOKUP(A108,'Données projet'!$A$269:$I$289,9,0)</f>
        <v>#N/A</v>
      </c>
      <c r="GT108" s="12">
        <f t="array" ref="GT108">INDEX(GS:GS,MIN(IF(ISNUMBER(GS108:GS304),ROW(GS108:GS304),"")))</f>
        <v>6.9935897435897401</v>
      </c>
      <c r="GU108" s="12">
        <f>IF('Données projet'!$A$270&gt;35,GU107+GT108-HC107,IF(A108&lt;'Données projet'!$A$270,$GR$205^A108,IF(A108='Données projet'!$A$270,'Données projet'!$B$270,GU107+GT108-HC107)))</f>
        <v>312.19230769230791</v>
      </c>
      <c r="GV108" s="17">
        <f>GU108*VLOOKUP('Données projet'!$B$18,Paramètres!$A$1:$I$89,3,0)*VLOOKUP('Données projet'!$B$18,Paramètres!$A$1:$I$89,5,0)</f>
        <v>336.04380000000026</v>
      </c>
      <c r="GW108" s="13">
        <f t="shared" si="105"/>
        <v>78.68201450816278</v>
      </c>
      <c r="GX108" s="20">
        <f t="shared" si="82"/>
        <v>722.31412693505047</v>
      </c>
      <c r="GY108" s="59">
        <f t="shared" si="83"/>
        <v>1015.6474602683838</v>
      </c>
      <c r="GZ108" s="59">
        <f ca="1">AVERAGE(OFFSET($GY$3,0,0,'Données projet'!$E$18+1,1))-AVERAGE(OFFSET($H$3,0,0,'Données projet'!$E$18+1,1))</f>
        <v>286.77702855541287</v>
      </c>
      <c r="HA108" s="59">
        <f t="shared" si="106"/>
        <v>227.12211541860779</v>
      </c>
      <c r="HB108" s="15">
        <f>IF(ISNA(VLOOKUP(A108,'Données projet'!$A$269:$I$289,3,0)),0,VLOOKUP(A108,'Données projet'!$A$269:$I$289,3,0))</f>
        <v>0</v>
      </c>
      <c r="HC108" s="15">
        <f>IF(ISNA(VLOOKUP(A108,'Données projet'!$A$269:$I$289,4,0)),0,VLOOKUP(A108,'Données projet'!$A$269:$I$289,4,0))</f>
        <v>0</v>
      </c>
      <c r="HD108" s="16">
        <f>IF(ISNA(VLOOKUP(A108,'Données projet'!$A$269:$I$289,5,0)),0%,VLOOKUP(A108,'Données projet'!$A$269:$I$289,5,0)*VLOOKUP('Données projet'!$B$18,Paramètres!$A$1:$I$89,7,0))</f>
        <v>0</v>
      </c>
      <c r="HE108" s="16">
        <f>IF(ISNA(VLOOKUP(A108,'Données projet'!$A$269:$I$289,6,0)),0%,VLOOKUP(A108,'Données projet'!$A$269:$I$289,6,0)*VLOOKUP('Données projet'!$B$18,Paramètres!$A$1:$I$89,7,0))</f>
        <v>0</v>
      </c>
      <c r="HF108" s="16">
        <f>IF(ISNA(VLOOKUP(A108,'Données projet'!$A$269:$I$289,7,0)),0%,VLOOKUP(A108,'Données projet'!$A$269:$I$289,7,0))</f>
        <v>0</v>
      </c>
      <c r="HG108" s="21">
        <f>EXP(-LN(2)/35)*HG107+(1-EXP(-LN(2)/35))/(LN(2)/35)*HC108*HD108*VLOOKUP('Données projet'!$B$18,Paramètres!$A$1:$I$89,3,0)*0.475*44/12</f>
        <v>0</v>
      </c>
      <c r="HH108" s="21">
        <f>EXP(-LN(2)/25)*HH107+(1-EXP(-LN(2)/25))/(LN(2)/25)*Calculateur!HC108*Calculateur!HE108*VLOOKUP('Données projet'!$B$18,Paramètres!$A$1:$I$89,3,0)*0.475*44/12</f>
        <v>0</v>
      </c>
      <c r="HI108" s="21">
        <f>EXP(-LN(2)/2)*HI107+(1-EXP(-LN(2)/2))/(LN(2)/2)*HC108*HF108*VLOOKUP('Données projet'!$B$18,Paramètres!$A$1:$I$89,3,0)*0.475*44/12</f>
        <v>0</v>
      </c>
      <c r="HJ108" s="22">
        <f t="shared" si="84"/>
        <v>0</v>
      </c>
    </row>
    <row r="109" spans="1:218" x14ac:dyDescent="0.25">
      <c r="A109" s="10">
        <f t="shared" si="85"/>
        <v>106</v>
      </c>
      <c r="B109" s="73">
        <f>'Scénario référence'!$B$16*5+'Scénario référence'!$B$17*0+'Scénario référence'!$B$18*5</f>
        <v>0</v>
      </c>
      <c r="C109" s="19">
        <f>Calculateur!C108+'Scénario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94.255200000000158</v>
      </c>
      <c r="D109" s="11">
        <f t="shared" si="86"/>
        <v>25.588701314145272</v>
      </c>
      <c r="E10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09" s="11">
        <f>IF(OR('Scénario référence'!$F$8&gt;0,'Scénario référence'!$F$9&gt;0),('Scénario référence'!$F$8+'Scénario référence'!$F$9)*10,0)</f>
        <v>10</v>
      </c>
      <c r="G109" s="11">
        <f>'Scénario référence'!$B$8*B109*44/12+'Scénario référence'!$B$9*(C109+D109)/0.475*44/12+'Scénario référence'!$B$10*(C109+D109)/0.475*44/12+'Scénario référence'!$F$8*(C109+D109)/0.475*44/12+'Scénario référence'!$F$9*(C109+D109)/0.475*44/12</f>
        <v>925.11081716182434</v>
      </c>
      <c r="H109" s="67">
        <f t="shared" si="56"/>
        <v>502.06146145546995</v>
      </c>
      <c r="I109" s="70">
        <f>('Scénario référence'!$F$8+'Scénario référence'!$F$9+'Scénario référence'!$B$17+'Scénario référence'!$B$9+'Scénario référence'!$B$10)*70+IF((45+25*(1-EXP(-0.0175*A109)))&lt;70,'Scénario référence'!$B$16*(45+25*(1-EXP(-0.0175*A109))),70*'Scénario référence'!$B$16)+IF((32+38*(1-EXP(-0.0175*A109)))&lt;70,'Scénario référence'!$B$18*(32+38*(1-EXP(-0.0175*A109))),70*'Scénario référence'!$B$18)</f>
        <v>70</v>
      </c>
      <c r="J109" s="13">
        <f>IF(A109&gt;30,10,('Scénario référence'!$B$16+'Scénario référence'!$B$17+'Scénario référence'!$B$18+'Scénario référence'!$B$9+'Scénario référence'!$B$10)*A109*10/30+('Scénario référence'!$F$8+'Scénario référence'!$F$9)*10)</f>
        <v>10</v>
      </c>
      <c r="K109" s="12" t="e">
        <f>VLOOKUP(A109,'Données projet'!$A$35:$I$55,2,0)</f>
        <v>#N/A</v>
      </c>
      <c r="L109" s="12" t="e">
        <f>VLOOKUP(A109,'Données projet'!$A$35:$I$55,9,0)</f>
        <v>#N/A</v>
      </c>
      <c r="M109" s="12">
        <f t="array" ref="M109">INDEX(L:L,MIN(IF(ISNUMBER(L109:L305),ROW(L109:L305),"")))</f>
        <v>0</v>
      </c>
      <c r="N109" s="13">
        <f>IF('Données projet'!$A$36&gt;35,N108+M109-V108,IF(A109&lt;'Données projet'!$A$36,$K$205^A109,IF(A109='Données projet'!$A$36,'Données projet'!$B$36,N108+M109-V108)))</f>
        <v>-2.2737367544323206E-13</v>
      </c>
      <c r="O109" s="13">
        <f>N109*VLOOKUP('Données projet'!$B$9,Paramètres!$A$1:$I$89,3,0)*VLOOKUP('Données projet'!$B$9,Paramètres!$A$1:$I$89,5,0)</f>
        <v>-1.2710188457276673E-13</v>
      </c>
      <c r="P109" s="13" t="e">
        <f t="shared" si="87"/>
        <v>#NUM!</v>
      </c>
      <c r="Q109" s="20" t="e">
        <f t="shared" si="107"/>
        <v>#NUM!</v>
      </c>
      <c r="R109" s="59" t="e">
        <f t="shared" si="55"/>
        <v>#NUM!</v>
      </c>
      <c r="S109" s="59">
        <f ca="1">AVERAGE(OFFSET($R$3,0,0,'Données projet'!$E$9+1,1))-AVERAGE(OFFSET($H$3,0,0,'Données projet'!$E$9+1,1))</f>
        <v>255.5374979188561</v>
      </c>
      <c r="T109" s="59">
        <f t="shared" si="88"/>
        <v>343.10418468620901</v>
      </c>
      <c r="U109" s="15">
        <f>IF(ISNA(VLOOKUP(A109,'Données projet'!$A$35:$I$55,3,0)),0,VLOOKUP(A109,'Données projet'!$A$35:$I$55,3,0))</f>
        <v>0</v>
      </c>
      <c r="V109" s="15">
        <f>IF(ISNA(VLOOKUP(A109,'Données projet'!$A$35:$I$55,4,0)),0,VLOOKUP(A109,'Données projet'!$A$35:$I$55,4,0))</f>
        <v>0</v>
      </c>
      <c r="W109" s="16">
        <f>IF(ISNA(VLOOKUP(A109,'Données projet'!$A$35:$I$55,5,0)),0%,VLOOKUP(A109,'Données projet'!$A$35:$I$55,5,0)*VLOOKUP('Données projet'!$B$9,Paramètres!$A$1:$I$89,7,0))</f>
        <v>0</v>
      </c>
      <c r="X109" s="16">
        <f>IF(ISNA(VLOOKUP(A109,'Données projet'!$A$35:$I$55,6,0)),0%,VLOOKUP(A109,'Données projet'!$A$35:$I$55,6,0)*VLOOKUP('Données projet'!$B$9,Paramètres!$A$1:$I$89,7,0))</f>
        <v>0</v>
      </c>
      <c r="Y109" s="16">
        <f>IF(ISNA(VLOOKUP(A109,'Données projet'!$A$35:$I$55,7,0)),0%,VLOOKUP(A109,'Données projet'!$A$35:$I$55,7,0))</f>
        <v>0</v>
      </c>
      <c r="Z109" s="21">
        <f>EXP(-LN(2)/35)*Z108+(1-EXP(-LN(2)/35))/(LN(2)/35)*V109*W109*VLOOKUP('Données projet'!$B$9,Paramètres!$A$1:$I$89,3,0)*0.475*44/12</f>
        <v>0.6859604662424359</v>
      </c>
      <c r="AA109" s="21">
        <f>EXP(-LN(2)/25)*AA108+(1-EXP(-LN(2)/25))/(LN(2)/25)*Calculateur!V109*Calculateur!X109*VLOOKUP('Données projet'!$B$9,Paramètres!$A$1:$I$89,3,0)*0.475*44/12</f>
        <v>1.9404781256296626</v>
      </c>
      <c r="AB109" s="21">
        <f>EXP(-LN(2)/2)*AB108+(1-EXP(-LN(2)/2))/(LN(2)/2)*V109*Y109*VLOOKUP('Données projet'!$B$9,Paramètres!$A$1:$I$89,3,0)*0.475*44/12</f>
        <v>6.1578323928336105E-12</v>
      </c>
      <c r="AC109" s="22">
        <f t="shared" si="57"/>
        <v>2.626438591878256</v>
      </c>
      <c r="AD109" s="13">
        <f>('Scénario référence'!$F$8+'Scénario référence'!$F$9+'Scénario référence'!$B$17+'Scénario référence'!$B$9+'Scénario référence'!$B$10)*70+IF((45+25*(1-EXP(-0.0175*A109)))&lt;70,'Scénario référence'!$B$16*(45+25*(1-EXP(-0.0175*A109))),70*'Scénario référence'!$B$16)+IF((32+38*(1-EXP(-0.0175*A109)))&lt;70,'Scénario référence'!$B$18*(32+38*(1-EXP(-0.0175*A109))),70*'Scénario référence'!$B$18)</f>
        <v>70</v>
      </c>
      <c r="AE109" s="13">
        <f>IF(A109&gt;30,10,('Scénario référence'!$B$16+'Scénario référence'!$B$17+'Scénario référence'!$B$18+'Scénario référence'!$B$9+'Scénario référence'!$B$10)*A109*10/30+('Scénario référence'!$F$8+'Scénario référence'!$F$9)*10)</f>
        <v>10</v>
      </c>
      <c r="AF109" s="12" t="e">
        <f>VLOOKUP(A109,'Données projet'!$A$61:$I$81,2,0)</f>
        <v>#N/A</v>
      </c>
      <c r="AG109" s="12" t="e">
        <f>VLOOKUP(A109,'Données projet'!$A$61:$I$81,9,0)</f>
        <v>#N/A</v>
      </c>
      <c r="AH109" s="12">
        <f t="array" ref="AH109">INDEX(AG:AG,MIN(IF(ISNUMBER(AG109:AG305),ROW(AG109:AG305),"")))</f>
        <v>0</v>
      </c>
      <c r="AI109" s="13">
        <f>IF('Données projet'!$A$62&gt;35,AI108+AH109-AQ108,IF(A109&lt;'Données projet'!$A$62,$AF$205^A109,IF(A109='Données projet'!$A$62,'Données projet'!$B$62,AI108+AH109-AQ108)))</f>
        <v>0</v>
      </c>
      <c r="AJ109" s="13">
        <f>AI109*VLOOKUP('Données projet'!$B$10,Paramètres!$A$1:$I$89,3,0)*VLOOKUP('Données projet'!$B$10,Paramètres!$A$1:$I$89,5,0)</f>
        <v>0</v>
      </c>
      <c r="AK109" s="13" t="e">
        <f t="shared" si="89"/>
        <v>#NUM!</v>
      </c>
      <c r="AL109" s="20" t="e">
        <f t="shared" si="58"/>
        <v>#NUM!</v>
      </c>
      <c r="AM109" s="59" t="e">
        <f t="shared" si="59"/>
        <v>#NUM!</v>
      </c>
      <c r="AN109" s="59">
        <f ca="1">AVERAGE(OFFSET($AM$3,0,0,'Données projet'!$E$10+1,1))-AVERAGE(OFFSET($H$3,0,0,'Données projet'!$E$10+1,1))</f>
        <v>261.78489480911571</v>
      </c>
      <c r="AO109" s="59">
        <f t="shared" si="90"/>
        <v>297.50513563712764</v>
      </c>
      <c r="AP109" s="15">
        <f>IF(ISNA(VLOOKUP(A109,'Données projet'!$A$61:$I$81,3,0)),0,VLOOKUP(A109,'Données projet'!$A$61:$I$81,3,0))</f>
        <v>0</v>
      </c>
      <c r="AQ109" s="15">
        <f>IF(ISNA(VLOOKUP(A109,'Données projet'!$A$61:$I$81,4,0)),0,VLOOKUP(A109,'Données projet'!$A$61:$I$81,4,0))</f>
        <v>0</v>
      </c>
      <c r="AR109" s="16">
        <f>IF(ISNA(VLOOKUP(A109,'Données projet'!$A$61:$I$81,5,0)),0%,VLOOKUP(A109,'Données projet'!$A$61:$I$81,5,0)*VLOOKUP('Données projet'!$B$10,Paramètres!$A$1:$I$89,7,0))</f>
        <v>0</v>
      </c>
      <c r="AS109" s="16">
        <f>IF(ISNA(VLOOKUP(A109,'Données projet'!$A$61:$I$81,6,0)),0%,VLOOKUP(A109,'Données projet'!$A$61:$I$81,6,0)*VLOOKUP('Données projet'!$B$10,Paramètres!$A$1:$I$89,7,0))</f>
        <v>0</v>
      </c>
      <c r="AT109" s="16">
        <f>IF(ISNA(VLOOKUP(A109,'Données projet'!$A$61:$I$81,7,0)),0%,VLOOKUP(A109,'Données projet'!$A$61:$I$81,7,0))</f>
        <v>0</v>
      </c>
      <c r="AU109" s="21">
        <f>EXP(-LN(2)/35)*AU108+(1-EXP(-LN(2)/35))/(LN(2)/35)*AQ109*AR109*VLOOKUP('Données projet'!$B$10,Paramètres!$A$1:$I$89,3,0)*0.475*44/12</f>
        <v>1.8522872818418465</v>
      </c>
      <c r="AV109" s="21">
        <f>EXP(-LN(2)/25)*AV108+(1-EXP(-LN(2)/25))/(LN(2)/25)*Calculateur!AQ109*Calculateur!AS109*VLOOKUP('Données projet'!$B$10,Paramètres!$A$1:$I$89,3,0)*0.475*44/12</f>
        <v>3.3884705889650846</v>
      </c>
      <c r="AW109" s="21">
        <f>EXP(-LN(2)/2)*AW108+(1-EXP(-LN(2)/2))/(LN(2)/2)*AQ109*AT109*VLOOKUP('Données projet'!$B$10,Paramètres!$A$1:$I$89,3,0)*0.475*44/12</f>
        <v>8.877101622387956E-11</v>
      </c>
      <c r="AX109" s="21">
        <f t="shared" si="60"/>
        <v>5.2407578708957017</v>
      </c>
      <c r="AY109" s="74">
        <f>('Scénario référence'!$F$8+'Scénario référence'!$F$9+'Scénario référence'!$B$17+'Scénario référence'!$B$9+'Scénario référence'!$B$10)*70+IF((45+25*(1-EXP(-0.0175*A109)))&lt;70,'Scénario référence'!$B$16*(45+25*(1-EXP(-0.0175*A109))),70*'Scénario référence'!$B$16)+IF((32+38*(1-EXP(-0.0175*A109)))&lt;70,'Scénario référence'!$B$18*(32+38*(1-EXP(-0.0175*A109))),70*'Scénario référence'!$B$18)</f>
        <v>70</v>
      </c>
      <c r="AZ109" s="12">
        <f>IF(A109&gt;30,10,('Scénario référence'!$B$16+'Scénario référence'!$B$17+'Scénario référence'!$B$18+'Scénario référence'!$B$9+'Scénario référence'!$B$10)*A109*10/30+('Scénario référence'!$F$8+'Scénario référence'!$F$9)*10)</f>
        <v>10</v>
      </c>
      <c r="BA109" s="12" t="e">
        <f>VLOOKUP(A109,'Données projet'!$A$87:$I$107,2,0)</f>
        <v>#N/A</v>
      </c>
      <c r="BB109" s="12" t="e">
        <f>VLOOKUP(A109,'Données projet'!$A$87:$I$107,9,0)</f>
        <v>#N/A</v>
      </c>
      <c r="BC109" s="12">
        <f t="array" ref="BC109">INDEX(BB:BB,MIN(IF(ISNUMBER(BB109:BB305),ROW(BB109:BB305),"")))</f>
        <v>0</v>
      </c>
      <c r="BD109" s="12">
        <f>IF('Données projet'!$A$88&gt;35,BD108+BC109-BL108,IF(A109&lt;'Données projet'!$A$88,$BA$205^A109,IF(A109='Données projet'!$A$88,'Données projet'!$B$88,BD108+BC109-BL108)))</f>
        <v>553.99999999999955</v>
      </c>
      <c r="BE109" s="13">
        <f>BD109*VLOOKUP('Données projet'!$B$11,Paramètres!$A$1:$I$89,3,0)*VLOOKUP('Données projet'!$B$11,Paramètres!$A$1:$I$89,5,0)</f>
        <v>331.29199999999975</v>
      </c>
      <c r="BF109" s="13">
        <f t="shared" si="91"/>
        <v>77.698110787752</v>
      </c>
      <c r="BG109" s="20">
        <f t="shared" si="61"/>
        <v>712.32444295533423</v>
      </c>
      <c r="BH109" s="59">
        <f t="shared" si="62"/>
        <v>1005.6577762886675</v>
      </c>
      <c r="BI109" s="59">
        <f ca="1">AVERAGE(OFFSET($BH$3,0,0,'Données projet'!$E$11+1,1))-AVERAGE(OFFSET($H$3,0,0,'Données projet'!$E$11+1,1))</f>
        <v>316.58509520829671</v>
      </c>
      <c r="BJ109" s="59">
        <f t="shared" si="92"/>
        <v>240.71332110643596</v>
      </c>
      <c r="BK109" s="15">
        <f>IF(ISNA(VLOOKUP(A109,'Données projet'!$A$87:$I$107,3,0)),0,VLOOKUP(A109,'Données projet'!$A$87:$I$107,3,0))</f>
        <v>0</v>
      </c>
      <c r="BL109" s="15">
        <f>IF(ISNA(VLOOKUP(A109,'Données projet'!$A$87:$I$107,4,0)),0,VLOOKUP(A109,'Données projet'!$A$87:$I$107,4,0))</f>
        <v>0</v>
      </c>
      <c r="BM109" s="16">
        <f>IF(ISNA(VLOOKUP(A109,'Données projet'!$A$87:$I$107,5,0)),0%,VLOOKUP(A109,'Données projet'!$A$87:$I$107,5,0)*VLOOKUP('Données projet'!$B$11,Paramètres!$A$1:$I$89,7,0))</f>
        <v>0</v>
      </c>
      <c r="BN109" s="16">
        <f>IF(ISNA(VLOOKUP(A109,'Données projet'!$A$87:$I$107,6,0)),0%,VLOOKUP(A109,'Données projet'!$A$87:$I$107,6,0)*VLOOKUP('Données projet'!$B$11,Paramètres!$A$1:$I$89,7,0))</f>
        <v>0</v>
      </c>
      <c r="BO109" s="16">
        <f>IF(ISNA(VLOOKUP(A109,'Données projet'!$A$87:$I$107,7,0)),0%,VLOOKUP(A109,'Données projet'!$A$87:$I$107,7,0))</f>
        <v>0</v>
      </c>
      <c r="BP109" s="21">
        <f>EXP(-LN(2)/35)*BP108+(1-EXP(-LN(2)/35))/(LN(2)/35)*BL109*BM109*VLOOKUP('Données projet'!$B$11,Paramètres!$A$1:$I$89,3,0)*0.475*44/12</f>
        <v>0.5626460437588795</v>
      </c>
      <c r="BQ109" s="21">
        <f>EXP(-LN(2)/25)*BQ108+(1-EXP(-LN(2)/25))/(LN(2)/25)*Calculateur!BL109*Calculateur!BN109*VLOOKUP('Données projet'!$B$11,Paramètres!$A$1:$I$89,3,0)*0.475*44/12</f>
        <v>1.8563030576894359</v>
      </c>
      <c r="BR109" s="21">
        <f>EXP(-LN(2)/2)*BR108+(1-EXP(-LN(2)/2))/(LN(2)/2)*BL109*BO109*VLOOKUP('Données projet'!$B$11,Paramètres!$A$1:$I$89,3,0)*0.475*44/12</f>
        <v>7.9814865130687096E-11</v>
      </c>
      <c r="BS109" s="22">
        <f t="shared" si="63"/>
        <v>2.4189491015281304</v>
      </c>
      <c r="BT109" s="75">
        <f>('Scénario référence'!$F$8+'Scénario référence'!$F$9+'Scénario référence'!$B$17+'Scénario référence'!$B$9+'Scénario référence'!$B$10)*70+IF((45+25*(1-EXP(-0.0175*A109)))&lt;70,'Scénario référence'!$B$16*(45+25*(1-EXP(-0.0175*A109))),70*'Scénario référence'!$B$16)+IF((32+38*(1-EXP(-0.0175*A109)))&lt;70,'Scénario référence'!$B$18*(32+38*(1-EXP(-0.0175*A109))),70*'Scénario référence'!$B$18)</f>
        <v>70</v>
      </c>
      <c r="BU109" s="12">
        <f>IF(A109&gt;30,10,('Scénario référence'!$B$16+'Scénario référence'!$B$17+'Scénario référence'!$B$18+'Scénario référence'!$B$9+'Scénario référence'!$B$10)*A109*10/30+('Scénario référence'!$F$8+'Scénario référence'!$F$9)*10)</f>
        <v>10</v>
      </c>
      <c r="BV109" s="12" t="e">
        <f>VLOOKUP(A109,'Données projet'!$A$113:$I$133,2,0)</f>
        <v>#N/A</v>
      </c>
      <c r="BW109" s="12" t="e">
        <f>VLOOKUP(A109,'Données projet'!$A$113:$I$133,9,0)</f>
        <v>#N/A</v>
      </c>
      <c r="BX109" s="12">
        <f t="array" ref="BX109">INDEX(BW:BW,MIN(IF(ISNUMBER(BW109:BW305),ROW(BW109:BW305),"")))</f>
        <v>0</v>
      </c>
      <c r="BY109" s="12">
        <f>IF('Données projet'!$A$114&gt;35,BY108+BX109-CG108,IF(A109&lt;'Données projet'!$A$114,$BV$205^A109,IF(A109='Données projet'!$A$114,'Données projet'!$B$114,BY108+BX109-CG108)))</f>
        <v>333.99999999999977</v>
      </c>
      <c r="BZ109" s="13">
        <f>BY109*VLOOKUP('Données projet'!$B$12,Paramètres!$A$1:$I$89,3,0)*VLOOKUP('Données projet'!$B$12,Paramètres!$A$1:$I$89,5,0)</f>
        <v>191.04799999999986</v>
      </c>
      <c r="CA109" s="13">
        <f t="shared" si="93"/>
        <v>47.771576544305155</v>
      </c>
      <c r="CB109" s="20">
        <f t="shared" si="64"/>
        <v>415.94409581466454</v>
      </c>
      <c r="CC109" s="59">
        <f t="shared" si="65"/>
        <v>709.27742914799785</v>
      </c>
      <c r="CD109" s="59">
        <f ca="1">AVERAGE(OFFSET($CC$3,0,0,'Données projet'!$E$12+1,1))-AVERAGE(OFFSET($H$3,0,0,'Données projet'!$E$12+1,1))</f>
        <v>188.64374818906128</v>
      </c>
      <c r="CE109" s="59">
        <f t="shared" si="94"/>
        <v>211.95157880548652</v>
      </c>
      <c r="CF109" s="15">
        <f>IF(ISNA(VLOOKUP(A109,'Données projet'!$A$113:$I$133,3,0)),0,VLOOKUP(A109,'Données projet'!$A$113:$I$133,3,0))</f>
        <v>0</v>
      </c>
      <c r="CG109" s="15">
        <f>IF(ISNA(VLOOKUP(A109,'Données projet'!$A$113:$I$133,4,0)),0,VLOOKUP(A109,'Données projet'!$A$113:$I$133,4,0))</f>
        <v>0</v>
      </c>
      <c r="CH109" s="16">
        <f>IF(ISNA(VLOOKUP(A109,'Données projet'!$A$113:$I$133,5,0)),0%,VLOOKUP(A109,'Données projet'!$A$113:$I$133,5,0)*VLOOKUP('Données projet'!$B$12,Paramètres!$A$1:$I$89,7,0))</f>
        <v>0</v>
      </c>
      <c r="CI109" s="16">
        <f>IF(ISNA(VLOOKUP(A109,'Données projet'!$A$113:$I$133,6,0)),0%,VLOOKUP(A109,'Données projet'!$A$113:$I$133,6,0)*VLOOKUP('Données projet'!$B$12,Paramètres!$A$1:$I$89,7,0))</f>
        <v>0</v>
      </c>
      <c r="CJ109" s="16">
        <f>IF(ISNA(VLOOKUP(A109,'Données projet'!$A$113:$I$133,7,0)),0%,VLOOKUP(A109,'Données projet'!$A$113:$I$133,7,0))</f>
        <v>0</v>
      </c>
      <c r="CK109" s="21">
        <f>EXP(-LN(2)/35)*CK108+(1-EXP(-LN(2)/35))/(LN(2)/35)*CG109*CH109*VLOOKUP('Données projet'!$B$12,Paramètres!$A$1:$I$89,3,0)*0.475*44/12</f>
        <v>0.54576321697125818</v>
      </c>
      <c r="CL109" s="21">
        <f>EXP(-LN(2)/25)*CL108+(1-EXP(-LN(2)/25))/(LN(2)/25)*Calculateur!CG109*Calculateur!CI109*VLOOKUP('Données projet'!$B$12,Paramètres!$A$1:$I$89,3,0)*0.475*44/12</f>
        <v>1.7471944678706754</v>
      </c>
      <c r="CM109" s="21">
        <f>EXP(-LN(2)/2)*CM108+(1-EXP(-LN(2)/2))/(LN(2)/2)*CG109*CJ109*VLOOKUP('Données projet'!$B$12,Paramètres!$A$1:$I$89,3,0)*0.475*44/12</f>
        <v>7.7294452071278124E-11</v>
      </c>
      <c r="CN109" s="22">
        <f t="shared" si="66"/>
        <v>2.2929576849192284</v>
      </c>
      <c r="CO109" s="75">
        <f>('Scénario référence'!$F$8+'Scénario référence'!$F$9+'Scénario référence'!$B$17+'Scénario référence'!$B$9+'Scénario référence'!$B$10)*70+IF((45+25*(1-EXP(-0.0175*A109)))&lt;70,'Scénario référence'!$B$16*(45+25*(1-EXP(-0.0175*A109))),70*'Scénario référence'!$B$16)+IF((32+38*(1-EXP(-0.0175*A109)))&lt;70,'Scénario référence'!$B$18*(32+38*(1-EXP(-0.0175*A109))),70*'Scénario référence'!$B$18)</f>
        <v>70</v>
      </c>
      <c r="CP109" s="12">
        <f>IF(A109&gt;30,10,('Scénario référence'!$B$16+'Scénario référence'!$B$17+'Scénario référence'!$B$18+'Scénario référence'!$B$9+'Scénario référence'!$B$10)*A109*10/30+('Scénario référence'!$F$8+'Scénario référence'!$F$9)*10)</f>
        <v>10</v>
      </c>
      <c r="CQ109" s="12" t="e">
        <f>VLOOKUP(A109,'Données projet'!$A$139:$I$159,2,0)</f>
        <v>#N/A</v>
      </c>
      <c r="CR109" s="12" t="e">
        <f>VLOOKUP(A109,'Données projet'!$A$139:$I$159,9,0)</f>
        <v>#N/A</v>
      </c>
      <c r="CS109" s="12">
        <f t="array" ref="CS109">INDEX(CR:CR,MIN(IF(ISNUMBER(CR109:CR305),ROW(CR109:CR305),"")))</f>
        <v>0</v>
      </c>
      <c r="CT109" s="12">
        <f>IF('Données projet'!$A$140&gt;35,CT108+CS109-DB108,IF(A109&lt;'Données projet'!$A$140,$CQ$205^A109,IF(A109='Données projet'!$A$140,'Données projet'!$B$140,CT108+CS109-DB108)))</f>
        <v>0</v>
      </c>
      <c r="CU109" s="17" t="e">
        <f>CT109*VLOOKUP('Données projet'!$B$13,Paramètres!$A$1:$I$89,3,0)*VLOOKUP('Données projet'!$B$13,Paramètres!$A$1:$I$89,5,0)</f>
        <v>#N/A</v>
      </c>
      <c r="CV109" s="13" t="e">
        <f t="shared" si="95"/>
        <v>#N/A</v>
      </c>
      <c r="CW109" s="20" t="e">
        <f t="shared" si="67"/>
        <v>#N/A</v>
      </c>
      <c r="CX109" s="59" t="e">
        <f t="shared" si="68"/>
        <v>#N/A</v>
      </c>
      <c r="CY109" s="59" t="e">
        <f ca="1">AVERAGE(OFFSET($CX$3,0,0,'Données projet'!$E$13+1,1))-AVERAGE(OFFSET($H$3,0,0,'Données projet'!$E$13+1,1))</f>
        <v>#N/A</v>
      </c>
      <c r="CZ109" s="59" t="e">
        <f t="shared" si="96"/>
        <v>#N/A</v>
      </c>
      <c r="DA109" s="15">
        <f>IF(ISNA(VLOOKUP(A109,'Données projet'!$A$139:$I$159,3,0)),0,VLOOKUP(A109,'Données projet'!$A$139:$I$159,3,0))</f>
        <v>0</v>
      </c>
      <c r="DB109" s="15">
        <f>IF(ISNA(VLOOKUP(A109,'Données projet'!$A$139:$I$159,4,0)),0,VLOOKUP(A109,'Données projet'!$A$139:$I$159,4,0))</f>
        <v>0</v>
      </c>
      <c r="DC109" s="16">
        <f>IF(ISNA(VLOOKUP(A109,'Données projet'!$A$139:$I$159,5,0)),0%,VLOOKUP(A109,'Données projet'!$A$139:$I$159,5,0)*VLOOKUP('Données projet'!$B$13,Paramètres!$A$1:$I$89,7,0))</f>
        <v>0</v>
      </c>
      <c r="DD109" s="16">
        <f>IF(ISNA(VLOOKUP(A109,'Données projet'!$A$139:$I$159,6,0)),0%,VLOOKUP(A109,'Données projet'!$A$139:$I$159,6,0)*VLOOKUP('Données projet'!$B$13,Paramètres!$A$1:$I$89,7,0))</f>
        <v>0</v>
      </c>
      <c r="DE109" s="16">
        <f>IF(ISNA(VLOOKUP(A109,'Données projet'!$A$139:$I$159,7,0)),0%,VLOOKUP(A109,'Données projet'!$A$139:$I$159,7,0))</f>
        <v>0</v>
      </c>
      <c r="DF109" s="21" t="e">
        <f>EXP(-LN(2)/35)*DF108+(1-EXP(-LN(2)/35))/(LN(2)/35)*DB109*DC109*VLOOKUP('Données projet'!$B$13,Paramètres!$A$1:$I$89,3,0)*0.475*44/12</f>
        <v>#N/A</v>
      </c>
      <c r="DG109" s="21" t="e">
        <f>EXP(-LN(2)/25)*DG108+(1-EXP(-LN(2)/25))/(LN(2)/25)*Calculateur!DB109*Calculateur!DD109*VLOOKUP('Données projet'!$B$13,Paramètres!$A$1:$I$89,3,0)*0.475*44/12</f>
        <v>#N/A</v>
      </c>
      <c r="DH109" s="21" t="e">
        <f>EXP(-LN(2)/2)*DH108+(1-EXP(-LN(2)/2))/(LN(2)/2)*DB109*DE109*VLOOKUP('Données projet'!$B$13,Paramètres!$A$1:$I$89,3,0)*0.475*44/12</f>
        <v>#N/A</v>
      </c>
      <c r="DI109" s="22" t="e">
        <f t="shared" si="69"/>
        <v>#N/A</v>
      </c>
      <c r="DJ109" s="75">
        <f>('Scénario référence'!$F$8+'Scénario référence'!$F$9+'Scénario référence'!$B$17+'Scénario référence'!$B$9+'Scénario référence'!$B$10)*70+IF((45+25*(1-EXP(-0.0175*A109)))&lt;70,'Scénario référence'!$B$16*(45+25*(1-EXP(-0.0175*A109))),70*'Scénario référence'!$B$16)+IF((32+38*(1-EXP(-0.0175*A109)))&lt;70,'Scénario référence'!$B$18*(32+38*(1-EXP(-0.0175*A109))),70*'Scénario référence'!$B$18)</f>
        <v>70</v>
      </c>
      <c r="DK109" s="12">
        <f>IF(A109&gt;30,10,('Scénario référence'!$B$16+'Scénario référence'!$B$17+'Scénario référence'!$B$18+'Scénario référence'!$B$9+'Scénario référence'!$B$10)*A109*10/30+('Scénario référence'!$F$8+'Scénario référence'!$F$9)*10)</f>
        <v>10</v>
      </c>
      <c r="DL109" s="12" t="e">
        <f>VLOOKUP(A109,'Données projet'!$A$165:$I$185,2,0)</f>
        <v>#N/A</v>
      </c>
      <c r="DM109" s="12" t="e">
        <f>VLOOKUP(A109,'Données projet'!$A$165:$I$185,9,0)</f>
        <v>#N/A</v>
      </c>
      <c r="DN109" s="12">
        <f t="array" ref="DN109">INDEX(DM:DM,MIN(IF(ISNUMBER(DM109:DM305),ROW(DM109:DM305),"")))</f>
        <v>0</v>
      </c>
      <c r="DO109" s="12">
        <f>IF('Données projet'!$A$166&gt;35,DO108+DN109-DW108,IF(A109&lt;'Données projet'!$A$166,$DL$205^A109,IF(A109='Données projet'!$A$166,'Données projet'!$B$166,DO108+DN109-DW108)))</f>
        <v>268.00000000000017</v>
      </c>
      <c r="DP109" s="17">
        <f>DO109*VLOOKUP('Données projet'!$B$14,Paramètres!$A$1:$I$89,3,0)*VLOOKUP('Données projet'!$B$14,Paramètres!$A$1:$I$89,5,0)</f>
        <v>175.59360000000012</v>
      </c>
      <c r="DQ109" s="13">
        <f t="shared" si="97"/>
        <v>44.340433728638573</v>
      </c>
      <c r="DR109" s="20">
        <f t="shared" si="70"/>
        <v>383.05177541071242</v>
      </c>
      <c r="DS109" s="59">
        <f t="shared" si="71"/>
        <v>676.38510874404574</v>
      </c>
      <c r="DT109" s="59">
        <f ca="1">AVERAGE(OFFSET($DS$3,0,0,'Données projet'!$E$14+1,1))-AVERAGE(OFFSET($H$3,0,0,'Données projet'!$E$14+1,1))</f>
        <v>188.68915783955595</v>
      </c>
      <c r="DU109" s="59">
        <f t="shared" si="98"/>
        <v>240.82467772396944</v>
      </c>
      <c r="DV109" s="15">
        <f>IF(ISNA(VLOOKUP(A109,'Données projet'!$A$165:$I$185,3,0)),0,VLOOKUP(A109,'Données projet'!$A$165:$I$185,3,0))</f>
        <v>0</v>
      </c>
      <c r="DW109" s="15">
        <f>IF(ISNA(VLOOKUP(A109,'Données projet'!$A$165:$I$185,4,0)),0,VLOOKUP(A109,'Données projet'!$A$165:$I$185,4,0))</f>
        <v>0</v>
      </c>
      <c r="DX109" s="16">
        <f>IF(ISNA(VLOOKUP(A109,'Données projet'!$A$165:$I$185,5,0)),0%,VLOOKUP(A109,'Données projet'!$A$165:$I$185,5,0)*VLOOKUP('Données projet'!$B$14,Paramètres!$A$1:$I$89,7,0))</f>
        <v>0</v>
      </c>
      <c r="DY109" s="16">
        <f>IF(ISNA(VLOOKUP(A109,'Données projet'!$A$165:$I$185,6,0)),0%,VLOOKUP(A109,'Données projet'!$A$165:$I$185,6,0)*VLOOKUP('Données projet'!$B$14,Paramètres!$A$1:$I$89,7,0))</f>
        <v>0</v>
      </c>
      <c r="DZ109" s="16">
        <f>IF(ISNA(VLOOKUP(A109,'Données projet'!$A$165:$I$185,7,0)),0%,VLOOKUP(A109,'Données projet'!$A$165:$I$185,7,0))</f>
        <v>0</v>
      </c>
      <c r="EA109" s="21">
        <f>EXP(-LN(2)/35)*EA108+(1-EXP(-LN(2)/35))/(LN(2)/35)*DW109*DX109*VLOOKUP('Données projet'!$B$14,Paramètres!$A$1:$I$89,3,0)*0.475*44/12</f>
        <v>0.34569597707985822</v>
      </c>
      <c r="EB109" s="21">
        <f>EXP(-LN(2)/25)*EB108+(1-EXP(-LN(2)/25))/(LN(2)/25)*Calculateur!DW109*Calculateur!DY109*VLOOKUP('Données projet'!$B$14,Paramètres!$A$1:$I$89,3,0)*0.475*44/12</f>
        <v>0.97727861380133874</v>
      </c>
      <c r="EC109" s="21">
        <f>EXP(-LN(2)/2)*EC108+(1-EXP(-LN(2)/2))/(LN(2)/2)*DW109*DZ109*VLOOKUP('Données projet'!$B$14,Paramètres!$A$1:$I$89,3,0)*0.475*44/12</f>
        <v>5.0918635629230583E-11</v>
      </c>
      <c r="ED109" s="22">
        <f t="shared" si="72"/>
        <v>1.3229745909321156</v>
      </c>
      <c r="EE109" s="75">
        <f>('Scénario référence'!$F$8+'Scénario référence'!$F$9+'Scénario référence'!$B$17+'Scénario référence'!$B$9+'Scénario référence'!$B$10)*70+IF((45+25*(1-EXP(-0.0175*A109)))&lt;70,'Scénario référence'!$B$16*(45+25*(1-EXP(-0.0175*A109))),70*'Scénario référence'!$B$16)+IF((32+38*(1-EXP(-0.0175*A109)))&lt;70,'Scénario référence'!$B$18*(32+38*(1-EXP(-0.0175*A109))),70*'Scénario référence'!$B$18)</f>
        <v>70</v>
      </c>
      <c r="EF109" s="12">
        <f>IF(A109&gt;30,10,('Scénario référence'!$B$16+'Scénario référence'!$B$17+'Scénario référence'!$B$18+'Scénario référence'!$B$9+'Scénario référence'!$B$10)*A109*10/30+('Scénario référence'!$F$8+'Scénario référence'!$F$9)*10)</f>
        <v>10</v>
      </c>
      <c r="EG109" s="12" t="e">
        <f>VLOOKUP(A109,'Données projet'!$A$191:$I$211,2,0)</f>
        <v>#N/A</v>
      </c>
      <c r="EH109" s="12" t="e">
        <f>VLOOKUP(A109,'Données projet'!$A$191:$I$211,9,0)</f>
        <v>#N/A</v>
      </c>
      <c r="EI109" s="12">
        <f t="array" ref="EI109">INDEX(EH:EH,MIN(IF(ISNUMBER(EH109:EH305),ROW(EH109:EH305),"")))</f>
        <v>0</v>
      </c>
      <c r="EJ109" s="12">
        <f>IF('Données projet'!$A$192&gt;35,EJ108+EI109-ER108,IF(A109&lt;'Données projet'!$A$192,$EG$205^A109,IF(A109='Données projet'!$A$192,'Données projet'!$B$192,EJ108+EI109-ER108)))</f>
        <v>275.99999999999972</v>
      </c>
      <c r="EK109" s="17">
        <f>EJ109*VLOOKUP('Données projet'!$B$15,Paramètres!$A$1:$I$89,3,0)*VLOOKUP('Données projet'!$B$15,Paramètres!$A$1:$I$89,5,0)</f>
        <v>223.8911999999998</v>
      </c>
      <c r="EL109" s="13">
        <f t="shared" si="99"/>
        <v>54.95975389514858</v>
      </c>
      <c r="EM109" s="20">
        <f t="shared" si="73"/>
        <v>485.66541136738346</v>
      </c>
      <c r="EN109" s="59">
        <f t="shared" si="74"/>
        <v>778.99874470071677</v>
      </c>
      <c r="EO109" s="59">
        <f ca="1">AVERAGE(OFFSET($EN$3,0,0,'Données projet'!$E$15+1,1))-AVERAGE(OFFSET($H$3,0,0,'Données projet'!$E$15+1,1))</f>
        <v>205.5272583787887</v>
      </c>
      <c r="EP109" s="59">
        <f t="shared" si="100"/>
        <v>180.54762778843178</v>
      </c>
      <c r="EQ109" s="15">
        <f>IF(ISNA(VLOOKUP(A109,'Données projet'!$A$191:$I$211,3,0)),0,VLOOKUP(A109,'Données projet'!$A$191:$I$211,3,0))</f>
        <v>0</v>
      </c>
      <c r="ER109" s="15">
        <f>IF(ISNA(VLOOKUP(A109,'Données projet'!$A$191:$I$211,4,0)),0,VLOOKUP(A109,'Données projet'!$A$191:$I$211,4,0))</f>
        <v>0</v>
      </c>
      <c r="ES109" s="16">
        <f>IF(ISNA(VLOOKUP(A109,'Données projet'!$A$191:$I$211,5,0)),0%,VLOOKUP(A109,'Données projet'!$A$191:$I$211,5,0)*VLOOKUP('Données projet'!$B$15,Paramètres!$A$1:$I$89,7,0))</f>
        <v>0</v>
      </c>
      <c r="ET109" s="16">
        <f>IF(ISNA(VLOOKUP(A109,'Données projet'!$A$191:$I$211,6,0)),0%,VLOOKUP(A109,'Données projet'!$A$191:$I$211,6,0)*VLOOKUP('Données projet'!$B$15,Paramètres!$A$1:$I$89,7,0))</f>
        <v>0</v>
      </c>
      <c r="EU109" s="16">
        <f>IF(ISNA(VLOOKUP(A109,'Données projet'!$A$191:$I$211,7,0)),0%,VLOOKUP(A109,'Données projet'!$A$191:$I$211,7,0))</f>
        <v>0</v>
      </c>
      <c r="EV109" s="21">
        <f>EXP(-LN(2)/35)*EV108+(1-EXP(-LN(2)/35))/(LN(2)/35)*ER109*ES109*VLOOKUP('Données projet'!$B$15,Paramètres!$A$1:$I$89,3,0)*0.475*44/12</f>
        <v>0.22256236238665156</v>
      </c>
      <c r="EW109" s="21">
        <f>EXP(-LN(2)/25)*EW108+(1-EXP(-LN(2)/25))/(LN(2)/25)*Calculateur!ER109*Calculateur!ET109*VLOOKUP('Données projet'!$B$15,Paramètres!$A$1:$I$89,3,0)*0.475*44/12</f>
        <v>0.70562480585427256</v>
      </c>
      <c r="EX109" s="21">
        <f>EXP(-LN(2)/2)*EX108+(1-EXP(-LN(2)/2))/(LN(2)/2)*ER109*EU109*VLOOKUP('Données projet'!$B$15,Paramètres!$A$1:$I$89,3,0)*0.475*44/12</f>
        <v>3.2969854220500357E-11</v>
      </c>
      <c r="EY109" s="22">
        <f t="shared" si="75"/>
        <v>0.92818716827389403</v>
      </c>
      <c r="EZ109" s="75">
        <f>('Scénario référence'!$F$8+'Scénario référence'!$F$9+'Scénario référence'!$B$17+'Scénario référence'!$B$9+'Scénario référence'!$B$10)*70+IF((45+25*(1-EXP(-0.0175*A109)))&lt;70,'Scénario référence'!$B$16*(45+25*(1-EXP(-0.0175*A109))),70*'Scénario référence'!$B$16)+IF((32+38*(1-EXP(-0.0175*A109)))&lt;70,'Scénario référence'!$B$18*(32+38*(1-EXP(-0.0175*A109))),70*'Scénario référence'!$B$18)</f>
        <v>70</v>
      </c>
      <c r="FA109" s="12">
        <f>IF(A109&gt;30,10,('Scénario référence'!$B$16+'Scénario référence'!$B$17+'Scénario référence'!$B$18+'Scénario référence'!$B$9+'Scénario référence'!$B$10)*A109*10/30+('Scénario référence'!$F$8+'Scénario référence'!$F$9)*10)</f>
        <v>10</v>
      </c>
      <c r="FB109" s="12" t="e">
        <f>VLOOKUP(A109,'Données projet'!$A$217:$I$237,2,0)</f>
        <v>#N/A</v>
      </c>
      <c r="FC109" s="12" t="e">
        <f>VLOOKUP(A109,'Données projet'!$A$217:$I$237,9,0)</f>
        <v>#N/A</v>
      </c>
      <c r="FD109" s="12">
        <f t="array" ref="FD109">INDEX(FC:FC,MIN(IF(ISNUMBER(FC109:FC305),ROW(FC109:FC305),"")))</f>
        <v>8.6</v>
      </c>
      <c r="FE109" s="12">
        <f>IF('Données projet'!$A$218&gt;35,FE108+FD109-FM108,IF(A109&lt;'Données projet'!$A$218,$FB$205^A109,IF(A109='Données projet'!$A$218,'Données projet'!$B$218,FE108+FD109-FM108)))</f>
        <v>411.59999999999997</v>
      </c>
      <c r="FF109" s="17">
        <f>FE109*VLOOKUP('Données projet'!$B$16,Paramètres!$A$1:$I$89,3,0)*VLOOKUP('Données projet'!$B$16,Paramètres!$A$1:$I$89,5,0)</f>
        <v>353.15280000000001</v>
      </c>
      <c r="FG109" s="13">
        <f t="shared" si="101"/>
        <v>82.211366286790636</v>
      </c>
      <c r="FH109" s="20">
        <f t="shared" si="76"/>
        <v>758.25925628282687</v>
      </c>
      <c r="FI109" s="59">
        <f t="shared" si="77"/>
        <v>1051.5925896161602</v>
      </c>
      <c r="FJ109" s="59">
        <f ca="1">AVERAGE(OFFSET($FI$3,0,0,'Données projet'!$E$16+1,1))-AVERAGE(OFFSET($H$3,0,0,'Données projet'!$E$16+1,1))</f>
        <v>383.97627237444709</v>
      </c>
      <c r="FK109" s="59">
        <f t="shared" si="102"/>
        <v>203.35476578922339</v>
      </c>
      <c r="FL109" s="15">
        <f>IF(ISNA(VLOOKUP(A109,'Données projet'!$A$217:$I$237,3,0)),0,VLOOKUP(A109,'Données projet'!$A$217:$I$237,3,0))</f>
        <v>0</v>
      </c>
      <c r="FM109" s="15">
        <f>IF(ISNA(VLOOKUP(A109,'Données projet'!$A$217:$I$237,4,0)),0,VLOOKUP(A109,'Données projet'!$A$217:$I$237,4,0))</f>
        <v>0</v>
      </c>
      <c r="FN109" s="16">
        <f>IF(ISNA(VLOOKUP(A109,'Données projet'!$A$217:$I$237,5,0)),0%,VLOOKUP(A109,'Données projet'!$A$217:$I$237,5,0)*VLOOKUP('Données projet'!$B$16,Paramètres!$A$1:$I$89,7,0))</f>
        <v>0</v>
      </c>
      <c r="FO109" s="16">
        <f>IF(ISNA(VLOOKUP(A109,'Données projet'!$A$217:$I$237,6,0)),0%,VLOOKUP(A109,'Données projet'!$A$217:$I$237,6,0)*VLOOKUP('Données projet'!$B$16,Paramètres!$A$1:$I$89,7,0))</f>
        <v>0</v>
      </c>
      <c r="FP109" s="16">
        <f>IF(ISNA(VLOOKUP(A109,'Données projet'!$A$217:$I$237,7,0)),0%,VLOOKUP(A109,'Données projet'!$A$217:$I$237,7,0))</f>
        <v>0</v>
      </c>
      <c r="FQ109" s="21">
        <f>EXP(-LN(2)/35)*FQ108+(1-EXP(-LN(2)/35))/(LN(2)/35)*FM109*FN109*VLOOKUP('Données projet'!$B$16,Paramètres!$A$1:$I$89,3,0)*0.475*44/12</f>
        <v>1.1438497979152644</v>
      </c>
      <c r="FR109" s="21">
        <f>EXP(-LN(2)/25)*FR108+(1-EXP(-LN(2)/25))/(LN(2)/25)*Calculateur!FM109*Calculateur!FO109*VLOOKUP('Données projet'!$B$16,Paramètres!$A$1:$I$89,3,0)*0.475*44/12</f>
        <v>0.71628211119713581</v>
      </c>
      <c r="FS109" s="21">
        <f>EXP(-LN(2)/2)*FS108+(1-EXP(-LN(2)/2))/(LN(2)/2)*FM109*FP109*VLOOKUP('Données projet'!$B$16,Paramètres!$A$1:$I$89,3,0)*0.475*44/12</f>
        <v>6.0558855809321874E-11</v>
      </c>
      <c r="FT109" s="22">
        <f t="shared" si="78"/>
        <v>1.8601319091729591</v>
      </c>
      <c r="FU109" s="75">
        <f>('Scénario référence'!$F$8+'Scénario référence'!$F$9+'Scénario référence'!$B$17+'Scénario référence'!$B$9+'Scénario référence'!$B$10)*70+IF((45+25*(1-EXP(-0.0175*A109)))&lt;70,'Scénario référence'!$B$16*(45+25*(1-EXP(-0.0175*A109))),70*'Scénario référence'!$B$16)+IF((32+38*(1-EXP(-0.0175*A109)))&lt;70,'Scénario référence'!$B$18*(32+38*(1-EXP(-0.0175*A109))),70*'Scénario référence'!$B$18)</f>
        <v>70</v>
      </c>
      <c r="FV109" s="12">
        <f>IF(A109&gt;30,10,('Scénario référence'!$B$16+'Scénario référence'!$B$17+'Scénario référence'!$B$18+'Scénario référence'!$B$9+'Scénario référence'!$B$10)*A109*10/30+('Scénario référence'!$F$8+'Scénario référence'!$F$9)*10)</f>
        <v>10</v>
      </c>
      <c r="FW109" s="12" t="e">
        <f>VLOOKUP(A109,'Données projet'!$A$243:$I$263,2,0)</f>
        <v>#N/A</v>
      </c>
      <c r="FX109" s="12" t="e">
        <f>VLOOKUP(A109,'Données projet'!$A$243:$I$263,9,0)</f>
        <v>#N/A</v>
      </c>
      <c r="FY109" s="12">
        <f t="array" ref="FY109">INDEX(FX:FX,MIN(IF(ISNUMBER(FX109:FX305),ROW(FX109:FX305),"")))</f>
        <v>6.9935897435897401</v>
      </c>
      <c r="FZ109" s="12">
        <f>IF('Données projet'!$A$244&gt;35,FZ108+FY109-GH108,IF(A109&lt;'Données projet'!$A$244,$FW$205^A109,IF(A109='Données projet'!$A$244,'Données projet'!$B$244,FZ108+FY109-GH108)))</f>
        <v>319.18589743589763</v>
      </c>
      <c r="GA109" s="17">
        <f>FZ109*VLOOKUP('Données projet'!$B$17,Paramètres!$A$1:$I$89,3,0)*VLOOKUP('Données projet'!$B$17,Paramètres!$A$1:$I$89,5,0)</f>
        <v>343.57170000000019</v>
      </c>
      <c r="GB109" s="13">
        <f t="shared" si="103"/>
        <v>80.237432842134865</v>
      </c>
      <c r="GC109" s="20">
        <f t="shared" si="79"/>
        <v>738.13423970005181</v>
      </c>
      <c r="GD109" s="59">
        <f t="shared" si="80"/>
        <v>1031.4675730333852</v>
      </c>
      <c r="GE109" s="59">
        <f ca="1">AVERAGE(OFFSET($GD$3,0,0,'Données projet'!$E$17+1,1))-AVERAGE(OFFSET($H$3,0,0,'Données projet'!$E$17+1,1))</f>
        <v>286.77702855541287</v>
      </c>
      <c r="GF109" s="59">
        <f t="shared" si="104"/>
        <v>227.12211541860779</v>
      </c>
      <c r="GG109" s="15">
        <f>IF(ISNA(VLOOKUP(A109,'Données projet'!$A$243:$I$263,3,0)),0,VLOOKUP(A109,'Données projet'!$A$243:$I$263,3,0))</f>
        <v>0</v>
      </c>
      <c r="GH109" s="15">
        <f>IF(ISNA(VLOOKUP(A109,'Données projet'!$A$243:$I$263,4,0)),0,VLOOKUP(A109,'Données projet'!$A$243:$I$263,4,0))</f>
        <v>0</v>
      </c>
      <c r="GI109" s="16">
        <f>IF(ISNA(VLOOKUP(A109,'Données projet'!$A$243:$I$263,5,0)),0%,VLOOKUP(A109,'Données projet'!$A$243:$I$263,5,0)*VLOOKUP('Données projet'!$B$17,Paramètres!$A$1:$I$89,7,0))</f>
        <v>0</v>
      </c>
      <c r="GJ109" s="16">
        <f>IF(ISNA(VLOOKUP(A109,'Données projet'!$A$243:$I$263,6,0)),0%,VLOOKUP(A109,'Données projet'!$A$243:$I$263,6,0)*VLOOKUP('Données projet'!$B$17,Paramètres!$A$1:$I$89,7,0))</f>
        <v>0</v>
      </c>
      <c r="GK109" s="16">
        <f>IF(ISNA(VLOOKUP(A109,'Données projet'!$A$243:$I$263,7,0)),0%,VLOOKUP(A109,'Données projet'!$A$243:$I$263,7,0))</f>
        <v>0</v>
      </c>
      <c r="GL109" s="21">
        <f>EXP(-LN(2)/35)*GL108+(1-EXP(-LN(2)/35))/(LN(2)/35)*GH109*GI109*VLOOKUP('Données projet'!$B$17,Paramètres!$A$1:$I$89,3,0)*0.475*44/12</f>
        <v>0</v>
      </c>
      <c r="GM109" s="21">
        <f>EXP(-LN(2)/25)*GM108+(1-EXP(-LN(2)/25))/(LN(2)/25)*Calculateur!GH109*Calculateur!GJ109*VLOOKUP('Données projet'!$B$17,Paramètres!$A$1:$I$89,3,0)*0.475*44/12</f>
        <v>0</v>
      </c>
      <c r="GN109" s="21">
        <f>EXP(-LN(2)/2)*GN108+(1-EXP(-LN(2)/2))/(LN(2)/2)*GH109*GK109*VLOOKUP('Données projet'!$B$17,Paramètres!$A$1:$I$89,3,0)*0.475*44/12</f>
        <v>0</v>
      </c>
      <c r="GO109" s="21">
        <f t="shared" si="81"/>
        <v>0</v>
      </c>
      <c r="GP109" s="75">
        <f>('Scénario référence'!$F$8+'Scénario référence'!$F$9+'Scénario référence'!$B$17+'Scénario référence'!$B$9+'Scénario référence'!$B$10)*70+IF((45+25*(1-EXP(-0.0175*A109)))&lt;70,'Scénario référence'!$B$16*(45+25*(1-EXP(-0.0175*A109))),70*'Scénario référence'!$B$16)+IF((32+38*(1-EXP(-0.0175*A109)))&lt;70,'Scénario référence'!$B$18*(32+38*(1-EXP(-0.0175*A109))),70*'Scénario référence'!$B$18)</f>
        <v>70</v>
      </c>
      <c r="GQ109" s="12">
        <f>IF(A109&gt;30,10,('Scénario référence'!$B$16+'Scénario référence'!$B$17+'Scénario référence'!$B$18+'Scénario référence'!$B$9+'Scénario référence'!$B$10)*A109*10/30+('Scénario référence'!$F$8+'Scénario référence'!$F$9)*10)</f>
        <v>10</v>
      </c>
      <c r="GR109" s="12" t="e">
        <f>VLOOKUP(A109,'Données projet'!$A$269:$I$289,2,0)</f>
        <v>#N/A</v>
      </c>
      <c r="GS109" s="12" t="e">
        <f>VLOOKUP(A109,'Données projet'!$A$269:$I$289,9,0)</f>
        <v>#N/A</v>
      </c>
      <c r="GT109" s="12">
        <f t="array" ref="GT109">INDEX(GS:GS,MIN(IF(ISNUMBER(GS109:GS305),ROW(GS109:GS305),"")))</f>
        <v>6.9935897435897401</v>
      </c>
      <c r="GU109" s="12">
        <f>IF('Données projet'!$A$270&gt;35,GU108+GT109-HC108,IF(A109&lt;'Données projet'!$A$270,$GR$205^A109,IF(A109='Données projet'!$A$270,'Données projet'!$B$270,GU108+GT109-HC108)))</f>
        <v>319.18589743589763</v>
      </c>
      <c r="GV109" s="17">
        <f>GU109*VLOOKUP('Données projet'!$B$18,Paramètres!$A$1:$I$89,3,0)*VLOOKUP('Données projet'!$B$18,Paramètres!$A$1:$I$89,5,0)</f>
        <v>343.57170000000019</v>
      </c>
      <c r="GW109" s="13">
        <f t="shared" si="105"/>
        <v>80.237432842134865</v>
      </c>
      <c r="GX109" s="20">
        <f t="shared" si="82"/>
        <v>738.13423970005181</v>
      </c>
      <c r="GY109" s="59">
        <f t="shared" si="83"/>
        <v>1031.4675730333852</v>
      </c>
      <c r="GZ109" s="59">
        <f ca="1">AVERAGE(OFFSET($GY$3,0,0,'Données projet'!$E$18+1,1))-AVERAGE(OFFSET($H$3,0,0,'Données projet'!$E$18+1,1))</f>
        <v>286.77702855541287</v>
      </c>
      <c r="HA109" s="59">
        <f t="shared" si="106"/>
        <v>227.12211541860779</v>
      </c>
      <c r="HB109" s="15">
        <f>IF(ISNA(VLOOKUP(A109,'Données projet'!$A$269:$I$289,3,0)),0,VLOOKUP(A109,'Données projet'!$A$269:$I$289,3,0))</f>
        <v>0</v>
      </c>
      <c r="HC109" s="15">
        <f>IF(ISNA(VLOOKUP(A109,'Données projet'!$A$269:$I$289,4,0)),0,VLOOKUP(A109,'Données projet'!$A$269:$I$289,4,0))</f>
        <v>0</v>
      </c>
      <c r="HD109" s="16">
        <f>IF(ISNA(VLOOKUP(A109,'Données projet'!$A$269:$I$289,5,0)),0%,VLOOKUP(A109,'Données projet'!$A$269:$I$289,5,0)*VLOOKUP('Données projet'!$B$18,Paramètres!$A$1:$I$89,7,0))</f>
        <v>0</v>
      </c>
      <c r="HE109" s="16">
        <f>IF(ISNA(VLOOKUP(A109,'Données projet'!$A$269:$I$289,6,0)),0%,VLOOKUP(A109,'Données projet'!$A$269:$I$289,6,0)*VLOOKUP('Données projet'!$B$18,Paramètres!$A$1:$I$89,7,0))</f>
        <v>0</v>
      </c>
      <c r="HF109" s="16">
        <f>IF(ISNA(VLOOKUP(A109,'Données projet'!$A$269:$I$289,7,0)),0%,VLOOKUP(A109,'Données projet'!$A$269:$I$289,7,0))</f>
        <v>0</v>
      </c>
      <c r="HG109" s="21">
        <f>EXP(-LN(2)/35)*HG108+(1-EXP(-LN(2)/35))/(LN(2)/35)*HC109*HD109*VLOOKUP('Données projet'!$B$18,Paramètres!$A$1:$I$89,3,0)*0.475*44/12</f>
        <v>0</v>
      </c>
      <c r="HH109" s="21">
        <f>EXP(-LN(2)/25)*HH108+(1-EXP(-LN(2)/25))/(LN(2)/25)*Calculateur!HC109*Calculateur!HE109*VLOOKUP('Données projet'!$B$18,Paramètres!$A$1:$I$89,3,0)*0.475*44/12</f>
        <v>0</v>
      </c>
      <c r="HI109" s="21">
        <f>EXP(-LN(2)/2)*HI108+(1-EXP(-LN(2)/2))/(LN(2)/2)*HC109*HF109*VLOOKUP('Données projet'!$B$18,Paramètres!$A$1:$I$89,3,0)*0.475*44/12</f>
        <v>0</v>
      </c>
      <c r="HJ109" s="22">
        <f t="shared" si="84"/>
        <v>0</v>
      </c>
    </row>
    <row r="110" spans="1:218" x14ac:dyDescent="0.25">
      <c r="A110" s="10">
        <f t="shared" si="85"/>
        <v>107</v>
      </c>
      <c r="B110" s="73">
        <f>'Scénario référence'!$B$16*5+'Scénario référence'!$B$17*0+'Scénario référence'!$B$18*5</f>
        <v>0</v>
      </c>
      <c r="C110" s="19">
        <f>Calculateur!C109+'Scénario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95.144400000000161</v>
      </c>
      <c r="D110" s="11">
        <f t="shared" si="86"/>
        <v>25.801888159247749</v>
      </c>
      <c r="E11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10" s="11">
        <f>IF(OR('Scénario référence'!$F$8&gt;0,'Scénario référence'!$F$9&gt;0),('Scénario référence'!$F$8+'Scénario référence'!$F$9)*10,0)</f>
        <v>10</v>
      </c>
      <c r="G110" s="11">
        <f>'Scénario référence'!$B$8*B110*44/12+'Scénario référence'!$B$9*(C110+D110)/0.475*44/12+'Scénario référence'!$B$10*(C110+D110)/0.475*44/12+'Scénario référence'!$F$8*(C110+D110)/0.475*44/12+'Scénario référence'!$F$9*(C110+D110)/0.475*44/12</f>
        <v>933.62047000121208</v>
      </c>
      <c r="H110" s="67">
        <f t="shared" si="56"/>
        <v>503.98145187735673</v>
      </c>
      <c r="I110" s="70">
        <f>('Scénario référence'!$F$8+'Scénario référence'!$F$9+'Scénario référence'!$B$17+'Scénario référence'!$B$9+'Scénario référence'!$B$10)*70+IF((45+25*(1-EXP(-0.0175*A110)))&lt;70,'Scénario référence'!$B$16*(45+25*(1-EXP(-0.0175*A110))),70*'Scénario référence'!$B$16)+IF((32+38*(1-EXP(-0.0175*A110)))&lt;70,'Scénario référence'!$B$18*(32+38*(1-EXP(-0.0175*A110))),70*'Scénario référence'!$B$18)</f>
        <v>70</v>
      </c>
      <c r="J110" s="13">
        <f>IF(A110&gt;30,10,('Scénario référence'!$B$16+'Scénario référence'!$B$17+'Scénario référence'!$B$18+'Scénario référence'!$B$9+'Scénario référence'!$B$10)*A110*10/30+('Scénario référence'!$F$8+'Scénario référence'!$F$9)*10)</f>
        <v>10</v>
      </c>
      <c r="K110" s="12" t="e">
        <f>VLOOKUP(A110,'Données projet'!$A$35:$I$55,2,0)</f>
        <v>#N/A</v>
      </c>
      <c r="L110" s="12" t="e">
        <f>VLOOKUP(A110,'Données projet'!$A$35:$I$55,9,0)</f>
        <v>#N/A</v>
      </c>
      <c r="M110" s="12">
        <f t="array" ref="M110">INDEX(L:L,MIN(IF(ISNUMBER(L110:L306),ROW(L110:L306),"")))</f>
        <v>0</v>
      </c>
      <c r="N110" s="13">
        <f>IF('Données projet'!$A$36&gt;35,N109+M110-V109,IF(A110&lt;'Données projet'!$A$36,$K$205^A110,IF(A110='Données projet'!$A$36,'Données projet'!$B$36,N109+M110-V109)))</f>
        <v>-2.2737367544323206E-13</v>
      </c>
      <c r="O110" s="13">
        <f>N110*VLOOKUP('Données projet'!$B$9,Paramètres!$A$1:$I$89,3,0)*VLOOKUP('Données projet'!$B$9,Paramètres!$A$1:$I$89,5,0)</f>
        <v>-1.2710188457276673E-13</v>
      </c>
      <c r="P110" s="13" t="e">
        <f t="shared" si="87"/>
        <v>#NUM!</v>
      </c>
      <c r="Q110" s="20" t="e">
        <f t="shared" si="107"/>
        <v>#NUM!</v>
      </c>
      <c r="R110" s="59" t="e">
        <f t="shared" si="55"/>
        <v>#NUM!</v>
      </c>
      <c r="S110" s="59">
        <f ca="1">AVERAGE(OFFSET($R$3,0,0,'Données projet'!$E$9+1,1))-AVERAGE(OFFSET($H$3,0,0,'Données projet'!$E$9+1,1))</f>
        <v>255.5374979188561</v>
      </c>
      <c r="T110" s="59">
        <f t="shared" si="88"/>
        <v>343.10418468620901</v>
      </c>
      <c r="U110" s="15">
        <f>IF(ISNA(VLOOKUP(A110,'Données projet'!$A$35:$I$55,3,0)),0,VLOOKUP(A110,'Données projet'!$A$35:$I$55,3,0))</f>
        <v>0</v>
      </c>
      <c r="V110" s="15">
        <f>IF(ISNA(VLOOKUP(A110,'Données projet'!$A$35:$I$55,4,0)),0,VLOOKUP(A110,'Données projet'!$A$35:$I$55,4,0))</f>
        <v>0</v>
      </c>
      <c r="W110" s="16">
        <f>IF(ISNA(VLOOKUP(A110,'Données projet'!$A$35:$I$55,5,0)),0%,VLOOKUP(A110,'Données projet'!$A$35:$I$55,5,0)*VLOOKUP('Données projet'!$B$9,Paramètres!$A$1:$I$89,7,0))</f>
        <v>0</v>
      </c>
      <c r="X110" s="16">
        <f>IF(ISNA(VLOOKUP(A110,'Données projet'!$A$35:$I$55,6,0)),0%,VLOOKUP(A110,'Données projet'!$A$35:$I$55,6,0)*VLOOKUP('Données projet'!$B$9,Paramètres!$A$1:$I$89,7,0))</f>
        <v>0</v>
      </c>
      <c r="Y110" s="16">
        <f>IF(ISNA(VLOOKUP(A110,'Données projet'!$A$35:$I$55,7,0)),0%,VLOOKUP(A110,'Données projet'!$A$35:$I$55,7,0))</f>
        <v>0</v>
      </c>
      <c r="Z110" s="21">
        <f>EXP(-LN(2)/35)*Z109+(1-EXP(-LN(2)/35))/(LN(2)/35)*V110*W110*VLOOKUP('Données projet'!$B$9,Paramètres!$A$1:$I$89,3,0)*0.475*44/12</f>
        <v>0.67250919989399305</v>
      </c>
      <c r="AA110" s="21">
        <f>EXP(-LN(2)/25)*AA109+(1-EXP(-LN(2)/25))/(LN(2)/25)*Calculateur!V110*Calculateur!X110*VLOOKUP('Données projet'!$B$9,Paramètres!$A$1:$I$89,3,0)*0.475*44/12</f>
        <v>1.88741564923901</v>
      </c>
      <c r="AB110" s="21">
        <f>EXP(-LN(2)/2)*AB109+(1-EXP(-LN(2)/2))/(LN(2)/2)*V110*Y110*VLOOKUP('Données projet'!$B$9,Paramètres!$A$1:$I$89,3,0)*0.475*44/12</f>
        <v>4.3542450423828301E-12</v>
      </c>
      <c r="AC110" s="22">
        <f t="shared" si="57"/>
        <v>2.5599248491373574</v>
      </c>
      <c r="AD110" s="13">
        <f>('Scénario référence'!$F$8+'Scénario référence'!$F$9+'Scénario référence'!$B$17+'Scénario référence'!$B$9+'Scénario référence'!$B$10)*70+IF((45+25*(1-EXP(-0.0175*A110)))&lt;70,'Scénario référence'!$B$16*(45+25*(1-EXP(-0.0175*A110))),70*'Scénario référence'!$B$16)+IF((32+38*(1-EXP(-0.0175*A110)))&lt;70,'Scénario référence'!$B$18*(32+38*(1-EXP(-0.0175*A110))),70*'Scénario référence'!$B$18)</f>
        <v>70</v>
      </c>
      <c r="AE110" s="13">
        <f>IF(A110&gt;30,10,('Scénario référence'!$B$16+'Scénario référence'!$B$17+'Scénario référence'!$B$18+'Scénario référence'!$B$9+'Scénario référence'!$B$10)*A110*10/30+('Scénario référence'!$F$8+'Scénario référence'!$F$9)*10)</f>
        <v>10</v>
      </c>
      <c r="AF110" s="12" t="e">
        <f>VLOOKUP(A110,'Données projet'!$A$61:$I$81,2,0)</f>
        <v>#N/A</v>
      </c>
      <c r="AG110" s="12" t="e">
        <f>VLOOKUP(A110,'Données projet'!$A$61:$I$81,9,0)</f>
        <v>#N/A</v>
      </c>
      <c r="AH110" s="12">
        <f t="array" ref="AH110">INDEX(AG:AG,MIN(IF(ISNUMBER(AG110:AG306),ROW(AG110:AG306),"")))</f>
        <v>0</v>
      </c>
      <c r="AI110" s="13">
        <f>IF('Données projet'!$A$62&gt;35,AI109+AH110-AQ109,IF(A110&lt;'Données projet'!$A$62,$AF$205^A110,IF(A110='Données projet'!$A$62,'Données projet'!$B$62,AI109+AH110-AQ109)))</f>
        <v>0</v>
      </c>
      <c r="AJ110" s="13">
        <f>AI110*VLOOKUP('Données projet'!$B$10,Paramètres!$A$1:$I$89,3,0)*VLOOKUP('Données projet'!$B$10,Paramètres!$A$1:$I$89,5,0)</f>
        <v>0</v>
      </c>
      <c r="AK110" s="13" t="e">
        <f t="shared" si="89"/>
        <v>#NUM!</v>
      </c>
      <c r="AL110" s="20" t="e">
        <f t="shared" si="58"/>
        <v>#NUM!</v>
      </c>
      <c r="AM110" s="59" t="e">
        <f t="shared" si="59"/>
        <v>#NUM!</v>
      </c>
      <c r="AN110" s="59">
        <f ca="1">AVERAGE(OFFSET($AM$3,0,0,'Données projet'!$E$10+1,1))-AVERAGE(OFFSET($H$3,0,0,'Données projet'!$E$10+1,1))</f>
        <v>261.78489480911571</v>
      </c>
      <c r="AO110" s="59">
        <f t="shared" si="90"/>
        <v>297.50513563712764</v>
      </c>
      <c r="AP110" s="15">
        <f>IF(ISNA(VLOOKUP(A110,'Données projet'!$A$61:$I$81,3,0)),0,VLOOKUP(A110,'Données projet'!$A$61:$I$81,3,0))</f>
        <v>0</v>
      </c>
      <c r="AQ110" s="15">
        <f>IF(ISNA(VLOOKUP(A110,'Données projet'!$A$61:$I$81,4,0)),0,VLOOKUP(A110,'Données projet'!$A$61:$I$81,4,0))</f>
        <v>0</v>
      </c>
      <c r="AR110" s="16">
        <f>IF(ISNA(VLOOKUP(A110,'Données projet'!$A$61:$I$81,5,0)),0%,VLOOKUP(A110,'Données projet'!$A$61:$I$81,5,0)*VLOOKUP('Données projet'!$B$10,Paramètres!$A$1:$I$89,7,0))</f>
        <v>0</v>
      </c>
      <c r="AS110" s="16">
        <f>IF(ISNA(VLOOKUP(A110,'Données projet'!$A$61:$I$81,6,0)),0%,VLOOKUP(A110,'Données projet'!$A$61:$I$81,6,0)*VLOOKUP('Données projet'!$B$10,Paramètres!$A$1:$I$89,7,0))</f>
        <v>0</v>
      </c>
      <c r="AT110" s="16">
        <f>IF(ISNA(VLOOKUP(A110,'Données projet'!$A$61:$I$81,7,0)),0%,VLOOKUP(A110,'Données projet'!$A$61:$I$81,7,0))</f>
        <v>0</v>
      </c>
      <c r="AU110" s="21">
        <f>EXP(-LN(2)/35)*AU109+(1-EXP(-LN(2)/35))/(LN(2)/35)*AQ110*AR110*VLOOKUP('Données projet'!$B$10,Paramètres!$A$1:$I$89,3,0)*0.475*44/12</f>
        <v>1.8159650580286131</v>
      </c>
      <c r="AV110" s="21">
        <f>EXP(-LN(2)/25)*AV109+(1-EXP(-LN(2)/25))/(LN(2)/25)*Calculateur!AQ110*Calculateur!AS110*VLOOKUP('Données projet'!$B$10,Paramètres!$A$1:$I$89,3,0)*0.475*44/12</f>
        <v>3.2958126825179104</v>
      </c>
      <c r="AW110" s="21">
        <f>EXP(-LN(2)/2)*AW109+(1-EXP(-LN(2)/2))/(LN(2)/2)*AQ110*AT110*VLOOKUP('Données projet'!$B$10,Paramètres!$A$1:$I$89,3,0)*0.475*44/12</f>
        <v>6.2770587544726263E-11</v>
      </c>
      <c r="AX110" s="21">
        <f t="shared" si="60"/>
        <v>5.1117777406092939</v>
      </c>
      <c r="AY110" s="74">
        <f>('Scénario référence'!$F$8+'Scénario référence'!$F$9+'Scénario référence'!$B$17+'Scénario référence'!$B$9+'Scénario référence'!$B$10)*70+IF((45+25*(1-EXP(-0.0175*A110)))&lt;70,'Scénario référence'!$B$16*(45+25*(1-EXP(-0.0175*A110))),70*'Scénario référence'!$B$16)+IF((32+38*(1-EXP(-0.0175*A110)))&lt;70,'Scénario référence'!$B$18*(32+38*(1-EXP(-0.0175*A110))),70*'Scénario référence'!$B$18)</f>
        <v>70</v>
      </c>
      <c r="AZ110" s="12">
        <f>IF(A110&gt;30,10,('Scénario référence'!$B$16+'Scénario référence'!$B$17+'Scénario référence'!$B$18+'Scénario référence'!$B$9+'Scénario référence'!$B$10)*A110*10/30+('Scénario référence'!$F$8+'Scénario référence'!$F$9)*10)</f>
        <v>10</v>
      </c>
      <c r="BA110" s="12" t="e">
        <f>VLOOKUP(A110,'Données projet'!$A$87:$I$107,2,0)</f>
        <v>#N/A</v>
      </c>
      <c r="BB110" s="12" t="e">
        <f>VLOOKUP(A110,'Données projet'!$A$87:$I$107,9,0)</f>
        <v>#N/A</v>
      </c>
      <c r="BC110" s="12">
        <f t="array" ref="BC110">INDEX(BB:BB,MIN(IF(ISNUMBER(BB110:BB306),ROW(BB110:BB306),"")))</f>
        <v>0</v>
      </c>
      <c r="BD110" s="12">
        <f>IF('Données projet'!$A$88&gt;35,BD109+BC110-BL109,IF(A110&lt;'Données projet'!$A$88,$BA$205^A110,IF(A110='Données projet'!$A$88,'Données projet'!$B$88,BD109+BC110-BL109)))</f>
        <v>553.99999999999955</v>
      </c>
      <c r="BE110" s="13">
        <f>BD110*VLOOKUP('Données projet'!$B$11,Paramètres!$A$1:$I$89,3,0)*VLOOKUP('Données projet'!$B$11,Paramètres!$A$1:$I$89,5,0)</f>
        <v>331.29199999999975</v>
      </c>
      <c r="BF110" s="13">
        <f t="shared" si="91"/>
        <v>77.698110787752</v>
      </c>
      <c r="BG110" s="20">
        <f t="shared" si="61"/>
        <v>712.32444295533423</v>
      </c>
      <c r="BH110" s="59">
        <f t="shared" si="62"/>
        <v>1005.6577762886675</v>
      </c>
      <c r="BI110" s="59">
        <f ca="1">AVERAGE(OFFSET($BH$3,0,0,'Données projet'!$E$11+1,1))-AVERAGE(OFFSET($H$3,0,0,'Données projet'!$E$11+1,1))</f>
        <v>316.58509520829671</v>
      </c>
      <c r="BJ110" s="59">
        <f t="shared" si="92"/>
        <v>240.71332110643596</v>
      </c>
      <c r="BK110" s="15">
        <f>IF(ISNA(VLOOKUP(A110,'Données projet'!$A$87:$I$107,3,0)),0,VLOOKUP(A110,'Données projet'!$A$87:$I$107,3,0))</f>
        <v>0</v>
      </c>
      <c r="BL110" s="15">
        <f>IF(ISNA(VLOOKUP(A110,'Données projet'!$A$87:$I$107,4,0)),0,VLOOKUP(A110,'Données projet'!$A$87:$I$107,4,0))</f>
        <v>0</v>
      </c>
      <c r="BM110" s="16">
        <f>IF(ISNA(VLOOKUP(A110,'Données projet'!$A$87:$I$107,5,0)),0%,VLOOKUP(A110,'Données projet'!$A$87:$I$107,5,0)*VLOOKUP('Données projet'!$B$11,Paramètres!$A$1:$I$89,7,0))</f>
        <v>0</v>
      </c>
      <c r="BN110" s="16">
        <f>IF(ISNA(VLOOKUP(A110,'Données projet'!$A$87:$I$107,6,0)),0%,VLOOKUP(A110,'Données projet'!$A$87:$I$107,6,0)*VLOOKUP('Données projet'!$B$11,Paramètres!$A$1:$I$89,7,0))</f>
        <v>0</v>
      </c>
      <c r="BO110" s="16">
        <f>IF(ISNA(VLOOKUP(A110,'Données projet'!$A$87:$I$107,7,0)),0%,VLOOKUP(A110,'Données projet'!$A$87:$I$107,7,0))</f>
        <v>0</v>
      </c>
      <c r="BP110" s="21">
        <f>EXP(-LN(2)/35)*BP109+(1-EXP(-LN(2)/35))/(LN(2)/35)*BL110*BM110*VLOOKUP('Données projet'!$B$11,Paramètres!$A$1:$I$89,3,0)*0.475*44/12</f>
        <v>0.55161289802096836</v>
      </c>
      <c r="BQ110" s="21">
        <f>EXP(-LN(2)/25)*BQ109+(1-EXP(-LN(2)/25))/(LN(2)/25)*Calculateur!BL110*Calculateur!BN110*VLOOKUP('Données projet'!$B$11,Paramètres!$A$1:$I$89,3,0)*0.475*44/12</f>
        <v>1.8055423529581831</v>
      </c>
      <c r="BR110" s="21">
        <f>EXP(-LN(2)/2)*BR109+(1-EXP(-LN(2)/2))/(LN(2)/2)*BL110*BO110*VLOOKUP('Données projet'!$B$11,Paramètres!$A$1:$I$89,3,0)*0.475*44/12</f>
        <v>5.6437632373398567E-11</v>
      </c>
      <c r="BS110" s="22">
        <f t="shared" si="63"/>
        <v>2.3571552510355889</v>
      </c>
      <c r="BT110" s="75">
        <f>('Scénario référence'!$F$8+'Scénario référence'!$F$9+'Scénario référence'!$B$17+'Scénario référence'!$B$9+'Scénario référence'!$B$10)*70+IF((45+25*(1-EXP(-0.0175*A110)))&lt;70,'Scénario référence'!$B$16*(45+25*(1-EXP(-0.0175*A110))),70*'Scénario référence'!$B$16)+IF((32+38*(1-EXP(-0.0175*A110)))&lt;70,'Scénario référence'!$B$18*(32+38*(1-EXP(-0.0175*A110))),70*'Scénario référence'!$B$18)</f>
        <v>70</v>
      </c>
      <c r="BU110" s="12">
        <f>IF(A110&gt;30,10,('Scénario référence'!$B$16+'Scénario référence'!$B$17+'Scénario référence'!$B$18+'Scénario référence'!$B$9+'Scénario référence'!$B$10)*A110*10/30+('Scénario référence'!$F$8+'Scénario référence'!$F$9)*10)</f>
        <v>10</v>
      </c>
      <c r="BV110" s="12" t="e">
        <f>VLOOKUP(A110,'Données projet'!$A$113:$I$133,2,0)</f>
        <v>#N/A</v>
      </c>
      <c r="BW110" s="12" t="e">
        <f>VLOOKUP(A110,'Données projet'!$A$113:$I$133,9,0)</f>
        <v>#N/A</v>
      </c>
      <c r="BX110" s="12">
        <f t="array" ref="BX110">INDEX(BW:BW,MIN(IF(ISNUMBER(BW110:BW306),ROW(BW110:BW306),"")))</f>
        <v>0</v>
      </c>
      <c r="BY110" s="12">
        <f>IF('Données projet'!$A$114&gt;35,BY109+BX110-CG109,IF(A110&lt;'Données projet'!$A$114,$BV$205^A110,IF(A110='Données projet'!$A$114,'Données projet'!$B$114,BY109+BX110-CG109)))</f>
        <v>333.99999999999977</v>
      </c>
      <c r="BZ110" s="13">
        <f>BY110*VLOOKUP('Données projet'!$B$12,Paramètres!$A$1:$I$89,3,0)*VLOOKUP('Données projet'!$B$12,Paramètres!$A$1:$I$89,5,0)</f>
        <v>191.04799999999986</v>
      </c>
      <c r="CA110" s="13">
        <f t="shared" si="93"/>
        <v>47.771576544305155</v>
      </c>
      <c r="CB110" s="20">
        <f t="shared" si="64"/>
        <v>415.94409581466454</v>
      </c>
      <c r="CC110" s="59">
        <f t="shared" si="65"/>
        <v>709.27742914799785</v>
      </c>
      <c r="CD110" s="59">
        <f ca="1">AVERAGE(OFFSET($CC$3,0,0,'Données projet'!$E$12+1,1))-AVERAGE(OFFSET($H$3,0,0,'Données projet'!$E$12+1,1))</f>
        <v>188.64374818906128</v>
      </c>
      <c r="CE110" s="59">
        <f t="shared" si="94"/>
        <v>211.95157880548652</v>
      </c>
      <c r="CF110" s="15">
        <f>IF(ISNA(VLOOKUP(A110,'Données projet'!$A$113:$I$133,3,0)),0,VLOOKUP(A110,'Données projet'!$A$113:$I$133,3,0))</f>
        <v>0</v>
      </c>
      <c r="CG110" s="15">
        <f>IF(ISNA(VLOOKUP(A110,'Données projet'!$A$113:$I$133,4,0)),0,VLOOKUP(A110,'Données projet'!$A$113:$I$133,4,0))</f>
        <v>0</v>
      </c>
      <c r="CH110" s="16">
        <f>IF(ISNA(VLOOKUP(A110,'Données projet'!$A$113:$I$133,5,0)),0%,VLOOKUP(A110,'Données projet'!$A$113:$I$133,5,0)*VLOOKUP('Données projet'!$B$12,Paramètres!$A$1:$I$89,7,0))</f>
        <v>0</v>
      </c>
      <c r="CI110" s="16">
        <f>IF(ISNA(VLOOKUP(A110,'Données projet'!$A$113:$I$133,6,0)),0%,VLOOKUP(A110,'Données projet'!$A$113:$I$133,6,0)*VLOOKUP('Données projet'!$B$12,Paramètres!$A$1:$I$89,7,0))</f>
        <v>0</v>
      </c>
      <c r="CJ110" s="16">
        <f>IF(ISNA(VLOOKUP(A110,'Données projet'!$A$113:$I$133,7,0)),0%,VLOOKUP(A110,'Données projet'!$A$113:$I$133,7,0))</f>
        <v>0</v>
      </c>
      <c r="CK110" s="21">
        <f>EXP(-LN(2)/35)*CK109+(1-EXP(-LN(2)/35))/(LN(2)/35)*CG110*CH110*VLOOKUP('Données projet'!$B$12,Paramètres!$A$1:$I$89,3,0)*0.475*44/12</f>
        <v>0.53506113316914472</v>
      </c>
      <c r="CL110" s="21">
        <f>EXP(-LN(2)/25)*CL109+(1-EXP(-LN(2)/25))/(LN(2)/25)*Calculateur!CG110*Calculateur!CI110*VLOOKUP('Données projet'!$B$12,Paramètres!$A$1:$I$89,3,0)*0.475*44/12</f>
        <v>1.699417343265788</v>
      </c>
      <c r="CM110" s="21">
        <f>EXP(-LN(2)/2)*CM109+(1-EXP(-LN(2)/2))/(LN(2)/2)*CG110*CJ110*VLOOKUP('Données projet'!$B$12,Paramètres!$A$1:$I$89,3,0)*0.475*44/12</f>
        <v>5.4655431207699346E-11</v>
      </c>
      <c r="CN110" s="22">
        <f t="shared" si="66"/>
        <v>2.234478476489588</v>
      </c>
      <c r="CO110" s="75">
        <f>('Scénario référence'!$F$8+'Scénario référence'!$F$9+'Scénario référence'!$B$17+'Scénario référence'!$B$9+'Scénario référence'!$B$10)*70+IF((45+25*(1-EXP(-0.0175*A110)))&lt;70,'Scénario référence'!$B$16*(45+25*(1-EXP(-0.0175*A110))),70*'Scénario référence'!$B$16)+IF((32+38*(1-EXP(-0.0175*A110)))&lt;70,'Scénario référence'!$B$18*(32+38*(1-EXP(-0.0175*A110))),70*'Scénario référence'!$B$18)</f>
        <v>70</v>
      </c>
      <c r="CP110" s="12">
        <f>IF(A110&gt;30,10,('Scénario référence'!$B$16+'Scénario référence'!$B$17+'Scénario référence'!$B$18+'Scénario référence'!$B$9+'Scénario référence'!$B$10)*A110*10/30+('Scénario référence'!$F$8+'Scénario référence'!$F$9)*10)</f>
        <v>10</v>
      </c>
      <c r="CQ110" s="12" t="e">
        <f>VLOOKUP(A110,'Données projet'!$A$139:$I$159,2,0)</f>
        <v>#N/A</v>
      </c>
      <c r="CR110" s="12" t="e">
        <f>VLOOKUP(A110,'Données projet'!$A$139:$I$159,9,0)</f>
        <v>#N/A</v>
      </c>
      <c r="CS110" s="12">
        <f t="array" ref="CS110">INDEX(CR:CR,MIN(IF(ISNUMBER(CR110:CR306),ROW(CR110:CR306),"")))</f>
        <v>0</v>
      </c>
      <c r="CT110" s="12">
        <f>IF('Données projet'!$A$140&gt;35,CT109+CS110-DB109,IF(A110&lt;'Données projet'!$A$140,$CQ$205^A110,IF(A110='Données projet'!$A$140,'Données projet'!$B$140,CT109+CS110-DB109)))</f>
        <v>0</v>
      </c>
      <c r="CU110" s="17" t="e">
        <f>CT110*VLOOKUP('Données projet'!$B$13,Paramètres!$A$1:$I$89,3,0)*VLOOKUP('Données projet'!$B$13,Paramètres!$A$1:$I$89,5,0)</f>
        <v>#N/A</v>
      </c>
      <c r="CV110" s="13" t="e">
        <f t="shared" si="95"/>
        <v>#N/A</v>
      </c>
      <c r="CW110" s="20" t="e">
        <f t="shared" si="67"/>
        <v>#N/A</v>
      </c>
      <c r="CX110" s="59" t="e">
        <f t="shared" si="68"/>
        <v>#N/A</v>
      </c>
      <c r="CY110" s="59" t="e">
        <f ca="1">AVERAGE(OFFSET($CX$3,0,0,'Données projet'!$E$13+1,1))-AVERAGE(OFFSET($H$3,0,0,'Données projet'!$E$13+1,1))</f>
        <v>#N/A</v>
      </c>
      <c r="CZ110" s="59" t="e">
        <f t="shared" si="96"/>
        <v>#N/A</v>
      </c>
      <c r="DA110" s="15">
        <f>IF(ISNA(VLOOKUP(A110,'Données projet'!$A$139:$I$159,3,0)),0,VLOOKUP(A110,'Données projet'!$A$139:$I$159,3,0))</f>
        <v>0</v>
      </c>
      <c r="DB110" s="15">
        <f>IF(ISNA(VLOOKUP(A110,'Données projet'!$A$139:$I$159,4,0)),0,VLOOKUP(A110,'Données projet'!$A$139:$I$159,4,0))</f>
        <v>0</v>
      </c>
      <c r="DC110" s="16">
        <f>IF(ISNA(VLOOKUP(A110,'Données projet'!$A$139:$I$159,5,0)),0%,VLOOKUP(A110,'Données projet'!$A$139:$I$159,5,0)*VLOOKUP('Données projet'!$B$13,Paramètres!$A$1:$I$89,7,0))</f>
        <v>0</v>
      </c>
      <c r="DD110" s="16">
        <f>IF(ISNA(VLOOKUP(A110,'Données projet'!$A$139:$I$159,6,0)),0%,VLOOKUP(A110,'Données projet'!$A$139:$I$159,6,0)*VLOOKUP('Données projet'!$B$13,Paramètres!$A$1:$I$89,7,0))</f>
        <v>0</v>
      </c>
      <c r="DE110" s="16">
        <f>IF(ISNA(VLOOKUP(A110,'Données projet'!$A$139:$I$159,7,0)),0%,VLOOKUP(A110,'Données projet'!$A$139:$I$159,7,0))</f>
        <v>0</v>
      </c>
      <c r="DF110" s="21" t="e">
        <f>EXP(-LN(2)/35)*DF109+(1-EXP(-LN(2)/35))/(LN(2)/35)*DB110*DC110*VLOOKUP('Données projet'!$B$13,Paramètres!$A$1:$I$89,3,0)*0.475*44/12</f>
        <v>#N/A</v>
      </c>
      <c r="DG110" s="21" t="e">
        <f>EXP(-LN(2)/25)*DG109+(1-EXP(-LN(2)/25))/(LN(2)/25)*Calculateur!DB110*Calculateur!DD110*VLOOKUP('Données projet'!$B$13,Paramètres!$A$1:$I$89,3,0)*0.475*44/12</f>
        <v>#N/A</v>
      </c>
      <c r="DH110" s="21" t="e">
        <f>EXP(-LN(2)/2)*DH109+(1-EXP(-LN(2)/2))/(LN(2)/2)*DB110*DE110*VLOOKUP('Données projet'!$B$13,Paramètres!$A$1:$I$89,3,0)*0.475*44/12</f>
        <v>#N/A</v>
      </c>
      <c r="DI110" s="22" t="e">
        <f t="shared" si="69"/>
        <v>#N/A</v>
      </c>
      <c r="DJ110" s="75">
        <f>('Scénario référence'!$F$8+'Scénario référence'!$F$9+'Scénario référence'!$B$17+'Scénario référence'!$B$9+'Scénario référence'!$B$10)*70+IF((45+25*(1-EXP(-0.0175*A110)))&lt;70,'Scénario référence'!$B$16*(45+25*(1-EXP(-0.0175*A110))),70*'Scénario référence'!$B$16)+IF((32+38*(1-EXP(-0.0175*A110)))&lt;70,'Scénario référence'!$B$18*(32+38*(1-EXP(-0.0175*A110))),70*'Scénario référence'!$B$18)</f>
        <v>70</v>
      </c>
      <c r="DK110" s="12">
        <f>IF(A110&gt;30,10,('Scénario référence'!$B$16+'Scénario référence'!$B$17+'Scénario référence'!$B$18+'Scénario référence'!$B$9+'Scénario référence'!$B$10)*A110*10/30+('Scénario référence'!$F$8+'Scénario référence'!$F$9)*10)</f>
        <v>10</v>
      </c>
      <c r="DL110" s="12" t="e">
        <f>VLOOKUP(A110,'Données projet'!$A$165:$I$185,2,0)</f>
        <v>#N/A</v>
      </c>
      <c r="DM110" s="12" t="e">
        <f>VLOOKUP(A110,'Données projet'!$A$165:$I$185,9,0)</f>
        <v>#N/A</v>
      </c>
      <c r="DN110" s="12">
        <f t="array" ref="DN110">INDEX(DM:DM,MIN(IF(ISNUMBER(DM110:DM306),ROW(DM110:DM306),"")))</f>
        <v>0</v>
      </c>
      <c r="DO110" s="12">
        <f>IF('Données projet'!$A$166&gt;35,DO109+DN110-DW109,IF(A110&lt;'Données projet'!$A$166,$DL$205^A110,IF(A110='Données projet'!$A$166,'Données projet'!$B$166,DO109+DN110-DW109)))</f>
        <v>268.00000000000017</v>
      </c>
      <c r="DP110" s="17">
        <f>DO110*VLOOKUP('Données projet'!$B$14,Paramètres!$A$1:$I$89,3,0)*VLOOKUP('Données projet'!$B$14,Paramètres!$A$1:$I$89,5,0)</f>
        <v>175.59360000000012</v>
      </c>
      <c r="DQ110" s="13">
        <f t="shared" si="97"/>
        <v>44.340433728638573</v>
      </c>
      <c r="DR110" s="20">
        <f t="shared" si="70"/>
        <v>383.05177541071242</v>
      </c>
      <c r="DS110" s="59">
        <f t="shared" si="71"/>
        <v>676.38510874404574</v>
      </c>
      <c r="DT110" s="59">
        <f ca="1">AVERAGE(OFFSET($DS$3,0,0,'Données projet'!$E$14+1,1))-AVERAGE(OFFSET($H$3,0,0,'Données projet'!$E$14+1,1))</f>
        <v>188.68915783955595</v>
      </c>
      <c r="DU110" s="59">
        <f t="shared" si="98"/>
        <v>240.82467772396944</v>
      </c>
      <c r="DV110" s="15">
        <f>IF(ISNA(VLOOKUP(A110,'Données projet'!$A$165:$I$185,3,0)),0,VLOOKUP(A110,'Données projet'!$A$165:$I$185,3,0))</f>
        <v>0</v>
      </c>
      <c r="DW110" s="15">
        <f>IF(ISNA(VLOOKUP(A110,'Données projet'!$A$165:$I$185,4,0)),0,VLOOKUP(A110,'Données projet'!$A$165:$I$185,4,0))</f>
        <v>0</v>
      </c>
      <c r="DX110" s="16">
        <f>IF(ISNA(VLOOKUP(A110,'Données projet'!$A$165:$I$185,5,0)),0%,VLOOKUP(A110,'Données projet'!$A$165:$I$185,5,0)*VLOOKUP('Données projet'!$B$14,Paramètres!$A$1:$I$89,7,0))</f>
        <v>0</v>
      </c>
      <c r="DY110" s="16">
        <f>IF(ISNA(VLOOKUP(A110,'Données projet'!$A$165:$I$185,6,0)),0%,VLOOKUP(A110,'Données projet'!$A$165:$I$185,6,0)*VLOOKUP('Données projet'!$B$14,Paramètres!$A$1:$I$89,7,0))</f>
        <v>0</v>
      </c>
      <c r="DZ110" s="16">
        <f>IF(ISNA(VLOOKUP(A110,'Données projet'!$A$165:$I$185,7,0)),0%,VLOOKUP(A110,'Données projet'!$A$165:$I$185,7,0))</f>
        <v>0</v>
      </c>
      <c r="EA110" s="21">
        <f>EXP(-LN(2)/35)*EA109+(1-EXP(-LN(2)/35))/(LN(2)/35)*DW110*DX110*VLOOKUP('Données projet'!$B$14,Paramètres!$A$1:$I$89,3,0)*0.475*44/12</f>
        <v>0.33891708982304813</v>
      </c>
      <c r="EB110" s="21">
        <f>EXP(-LN(2)/25)*EB109+(1-EXP(-LN(2)/25))/(LN(2)/25)*Calculateur!DW110*Calculateur!DY110*VLOOKUP('Données projet'!$B$14,Paramètres!$A$1:$I$89,3,0)*0.475*44/12</f>
        <v>0.95055487871409239</v>
      </c>
      <c r="EC110" s="21">
        <f>EXP(-LN(2)/2)*EC109+(1-EXP(-LN(2)/2))/(LN(2)/2)*DW110*DZ110*VLOOKUP('Données projet'!$B$14,Paramètres!$A$1:$I$89,3,0)*0.475*44/12</f>
        <v>3.6004912542195892E-11</v>
      </c>
      <c r="ED110" s="22">
        <f t="shared" si="72"/>
        <v>1.2894719685731455</v>
      </c>
      <c r="EE110" s="75">
        <f>('Scénario référence'!$F$8+'Scénario référence'!$F$9+'Scénario référence'!$B$17+'Scénario référence'!$B$9+'Scénario référence'!$B$10)*70+IF((45+25*(1-EXP(-0.0175*A110)))&lt;70,'Scénario référence'!$B$16*(45+25*(1-EXP(-0.0175*A110))),70*'Scénario référence'!$B$16)+IF((32+38*(1-EXP(-0.0175*A110)))&lt;70,'Scénario référence'!$B$18*(32+38*(1-EXP(-0.0175*A110))),70*'Scénario référence'!$B$18)</f>
        <v>70</v>
      </c>
      <c r="EF110" s="12">
        <f>IF(A110&gt;30,10,('Scénario référence'!$B$16+'Scénario référence'!$B$17+'Scénario référence'!$B$18+'Scénario référence'!$B$9+'Scénario référence'!$B$10)*A110*10/30+('Scénario référence'!$F$8+'Scénario référence'!$F$9)*10)</f>
        <v>10</v>
      </c>
      <c r="EG110" s="12" t="e">
        <f>VLOOKUP(A110,'Données projet'!$A$191:$I$211,2,0)</f>
        <v>#N/A</v>
      </c>
      <c r="EH110" s="12" t="e">
        <f>VLOOKUP(A110,'Données projet'!$A$191:$I$211,9,0)</f>
        <v>#N/A</v>
      </c>
      <c r="EI110" s="12">
        <f t="array" ref="EI110">INDEX(EH:EH,MIN(IF(ISNUMBER(EH110:EH306),ROW(EH110:EH306),"")))</f>
        <v>0</v>
      </c>
      <c r="EJ110" s="12">
        <f>IF('Données projet'!$A$192&gt;35,EJ109+EI110-ER109,IF(A110&lt;'Données projet'!$A$192,$EG$205^A110,IF(A110='Données projet'!$A$192,'Données projet'!$B$192,EJ109+EI110-ER109)))</f>
        <v>275.99999999999972</v>
      </c>
      <c r="EK110" s="17">
        <f>EJ110*VLOOKUP('Données projet'!$B$15,Paramètres!$A$1:$I$89,3,0)*VLOOKUP('Données projet'!$B$15,Paramètres!$A$1:$I$89,5,0)</f>
        <v>223.8911999999998</v>
      </c>
      <c r="EL110" s="13">
        <f t="shared" si="99"/>
        <v>54.95975389514858</v>
      </c>
      <c r="EM110" s="20">
        <f t="shared" si="73"/>
        <v>485.66541136738346</v>
      </c>
      <c r="EN110" s="59">
        <f t="shared" si="74"/>
        <v>778.99874470071677</v>
      </c>
      <c r="EO110" s="59">
        <f ca="1">AVERAGE(OFFSET($EN$3,0,0,'Données projet'!$E$15+1,1))-AVERAGE(OFFSET($H$3,0,0,'Données projet'!$E$15+1,1))</f>
        <v>205.5272583787887</v>
      </c>
      <c r="EP110" s="59">
        <f t="shared" si="100"/>
        <v>180.54762778843178</v>
      </c>
      <c r="EQ110" s="15">
        <f>IF(ISNA(VLOOKUP(A110,'Données projet'!$A$191:$I$211,3,0)),0,VLOOKUP(A110,'Données projet'!$A$191:$I$211,3,0))</f>
        <v>0</v>
      </c>
      <c r="ER110" s="15">
        <f>IF(ISNA(VLOOKUP(A110,'Données projet'!$A$191:$I$211,4,0)),0,VLOOKUP(A110,'Données projet'!$A$191:$I$211,4,0))</f>
        <v>0</v>
      </c>
      <c r="ES110" s="16">
        <f>IF(ISNA(VLOOKUP(A110,'Données projet'!$A$191:$I$211,5,0)),0%,VLOOKUP(A110,'Données projet'!$A$191:$I$211,5,0)*VLOOKUP('Données projet'!$B$15,Paramètres!$A$1:$I$89,7,0))</f>
        <v>0</v>
      </c>
      <c r="ET110" s="16">
        <f>IF(ISNA(VLOOKUP(A110,'Données projet'!$A$191:$I$211,6,0)),0%,VLOOKUP(A110,'Données projet'!$A$191:$I$211,6,0)*VLOOKUP('Données projet'!$B$15,Paramètres!$A$1:$I$89,7,0))</f>
        <v>0</v>
      </c>
      <c r="EU110" s="16">
        <f>IF(ISNA(VLOOKUP(A110,'Données projet'!$A$191:$I$211,7,0)),0%,VLOOKUP(A110,'Données projet'!$A$191:$I$211,7,0))</f>
        <v>0</v>
      </c>
      <c r="EV110" s="21">
        <f>EXP(-LN(2)/35)*EV109+(1-EXP(-LN(2)/35))/(LN(2)/35)*ER110*ES110*VLOOKUP('Données projet'!$B$15,Paramètres!$A$1:$I$89,3,0)*0.475*44/12</f>
        <v>0.21819805020988622</v>
      </c>
      <c r="EW110" s="21">
        <f>EXP(-LN(2)/25)*EW109+(1-EXP(-LN(2)/25))/(LN(2)/25)*Calculateur!ER110*Calculateur!ET110*VLOOKUP('Données projet'!$B$15,Paramètres!$A$1:$I$89,3,0)*0.475*44/12</f>
        <v>0.68632945843099169</v>
      </c>
      <c r="EX110" s="21">
        <f>EXP(-LN(2)/2)*EX109+(1-EXP(-LN(2)/2))/(LN(2)/2)*ER110*EU110*VLOOKUP('Données projet'!$B$15,Paramètres!$A$1:$I$89,3,0)*0.475*44/12</f>
        <v>2.3313207494047717E-11</v>
      </c>
      <c r="EY110" s="22">
        <f t="shared" si="75"/>
        <v>0.90452750866419118</v>
      </c>
      <c r="EZ110" s="75">
        <f>('Scénario référence'!$F$8+'Scénario référence'!$F$9+'Scénario référence'!$B$17+'Scénario référence'!$B$9+'Scénario référence'!$B$10)*70+IF((45+25*(1-EXP(-0.0175*A110)))&lt;70,'Scénario référence'!$B$16*(45+25*(1-EXP(-0.0175*A110))),70*'Scénario référence'!$B$16)+IF((32+38*(1-EXP(-0.0175*A110)))&lt;70,'Scénario référence'!$B$18*(32+38*(1-EXP(-0.0175*A110))),70*'Scénario référence'!$B$18)</f>
        <v>70</v>
      </c>
      <c r="FA110" s="12">
        <f>IF(A110&gt;30,10,('Scénario référence'!$B$16+'Scénario référence'!$B$17+'Scénario référence'!$B$18+'Scénario référence'!$B$9+'Scénario référence'!$B$10)*A110*10/30+('Scénario référence'!$F$8+'Scénario référence'!$F$9)*10)</f>
        <v>10</v>
      </c>
      <c r="FB110" s="12" t="e">
        <f>VLOOKUP(A110,'Données projet'!$A$217:$I$237,2,0)</f>
        <v>#N/A</v>
      </c>
      <c r="FC110" s="12" t="e">
        <f>VLOOKUP(A110,'Données projet'!$A$217:$I$237,9,0)</f>
        <v>#N/A</v>
      </c>
      <c r="FD110" s="12">
        <f t="array" ref="FD110">INDEX(FC:FC,MIN(IF(ISNUMBER(FC110:FC306),ROW(FC110:FC306),"")))</f>
        <v>8.6</v>
      </c>
      <c r="FE110" s="12">
        <f>IF('Données projet'!$A$218&gt;35,FE109+FD110-FM109,IF(A110&lt;'Données projet'!$A$218,$FB$205^A110,IF(A110='Données projet'!$A$218,'Données projet'!$B$218,FE109+FD110-FM109)))</f>
        <v>420.2</v>
      </c>
      <c r="FF110" s="17">
        <f>FE110*VLOOKUP('Données projet'!$B$16,Paramètres!$A$1:$I$89,3,0)*VLOOKUP('Données projet'!$B$16,Paramètres!$A$1:$I$89,5,0)</f>
        <v>360.53160000000003</v>
      </c>
      <c r="FG110" s="13">
        <f t="shared" si="101"/>
        <v>83.727321203860768</v>
      </c>
      <c r="FH110" s="20">
        <f t="shared" si="76"/>
        <v>773.75095443005739</v>
      </c>
      <c r="FI110" s="59">
        <f t="shared" si="77"/>
        <v>1067.0842877633906</v>
      </c>
      <c r="FJ110" s="59">
        <f ca="1">AVERAGE(OFFSET($FI$3,0,0,'Données projet'!$E$16+1,1))-AVERAGE(OFFSET($H$3,0,0,'Données projet'!$E$16+1,1))</f>
        <v>383.97627237444709</v>
      </c>
      <c r="FK110" s="59">
        <f t="shared" si="102"/>
        <v>203.35476578922339</v>
      </c>
      <c r="FL110" s="15">
        <f>IF(ISNA(VLOOKUP(A110,'Données projet'!$A$217:$I$237,3,0)),0,VLOOKUP(A110,'Données projet'!$A$217:$I$237,3,0))</f>
        <v>0</v>
      </c>
      <c r="FM110" s="15">
        <f>IF(ISNA(VLOOKUP(A110,'Données projet'!$A$217:$I$237,4,0)),0,VLOOKUP(A110,'Données projet'!$A$217:$I$237,4,0))</f>
        <v>0</v>
      </c>
      <c r="FN110" s="16">
        <f>IF(ISNA(VLOOKUP(A110,'Données projet'!$A$217:$I$237,5,0)),0%,VLOOKUP(A110,'Données projet'!$A$217:$I$237,5,0)*VLOOKUP('Données projet'!$B$16,Paramètres!$A$1:$I$89,7,0))</f>
        <v>0</v>
      </c>
      <c r="FO110" s="16">
        <f>IF(ISNA(VLOOKUP(A110,'Données projet'!$A$217:$I$237,6,0)),0%,VLOOKUP(A110,'Données projet'!$A$217:$I$237,6,0)*VLOOKUP('Données projet'!$B$16,Paramètres!$A$1:$I$89,7,0))</f>
        <v>0</v>
      </c>
      <c r="FP110" s="16">
        <f>IF(ISNA(VLOOKUP(A110,'Données projet'!$A$217:$I$237,7,0)),0%,VLOOKUP(A110,'Données projet'!$A$217:$I$237,7,0))</f>
        <v>0</v>
      </c>
      <c r="FQ110" s="21">
        <f>EXP(-LN(2)/35)*FQ109+(1-EXP(-LN(2)/35))/(LN(2)/35)*FM110*FN110*VLOOKUP('Données projet'!$B$16,Paramètres!$A$1:$I$89,3,0)*0.475*44/12</f>
        <v>1.1214196010576327</v>
      </c>
      <c r="FR110" s="21">
        <f>EXP(-LN(2)/25)*FR109+(1-EXP(-LN(2)/25))/(LN(2)/25)*Calculateur!FM110*Calculateur!FO110*VLOOKUP('Données projet'!$B$16,Paramètres!$A$1:$I$89,3,0)*0.475*44/12</f>
        <v>0.69669533919881099</v>
      </c>
      <c r="FS110" s="21">
        <f>EXP(-LN(2)/2)*FS109+(1-EXP(-LN(2)/2))/(LN(2)/2)*FM110*FP110*VLOOKUP('Données projet'!$B$16,Paramètres!$A$1:$I$89,3,0)*0.475*44/12</f>
        <v>4.2821577603669845E-11</v>
      </c>
      <c r="FT110" s="22">
        <f t="shared" si="78"/>
        <v>1.8181149402992653</v>
      </c>
      <c r="FU110" s="75">
        <f>('Scénario référence'!$F$8+'Scénario référence'!$F$9+'Scénario référence'!$B$17+'Scénario référence'!$B$9+'Scénario référence'!$B$10)*70+IF((45+25*(1-EXP(-0.0175*A110)))&lt;70,'Scénario référence'!$B$16*(45+25*(1-EXP(-0.0175*A110))),70*'Scénario référence'!$B$16)+IF((32+38*(1-EXP(-0.0175*A110)))&lt;70,'Scénario référence'!$B$18*(32+38*(1-EXP(-0.0175*A110))),70*'Scénario référence'!$B$18)</f>
        <v>70</v>
      </c>
      <c r="FV110" s="12">
        <f>IF(A110&gt;30,10,('Scénario référence'!$B$16+'Scénario référence'!$B$17+'Scénario référence'!$B$18+'Scénario référence'!$B$9+'Scénario référence'!$B$10)*A110*10/30+('Scénario référence'!$F$8+'Scénario référence'!$F$9)*10)</f>
        <v>10</v>
      </c>
      <c r="FW110" s="12" t="e">
        <f>VLOOKUP(A110,'Données projet'!$A$243:$I$263,2,0)</f>
        <v>#N/A</v>
      </c>
      <c r="FX110" s="12" t="e">
        <f>VLOOKUP(A110,'Données projet'!$A$243:$I$263,9,0)</f>
        <v>#N/A</v>
      </c>
      <c r="FY110" s="12">
        <f t="array" ref="FY110">INDEX(FX:FX,MIN(IF(ISNUMBER(FX110:FX306),ROW(FX110:FX306),"")))</f>
        <v>6.9935897435897401</v>
      </c>
      <c r="FZ110" s="12">
        <f>IF('Données projet'!$A$244&gt;35,FZ109+FY110-GH109,IF(A110&lt;'Données projet'!$A$244,$FW$205^A110,IF(A110='Données projet'!$A$244,'Données projet'!$B$244,FZ109+FY110-GH109)))</f>
        <v>326.17948717948735</v>
      </c>
      <c r="GA110" s="17">
        <f>FZ110*VLOOKUP('Données projet'!$B$17,Paramètres!$A$1:$I$89,3,0)*VLOOKUP('Données projet'!$B$17,Paramètres!$A$1:$I$89,5,0)</f>
        <v>351.09960000000012</v>
      </c>
      <c r="GB110" s="13">
        <f t="shared" si="103"/>
        <v>81.788888946068028</v>
      </c>
      <c r="GC110" s="20">
        <f t="shared" si="79"/>
        <v>753.94745158106855</v>
      </c>
      <c r="GD110" s="59">
        <f t="shared" si="80"/>
        <v>1047.2807849144019</v>
      </c>
      <c r="GE110" s="59">
        <f ca="1">AVERAGE(OFFSET($GD$3,0,0,'Données projet'!$E$17+1,1))-AVERAGE(OFFSET($H$3,0,0,'Données projet'!$E$17+1,1))</f>
        <v>286.77702855541287</v>
      </c>
      <c r="GF110" s="59">
        <f t="shared" si="104"/>
        <v>227.12211541860779</v>
      </c>
      <c r="GG110" s="15">
        <f>IF(ISNA(VLOOKUP(A110,'Données projet'!$A$243:$I$263,3,0)),0,VLOOKUP(A110,'Données projet'!$A$243:$I$263,3,0))</f>
        <v>0</v>
      </c>
      <c r="GH110" s="15">
        <f>IF(ISNA(VLOOKUP(A110,'Données projet'!$A$243:$I$263,4,0)),0,VLOOKUP(A110,'Données projet'!$A$243:$I$263,4,0))</f>
        <v>0</v>
      </c>
      <c r="GI110" s="16">
        <f>IF(ISNA(VLOOKUP(A110,'Données projet'!$A$243:$I$263,5,0)),0%,VLOOKUP(A110,'Données projet'!$A$243:$I$263,5,0)*VLOOKUP('Données projet'!$B$17,Paramètres!$A$1:$I$89,7,0))</f>
        <v>0</v>
      </c>
      <c r="GJ110" s="16">
        <f>IF(ISNA(VLOOKUP(A110,'Données projet'!$A$243:$I$263,6,0)),0%,VLOOKUP(A110,'Données projet'!$A$243:$I$263,6,0)*VLOOKUP('Données projet'!$B$17,Paramètres!$A$1:$I$89,7,0))</f>
        <v>0</v>
      </c>
      <c r="GK110" s="16">
        <f>IF(ISNA(VLOOKUP(A110,'Données projet'!$A$243:$I$263,7,0)),0%,VLOOKUP(A110,'Données projet'!$A$243:$I$263,7,0))</f>
        <v>0</v>
      </c>
      <c r="GL110" s="21">
        <f>EXP(-LN(2)/35)*GL109+(1-EXP(-LN(2)/35))/(LN(2)/35)*GH110*GI110*VLOOKUP('Données projet'!$B$17,Paramètres!$A$1:$I$89,3,0)*0.475*44/12</f>
        <v>0</v>
      </c>
      <c r="GM110" s="21">
        <f>EXP(-LN(2)/25)*GM109+(1-EXP(-LN(2)/25))/(LN(2)/25)*Calculateur!GH110*Calculateur!GJ110*VLOOKUP('Données projet'!$B$17,Paramètres!$A$1:$I$89,3,0)*0.475*44/12</f>
        <v>0</v>
      </c>
      <c r="GN110" s="21">
        <f>EXP(-LN(2)/2)*GN109+(1-EXP(-LN(2)/2))/(LN(2)/2)*GH110*GK110*VLOOKUP('Données projet'!$B$17,Paramètres!$A$1:$I$89,3,0)*0.475*44/12</f>
        <v>0</v>
      </c>
      <c r="GO110" s="21">
        <f t="shared" si="81"/>
        <v>0</v>
      </c>
      <c r="GP110" s="75">
        <f>('Scénario référence'!$F$8+'Scénario référence'!$F$9+'Scénario référence'!$B$17+'Scénario référence'!$B$9+'Scénario référence'!$B$10)*70+IF((45+25*(1-EXP(-0.0175*A110)))&lt;70,'Scénario référence'!$B$16*(45+25*(1-EXP(-0.0175*A110))),70*'Scénario référence'!$B$16)+IF((32+38*(1-EXP(-0.0175*A110)))&lt;70,'Scénario référence'!$B$18*(32+38*(1-EXP(-0.0175*A110))),70*'Scénario référence'!$B$18)</f>
        <v>70</v>
      </c>
      <c r="GQ110" s="12">
        <f>IF(A110&gt;30,10,('Scénario référence'!$B$16+'Scénario référence'!$B$17+'Scénario référence'!$B$18+'Scénario référence'!$B$9+'Scénario référence'!$B$10)*A110*10/30+('Scénario référence'!$F$8+'Scénario référence'!$F$9)*10)</f>
        <v>10</v>
      </c>
      <c r="GR110" s="12" t="e">
        <f>VLOOKUP(A110,'Données projet'!$A$269:$I$289,2,0)</f>
        <v>#N/A</v>
      </c>
      <c r="GS110" s="12" t="e">
        <f>VLOOKUP(A110,'Données projet'!$A$269:$I$289,9,0)</f>
        <v>#N/A</v>
      </c>
      <c r="GT110" s="12">
        <f t="array" ref="GT110">INDEX(GS:GS,MIN(IF(ISNUMBER(GS110:GS306),ROW(GS110:GS306),"")))</f>
        <v>6.9935897435897401</v>
      </c>
      <c r="GU110" s="12">
        <f>IF('Données projet'!$A$270&gt;35,GU109+GT110-HC109,IF(A110&lt;'Données projet'!$A$270,$GR$205^A110,IF(A110='Données projet'!$A$270,'Données projet'!$B$270,GU109+GT110-HC109)))</f>
        <v>326.17948717948735</v>
      </c>
      <c r="GV110" s="17">
        <f>GU110*VLOOKUP('Données projet'!$B$18,Paramètres!$A$1:$I$89,3,0)*VLOOKUP('Données projet'!$B$18,Paramètres!$A$1:$I$89,5,0)</f>
        <v>351.09960000000012</v>
      </c>
      <c r="GW110" s="13">
        <f t="shared" si="105"/>
        <v>81.788888946068028</v>
      </c>
      <c r="GX110" s="20">
        <f t="shared" si="82"/>
        <v>753.94745158106855</v>
      </c>
      <c r="GY110" s="59">
        <f t="shared" si="83"/>
        <v>1047.2807849144019</v>
      </c>
      <c r="GZ110" s="59">
        <f ca="1">AVERAGE(OFFSET($GY$3,0,0,'Données projet'!$E$18+1,1))-AVERAGE(OFFSET($H$3,0,0,'Données projet'!$E$18+1,1))</f>
        <v>286.77702855541287</v>
      </c>
      <c r="HA110" s="59">
        <f t="shared" si="106"/>
        <v>227.12211541860779</v>
      </c>
      <c r="HB110" s="15">
        <f>IF(ISNA(VLOOKUP(A110,'Données projet'!$A$269:$I$289,3,0)),0,VLOOKUP(A110,'Données projet'!$A$269:$I$289,3,0))</f>
        <v>0</v>
      </c>
      <c r="HC110" s="15">
        <f>IF(ISNA(VLOOKUP(A110,'Données projet'!$A$269:$I$289,4,0)),0,VLOOKUP(A110,'Données projet'!$A$269:$I$289,4,0))</f>
        <v>0</v>
      </c>
      <c r="HD110" s="16">
        <f>IF(ISNA(VLOOKUP(A110,'Données projet'!$A$269:$I$289,5,0)),0%,VLOOKUP(A110,'Données projet'!$A$269:$I$289,5,0)*VLOOKUP('Données projet'!$B$18,Paramètres!$A$1:$I$89,7,0))</f>
        <v>0</v>
      </c>
      <c r="HE110" s="16">
        <f>IF(ISNA(VLOOKUP(A110,'Données projet'!$A$269:$I$289,6,0)),0%,VLOOKUP(A110,'Données projet'!$A$269:$I$289,6,0)*VLOOKUP('Données projet'!$B$18,Paramètres!$A$1:$I$89,7,0))</f>
        <v>0</v>
      </c>
      <c r="HF110" s="16">
        <f>IF(ISNA(VLOOKUP(A110,'Données projet'!$A$269:$I$289,7,0)),0%,VLOOKUP(A110,'Données projet'!$A$269:$I$289,7,0))</f>
        <v>0</v>
      </c>
      <c r="HG110" s="21">
        <f>EXP(-LN(2)/35)*HG109+(1-EXP(-LN(2)/35))/(LN(2)/35)*HC110*HD110*VLOOKUP('Données projet'!$B$18,Paramètres!$A$1:$I$89,3,0)*0.475*44/12</f>
        <v>0</v>
      </c>
      <c r="HH110" s="21">
        <f>EXP(-LN(2)/25)*HH109+(1-EXP(-LN(2)/25))/(LN(2)/25)*Calculateur!HC110*Calculateur!HE110*VLOOKUP('Données projet'!$B$18,Paramètres!$A$1:$I$89,3,0)*0.475*44/12</f>
        <v>0</v>
      </c>
      <c r="HI110" s="21">
        <f>EXP(-LN(2)/2)*HI109+(1-EXP(-LN(2)/2))/(LN(2)/2)*HC110*HF110*VLOOKUP('Données projet'!$B$18,Paramètres!$A$1:$I$89,3,0)*0.475*44/12</f>
        <v>0</v>
      </c>
      <c r="HJ110" s="22">
        <f t="shared" si="84"/>
        <v>0</v>
      </c>
    </row>
    <row r="111" spans="1:218" x14ac:dyDescent="0.25">
      <c r="A111" s="10">
        <f t="shared" si="85"/>
        <v>108</v>
      </c>
      <c r="B111" s="73">
        <f>'Scénario référence'!$B$16*5+'Scénario référence'!$B$17*0+'Scénario référence'!$B$18*5</f>
        <v>0</v>
      </c>
      <c r="C111" s="19">
        <f>Calculateur!C110+'Scénario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96.033600000000163</v>
      </c>
      <c r="D111" s="11">
        <f t="shared" si="86"/>
        <v>26.014843211471252</v>
      </c>
      <c r="E11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11" s="11">
        <f>IF(OR('Scénario référence'!$F$8&gt;0,'Scénario référence'!$F$9&gt;0),('Scénario référence'!$F$8+'Scénario référence'!$F$9)*10,0)</f>
        <v>10</v>
      </c>
      <c r="G111" s="11">
        <f>'Scénario référence'!$B$8*B111*44/12+'Scénario référence'!$B$9*(C111+D111)/0.475*44/12+'Scénario référence'!$B$10*(C111+D111)/0.475*44/12+'Scénario référence'!$F$8*(C111+D111)/0.475*44/12+'Scénario référence'!$F$9*(C111+D111)/0.475*44/12</f>
        <v>942.12833356223564</v>
      </c>
      <c r="H111" s="67">
        <f t="shared" si="56"/>
        <v>505.90103859331265</v>
      </c>
      <c r="I111" s="70">
        <f>('Scénario référence'!$F$8+'Scénario référence'!$F$9+'Scénario référence'!$B$17+'Scénario référence'!$B$9+'Scénario référence'!$B$10)*70+IF((45+25*(1-EXP(-0.0175*A111)))&lt;70,'Scénario référence'!$B$16*(45+25*(1-EXP(-0.0175*A111))),70*'Scénario référence'!$B$16)+IF((32+38*(1-EXP(-0.0175*A111)))&lt;70,'Scénario référence'!$B$18*(32+38*(1-EXP(-0.0175*A111))),70*'Scénario référence'!$B$18)</f>
        <v>70</v>
      </c>
      <c r="J111" s="13">
        <f>IF(A111&gt;30,10,('Scénario référence'!$B$16+'Scénario référence'!$B$17+'Scénario référence'!$B$18+'Scénario référence'!$B$9+'Scénario référence'!$B$10)*A111*10/30+('Scénario référence'!$F$8+'Scénario référence'!$F$9)*10)</f>
        <v>10</v>
      </c>
      <c r="K111" s="12" t="e">
        <f>VLOOKUP(A111,'Données projet'!$A$35:$I$55,2,0)</f>
        <v>#N/A</v>
      </c>
      <c r="L111" s="12" t="e">
        <f>VLOOKUP(A111,'Données projet'!$A$35:$I$55,9,0)</f>
        <v>#N/A</v>
      </c>
      <c r="M111" s="12">
        <f t="array" ref="M111">INDEX(L:L,MIN(IF(ISNUMBER(L111:L307),ROW(L111:L307),"")))</f>
        <v>0</v>
      </c>
      <c r="N111" s="13">
        <f>IF('Données projet'!$A$36&gt;35,N110+M111-V110,IF(A111&lt;'Données projet'!$A$36,$K$205^A111,IF(A111='Données projet'!$A$36,'Données projet'!$B$36,N110+M111-V110)))</f>
        <v>-2.2737367544323206E-13</v>
      </c>
      <c r="O111" s="13">
        <f>N111*VLOOKUP('Données projet'!$B$9,Paramètres!$A$1:$I$89,3,0)*VLOOKUP('Données projet'!$B$9,Paramètres!$A$1:$I$89,5,0)</f>
        <v>-1.2710188457276673E-13</v>
      </c>
      <c r="P111" s="13" t="e">
        <f t="shared" si="87"/>
        <v>#NUM!</v>
      </c>
      <c r="Q111" s="20" t="e">
        <f t="shared" si="107"/>
        <v>#NUM!</v>
      </c>
      <c r="R111" s="59" t="e">
        <f t="shared" si="55"/>
        <v>#NUM!</v>
      </c>
      <c r="S111" s="59">
        <f ca="1">AVERAGE(OFFSET($R$3,0,0,'Données projet'!$E$9+1,1))-AVERAGE(OFFSET($H$3,0,0,'Données projet'!$E$9+1,1))</f>
        <v>255.5374979188561</v>
      </c>
      <c r="T111" s="59">
        <f t="shared" si="88"/>
        <v>343.10418468620901</v>
      </c>
      <c r="U111" s="15">
        <f>IF(ISNA(VLOOKUP(A111,'Données projet'!$A$35:$I$55,3,0)),0,VLOOKUP(A111,'Données projet'!$A$35:$I$55,3,0))</f>
        <v>0</v>
      </c>
      <c r="V111" s="15">
        <f>IF(ISNA(VLOOKUP(A111,'Données projet'!$A$35:$I$55,4,0)),0,VLOOKUP(A111,'Données projet'!$A$35:$I$55,4,0))</f>
        <v>0</v>
      </c>
      <c r="W111" s="16">
        <f>IF(ISNA(VLOOKUP(A111,'Données projet'!$A$35:$I$55,5,0)),0%,VLOOKUP(A111,'Données projet'!$A$35:$I$55,5,0)*VLOOKUP('Données projet'!$B$9,Paramètres!$A$1:$I$89,7,0))</f>
        <v>0</v>
      </c>
      <c r="X111" s="16">
        <f>IF(ISNA(VLOOKUP(A111,'Données projet'!$A$35:$I$55,6,0)),0%,VLOOKUP(A111,'Données projet'!$A$35:$I$55,6,0)*VLOOKUP('Données projet'!$B$9,Paramètres!$A$1:$I$89,7,0))</f>
        <v>0</v>
      </c>
      <c r="Y111" s="16">
        <f>IF(ISNA(VLOOKUP(A111,'Données projet'!$A$35:$I$55,7,0)),0%,VLOOKUP(A111,'Données projet'!$A$35:$I$55,7,0))</f>
        <v>0</v>
      </c>
      <c r="Z111" s="21">
        <f>EXP(-LN(2)/35)*Z110+(1-EXP(-LN(2)/35))/(LN(2)/35)*V111*W111*VLOOKUP('Données projet'!$B$9,Paramètres!$A$1:$I$89,3,0)*0.475*44/12</f>
        <v>0.65932170467418083</v>
      </c>
      <c r="AA111" s="21">
        <f>EXP(-LN(2)/25)*AA110+(1-EXP(-LN(2)/25))/(LN(2)/25)*Calculateur!V111*Calculateur!X111*VLOOKUP('Données projet'!$B$9,Paramètres!$A$1:$I$89,3,0)*0.475*44/12</f>
        <v>1.8358041690556939</v>
      </c>
      <c r="AB111" s="21">
        <f>EXP(-LN(2)/2)*AB110+(1-EXP(-LN(2)/2))/(LN(2)/2)*V111*Y111*VLOOKUP('Données projet'!$B$9,Paramètres!$A$1:$I$89,3,0)*0.475*44/12</f>
        <v>3.0789161964168052E-12</v>
      </c>
      <c r="AC111" s="22">
        <f t="shared" si="57"/>
        <v>2.4951258737329538</v>
      </c>
      <c r="AD111" s="13">
        <f>('Scénario référence'!$F$8+'Scénario référence'!$F$9+'Scénario référence'!$B$17+'Scénario référence'!$B$9+'Scénario référence'!$B$10)*70+IF((45+25*(1-EXP(-0.0175*A111)))&lt;70,'Scénario référence'!$B$16*(45+25*(1-EXP(-0.0175*A111))),70*'Scénario référence'!$B$16)+IF((32+38*(1-EXP(-0.0175*A111)))&lt;70,'Scénario référence'!$B$18*(32+38*(1-EXP(-0.0175*A111))),70*'Scénario référence'!$B$18)</f>
        <v>70</v>
      </c>
      <c r="AE111" s="13">
        <f>IF(A111&gt;30,10,('Scénario référence'!$B$16+'Scénario référence'!$B$17+'Scénario référence'!$B$18+'Scénario référence'!$B$9+'Scénario référence'!$B$10)*A111*10/30+('Scénario référence'!$F$8+'Scénario référence'!$F$9)*10)</f>
        <v>10</v>
      </c>
      <c r="AF111" s="12" t="e">
        <f>VLOOKUP(A111,'Données projet'!$A$61:$I$81,2,0)</f>
        <v>#N/A</v>
      </c>
      <c r="AG111" s="12" t="e">
        <f>VLOOKUP(A111,'Données projet'!$A$61:$I$81,9,0)</f>
        <v>#N/A</v>
      </c>
      <c r="AH111" s="12">
        <f t="array" ref="AH111">INDEX(AG:AG,MIN(IF(ISNUMBER(AG111:AG307),ROW(AG111:AG307),"")))</f>
        <v>0</v>
      </c>
      <c r="AI111" s="13">
        <f>IF('Données projet'!$A$62&gt;35,AI110+AH111-AQ110,IF(A111&lt;'Données projet'!$A$62,$AF$205^A111,IF(A111='Données projet'!$A$62,'Données projet'!$B$62,AI110+AH111-AQ110)))</f>
        <v>0</v>
      </c>
      <c r="AJ111" s="13">
        <f>AI111*VLOOKUP('Données projet'!$B$10,Paramètres!$A$1:$I$89,3,0)*VLOOKUP('Données projet'!$B$10,Paramètres!$A$1:$I$89,5,0)</f>
        <v>0</v>
      </c>
      <c r="AK111" s="13" t="e">
        <f t="shared" si="89"/>
        <v>#NUM!</v>
      </c>
      <c r="AL111" s="20" t="e">
        <f t="shared" si="58"/>
        <v>#NUM!</v>
      </c>
      <c r="AM111" s="59" t="e">
        <f t="shared" si="59"/>
        <v>#NUM!</v>
      </c>
      <c r="AN111" s="59">
        <f ca="1">AVERAGE(OFFSET($AM$3,0,0,'Données projet'!$E$10+1,1))-AVERAGE(OFFSET($H$3,0,0,'Données projet'!$E$10+1,1))</f>
        <v>261.78489480911571</v>
      </c>
      <c r="AO111" s="59">
        <f t="shared" si="90"/>
        <v>297.50513563712764</v>
      </c>
      <c r="AP111" s="15">
        <f>IF(ISNA(VLOOKUP(A111,'Données projet'!$A$61:$I$81,3,0)),0,VLOOKUP(A111,'Données projet'!$A$61:$I$81,3,0))</f>
        <v>0</v>
      </c>
      <c r="AQ111" s="15">
        <f>IF(ISNA(VLOOKUP(A111,'Données projet'!$A$61:$I$81,4,0)),0,VLOOKUP(A111,'Données projet'!$A$61:$I$81,4,0))</f>
        <v>0</v>
      </c>
      <c r="AR111" s="16">
        <f>IF(ISNA(VLOOKUP(A111,'Données projet'!$A$61:$I$81,5,0)),0%,VLOOKUP(A111,'Données projet'!$A$61:$I$81,5,0)*VLOOKUP('Données projet'!$B$10,Paramètres!$A$1:$I$89,7,0))</f>
        <v>0</v>
      </c>
      <c r="AS111" s="16">
        <f>IF(ISNA(VLOOKUP(A111,'Données projet'!$A$61:$I$81,6,0)),0%,VLOOKUP(A111,'Données projet'!$A$61:$I$81,6,0)*VLOOKUP('Données projet'!$B$10,Paramètres!$A$1:$I$89,7,0))</f>
        <v>0</v>
      </c>
      <c r="AT111" s="16">
        <f>IF(ISNA(VLOOKUP(A111,'Données projet'!$A$61:$I$81,7,0)),0%,VLOOKUP(A111,'Données projet'!$A$61:$I$81,7,0))</f>
        <v>0</v>
      </c>
      <c r="AU111" s="21">
        <f>EXP(-LN(2)/35)*AU110+(1-EXP(-LN(2)/35))/(LN(2)/35)*AQ111*AR111*VLOOKUP('Données projet'!$B$10,Paramètres!$A$1:$I$89,3,0)*0.475*44/12</f>
        <v>1.7803550908699881</v>
      </c>
      <c r="AV111" s="21">
        <f>EXP(-LN(2)/25)*AV110+(1-EXP(-LN(2)/25))/(LN(2)/25)*Calculateur!AQ111*Calculateur!AS111*VLOOKUP('Données projet'!$B$10,Paramètres!$A$1:$I$89,3,0)*0.475*44/12</f>
        <v>3.2056885113952016</v>
      </c>
      <c r="AW111" s="21">
        <f>EXP(-LN(2)/2)*AW110+(1-EXP(-LN(2)/2))/(LN(2)/2)*AQ111*AT111*VLOOKUP('Données projet'!$B$10,Paramètres!$A$1:$I$89,3,0)*0.475*44/12</f>
        <v>4.438550811193978E-11</v>
      </c>
      <c r="AX111" s="21">
        <f t="shared" si="60"/>
        <v>4.9860436023095751</v>
      </c>
      <c r="AY111" s="74">
        <f>('Scénario référence'!$F$8+'Scénario référence'!$F$9+'Scénario référence'!$B$17+'Scénario référence'!$B$9+'Scénario référence'!$B$10)*70+IF((45+25*(1-EXP(-0.0175*A111)))&lt;70,'Scénario référence'!$B$16*(45+25*(1-EXP(-0.0175*A111))),70*'Scénario référence'!$B$16)+IF((32+38*(1-EXP(-0.0175*A111)))&lt;70,'Scénario référence'!$B$18*(32+38*(1-EXP(-0.0175*A111))),70*'Scénario référence'!$B$18)</f>
        <v>70</v>
      </c>
      <c r="AZ111" s="12">
        <f>IF(A111&gt;30,10,('Scénario référence'!$B$16+'Scénario référence'!$B$17+'Scénario référence'!$B$18+'Scénario référence'!$B$9+'Scénario référence'!$B$10)*A111*10/30+('Scénario référence'!$F$8+'Scénario référence'!$F$9)*10)</f>
        <v>10</v>
      </c>
      <c r="BA111" s="12" t="e">
        <f>VLOOKUP(A111,'Données projet'!$A$87:$I$107,2,0)</f>
        <v>#N/A</v>
      </c>
      <c r="BB111" s="12" t="e">
        <f>VLOOKUP(A111,'Données projet'!$A$87:$I$107,9,0)</f>
        <v>#N/A</v>
      </c>
      <c r="BC111" s="12">
        <f t="array" ref="BC111">INDEX(BB:BB,MIN(IF(ISNUMBER(BB111:BB307),ROW(BB111:BB307),"")))</f>
        <v>0</v>
      </c>
      <c r="BD111" s="12">
        <f>IF('Données projet'!$A$88&gt;35,BD110+BC111-BL110,IF(A111&lt;'Données projet'!$A$88,$BA$205^A111,IF(A111='Données projet'!$A$88,'Données projet'!$B$88,BD110+BC111-BL110)))</f>
        <v>553.99999999999955</v>
      </c>
      <c r="BE111" s="13">
        <f>BD111*VLOOKUP('Données projet'!$B$11,Paramètres!$A$1:$I$89,3,0)*VLOOKUP('Données projet'!$B$11,Paramètres!$A$1:$I$89,5,0)</f>
        <v>331.29199999999975</v>
      </c>
      <c r="BF111" s="13">
        <f t="shared" si="91"/>
        <v>77.698110787752</v>
      </c>
      <c r="BG111" s="20">
        <f t="shared" si="61"/>
        <v>712.32444295533423</v>
      </c>
      <c r="BH111" s="59">
        <f t="shared" si="62"/>
        <v>1005.6577762886675</v>
      </c>
      <c r="BI111" s="59">
        <f ca="1">AVERAGE(OFFSET($BH$3,0,0,'Données projet'!$E$11+1,1))-AVERAGE(OFFSET($H$3,0,0,'Données projet'!$E$11+1,1))</f>
        <v>316.58509520829671</v>
      </c>
      <c r="BJ111" s="59">
        <f t="shared" si="92"/>
        <v>240.71332110643596</v>
      </c>
      <c r="BK111" s="15">
        <f>IF(ISNA(VLOOKUP(A111,'Données projet'!$A$87:$I$107,3,0)),0,VLOOKUP(A111,'Données projet'!$A$87:$I$107,3,0))</f>
        <v>0</v>
      </c>
      <c r="BL111" s="15">
        <f>IF(ISNA(VLOOKUP(A111,'Données projet'!$A$87:$I$107,4,0)),0,VLOOKUP(A111,'Données projet'!$A$87:$I$107,4,0))</f>
        <v>0</v>
      </c>
      <c r="BM111" s="16">
        <f>IF(ISNA(VLOOKUP(A111,'Données projet'!$A$87:$I$107,5,0)),0%,VLOOKUP(A111,'Données projet'!$A$87:$I$107,5,0)*VLOOKUP('Données projet'!$B$11,Paramètres!$A$1:$I$89,7,0))</f>
        <v>0</v>
      </c>
      <c r="BN111" s="16">
        <f>IF(ISNA(VLOOKUP(A111,'Données projet'!$A$87:$I$107,6,0)),0%,VLOOKUP(A111,'Données projet'!$A$87:$I$107,6,0)*VLOOKUP('Données projet'!$B$11,Paramètres!$A$1:$I$89,7,0))</f>
        <v>0</v>
      </c>
      <c r="BO111" s="16">
        <f>IF(ISNA(VLOOKUP(A111,'Données projet'!$A$87:$I$107,7,0)),0%,VLOOKUP(A111,'Données projet'!$A$87:$I$107,7,0))</f>
        <v>0</v>
      </c>
      <c r="BP111" s="21">
        <f>EXP(-LN(2)/35)*BP110+(1-EXP(-LN(2)/35))/(LN(2)/35)*BL111*BM111*VLOOKUP('Données projet'!$B$11,Paramètres!$A$1:$I$89,3,0)*0.475*44/12</f>
        <v>0.54079610554142321</v>
      </c>
      <c r="BQ111" s="21">
        <f>EXP(-LN(2)/25)*BQ110+(1-EXP(-LN(2)/25))/(LN(2)/25)*Calculateur!BL111*Calculateur!BN111*VLOOKUP('Données projet'!$B$11,Paramètres!$A$1:$I$89,3,0)*0.475*44/12</f>
        <v>1.7561697023671958</v>
      </c>
      <c r="BR111" s="21">
        <f>EXP(-LN(2)/2)*BR110+(1-EXP(-LN(2)/2))/(LN(2)/2)*BL111*BO111*VLOOKUP('Données projet'!$B$11,Paramètres!$A$1:$I$89,3,0)*0.475*44/12</f>
        <v>3.9907432565343555E-11</v>
      </c>
      <c r="BS111" s="22">
        <f t="shared" si="63"/>
        <v>2.2969658079485269</v>
      </c>
      <c r="BT111" s="75">
        <f>('Scénario référence'!$F$8+'Scénario référence'!$F$9+'Scénario référence'!$B$17+'Scénario référence'!$B$9+'Scénario référence'!$B$10)*70+IF((45+25*(1-EXP(-0.0175*A111)))&lt;70,'Scénario référence'!$B$16*(45+25*(1-EXP(-0.0175*A111))),70*'Scénario référence'!$B$16)+IF((32+38*(1-EXP(-0.0175*A111)))&lt;70,'Scénario référence'!$B$18*(32+38*(1-EXP(-0.0175*A111))),70*'Scénario référence'!$B$18)</f>
        <v>70</v>
      </c>
      <c r="BU111" s="12">
        <f>IF(A111&gt;30,10,('Scénario référence'!$B$16+'Scénario référence'!$B$17+'Scénario référence'!$B$18+'Scénario référence'!$B$9+'Scénario référence'!$B$10)*A111*10/30+('Scénario référence'!$F$8+'Scénario référence'!$F$9)*10)</f>
        <v>10</v>
      </c>
      <c r="BV111" s="12" t="e">
        <f>VLOOKUP(A111,'Données projet'!$A$113:$I$133,2,0)</f>
        <v>#N/A</v>
      </c>
      <c r="BW111" s="12" t="e">
        <f>VLOOKUP(A111,'Données projet'!$A$113:$I$133,9,0)</f>
        <v>#N/A</v>
      </c>
      <c r="BX111" s="12">
        <f t="array" ref="BX111">INDEX(BW:BW,MIN(IF(ISNUMBER(BW111:BW307),ROW(BW111:BW307),"")))</f>
        <v>0</v>
      </c>
      <c r="BY111" s="12">
        <f>IF('Données projet'!$A$114&gt;35,BY110+BX111-CG110,IF(A111&lt;'Données projet'!$A$114,$BV$205^A111,IF(A111='Données projet'!$A$114,'Données projet'!$B$114,BY110+BX111-CG110)))</f>
        <v>333.99999999999977</v>
      </c>
      <c r="BZ111" s="13">
        <f>BY111*VLOOKUP('Données projet'!$B$12,Paramètres!$A$1:$I$89,3,0)*VLOOKUP('Données projet'!$B$12,Paramètres!$A$1:$I$89,5,0)</f>
        <v>191.04799999999986</v>
      </c>
      <c r="CA111" s="13">
        <f t="shared" si="93"/>
        <v>47.771576544305155</v>
      </c>
      <c r="CB111" s="20">
        <f t="shared" si="64"/>
        <v>415.94409581466454</v>
      </c>
      <c r="CC111" s="59">
        <f t="shared" si="65"/>
        <v>709.27742914799785</v>
      </c>
      <c r="CD111" s="59">
        <f ca="1">AVERAGE(OFFSET($CC$3,0,0,'Données projet'!$E$12+1,1))-AVERAGE(OFFSET($H$3,0,0,'Données projet'!$E$12+1,1))</f>
        <v>188.64374818906128</v>
      </c>
      <c r="CE111" s="59">
        <f t="shared" si="94"/>
        <v>211.95157880548652</v>
      </c>
      <c r="CF111" s="15">
        <f>IF(ISNA(VLOOKUP(A111,'Données projet'!$A$113:$I$133,3,0)),0,VLOOKUP(A111,'Données projet'!$A$113:$I$133,3,0))</f>
        <v>0</v>
      </c>
      <c r="CG111" s="15">
        <f>IF(ISNA(VLOOKUP(A111,'Données projet'!$A$113:$I$133,4,0)),0,VLOOKUP(A111,'Données projet'!$A$113:$I$133,4,0))</f>
        <v>0</v>
      </c>
      <c r="CH111" s="16">
        <f>IF(ISNA(VLOOKUP(A111,'Données projet'!$A$113:$I$133,5,0)),0%,VLOOKUP(A111,'Données projet'!$A$113:$I$133,5,0)*VLOOKUP('Données projet'!$B$12,Paramètres!$A$1:$I$89,7,0))</f>
        <v>0</v>
      </c>
      <c r="CI111" s="16">
        <f>IF(ISNA(VLOOKUP(A111,'Données projet'!$A$113:$I$133,6,0)),0%,VLOOKUP(A111,'Données projet'!$A$113:$I$133,6,0)*VLOOKUP('Données projet'!$B$12,Paramètres!$A$1:$I$89,7,0))</f>
        <v>0</v>
      </c>
      <c r="CJ111" s="16">
        <f>IF(ISNA(VLOOKUP(A111,'Données projet'!$A$113:$I$133,7,0)),0%,VLOOKUP(A111,'Données projet'!$A$113:$I$133,7,0))</f>
        <v>0</v>
      </c>
      <c r="CK111" s="21">
        <f>EXP(-LN(2)/35)*CK110+(1-EXP(-LN(2)/35))/(LN(2)/35)*CG111*CH111*VLOOKUP('Données projet'!$B$12,Paramètres!$A$1:$I$89,3,0)*0.475*44/12</f>
        <v>0.52456891070276412</v>
      </c>
      <c r="CL111" s="21">
        <f>EXP(-LN(2)/25)*CL110+(1-EXP(-LN(2)/25))/(LN(2)/25)*Calculateur!CG111*Calculateur!CI111*VLOOKUP('Données projet'!$B$12,Paramètres!$A$1:$I$89,3,0)*0.475*44/12</f>
        <v>1.652946686645711</v>
      </c>
      <c r="CM111" s="21">
        <f>EXP(-LN(2)/2)*CM110+(1-EXP(-LN(2)/2))/(LN(2)/2)*CG111*CJ111*VLOOKUP('Données projet'!$B$12,Paramètres!$A$1:$I$89,3,0)*0.475*44/12</f>
        <v>3.8647226035639062E-11</v>
      </c>
      <c r="CN111" s="22">
        <f t="shared" si="66"/>
        <v>2.1775155973871225</v>
      </c>
      <c r="CO111" s="75">
        <f>('Scénario référence'!$F$8+'Scénario référence'!$F$9+'Scénario référence'!$B$17+'Scénario référence'!$B$9+'Scénario référence'!$B$10)*70+IF((45+25*(1-EXP(-0.0175*A111)))&lt;70,'Scénario référence'!$B$16*(45+25*(1-EXP(-0.0175*A111))),70*'Scénario référence'!$B$16)+IF((32+38*(1-EXP(-0.0175*A111)))&lt;70,'Scénario référence'!$B$18*(32+38*(1-EXP(-0.0175*A111))),70*'Scénario référence'!$B$18)</f>
        <v>70</v>
      </c>
      <c r="CP111" s="12">
        <f>IF(A111&gt;30,10,('Scénario référence'!$B$16+'Scénario référence'!$B$17+'Scénario référence'!$B$18+'Scénario référence'!$B$9+'Scénario référence'!$B$10)*A111*10/30+('Scénario référence'!$F$8+'Scénario référence'!$F$9)*10)</f>
        <v>10</v>
      </c>
      <c r="CQ111" s="12" t="e">
        <f>VLOOKUP(A111,'Données projet'!$A$139:$I$159,2,0)</f>
        <v>#N/A</v>
      </c>
      <c r="CR111" s="12" t="e">
        <f>VLOOKUP(A111,'Données projet'!$A$139:$I$159,9,0)</f>
        <v>#N/A</v>
      </c>
      <c r="CS111" s="12">
        <f t="array" ref="CS111">INDEX(CR:CR,MIN(IF(ISNUMBER(CR111:CR307),ROW(CR111:CR307),"")))</f>
        <v>0</v>
      </c>
      <c r="CT111" s="12">
        <f>IF('Données projet'!$A$140&gt;35,CT110+CS111-DB110,IF(A111&lt;'Données projet'!$A$140,$CQ$205^A111,IF(A111='Données projet'!$A$140,'Données projet'!$B$140,CT110+CS111-DB110)))</f>
        <v>0</v>
      </c>
      <c r="CU111" s="17" t="e">
        <f>CT111*VLOOKUP('Données projet'!$B$13,Paramètres!$A$1:$I$89,3,0)*VLOOKUP('Données projet'!$B$13,Paramètres!$A$1:$I$89,5,0)</f>
        <v>#N/A</v>
      </c>
      <c r="CV111" s="13" t="e">
        <f t="shared" si="95"/>
        <v>#N/A</v>
      </c>
      <c r="CW111" s="20" t="e">
        <f t="shared" si="67"/>
        <v>#N/A</v>
      </c>
      <c r="CX111" s="59" t="e">
        <f t="shared" si="68"/>
        <v>#N/A</v>
      </c>
      <c r="CY111" s="59" t="e">
        <f ca="1">AVERAGE(OFFSET($CX$3,0,0,'Données projet'!$E$13+1,1))-AVERAGE(OFFSET($H$3,0,0,'Données projet'!$E$13+1,1))</f>
        <v>#N/A</v>
      </c>
      <c r="CZ111" s="59" t="e">
        <f t="shared" si="96"/>
        <v>#N/A</v>
      </c>
      <c r="DA111" s="15">
        <f>IF(ISNA(VLOOKUP(A111,'Données projet'!$A$139:$I$159,3,0)),0,VLOOKUP(A111,'Données projet'!$A$139:$I$159,3,0))</f>
        <v>0</v>
      </c>
      <c r="DB111" s="15">
        <f>IF(ISNA(VLOOKUP(A111,'Données projet'!$A$139:$I$159,4,0)),0,VLOOKUP(A111,'Données projet'!$A$139:$I$159,4,0))</f>
        <v>0</v>
      </c>
      <c r="DC111" s="16">
        <f>IF(ISNA(VLOOKUP(A111,'Données projet'!$A$139:$I$159,5,0)),0%,VLOOKUP(A111,'Données projet'!$A$139:$I$159,5,0)*VLOOKUP('Données projet'!$B$13,Paramètres!$A$1:$I$89,7,0))</f>
        <v>0</v>
      </c>
      <c r="DD111" s="16">
        <f>IF(ISNA(VLOOKUP(A111,'Données projet'!$A$139:$I$159,6,0)),0%,VLOOKUP(A111,'Données projet'!$A$139:$I$159,6,0)*VLOOKUP('Données projet'!$B$13,Paramètres!$A$1:$I$89,7,0))</f>
        <v>0</v>
      </c>
      <c r="DE111" s="16">
        <f>IF(ISNA(VLOOKUP(A111,'Données projet'!$A$139:$I$159,7,0)),0%,VLOOKUP(A111,'Données projet'!$A$139:$I$159,7,0))</f>
        <v>0</v>
      </c>
      <c r="DF111" s="21" t="e">
        <f>EXP(-LN(2)/35)*DF110+(1-EXP(-LN(2)/35))/(LN(2)/35)*DB111*DC111*VLOOKUP('Données projet'!$B$13,Paramètres!$A$1:$I$89,3,0)*0.475*44/12</f>
        <v>#N/A</v>
      </c>
      <c r="DG111" s="21" t="e">
        <f>EXP(-LN(2)/25)*DG110+(1-EXP(-LN(2)/25))/(LN(2)/25)*Calculateur!DB111*Calculateur!DD111*VLOOKUP('Données projet'!$B$13,Paramètres!$A$1:$I$89,3,0)*0.475*44/12</f>
        <v>#N/A</v>
      </c>
      <c r="DH111" s="21" t="e">
        <f>EXP(-LN(2)/2)*DH110+(1-EXP(-LN(2)/2))/(LN(2)/2)*DB111*DE111*VLOOKUP('Données projet'!$B$13,Paramètres!$A$1:$I$89,3,0)*0.475*44/12</f>
        <v>#N/A</v>
      </c>
      <c r="DI111" s="22" t="e">
        <f t="shared" si="69"/>
        <v>#N/A</v>
      </c>
      <c r="DJ111" s="75">
        <f>('Scénario référence'!$F$8+'Scénario référence'!$F$9+'Scénario référence'!$B$17+'Scénario référence'!$B$9+'Scénario référence'!$B$10)*70+IF((45+25*(1-EXP(-0.0175*A111)))&lt;70,'Scénario référence'!$B$16*(45+25*(1-EXP(-0.0175*A111))),70*'Scénario référence'!$B$16)+IF((32+38*(1-EXP(-0.0175*A111)))&lt;70,'Scénario référence'!$B$18*(32+38*(1-EXP(-0.0175*A111))),70*'Scénario référence'!$B$18)</f>
        <v>70</v>
      </c>
      <c r="DK111" s="12">
        <f>IF(A111&gt;30,10,('Scénario référence'!$B$16+'Scénario référence'!$B$17+'Scénario référence'!$B$18+'Scénario référence'!$B$9+'Scénario référence'!$B$10)*A111*10/30+('Scénario référence'!$F$8+'Scénario référence'!$F$9)*10)</f>
        <v>10</v>
      </c>
      <c r="DL111" s="12" t="e">
        <f>VLOOKUP(A111,'Données projet'!$A$165:$I$185,2,0)</f>
        <v>#N/A</v>
      </c>
      <c r="DM111" s="12" t="e">
        <f>VLOOKUP(A111,'Données projet'!$A$165:$I$185,9,0)</f>
        <v>#N/A</v>
      </c>
      <c r="DN111" s="12">
        <f t="array" ref="DN111">INDEX(DM:DM,MIN(IF(ISNUMBER(DM111:DM307),ROW(DM111:DM307),"")))</f>
        <v>0</v>
      </c>
      <c r="DO111" s="12">
        <f>IF('Données projet'!$A$166&gt;35,DO110+DN111-DW110,IF(A111&lt;'Données projet'!$A$166,$DL$205^A111,IF(A111='Données projet'!$A$166,'Données projet'!$B$166,DO110+DN111-DW110)))</f>
        <v>268.00000000000017</v>
      </c>
      <c r="DP111" s="17">
        <f>DO111*VLOOKUP('Données projet'!$B$14,Paramètres!$A$1:$I$89,3,0)*VLOOKUP('Données projet'!$B$14,Paramètres!$A$1:$I$89,5,0)</f>
        <v>175.59360000000012</v>
      </c>
      <c r="DQ111" s="13">
        <f t="shared" si="97"/>
        <v>44.340433728638573</v>
      </c>
      <c r="DR111" s="20">
        <f t="shared" si="70"/>
        <v>383.05177541071242</v>
      </c>
      <c r="DS111" s="59">
        <f t="shared" si="71"/>
        <v>676.38510874404574</v>
      </c>
      <c r="DT111" s="59">
        <f ca="1">AVERAGE(OFFSET($DS$3,0,0,'Données projet'!$E$14+1,1))-AVERAGE(OFFSET($H$3,0,0,'Données projet'!$E$14+1,1))</f>
        <v>188.68915783955595</v>
      </c>
      <c r="DU111" s="59">
        <f t="shared" si="98"/>
        <v>240.82467772396944</v>
      </c>
      <c r="DV111" s="15">
        <f>IF(ISNA(VLOOKUP(A111,'Données projet'!$A$165:$I$185,3,0)),0,VLOOKUP(A111,'Données projet'!$A$165:$I$185,3,0))</f>
        <v>0</v>
      </c>
      <c r="DW111" s="15">
        <f>IF(ISNA(VLOOKUP(A111,'Données projet'!$A$165:$I$185,4,0)),0,VLOOKUP(A111,'Données projet'!$A$165:$I$185,4,0))</f>
        <v>0</v>
      </c>
      <c r="DX111" s="16">
        <f>IF(ISNA(VLOOKUP(A111,'Données projet'!$A$165:$I$185,5,0)),0%,VLOOKUP(A111,'Données projet'!$A$165:$I$185,5,0)*VLOOKUP('Données projet'!$B$14,Paramètres!$A$1:$I$89,7,0))</f>
        <v>0</v>
      </c>
      <c r="DY111" s="16">
        <f>IF(ISNA(VLOOKUP(A111,'Données projet'!$A$165:$I$185,6,0)),0%,VLOOKUP(A111,'Données projet'!$A$165:$I$185,6,0)*VLOOKUP('Données projet'!$B$14,Paramètres!$A$1:$I$89,7,0))</f>
        <v>0</v>
      </c>
      <c r="DZ111" s="16">
        <f>IF(ISNA(VLOOKUP(A111,'Données projet'!$A$165:$I$185,7,0)),0%,VLOOKUP(A111,'Données projet'!$A$165:$I$185,7,0))</f>
        <v>0</v>
      </c>
      <c r="EA111" s="21">
        <f>EXP(-LN(2)/35)*EA110+(1-EXP(-LN(2)/35))/(LN(2)/35)*DW111*DX111*VLOOKUP('Données projet'!$B$14,Paramètres!$A$1:$I$89,3,0)*0.475*44/12</f>
        <v>0.33227113241063116</v>
      </c>
      <c r="EB111" s="21">
        <f>EXP(-LN(2)/25)*EB110+(1-EXP(-LN(2)/25))/(LN(2)/25)*Calculateur!DW111*Calculateur!DY111*VLOOKUP('Données projet'!$B$14,Paramètres!$A$1:$I$89,3,0)*0.475*44/12</f>
        <v>0.92456190556814699</v>
      </c>
      <c r="EC111" s="21">
        <f>EXP(-LN(2)/2)*EC110+(1-EXP(-LN(2)/2))/(LN(2)/2)*DW111*DZ111*VLOOKUP('Données projet'!$B$14,Paramètres!$A$1:$I$89,3,0)*0.475*44/12</f>
        <v>2.5459317814615292E-11</v>
      </c>
      <c r="ED111" s="22">
        <f t="shared" si="72"/>
        <v>1.2568330380042376</v>
      </c>
      <c r="EE111" s="75">
        <f>('Scénario référence'!$F$8+'Scénario référence'!$F$9+'Scénario référence'!$B$17+'Scénario référence'!$B$9+'Scénario référence'!$B$10)*70+IF((45+25*(1-EXP(-0.0175*A111)))&lt;70,'Scénario référence'!$B$16*(45+25*(1-EXP(-0.0175*A111))),70*'Scénario référence'!$B$16)+IF((32+38*(1-EXP(-0.0175*A111)))&lt;70,'Scénario référence'!$B$18*(32+38*(1-EXP(-0.0175*A111))),70*'Scénario référence'!$B$18)</f>
        <v>70</v>
      </c>
      <c r="EF111" s="12">
        <f>IF(A111&gt;30,10,('Scénario référence'!$B$16+'Scénario référence'!$B$17+'Scénario référence'!$B$18+'Scénario référence'!$B$9+'Scénario référence'!$B$10)*A111*10/30+('Scénario référence'!$F$8+'Scénario référence'!$F$9)*10)</f>
        <v>10</v>
      </c>
      <c r="EG111" s="12" t="e">
        <f>VLOOKUP(A111,'Données projet'!$A$191:$I$211,2,0)</f>
        <v>#N/A</v>
      </c>
      <c r="EH111" s="12" t="e">
        <f>VLOOKUP(A111,'Données projet'!$A$191:$I$211,9,0)</f>
        <v>#N/A</v>
      </c>
      <c r="EI111" s="12">
        <f t="array" ref="EI111">INDEX(EH:EH,MIN(IF(ISNUMBER(EH111:EH307),ROW(EH111:EH307),"")))</f>
        <v>0</v>
      </c>
      <c r="EJ111" s="12">
        <f>IF('Données projet'!$A$192&gt;35,EJ110+EI111-ER110,IF(A111&lt;'Données projet'!$A$192,$EG$205^A111,IF(A111='Données projet'!$A$192,'Données projet'!$B$192,EJ110+EI111-ER110)))</f>
        <v>275.99999999999972</v>
      </c>
      <c r="EK111" s="17">
        <f>EJ111*VLOOKUP('Données projet'!$B$15,Paramètres!$A$1:$I$89,3,0)*VLOOKUP('Données projet'!$B$15,Paramètres!$A$1:$I$89,5,0)</f>
        <v>223.8911999999998</v>
      </c>
      <c r="EL111" s="13">
        <f t="shared" si="99"/>
        <v>54.95975389514858</v>
      </c>
      <c r="EM111" s="20">
        <f t="shared" si="73"/>
        <v>485.66541136738346</v>
      </c>
      <c r="EN111" s="59">
        <f t="shared" si="74"/>
        <v>778.99874470071677</v>
      </c>
      <c r="EO111" s="59">
        <f ca="1">AVERAGE(OFFSET($EN$3,0,0,'Données projet'!$E$15+1,1))-AVERAGE(OFFSET($H$3,0,0,'Données projet'!$E$15+1,1))</f>
        <v>205.5272583787887</v>
      </c>
      <c r="EP111" s="59">
        <f t="shared" si="100"/>
        <v>180.54762778843178</v>
      </c>
      <c r="EQ111" s="15">
        <f>IF(ISNA(VLOOKUP(A111,'Données projet'!$A$191:$I$211,3,0)),0,VLOOKUP(A111,'Données projet'!$A$191:$I$211,3,0))</f>
        <v>0</v>
      </c>
      <c r="ER111" s="15">
        <f>IF(ISNA(VLOOKUP(A111,'Données projet'!$A$191:$I$211,4,0)),0,VLOOKUP(A111,'Données projet'!$A$191:$I$211,4,0))</f>
        <v>0</v>
      </c>
      <c r="ES111" s="16">
        <f>IF(ISNA(VLOOKUP(A111,'Données projet'!$A$191:$I$211,5,0)),0%,VLOOKUP(A111,'Données projet'!$A$191:$I$211,5,0)*VLOOKUP('Données projet'!$B$15,Paramètres!$A$1:$I$89,7,0))</f>
        <v>0</v>
      </c>
      <c r="ET111" s="16">
        <f>IF(ISNA(VLOOKUP(A111,'Données projet'!$A$191:$I$211,6,0)),0%,VLOOKUP(A111,'Données projet'!$A$191:$I$211,6,0)*VLOOKUP('Données projet'!$B$15,Paramètres!$A$1:$I$89,7,0))</f>
        <v>0</v>
      </c>
      <c r="EU111" s="16">
        <f>IF(ISNA(VLOOKUP(A111,'Données projet'!$A$191:$I$211,7,0)),0%,VLOOKUP(A111,'Données projet'!$A$191:$I$211,7,0))</f>
        <v>0</v>
      </c>
      <c r="EV111" s="21">
        <f>EXP(-LN(2)/35)*EV110+(1-EXP(-LN(2)/35))/(LN(2)/35)*ER111*ES111*VLOOKUP('Données projet'!$B$15,Paramètres!$A$1:$I$89,3,0)*0.475*44/12</f>
        <v>0.21391931953293966</v>
      </c>
      <c r="EW111" s="21">
        <f>EXP(-LN(2)/25)*EW110+(1-EXP(-LN(2)/25))/(LN(2)/25)*Calculateur!ER111*Calculateur!ET111*VLOOKUP('Données projet'!$B$15,Paramètres!$A$1:$I$89,3,0)*0.475*44/12</f>
        <v>0.66756174329769868</v>
      </c>
      <c r="EX111" s="21">
        <f>EXP(-LN(2)/2)*EX110+(1-EXP(-LN(2)/2))/(LN(2)/2)*ER111*EU111*VLOOKUP('Données projet'!$B$15,Paramètres!$A$1:$I$89,3,0)*0.475*44/12</f>
        <v>1.6484927110250178E-11</v>
      </c>
      <c r="EY111" s="22">
        <f t="shared" si="75"/>
        <v>0.88148106284712324</v>
      </c>
      <c r="EZ111" s="75">
        <f>('Scénario référence'!$F$8+'Scénario référence'!$F$9+'Scénario référence'!$B$17+'Scénario référence'!$B$9+'Scénario référence'!$B$10)*70+IF((45+25*(1-EXP(-0.0175*A111)))&lt;70,'Scénario référence'!$B$16*(45+25*(1-EXP(-0.0175*A111))),70*'Scénario référence'!$B$16)+IF((32+38*(1-EXP(-0.0175*A111)))&lt;70,'Scénario référence'!$B$18*(32+38*(1-EXP(-0.0175*A111))),70*'Scénario référence'!$B$18)</f>
        <v>70</v>
      </c>
      <c r="FA111" s="12">
        <f>IF(A111&gt;30,10,('Scénario référence'!$B$16+'Scénario référence'!$B$17+'Scénario référence'!$B$18+'Scénario référence'!$B$9+'Scénario référence'!$B$10)*A111*10/30+('Scénario référence'!$F$8+'Scénario référence'!$F$9)*10)</f>
        <v>10</v>
      </c>
      <c r="FB111" s="12" t="e">
        <f>VLOOKUP(A111,'Données projet'!$A$217:$I$237,2,0)</f>
        <v>#N/A</v>
      </c>
      <c r="FC111" s="12" t="e">
        <f>VLOOKUP(A111,'Données projet'!$A$217:$I$237,9,0)</f>
        <v>#N/A</v>
      </c>
      <c r="FD111" s="12">
        <f t="array" ref="FD111">INDEX(FC:FC,MIN(IF(ISNUMBER(FC111:FC307),ROW(FC111:FC307),"")))</f>
        <v>8.6</v>
      </c>
      <c r="FE111" s="12">
        <f>IF('Données projet'!$A$218&gt;35,FE110+FD111-FM110,IF(A111&lt;'Données projet'!$A$218,$FB$205^A111,IF(A111='Données projet'!$A$218,'Données projet'!$B$218,FE110+FD111-FM110)))</f>
        <v>428.8</v>
      </c>
      <c r="FF111" s="17">
        <f>FE111*VLOOKUP('Données projet'!$B$16,Paramètres!$A$1:$I$89,3,0)*VLOOKUP('Données projet'!$B$16,Paramètres!$A$1:$I$89,5,0)</f>
        <v>367.91040000000004</v>
      </c>
      <c r="FG111" s="13">
        <f t="shared" si="101"/>
        <v>85.239668702551455</v>
      </c>
      <c r="FH111" s="20">
        <f t="shared" si="76"/>
        <v>789.23636965694379</v>
      </c>
      <c r="FI111" s="59">
        <f t="shared" si="77"/>
        <v>1082.5697029902772</v>
      </c>
      <c r="FJ111" s="59">
        <f ca="1">AVERAGE(OFFSET($FI$3,0,0,'Données projet'!$E$16+1,1))-AVERAGE(OFFSET($H$3,0,0,'Données projet'!$E$16+1,1))</f>
        <v>383.97627237444709</v>
      </c>
      <c r="FK111" s="59">
        <f t="shared" si="102"/>
        <v>203.35476578922339</v>
      </c>
      <c r="FL111" s="15">
        <f>IF(ISNA(VLOOKUP(A111,'Données projet'!$A$217:$I$237,3,0)),0,VLOOKUP(A111,'Données projet'!$A$217:$I$237,3,0))</f>
        <v>0</v>
      </c>
      <c r="FM111" s="15">
        <f>IF(ISNA(VLOOKUP(A111,'Données projet'!$A$217:$I$237,4,0)),0,VLOOKUP(A111,'Données projet'!$A$217:$I$237,4,0))</f>
        <v>0</v>
      </c>
      <c r="FN111" s="16">
        <f>IF(ISNA(VLOOKUP(A111,'Données projet'!$A$217:$I$237,5,0)),0%,VLOOKUP(A111,'Données projet'!$A$217:$I$237,5,0)*VLOOKUP('Données projet'!$B$16,Paramètres!$A$1:$I$89,7,0))</f>
        <v>0</v>
      </c>
      <c r="FO111" s="16">
        <f>IF(ISNA(VLOOKUP(A111,'Données projet'!$A$217:$I$237,6,0)),0%,VLOOKUP(A111,'Données projet'!$A$217:$I$237,6,0)*VLOOKUP('Données projet'!$B$16,Paramètres!$A$1:$I$89,7,0))</f>
        <v>0</v>
      </c>
      <c r="FP111" s="16">
        <f>IF(ISNA(VLOOKUP(A111,'Données projet'!$A$217:$I$237,7,0)),0%,VLOOKUP(A111,'Données projet'!$A$217:$I$237,7,0))</f>
        <v>0</v>
      </c>
      <c r="FQ111" s="21">
        <f>EXP(-LN(2)/35)*FQ110+(1-EXP(-LN(2)/35))/(LN(2)/35)*FM111*FN111*VLOOKUP('Données projet'!$B$16,Paramètres!$A$1:$I$89,3,0)*0.475*44/12</f>
        <v>1.0994292466793099</v>
      </c>
      <c r="FR111" s="21">
        <f>EXP(-LN(2)/25)*FR110+(1-EXP(-LN(2)/25))/(LN(2)/25)*Calculateur!FM111*Calculateur!FO111*VLOOKUP('Données projet'!$B$16,Paramètres!$A$1:$I$89,3,0)*0.475*44/12</f>
        <v>0.67764416851080389</v>
      </c>
      <c r="FS111" s="21">
        <f>EXP(-LN(2)/2)*FS110+(1-EXP(-LN(2)/2))/(LN(2)/2)*FM111*FP111*VLOOKUP('Données projet'!$B$16,Paramètres!$A$1:$I$89,3,0)*0.475*44/12</f>
        <v>3.0279427904660937E-11</v>
      </c>
      <c r="FT111" s="22">
        <f t="shared" si="78"/>
        <v>1.7770734152203931</v>
      </c>
      <c r="FU111" s="75">
        <f>('Scénario référence'!$F$8+'Scénario référence'!$F$9+'Scénario référence'!$B$17+'Scénario référence'!$B$9+'Scénario référence'!$B$10)*70+IF((45+25*(1-EXP(-0.0175*A111)))&lt;70,'Scénario référence'!$B$16*(45+25*(1-EXP(-0.0175*A111))),70*'Scénario référence'!$B$16)+IF((32+38*(1-EXP(-0.0175*A111)))&lt;70,'Scénario référence'!$B$18*(32+38*(1-EXP(-0.0175*A111))),70*'Scénario référence'!$B$18)</f>
        <v>70</v>
      </c>
      <c r="FV111" s="12">
        <f>IF(A111&gt;30,10,('Scénario référence'!$B$16+'Scénario référence'!$B$17+'Scénario référence'!$B$18+'Scénario référence'!$B$9+'Scénario référence'!$B$10)*A111*10/30+('Scénario référence'!$F$8+'Scénario référence'!$F$9)*10)</f>
        <v>10</v>
      </c>
      <c r="FW111" s="12" t="e">
        <f>VLOOKUP(A111,'Données projet'!$A$243:$I$263,2,0)</f>
        <v>#N/A</v>
      </c>
      <c r="FX111" s="12" t="e">
        <f>VLOOKUP(A111,'Données projet'!$A$243:$I$263,9,0)</f>
        <v>#N/A</v>
      </c>
      <c r="FY111" s="12">
        <f t="array" ref="FY111">INDEX(FX:FX,MIN(IF(ISNUMBER(FX111:FX307),ROW(FX111:FX307),"")))</f>
        <v>6.9935897435897401</v>
      </c>
      <c r="FZ111" s="12">
        <f>IF('Données projet'!$A$244&gt;35,FZ110+FY111-GH110,IF(A111&lt;'Données projet'!$A$244,$FW$205^A111,IF(A111='Données projet'!$A$244,'Données projet'!$B$244,FZ110+FY111-GH110)))</f>
        <v>333.17307692307708</v>
      </c>
      <c r="GA111" s="17">
        <f>FZ111*VLOOKUP('Données projet'!$B$17,Paramètres!$A$1:$I$89,3,0)*VLOOKUP('Données projet'!$B$17,Paramètres!$A$1:$I$89,5,0)</f>
        <v>358.62750000000011</v>
      </c>
      <c r="GB111" s="13">
        <f t="shared" si="103"/>
        <v>83.336477558876226</v>
      </c>
      <c r="GC111" s="20">
        <f t="shared" si="79"/>
        <v>769.75392758170949</v>
      </c>
      <c r="GD111" s="59">
        <f t="shared" si="80"/>
        <v>1063.0872609150429</v>
      </c>
      <c r="GE111" s="59">
        <f ca="1">AVERAGE(OFFSET($GD$3,0,0,'Données projet'!$E$17+1,1))-AVERAGE(OFFSET($H$3,0,0,'Données projet'!$E$17+1,1))</f>
        <v>286.77702855541287</v>
      </c>
      <c r="GF111" s="59">
        <f t="shared" si="104"/>
        <v>227.12211541860779</v>
      </c>
      <c r="GG111" s="15">
        <f>IF(ISNA(VLOOKUP(A111,'Données projet'!$A$243:$I$263,3,0)),0,VLOOKUP(A111,'Données projet'!$A$243:$I$263,3,0))</f>
        <v>0</v>
      </c>
      <c r="GH111" s="15">
        <f>IF(ISNA(VLOOKUP(A111,'Données projet'!$A$243:$I$263,4,0)),0,VLOOKUP(A111,'Données projet'!$A$243:$I$263,4,0))</f>
        <v>0</v>
      </c>
      <c r="GI111" s="16">
        <f>IF(ISNA(VLOOKUP(A111,'Données projet'!$A$243:$I$263,5,0)),0%,VLOOKUP(A111,'Données projet'!$A$243:$I$263,5,0)*VLOOKUP('Données projet'!$B$17,Paramètres!$A$1:$I$89,7,0))</f>
        <v>0</v>
      </c>
      <c r="GJ111" s="16">
        <f>IF(ISNA(VLOOKUP(A111,'Données projet'!$A$243:$I$263,6,0)),0%,VLOOKUP(A111,'Données projet'!$A$243:$I$263,6,0)*VLOOKUP('Données projet'!$B$17,Paramètres!$A$1:$I$89,7,0))</f>
        <v>0</v>
      </c>
      <c r="GK111" s="16">
        <f>IF(ISNA(VLOOKUP(A111,'Données projet'!$A$243:$I$263,7,0)),0%,VLOOKUP(A111,'Données projet'!$A$243:$I$263,7,0))</f>
        <v>0</v>
      </c>
      <c r="GL111" s="21">
        <f>EXP(-LN(2)/35)*GL110+(1-EXP(-LN(2)/35))/(LN(2)/35)*GH111*GI111*VLOOKUP('Données projet'!$B$17,Paramètres!$A$1:$I$89,3,0)*0.475*44/12</f>
        <v>0</v>
      </c>
      <c r="GM111" s="21">
        <f>EXP(-LN(2)/25)*GM110+(1-EXP(-LN(2)/25))/(LN(2)/25)*Calculateur!GH111*Calculateur!GJ111*VLOOKUP('Données projet'!$B$17,Paramètres!$A$1:$I$89,3,0)*0.475*44/12</f>
        <v>0</v>
      </c>
      <c r="GN111" s="21">
        <f>EXP(-LN(2)/2)*GN110+(1-EXP(-LN(2)/2))/(LN(2)/2)*GH111*GK111*VLOOKUP('Données projet'!$B$17,Paramètres!$A$1:$I$89,3,0)*0.475*44/12</f>
        <v>0</v>
      </c>
      <c r="GO111" s="21">
        <f t="shared" si="81"/>
        <v>0</v>
      </c>
      <c r="GP111" s="75">
        <f>('Scénario référence'!$F$8+'Scénario référence'!$F$9+'Scénario référence'!$B$17+'Scénario référence'!$B$9+'Scénario référence'!$B$10)*70+IF((45+25*(1-EXP(-0.0175*A111)))&lt;70,'Scénario référence'!$B$16*(45+25*(1-EXP(-0.0175*A111))),70*'Scénario référence'!$B$16)+IF((32+38*(1-EXP(-0.0175*A111)))&lt;70,'Scénario référence'!$B$18*(32+38*(1-EXP(-0.0175*A111))),70*'Scénario référence'!$B$18)</f>
        <v>70</v>
      </c>
      <c r="GQ111" s="12">
        <f>IF(A111&gt;30,10,('Scénario référence'!$B$16+'Scénario référence'!$B$17+'Scénario référence'!$B$18+'Scénario référence'!$B$9+'Scénario référence'!$B$10)*A111*10/30+('Scénario référence'!$F$8+'Scénario référence'!$F$9)*10)</f>
        <v>10</v>
      </c>
      <c r="GR111" s="12" t="e">
        <f>VLOOKUP(A111,'Données projet'!$A$269:$I$289,2,0)</f>
        <v>#N/A</v>
      </c>
      <c r="GS111" s="12" t="e">
        <f>VLOOKUP(A111,'Données projet'!$A$269:$I$289,9,0)</f>
        <v>#N/A</v>
      </c>
      <c r="GT111" s="12">
        <f t="array" ref="GT111">INDEX(GS:GS,MIN(IF(ISNUMBER(GS111:GS307),ROW(GS111:GS307),"")))</f>
        <v>6.9935897435897401</v>
      </c>
      <c r="GU111" s="12">
        <f>IF('Données projet'!$A$270&gt;35,GU110+GT111-HC110,IF(A111&lt;'Données projet'!$A$270,$GR$205^A111,IF(A111='Données projet'!$A$270,'Données projet'!$B$270,GU110+GT111-HC110)))</f>
        <v>333.17307692307708</v>
      </c>
      <c r="GV111" s="17">
        <f>GU111*VLOOKUP('Données projet'!$B$18,Paramètres!$A$1:$I$89,3,0)*VLOOKUP('Données projet'!$B$18,Paramètres!$A$1:$I$89,5,0)</f>
        <v>358.62750000000011</v>
      </c>
      <c r="GW111" s="13">
        <f t="shared" si="105"/>
        <v>83.336477558876226</v>
      </c>
      <c r="GX111" s="20">
        <f t="shared" si="82"/>
        <v>769.75392758170949</v>
      </c>
      <c r="GY111" s="59">
        <f t="shared" si="83"/>
        <v>1063.0872609150429</v>
      </c>
      <c r="GZ111" s="59">
        <f ca="1">AVERAGE(OFFSET($GY$3,0,0,'Données projet'!$E$18+1,1))-AVERAGE(OFFSET($H$3,0,0,'Données projet'!$E$18+1,1))</f>
        <v>286.77702855541287</v>
      </c>
      <c r="HA111" s="59">
        <f t="shared" si="106"/>
        <v>227.12211541860779</v>
      </c>
      <c r="HB111" s="15">
        <f>IF(ISNA(VLOOKUP(A111,'Données projet'!$A$269:$I$289,3,0)),0,VLOOKUP(A111,'Données projet'!$A$269:$I$289,3,0))</f>
        <v>0</v>
      </c>
      <c r="HC111" s="15">
        <f>IF(ISNA(VLOOKUP(A111,'Données projet'!$A$269:$I$289,4,0)),0,VLOOKUP(A111,'Données projet'!$A$269:$I$289,4,0))</f>
        <v>0</v>
      </c>
      <c r="HD111" s="16">
        <f>IF(ISNA(VLOOKUP(A111,'Données projet'!$A$269:$I$289,5,0)),0%,VLOOKUP(A111,'Données projet'!$A$269:$I$289,5,0)*VLOOKUP('Données projet'!$B$18,Paramètres!$A$1:$I$89,7,0))</f>
        <v>0</v>
      </c>
      <c r="HE111" s="16">
        <f>IF(ISNA(VLOOKUP(A111,'Données projet'!$A$269:$I$289,6,0)),0%,VLOOKUP(A111,'Données projet'!$A$269:$I$289,6,0)*VLOOKUP('Données projet'!$B$18,Paramètres!$A$1:$I$89,7,0))</f>
        <v>0</v>
      </c>
      <c r="HF111" s="16">
        <f>IF(ISNA(VLOOKUP(A111,'Données projet'!$A$269:$I$289,7,0)),0%,VLOOKUP(A111,'Données projet'!$A$269:$I$289,7,0))</f>
        <v>0</v>
      </c>
      <c r="HG111" s="21">
        <f>EXP(-LN(2)/35)*HG110+(1-EXP(-LN(2)/35))/(LN(2)/35)*HC111*HD111*VLOOKUP('Données projet'!$B$18,Paramètres!$A$1:$I$89,3,0)*0.475*44/12</f>
        <v>0</v>
      </c>
      <c r="HH111" s="21">
        <f>EXP(-LN(2)/25)*HH110+(1-EXP(-LN(2)/25))/(LN(2)/25)*Calculateur!HC111*Calculateur!HE111*VLOOKUP('Données projet'!$B$18,Paramètres!$A$1:$I$89,3,0)*0.475*44/12</f>
        <v>0</v>
      </c>
      <c r="HI111" s="21">
        <f>EXP(-LN(2)/2)*HI110+(1-EXP(-LN(2)/2))/(LN(2)/2)*HC111*HF111*VLOOKUP('Données projet'!$B$18,Paramètres!$A$1:$I$89,3,0)*0.475*44/12</f>
        <v>0</v>
      </c>
      <c r="HJ111" s="22">
        <f t="shared" si="84"/>
        <v>0</v>
      </c>
    </row>
    <row r="112" spans="1:218" x14ac:dyDescent="0.25">
      <c r="A112" s="10">
        <f t="shared" si="85"/>
        <v>109</v>
      </c>
      <c r="B112" s="73">
        <f>'Scénario référence'!$B$16*5+'Scénario référence'!$B$17*0+'Scénario référence'!$B$18*5</f>
        <v>0</v>
      </c>
      <c r="C112" s="19">
        <f>Calculateur!C111+'Scénario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96.922800000000166</v>
      </c>
      <c r="D112" s="11">
        <f t="shared" si="86"/>
        <v>26.227568865645399</v>
      </c>
      <c r="E11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12" s="11">
        <f>IF(OR('Scénario référence'!$F$8&gt;0,'Scénario référence'!$F$9&gt;0),('Scénario référence'!$F$8+'Scénario référence'!$F$9)*10,0)</f>
        <v>10</v>
      </c>
      <c r="G112" s="11">
        <f>'Scénario référence'!$B$8*B112*44/12+'Scénario référence'!$B$9*(C112+D112)/0.475*44/12+'Scénario référence'!$B$10*(C112+D112)/0.475*44/12+'Scénario référence'!$F$8*(C112+D112)/0.475*44/12+'Scénario référence'!$F$9*(C112+D112)/0.475*44/12</f>
        <v>950.6344263312991</v>
      </c>
      <c r="H112" s="67">
        <f t="shared" si="56"/>
        <v>507.82022577433264</v>
      </c>
      <c r="I112" s="70">
        <f>('Scénario référence'!$F$8+'Scénario référence'!$F$9+'Scénario référence'!$B$17+'Scénario référence'!$B$9+'Scénario référence'!$B$10)*70+IF((45+25*(1-EXP(-0.0175*A112)))&lt;70,'Scénario référence'!$B$16*(45+25*(1-EXP(-0.0175*A112))),70*'Scénario référence'!$B$16)+IF((32+38*(1-EXP(-0.0175*A112)))&lt;70,'Scénario référence'!$B$18*(32+38*(1-EXP(-0.0175*A112))),70*'Scénario référence'!$B$18)</f>
        <v>70</v>
      </c>
      <c r="J112" s="13">
        <f>IF(A112&gt;30,10,('Scénario référence'!$B$16+'Scénario référence'!$B$17+'Scénario référence'!$B$18+'Scénario référence'!$B$9+'Scénario référence'!$B$10)*A112*10/30+('Scénario référence'!$F$8+'Scénario référence'!$F$9)*10)</f>
        <v>10</v>
      </c>
      <c r="K112" s="12" t="e">
        <f>VLOOKUP(A112,'Données projet'!$A$35:$I$55,2,0)</f>
        <v>#N/A</v>
      </c>
      <c r="L112" s="12" t="e">
        <f>VLOOKUP(A112,'Données projet'!$A$35:$I$55,9,0)</f>
        <v>#N/A</v>
      </c>
      <c r="M112" s="12">
        <f t="array" ref="M112">INDEX(L:L,MIN(IF(ISNUMBER(L112:L308),ROW(L112:L308),"")))</f>
        <v>0</v>
      </c>
      <c r="N112" s="13">
        <f>IF('Données projet'!$A$36&gt;35,N111+M112-V111,IF(A112&lt;'Données projet'!$A$36,$K$205^A112,IF(A112='Données projet'!$A$36,'Données projet'!$B$36,N111+M112-V111)))</f>
        <v>-2.2737367544323206E-13</v>
      </c>
      <c r="O112" s="13">
        <f>N112*VLOOKUP('Données projet'!$B$9,Paramètres!$A$1:$I$89,3,0)*VLOOKUP('Données projet'!$B$9,Paramètres!$A$1:$I$89,5,0)</f>
        <v>-1.2710188457276673E-13</v>
      </c>
      <c r="P112" s="13" t="e">
        <f t="shared" si="87"/>
        <v>#NUM!</v>
      </c>
      <c r="Q112" s="20" t="e">
        <f t="shared" si="107"/>
        <v>#NUM!</v>
      </c>
      <c r="R112" s="59" t="e">
        <f t="shared" si="55"/>
        <v>#NUM!</v>
      </c>
      <c r="S112" s="59">
        <f ca="1">AVERAGE(OFFSET($R$3,0,0,'Données projet'!$E$9+1,1))-AVERAGE(OFFSET($H$3,0,0,'Données projet'!$E$9+1,1))</f>
        <v>255.5374979188561</v>
      </c>
      <c r="T112" s="59">
        <f t="shared" si="88"/>
        <v>343.10418468620901</v>
      </c>
      <c r="U112" s="15">
        <f>IF(ISNA(VLOOKUP(A112,'Données projet'!$A$35:$I$55,3,0)),0,VLOOKUP(A112,'Données projet'!$A$35:$I$55,3,0))</f>
        <v>0</v>
      </c>
      <c r="V112" s="15">
        <f>IF(ISNA(VLOOKUP(A112,'Données projet'!$A$35:$I$55,4,0)),0,VLOOKUP(A112,'Données projet'!$A$35:$I$55,4,0))</f>
        <v>0</v>
      </c>
      <c r="W112" s="16">
        <f>IF(ISNA(VLOOKUP(A112,'Données projet'!$A$35:$I$55,5,0)),0%,VLOOKUP(A112,'Données projet'!$A$35:$I$55,5,0)*VLOOKUP('Données projet'!$B$9,Paramètres!$A$1:$I$89,7,0))</f>
        <v>0</v>
      </c>
      <c r="X112" s="16">
        <f>IF(ISNA(VLOOKUP(A112,'Données projet'!$A$35:$I$55,6,0)),0%,VLOOKUP(A112,'Données projet'!$A$35:$I$55,6,0)*VLOOKUP('Données projet'!$B$9,Paramètres!$A$1:$I$89,7,0))</f>
        <v>0</v>
      </c>
      <c r="Y112" s="16">
        <f>IF(ISNA(VLOOKUP(A112,'Données projet'!$A$35:$I$55,7,0)),0%,VLOOKUP(A112,'Données projet'!$A$35:$I$55,7,0))</f>
        <v>0</v>
      </c>
      <c r="Z112" s="21">
        <f>EXP(-LN(2)/35)*Z111+(1-EXP(-LN(2)/35))/(LN(2)/35)*V112*W112*VLOOKUP('Données projet'!$B$9,Paramètres!$A$1:$I$89,3,0)*0.475*44/12</f>
        <v>0.64639280819205136</v>
      </c>
      <c r="AA112" s="21">
        <f>EXP(-LN(2)/25)*AA111+(1-EXP(-LN(2)/25))/(LN(2)/25)*Calculateur!V112*Calculateur!X112*VLOOKUP('Données projet'!$B$9,Paramètres!$A$1:$I$89,3,0)*0.475*44/12</f>
        <v>1.7856040075121205</v>
      </c>
      <c r="AB112" s="21">
        <f>EXP(-LN(2)/2)*AB111+(1-EXP(-LN(2)/2))/(LN(2)/2)*V112*Y112*VLOOKUP('Données projet'!$B$9,Paramètres!$A$1:$I$89,3,0)*0.475*44/12</f>
        <v>2.1771225211914151E-12</v>
      </c>
      <c r="AC112" s="22">
        <f t="shared" si="57"/>
        <v>2.4319968157063485</v>
      </c>
      <c r="AD112" s="13">
        <f>('Scénario référence'!$F$8+'Scénario référence'!$F$9+'Scénario référence'!$B$17+'Scénario référence'!$B$9+'Scénario référence'!$B$10)*70+IF((45+25*(1-EXP(-0.0175*A112)))&lt;70,'Scénario référence'!$B$16*(45+25*(1-EXP(-0.0175*A112))),70*'Scénario référence'!$B$16)+IF((32+38*(1-EXP(-0.0175*A112)))&lt;70,'Scénario référence'!$B$18*(32+38*(1-EXP(-0.0175*A112))),70*'Scénario référence'!$B$18)</f>
        <v>70</v>
      </c>
      <c r="AE112" s="13">
        <f>IF(A112&gt;30,10,('Scénario référence'!$B$16+'Scénario référence'!$B$17+'Scénario référence'!$B$18+'Scénario référence'!$B$9+'Scénario référence'!$B$10)*A112*10/30+('Scénario référence'!$F$8+'Scénario référence'!$F$9)*10)</f>
        <v>10</v>
      </c>
      <c r="AF112" s="12" t="e">
        <f>VLOOKUP(A112,'Données projet'!$A$61:$I$81,2,0)</f>
        <v>#N/A</v>
      </c>
      <c r="AG112" s="12" t="e">
        <f>VLOOKUP(A112,'Données projet'!$A$61:$I$81,9,0)</f>
        <v>#N/A</v>
      </c>
      <c r="AH112" s="12">
        <f t="array" ref="AH112">INDEX(AG:AG,MIN(IF(ISNUMBER(AG112:AG308),ROW(AG112:AG308),"")))</f>
        <v>0</v>
      </c>
      <c r="AI112" s="13">
        <f>IF('Données projet'!$A$62&gt;35,AI111+AH112-AQ111,IF(A112&lt;'Données projet'!$A$62,$AF$205^A112,IF(A112='Données projet'!$A$62,'Données projet'!$B$62,AI111+AH112-AQ111)))</f>
        <v>0</v>
      </c>
      <c r="AJ112" s="13">
        <f>AI112*VLOOKUP('Données projet'!$B$10,Paramètres!$A$1:$I$89,3,0)*VLOOKUP('Données projet'!$B$10,Paramètres!$A$1:$I$89,5,0)</f>
        <v>0</v>
      </c>
      <c r="AK112" s="13" t="e">
        <f t="shared" si="89"/>
        <v>#NUM!</v>
      </c>
      <c r="AL112" s="20" t="e">
        <f t="shared" si="58"/>
        <v>#NUM!</v>
      </c>
      <c r="AM112" s="59" t="e">
        <f t="shared" si="59"/>
        <v>#NUM!</v>
      </c>
      <c r="AN112" s="59">
        <f ca="1">AVERAGE(OFFSET($AM$3,0,0,'Données projet'!$E$10+1,1))-AVERAGE(OFFSET($H$3,0,0,'Données projet'!$E$10+1,1))</f>
        <v>261.78489480911571</v>
      </c>
      <c r="AO112" s="59">
        <f t="shared" si="90"/>
        <v>297.50513563712764</v>
      </c>
      <c r="AP112" s="15">
        <f>IF(ISNA(VLOOKUP(A112,'Données projet'!$A$61:$I$81,3,0)),0,VLOOKUP(A112,'Données projet'!$A$61:$I$81,3,0))</f>
        <v>0</v>
      </c>
      <c r="AQ112" s="15">
        <f>IF(ISNA(VLOOKUP(A112,'Données projet'!$A$61:$I$81,4,0)),0,VLOOKUP(A112,'Données projet'!$A$61:$I$81,4,0))</f>
        <v>0</v>
      </c>
      <c r="AR112" s="16">
        <f>IF(ISNA(VLOOKUP(A112,'Données projet'!$A$61:$I$81,5,0)),0%,VLOOKUP(A112,'Données projet'!$A$61:$I$81,5,0)*VLOOKUP('Données projet'!$B$10,Paramètres!$A$1:$I$89,7,0))</f>
        <v>0</v>
      </c>
      <c r="AS112" s="16">
        <f>IF(ISNA(VLOOKUP(A112,'Données projet'!$A$61:$I$81,6,0)),0%,VLOOKUP(A112,'Données projet'!$A$61:$I$81,6,0)*VLOOKUP('Données projet'!$B$10,Paramètres!$A$1:$I$89,7,0))</f>
        <v>0</v>
      </c>
      <c r="AT112" s="16">
        <f>IF(ISNA(VLOOKUP(A112,'Données projet'!$A$61:$I$81,7,0)),0%,VLOOKUP(A112,'Données projet'!$A$61:$I$81,7,0))</f>
        <v>0</v>
      </c>
      <c r="AU112" s="21">
        <f>EXP(-LN(2)/35)*AU111+(1-EXP(-LN(2)/35))/(LN(2)/35)*AQ112*AR112*VLOOKUP('Données projet'!$B$10,Paramètres!$A$1:$I$89,3,0)*0.475*44/12</f>
        <v>1.7454434134474084</v>
      </c>
      <c r="AV112" s="21">
        <f>EXP(-LN(2)/25)*AV111+(1-EXP(-LN(2)/25))/(LN(2)/25)*Calculateur!AQ112*Calculateur!AS112*VLOOKUP('Données projet'!$B$10,Paramètres!$A$1:$I$89,3,0)*0.475*44/12</f>
        <v>3.1180287904712678</v>
      </c>
      <c r="AW112" s="21">
        <f>EXP(-LN(2)/2)*AW111+(1-EXP(-LN(2)/2))/(LN(2)/2)*AQ112*AT112*VLOOKUP('Données projet'!$B$10,Paramètres!$A$1:$I$89,3,0)*0.475*44/12</f>
        <v>3.1385293772363132E-11</v>
      </c>
      <c r="AX112" s="21">
        <f t="shared" si="60"/>
        <v>4.863472203950062</v>
      </c>
      <c r="AY112" s="74">
        <f>('Scénario référence'!$F$8+'Scénario référence'!$F$9+'Scénario référence'!$B$17+'Scénario référence'!$B$9+'Scénario référence'!$B$10)*70+IF((45+25*(1-EXP(-0.0175*A112)))&lt;70,'Scénario référence'!$B$16*(45+25*(1-EXP(-0.0175*A112))),70*'Scénario référence'!$B$16)+IF((32+38*(1-EXP(-0.0175*A112)))&lt;70,'Scénario référence'!$B$18*(32+38*(1-EXP(-0.0175*A112))),70*'Scénario référence'!$B$18)</f>
        <v>70</v>
      </c>
      <c r="AZ112" s="12">
        <f>IF(A112&gt;30,10,('Scénario référence'!$B$16+'Scénario référence'!$B$17+'Scénario référence'!$B$18+'Scénario référence'!$B$9+'Scénario référence'!$B$10)*A112*10/30+('Scénario référence'!$F$8+'Scénario référence'!$F$9)*10)</f>
        <v>10</v>
      </c>
      <c r="BA112" s="12" t="e">
        <f>VLOOKUP(A112,'Données projet'!$A$87:$I$107,2,0)</f>
        <v>#N/A</v>
      </c>
      <c r="BB112" s="12" t="e">
        <f>VLOOKUP(A112,'Données projet'!$A$87:$I$107,9,0)</f>
        <v>#N/A</v>
      </c>
      <c r="BC112" s="12">
        <f t="array" ref="BC112">INDEX(BB:BB,MIN(IF(ISNUMBER(BB112:BB308),ROW(BB112:BB308),"")))</f>
        <v>0</v>
      </c>
      <c r="BD112" s="12">
        <f>IF('Données projet'!$A$88&gt;35,BD111+BC112-BL111,IF(A112&lt;'Données projet'!$A$88,$BA$205^A112,IF(A112='Données projet'!$A$88,'Données projet'!$B$88,BD111+BC112-BL111)))</f>
        <v>553.99999999999955</v>
      </c>
      <c r="BE112" s="13">
        <f>BD112*VLOOKUP('Données projet'!$B$11,Paramètres!$A$1:$I$89,3,0)*VLOOKUP('Données projet'!$B$11,Paramètres!$A$1:$I$89,5,0)</f>
        <v>331.29199999999975</v>
      </c>
      <c r="BF112" s="13">
        <f t="shared" si="91"/>
        <v>77.698110787752</v>
      </c>
      <c r="BG112" s="20">
        <f t="shared" si="61"/>
        <v>712.32444295533423</v>
      </c>
      <c r="BH112" s="59">
        <f t="shared" si="62"/>
        <v>1005.6577762886675</v>
      </c>
      <c r="BI112" s="59">
        <f ca="1">AVERAGE(OFFSET($BH$3,0,0,'Données projet'!$E$11+1,1))-AVERAGE(OFFSET($H$3,0,0,'Données projet'!$E$11+1,1))</f>
        <v>316.58509520829671</v>
      </c>
      <c r="BJ112" s="59">
        <f t="shared" si="92"/>
        <v>240.71332110643596</v>
      </c>
      <c r="BK112" s="15">
        <f>IF(ISNA(VLOOKUP(A112,'Données projet'!$A$87:$I$107,3,0)),0,VLOOKUP(A112,'Données projet'!$A$87:$I$107,3,0))</f>
        <v>0</v>
      </c>
      <c r="BL112" s="15">
        <f>IF(ISNA(VLOOKUP(A112,'Données projet'!$A$87:$I$107,4,0)),0,VLOOKUP(A112,'Données projet'!$A$87:$I$107,4,0))</f>
        <v>0</v>
      </c>
      <c r="BM112" s="16">
        <f>IF(ISNA(VLOOKUP(A112,'Données projet'!$A$87:$I$107,5,0)),0%,VLOOKUP(A112,'Données projet'!$A$87:$I$107,5,0)*VLOOKUP('Données projet'!$B$11,Paramètres!$A$1:$I$89,7,0))</f>
        <v>0</v>
      </c>
      <c r="BN112" s="16">
        <f>IF(ISNA(VLOOKUP(A112,'Données projet'!$A$87:$I$107,6,0)),0%,VLOOKUP(A112,'Données projet'!$A$87:$I$107,6,0)*VLOOKUP('Données projet'!$B$11,Paramètres!$A$1:$I$89,7,0))</f>
        <v>0</v>
      </c>
      <c r="BO112" s="16">
        <f>IF(ISNA(VLOOKUP(A112,'Données projet'!$A$87:$I$107,7,0)),0%,VLOOKUP(A112,'Données projet'!$A$87:$I$107,7,0))</f>
        <v>0</v>
      </c>
      <c r="BP112" s="21">
        <f>EXP(-LN(2)/35)*BP111+(1-EXP(-LN(2)/35))/(LN(2)/35)*BL112*BM112*VLOOKUP('Données projet'!$B$11,Paramètres!$A$1:$I$89,3,0)*0.475*44/12</f>
        <v>0.53019142376480999</v>
      </c>
      <c r="BQ112" s="21">
        <f>EXP(-LN(2)/25)*BQ111+(1-EXP(-LN(2)/25))/(LN(2)/25)*Calculateur!BL112*Calculateur!BN112*VLOOKUP('Données projet'!$B$11,Paramètres!$A$1:$I$89,3,0)*0.475*44/12</f>
        <v>1.7081471495030141</v>
      </c>
      <c r="BR112" s="21">
        <f>EXP(-LN(2)/2)*BR111+(1-EXP(-LN(2)/2))/(LN(2)/2)*BL112*BO112*VLOOKUP('Données projet'!$B$11,Paramètres!$A$1:$I$89,3,0)*0.475*44/12</f>
        <v>2.8218816186699287E-11</v>
      </c>
      <c r="BS112" s="22">
        <f t="shared" si="63"/>
        <v>2.2383385732960428</v>
      </c>
      <c r="BT112" s="75">
        <f>('Scénario référence'!$F$8+'Scénario référence'!$F$9+'Scénario référence'!$B$17+'Scénario référence'!$B$9+'Scénario référence'!$B$10)*70+IF((45+25*(1-EXP(-0.0175*A112)))&lt;70,'Scénario référence'!$B$16*(45+25*(1-EXP(-0.0175*A112))),70*'Scénario référence'!$B$16)+IF((32+38*(1-EXP(-0.0175*A112)))&lt;70,'Scénario référence'!$B$18*(32+38*(1-EXP(-0.0175*A112))),70*'Scénario référence'!$B$18)</f>
        <v>70</v>
      </c>
      <c r="BU112" s="12">
        <f>IF(A112&gt;30,10,('Scénario référence'!$B$16+'Scénario référence'!$B$17+'Scénario référence'!$B$18+'Scénario référence'!$B$9+'Scénario référence'!$B$10)*A112*10/30+('Scénario référence'!$F$8+'Scénario référence'!$F$9)*10)</f>
        <v>10</v>
      </c>
      <c r="BV112" s="12" t="e">
        <f>VLOOKUP(A112,'Données projet'!$A$113:$I$133,2,0)</f>
        <v>#N/A</v>
      </c>
      <c r="BW112" s="12" t="e">
        <f>VLOOKUP(A112,'Données projet'!$A$113:$I$133,9,0)</f>
        <v>#N/A</v>
      </c>
      <c r="BX112" s="12">
        <f t="array" ref="BX112">INDEX(BW:BW,MIN(IF(ISNUMBER(BW112:BW308),ROW(BW112:BW308),"")))</f>
        <v>0</v>
      </c>
      <c r="BY112" s="12">
        <f>IF('Données projet'!$A$114&gt;35,BY111+BX112-CG111,IF(A112&lt;'Données projet'!$A$114,$BV$205^A112,IF(A112='Données projet'!$A$114,'Données projet'!$B$114,BY111+BX112-CG111)))</f>
        <v>333.99999999999977</v>
      </c>
      <c r="BZ112" s="13">
        <f>BY112*VLOOKUP('Données projet'!$B$12,Paramètres!$A$1:$I$89,3,0)*VLOOKUP('Données projet'!$B$12,Paramètres!$A$1:$I$89,5,0)</f>
        <v>191.04799999999986</v>
      </c>
      <c r="CA112" s="13">
        <f t="shared" si="93"/>
        <v>47.771576544305155</v>
      </c>
      <c r="CB112" s="20">
        <f t="shared" si="64"/>
        <v>415.94409581466454</v>
      </c>
      <c r="CC112" s="59">
        <f t="shared" si="65"/>
        <v>709.27742914799785</v>
      </c>
      <c r="CD112" s="59">
        <f ca="1">AVERAGE(OFFSET($CC$3,0,0,'Données projet'!$E$12+1,1))-AVERAGE(OFFSET($H$3,0,0,'Données projet'!$E$12+1,1))</f>
        <v>188.64374818906128</v>
      </c>
      <c r="CE112" s="59">
        <f t="shared" si="94"/>
        <v>211.95157880548652</v>
      </c>
      <c r="CF112" s="15">
        <f>IF(ISNA(VLOOKUP(A112,'Données projet'!$A$113:$I$133,3,0)),0,VLOOKUP(A112,'Données projet'!$A$113:$I$133,3,0))</f>
        <v>0</v>
      </c>
      <c r="CG112" s="15">
        <f>IF(ISNA(VLOOKUP(A112,'Données projet'!$A$113:$I$133,4,0)),0,VLOOKUP(A112,'Données projet'!$A$113:$I$133,4,0))</f>
        <v>0</v>
      </c>
      <c r="CH112" s="16">
        <f>IF(ISNA(VLOOKUP(A112,'Données projet'!$A$113:$I$133,5,0)),0%,VLOOKUP(A112,'Données projet'!$A$113:$I$133,5,0)*VLOOKUP('Données projet'!$B$12,Paramètres!$A$1:$I$89,7,0))</f>
        <v>0</v>
      </c>
      <c r="CI112" s="16">
        <f>IF(ISNA(VLOOKUP(A112,'Données projet'!$A$113:$I$133,6,0)),0%,VLOOKUP(A112,'Données projet'!$A$113:$I$133,6,0)*VLOOKUP('Données projet'!$B$12,Paramètres!$A$1:$I$89,7,0))</f>
        <v>0</v>
      </c>
      <c r="CJ112" s="16">
        <f>IF(ISNA(VLOOKUP(A112,'Données projet'!$A$113:$I$133,7,0)),0%,VLOOKUP(A112,'Données projet'!$A$113:$I$133,7,0))</f>
        <v>0</v>
      </c>
      <c r="CK112" s="21">
        <f>EXP(-LN(2)/35)*CK111+(1-EXP(-LN(2)/35))/(LN(2)/35)*CG112*CH112*VLOOKUP('Données projet'!$B$12,Paramètres!$A$1:$I$89,3,0)*0.475*44/12</f>
        <v>0.51428243431932552</v>
      </c>
      <c r="CL112" s="21">
        <f>EXP(-LN(2)/25)*CL111+(1-EXP(-LN(2)/25))/(LN(2)/25)*Calculateur!CG112*Calculateur!CI112*VLOOKUP('Données projet'!$B$12,Paramètres!$A$1:$I$89,3,0)*0.475*44/12</f>
        <v>1.6077467725746957</v>
      </c>
      <c r="CM112" s="21">
        <f>EXP(-LN(2)/2)*CM111+(1-EXP(-LN(2)/2))/(LN(2)/2)*CG112*CJ112*VLOOKUP('Données projet'!$B$12,Paramètres!$A$1:$I$89,3,0)*0.475*44/12</f>
        <v>2.7327715603849673E-11</v>
      </c>
      <c r="CN112" s="22">
        <f t="shared" si="66"/>
        <v>2.1220292069213493</v>
      </c>
      <c r="CO112" s="75">
        <f>('Scénario référence'!$F$8+'Scénario référence'!$F$9+'Scénario référence'!$B$17+'Scénario référence'!$B$9+'Scénario référence'!$B$10)*70+IF((45+25*(1-EXP(-0.0175*A112)))&lt;70,'Scénario référence'!$B$16*(45+25*(1-EXP(-0.0175*A112))),70*'Scénario référence'!$B$16)+IF((32+38*(1-EXP(-0.0175*A112)))&lt;70,'Scénario référence'!$B$18*(32+38*(1-EXP(-0.0175*A112))),70*'Scénario référence'!$B$18)</f>
        <v>70</v>
      </c>
      <c r="CP112" s="12">
        <f>IF(A112&gt;30,10,('Scénario référence'!$B$16+'Scénario référence'!$B$17+'Scénario référence'!$B$18+'Scénario référence'!$B$9+'Scénario référence'!$B$10)*A112*10/30+('Scénario référence'!$F$8+'Scénario référence'!$F$9)*10)</f>
        <v>10</v>
      </c>
      <c r="CQ112" s="12" t="e">
        <f>VLOOKUP(A112,'Données projet'!$A$139:$I$159,2,0)</f>
        <v>#N/A</v>
      </c>
      <c r="CR112" s="12" t="e">
        <f>VLOOKUP(A112,'Données projet'!$A$139:$I$159,9,0)</f>
        <v>#N/A</v>
      </c>
      <c r="CS112" s="12">
        <f t="array" ref="CS112">INDEX(CR:CR,MIN(IF(ISNUMBER(CR112:CR308),ROW(CR112:CR308),"")))</f>
        <v>0</v>
      </c>
      <c r="CT112" s="12">
        <f>IF('Données projet'!$A$140&gt;35,CT111+CS112-DB111,IF(A112&lt;'Données projet'!$A$140,$CQ$205^A112,IF(A112='Données projet'!$A$140,'Données projet'!$B$140,CT111+CS112-DB111)))</f>
        <v>0</v>
      </c>
      <c r="CU112" s="17" t="e">
        <f>CT112*VLOOKUP('Données projet'!$B$13,Paramètres!$A$1:$I$89,3,0)*VLOOKUP('Données projet'!$B$13,Paramètres!$A$1:$I$89,5,0)</f>
        <v>#N/A</v>
      </c>
      <c r="CV112" s="13" t="e">
        <f t="shared" si="95"/>
        <v>#N/A</v>
      </c>
      <c r="CW112" s="20" t="e">
        <f t="shared" si="67"/>
        <v>#N/A</v>
      </c>
      <c r="CX112" s="59" t="e">
        <f t="shared" si="68"/>
        <v>#N/A</v>
      </c>
      <c r="CY112" s="59" t="e">
        <f ca="1">AVERAGE(OFFSET($CX$3,0,0,'Données projet'!$E$13+1,1))-AVERAGE(OFFSET($H$3,0,0,'Données projet'!$E$13+1,1))</f>
        <v>#N/A</v>
      </c>
      <c r="CZ112" s="59" t="e">
        <f t="shared" si="96"/>
        <v>#N/A</v>
      </c>
      <c r="DA112" s="15">
        <f>IF(ISNA(VLOOKUP(A112,'Données projet'!$A$139:$I$159,3,0)),0,VLOOKUP(A112,'Données projet'!$A$139:$I$159,3,0))</f>
        <v>0</v>
      </c>
      <c r="DB112" s="15">
        <f>IF(ISNA(VLOOKUP(A112,'Données projet'!$A$139:$I$159,4,0)),0,VLOOKUP(A112,'Données projet'!$A$139:$I$159,4,0))</f>
        <v>0</v>
      </c>
      <c r="DC112" s="16">
        <f>IF(ISNA(VLOOKUP(A112,'Données projet'!$A$139:$I$159,5,0)),0%,VLOOKUP(A112,'Données projet'!$A$139:$I$159,5,0)*VLOOKUP('Données projet'!$B$13,Paramètres!$A$1:$I$89,7,0))</f>
        <v>0</v>
      </c>
      <c r="DD112" s="16">
        <f>IF(ISNA(VLOOKUP(A112,'Données projet'!$A$139:$I$159,6,0)),0%,VLOOKUP(A112,'Données projet'!$A$139:$I$159,6,0)*VLOOKUP('Données projet'!$B$13,Paramètres!$A$1:$I$89,7,0))</f>
        <v>0</v>
      </c>
      <c r="DE112" s="16">
        <f>IF(ISNA(VLOOKUP(A112,'Données projet'!$A$139:$I$159,7,0)),0%,VLOOKUP(A112,'Données projet'!$A$139:$I$159,7,0))</f>
        <v>0</v>
      </c>
      <c r="DF112" s="21" t="e">
        <f>EXP(-LN(2)/35)*DF111+(1-EXP(-LN(2)/35))/(LN(2)/35)*DB112*DC112*VLOOKUP('Données projet'!$B$13,Paramètres!$A$1:$I$89,3,0)*0.475*44/12</f>
        <v>#N/A</v>
      </c>
      <c r="DG112" s="21" t="e">
        <f>EXP(-LN(2)/25)*DG111+(1-EXP(-LN(2)/25))/(LN(2)/25)*Calculateur!DB112*Calculateur!DD112*VLOOKUP('Données projet'!$B$13,Paramètres!$A$1:$I$89,3,0)*0.475*44/12</f>
        <v>#N/A</v>
      </c>
      <c r="DH112" s="21" t="e">
        <f>EXP(-LN(2)/2)*DH111+(1-EXP(-LN(2)/2))/(LN(2)/2)*DB112*DE112*VLOOKUP('Données projet'!$B$13,Paramètres!$A$1:$I$89,3,0)*0.475*44/12</f>
        <v>#N/A</v>
      </c>
      <c r="DI112" s="22" t="e">
        <f t="shared" si="69"/>
        <v>#N/A</v>
      </c>
      <c r="DJ112" s="75">
        <f>('Scénario référence'!$F$8+'Scénario référence'!$F$9+'Scénario référence'!$B$17+'Scénario référence'!$B$9+'Scénario référence'!$B$10)*70+IF((45+25*(1-EXP(-0.0175*A112)))&lt;70,'Scénario référence'!$B$16*(45+25*(1-EXP(-0.0175*A112))),70*'Scénario référence'!$B$16)+IF((32+38*(1-EXP(-0.0175*A112)))&lt;70,'Scénario référence'!$B$18*(32+38*(1-EXP(-0.0175*A112))),70*'Scénario référence'!$B$18)</f>
        <v>70</v>
      </c>
      <c r="DK112" s="12">
        <f>IF(A112&gt;30,10,('Scénario référence'!$B$16+'Scénario référence'!$B$17+'Scénario référence'!$B$18+'Scénario référence'!$B$9+'Scénario référence'!$B$10)*A112*10/30+('Scénario référence'!$F$8+'Scénario référence'!$F$9)*10)</f>
        <v>10</v>
      </c>
      <c r="DL112" s="12" t="e">
        <f>VLOOKUP(A112,'Données projet'!$A$165:$I$185,2,0)</f>
        <v>#N/A</v>
      </c>
      <c r="DM112" s="12" t="e">
        <f>VLOOKUP(A112,'Données projet'!$A$165:$I$185,9,0)</f>
        <v>#N/A</v>
      </c>
      <c r="DN112" s="12">
        <f t="array" ref="DN112">INDEX(DM:DM,MIN(IF(ISNUMBER(DM112:DM308),ROW(DM112:DM308),"")))</f>
        <v>0</v>
      </c>
      <c r="DO112" s="12">
        <f>IF('Données projet'!$A$166&gt;35,DO111+DN112-DW111,IF(A112&lt;'Données projet'!$A$166,$DL$205^A112,IF(A112='Données projet'!$A$166,'Données projet'!$B$166,DO111+DN112-DW111)))</f>
        <v>268.00000000000017</v>
      </c>
      <c r="DP112" s="17">
        <f>DO112*VLOOKUP('Données projet'!$B$14,Paramètres!$A$1:$I$89,3,0)*VLOOKUP('Données projet'!$B$14,Paramètres!$A$1:$I$89,5,0)</f>
        <v>175.59360000000012</v>
      </c>
      <c r="DQ112" s="13">
        <f t="shared" si="97"/>
        <v>44.340433728638573</v>
      </c>
      <c r="DR112" s="20">
        <f t="shared" si="70"/>
        <v>383.05177541071242</v>
      </c>
      <c r="DS112" s="59">
        <f t="shared" si="71"/>
        <v>676.38510874404574</v>
      </c>
      <c r="DT112" s="59">
        <f ca="1">AVERAGE(OFFSET($DS$3,0,0,'Données projet'!$E$14+1,1))-AVERAGE(OFFSET($H$3,0,0,'Données projet'!$E$14+1,1))</f>
        <v>188.68915783955595</v>
      </c>
      <c r="DU112" s="59">
        <f t="shared" si="98"/>
        <v>240.82467772396944</v>
      </c>
      <c r="DV112" s="15">
        <f>IF(ISNA(VLOOKUP(A112,'Données projet'!$A$165:$I$185,3,0)),0,VLOOKUP(A112,'Données projet'!$A$165:$I$185,3,0))</f>
        <v>0</v>
      </c>
      <c r="DW112" s="15">
        <f>IF(ISNA(VLOOKUP(A112,'Données projet'!$A$165:$I$185,4,0)),0,VLOOKUP(A112,'Données projet'!$A$165:$I$185,4,0))</f>
        <v>0</v>
      </c>
      <c r="DX112" s="16">
        <f>IF(ISNA(VLOOKUP(A112,'Données projet'!$A$165:$I$185,5,0)),0%,VLOOKUP(A112,'Données projet'!$A$165:$I$185,5,0)*VLOOKUP('Données projet'!$B$14,Paramètres!$A$1:$I$89,7,0))</f>
        <v>0</v>
      </c>
      <c r="DY112" s="16">
        <f>IF(ISNA(VLOOKUP(A112,'Données projet'!$A$165:$I$185,6,0)),0%,VLOOKUP(A112,'Données projet'!$A$165:$I$185,6,0)*VLOOKUP('Données projet'!$B$14,Paramètres!$A$1:$I$89,7,0))</f>
        <v>0</v>
      </c>
      <c r="DZ112" s="16">
        <f>IF(ISNA(VLOOKUP(A112,'Données projet'!$A$165:$I$185,7,0)),0%,VLOOKUP(A112,'Données projet'!$A$165:$I$185,7,0))</f>
        <v>0</v>
      </c>
      <c r="EA112" s="21">
        <f>EXP(-LN(2)/35)*EA111+(1-EXP(-LN(2)/35))/(LN(2)/35)*DW112*DX112*VLOOKUP('Données projet'!$B$14,Paramètres!$A$1:$I$89,3,0)*0.475*44/12</f>
        <v>0.32575549816943794</v>
      </c>
      <c r="EB112" s="21">
        <f>EXP(-LN(2)/25)*EB111+(1-EXP(-LN(2)/25))/(LN(2)/25)*Calculateur!DW112*Calculateur!DY112*VLOOKUP('Données projet'!$B$14,Paramètres!$A$1:$I$89,3,0)*0.475*44/12</f>
        <v>0.89927971163978848</v>
      </c>
      <c r="EC112" s="21">
        <f>EXP(-LN(2)/2)*EC111+(1-EXP(-LN(2)/2))/(LN(2)/2)*DW112*DZ112*VLOOKUP('Données projet'!$B$14,Paramètres!$A$1:$I$89,3,0)*0.475*44/12</f>
        <v>1.8002456271097946E-11</v>
      </c>
      <c r="ED112" s="22">
        <f t="shared" si="72"/>
        <v>1.225035209827229</v>
      </c>
      <c r="EE112" s="75">
        <f>('Scénario référence'!$F$8+'Scénario référence'!$F$9+'Scénario référence'!$B$17+'Scénario référence'!$B$9+'Scénario référence'!$B$10)*70+IF((45+25*(1-EXP(-0.0175*A112)))&lt;70,'Scénario référence'!$B$16*(45+25*(1-EXP(-0.0175*A112))),70*'Scénario référence'!$B$16)+IF((32+38*(1-EXP(-0.0175*A112)))&lt;70,'Scénario référence'!$B$18*(32+38*(1-EXP(-0.0175*A112))),70*'Scénario référence'!$B$18)</f>
        <v>70</v>
      </c>
      <c r="EF112" s="12">
        <f>IF(A112&gt;30,10,('Scénario référence'!$B$16+'Scénario référence'!$B$17+'Scénario référence'!$B$18+'Scénario référence'!$B$9+'Scénario référence'!$B$10)*A112*10/30+('Scénario référence'!$F$8+'Scénario référence'!$F$9)*10)</f>
        <v>10</v>
      </c>
      <c r="EG112" s="12" t="e">
        <f>VLOOKUP(A112,'Données projet'!$A$191:$I$211,2,0)</f>
        <v>#N/A</v>
      </c>
      <c r="EH112" s="12" t="e">
        <f>VLOOKUP(A112,'Données projet'!$A$191:$I$211,9,0)</f>
        <v>#N/A</v>
      </c>
      <c r="EI112" s="12">
        <f t="array" ref="EI112">INDEX(EH:EH,MIN(IF(ISNUMBER(EH112:EH308),ROW(EH112:EH308),"")))</f>
        <v>0</v>
      </c>
      <c r="EJ112" s="12">
        <f>IF('Données projet'!$A$192&gt;35,EJ111+EI112-ER111,IF(A112&lt;'Données projet'!$A$192,$EG$205^A112,IF(A112='Données projet'!$A$192,'Données projet'!$B$192,EJ111+EI112-ER111)))</f>
        <v>275.99999999999972</v>
      </c>
      <c r="EK112" s="17">
        <f>EJ112*VLOOKUP('Données projet'!$B$15,Paramètres!$A$1:$I$89,3,0)*VLOOKUP('Données projet'!$B$15,Paramètres!$A$1:$I$89,5,0)</f>
        <v>223.8911999999998</v>
      </c>
      <c r="EL112" s="13">
        <f t="shared" si="99"/>
        <v>54.95975389514858</v>
      </c>
      <c r="EM112" s="20">
        <f t="shared" si="73"/>
        <v>485.66541136738346</v>
      </c>
      <c r="EN112" s="59">
        <f t="shared" si="74"/>
        <v>778.99874470071677</v>
      </c>
      <c r="EO112" s="59">
        <f ca="1">AVERAGE(OFFSET($EN$3,0,0,'Données projet'!$E$15+1,1))-AVERAGE(OFFSET($H$3,0,0,'Données projet'!$E$15+1,1))</f>
        <v>205.5272583787887</v>
      </c>
      <c r="EP112" s="59">
        <f t="shared" si="100"/>
        <v>180.54762778843178</v>
      </c>
      <c r="EQ112" s="15">
        <f>IF(ISNA(VLOOKUP(A112,'Données projet'!$A$191:$I$211,3,0)),0,VLOOKUP(A112,'Données projet'!$A$191:$I$211,3,0))</f>
        <v>0</v>
      </c>
      <c r="ER112" s="15">
        <f>IF(ISNA(VLOOKUP(A112,'Données projet'!$A$191:$I$211,4,0)),0,VLOOKUP(A112,'Données projet'!$A$191:$I$211,4,0))</f>
        <v>0</v>
      </c>
      <c r="ES112" s="16">
        <f>IF(ISNA(VLOOKUP(A112,'Données projet'!$A$191:$I$211,5,0)),0%,VLOOKUP(A112,'Données projet'!$A$191:$I$211,5,0)*VLOOKUP('Données projet'!$B$15,Paramètres!$A$1:$I$89,7,0))</f>
        <v>0</v>
      </c>
      <c r="ET112" s="16">
        <f>IF(ISNA(VLOOKUP(A112,'Données projet'!$A$191:$I$211,6,0)),0%,VLOOKUP(A112,'Données projet'!$A$191:$I$211,6,0)*VLOOKUP('Données projet'!$B$15,Paramètres!$A$1:$I$89,7,0))</f>
        <v>0</v>
      </c>
      <c r="EU112" s="16">
        <f>IF(ISNA(VLOOKUP(A112,'Données projet'!$A$191:$I$211,7,0)),0%,VLOOKUP(A112,'Données projet'!$A$191:$I$211,7,0))</f>
        <v>0</v>
      </c>
      <c r="EV112" s="21">
        <f>EXP(-LN(2)/35)*EV111+(1-EXP(-LN(2)/35))/(LN(2)/35)*ER112*ES112*VLOOKUP('Données projet'!$B$15,Paramètres!$A$1:$I$89,3,0)*0.475*44/12</f>
        <v>0.20972449215480002</v>
      </c>
      <c r="EW112" s="21">
        <f>EXP(-LN(2)/25)*EW111+(1-EXP(-LN(2)/25))/(LN(2)/25)*Calculateur!ER112*Calculateur!ET112*VLOOKUP('Données projet'!$B$15,Paramètres!$A$1:$I$89,3,0)*0.475*44/12</f>
        <v>0.64930723232167675</v>
      </c>
      <c r="EX112" s="21">
        <f>EXP(-LN(2)/2)*EX111+(1-EXP(-LN(2)/2))/(LN(2)/2)*ER112*EU112*VLOOKUP('Données projet'!$B$15,Paramètres!$A$1:$I$89,3,0)*0.475*44/12</f>
        <v>1.1656603747023858E-11</v>
      </c>
      <c r="EY112" s="22">
        <f t="shared" si="75"/>
        <v>0.85903172448813336</v>
      </c>
      <c r="EZ112" s="75">
        <f>('Scénario référence'!$F$8+'Scénario référence'!$F$9+'Scénario référence'!$B$17+'Scénario référence'!$B$9+'Scénario référence'!$B$10)*70+IF((45+25*(1-EXP(-0.0175*A112)))&lt;70,'Scénario référence'!$B$16*(45+25*(1-EXP(-0.0175*A112))),70*'Scénario référence'!$B$16)+IF((32+38*(1-EXP(-0.0175*A112)))&lt;70,'Scénario référence'!$B$18*(32+38*(1-EXP(-0.0175*A112))),70*'Scénario référence'!$B$18)</f>
        <v>70</v>
      </c>
      <c r="FA112" s="12">
        <f>IF(A112&gt;30,10,('Scénario référence'!$B$16+'Scénario référence'!$B$17+'Scénario référence'!$B$18+'Scénario référence'!$B$9+'Scénario référence'!$B$10)*A112*10/30+('Scénario référence'!$F$8+'Scénario référence'!$F$9)*10)</f>
        <v>10</v>
      </c>
      <c r="FB112" s="12" t="e">
        <f>VLOOKUP(A112,'Données projet'!$A$217:$I$237,2,0)</f>
        <v>#N/A</v>
      </c>
      <c r="FC112" s="12" t="e">
        <f>VLOOKUP(A112,'Données projet'!$A$217:$I$237,9,0)</f>
        <v>#N/A</v>
      </c>
      <c r="FD112" s="12">
        <f t="array" ref="FD112">INDEX(FC:FC,MIN(IF(ISNUMBER(FC112:FC308),ROW(FC112:FC308),"")))</f>
        <v>8.6</v>
      </c>
      <c r="FE112" s="12">
        <f>IF('Données projet'!$A$218&gt;35,FE111+FD112-FM111,IF(A112&lt;'Données projet'!$A$218,$FB$205^A112,IF(A112='Données projet'!$A$218,'Données projet'!$B$218,FE111+FD112-FM111)))</f>
        <v>437.40000000000003</v>
      </c>
      <c r="FF112" s="17">
        <f>FE112*VLOOKUP('Données projet'!$B$16,Paramètres!$A$1:$I$89,3,0)*VLOOKUP('Données projet'!$B$16,Paramètres!$A$1:$I$89,5,0)</f>
        <v>375.28920000000011</v>
      </c>
      <c r="FG112" s="13">
        <f t="shared" si="101"/>
        <v>86.748489471419745</v>
      </c>
      <c r="FH112" s="20">
        <f t="shared" si="76"/>
        <v>804.71564249605626</v>
      </c>
      <c r="FI112" s="59">
        <f t="shared" si="77"/>
        <v>1098.0489758293895</v>
      </c>
      <c r="FJ112" s="59">
        <f ca="1">AVERAGE(OFFSET($FI$3,0,0,'Données projet'!$E$16+1,1))-AVERAGE(OFFSET($H$3,0,0,'Données projet'!$E$16+1,1))</f>
        <v>383.97627237444709</v>
      </c>
      <c r="FK112" s="59">
        <f t="shared" si="102"/>
        <v>203.35476578922339</v>
      </c>
      <c r="FL112" s="15">
        <f>IF(ISNA(VLOOKUP(A112,'Données projet'!$A$217:$I$237,3,0)),0,VLOOKUP(A112,'Données projet'!$A$217:$I$237,3,0))</f>
        <v>0</v>
      </c>
      <c r="FM112" s="15">
        <f>IF(ISNA(VLOOKUP(A112,'Données projet'!$A$217:$I$237,4,0)),0,VLOOKUP(A112,'Données projet'!$A$217:$I$237,4,0))</f>
        <v>0</v>
      </c>
      <c r="FN112" s="16">
        <f>IF(ISNA(VLOOKUP(A112,'Données projet'!$A$217:$I$237,5,0)),0%,VLOOKUP(A112,'Données projet'!$A$217:$I$237,5,0)*VLOOKUP('Données projet'!$B$16,Paramètres!$A$1:$I$89,7,0))</f>
        <v>0</v>
      </c>
      <c r="FO112" s="16">
        <f>IF(ISNA(VLOOKUP(A112,'Données projet'!$A$217:$I$237,6,0)),0%,VLOOKUP(A112,'Données projet'!$A$217:$I$237,6,0)*VLOOKUP('Données projet'!$B$16,Paramètres!$A$1:$I$89,7,0))</f>
        <v>0</v>
      </c>
      <c r="FP112" s="16">
        <f>IF(ISNA(VLOOKUP(A112,'Données projet'!$A$217:$I$237,7,0)),0%,VLOOKUP(A112,'Données projet'!$A$217:$I$237,7,0))</f>
        <v>0</v>
      </c>
      <c r="FQ112" s="21">
        <f>EXP(-LN(2)/35)*FQ111+(1-EXP(-LN(2)/35))/(LN(2)/35)*FM112*FN112*VLOOKUP('Données projet'!$B$16,Paramètres!$A$1:$I$89,3,0)*0.475*44/12</f>
        <v>1.0778701097375543</v>
      </c>
      <c r="FR112" s="21">
        <f>EXP(-LN(2)/25)*FR111+(1-EXP(-LN(2)/25))/(LN(2)/25)*Calculateur!FM112*Calculateur!FO112*VLOOKUP('Données projet'!$B$16,Paramètres!$A$1:$I$89,3,0)*0.475*44/12</f>
        <v>0.65911395308711795</v>
      </c>
      <c r="FS112" s="21">
        <f>EXP(-LN(2)/2)*FS111+(1-EXP(-LN(2)/2))/(LN(2)/2)*FM112*FP112*VLOOKUP('Données projet'!$B$16,Paramètres!$A$1:$I$89,3,0)*0.475*44/12</f>
        <v>2.1410788801834922E-11</v>
      </c>
      <c r="FT112" s="22">
        <f t="shared" si="78"/>
        <v>1.7369840628460831</v>
      </c>
      <c r="FU112" s="75">
        <f>('Scénario référence'!$F$8+'Scénario référence'!$F$9+'Scénario référence'!$B$17+'Scénario référence'!$B$9+'Scénario référence'!$B$10)*70+IF((45+25*(1-EXP(-0.0175*A112)))&lt;70,'Scénario référence'!$B$16*(45+25*(1-EXP(-0.0175*A112))),70*'Scénario référence'!$B$16)+IF((32+38*(1-EXP(-0.0175*A112)))&lt;70,'Scénario référence'!$B$18*(32+38*(1-EXP(-0.0175*A112))),70*'Scénario référence'!$B$18)</f>
        <v>70</v>
      </c>
      <c r="FV112" s="12">
        <f>IF(A112&gt;30,10,('Scénario référence'!$B$16+'Scénario référence'!$B$17+'Scénario référence'!$B$18+'Scénario référence'!$B$9+'Scénario référence'!$B$10)*A112*10/30+('Scénario référence'!$F$8+'Scénario référence'!$F$9)*10)</f>
        <v>10</v>
      </c>
      <c r="FW112" s="12">
        <f>VLOOKUP(A112,'Données projet'!$A$243:$I$263,2,0)</f>
        <v>340.16666666666663</v>
      </c>
      <c r="FX112" s="12">
        <f>VLOOKUP(A112,'Données projet'!$A$243:$I$263,9,0)</f>
        <v>6.9935897435897401</v>
      </c>
      <c r="FY112" s="12">
        <f t="array" ref="FY112">INDEX(FX:FX,MIN(IF(ISNUMBER(FX112:FX308),ROW(FX112:FX308),"")))</f>
        <v>6.9935897435897401</v>
      </c>
      <c r="FZ112" s="12">
        <f>IF('Données projet'!$A$244&gt;35,FZ111+FY112-GH111,IF(A112&lt;'Données projet'!$A$244,$FW$205^A112,IF(A112='Données projet'!$A$244,'Données projet'!$B$244,FZ111+FY112-GH111)))</f>
        <v>340.1666666666668</v>
      </c>
      <c r="GA112" s="17">
        <f>FZ112*VLOOKUP('Données projet'!$B$17,Paramètres!$A$1:$I$89,3,0)*VLOOKUP('Données projet'!$B$17,Paramètres!$A$1:$I$89,5,0)</f>
        <v>366.1554000000001</v>
      </c>
      <c r="GB112" s="13">
        <f t="shared" si="103"/>
        <v>84.880289214902177</v>
      </c>
      <c r="GC112" s="20">
        <f t="shared" si="79"/>
        <v>785.55382538262154</v>
      </c>
      <c r="GD112" s="59">
        <f t="shared" si="80"/>
        <v>1078.8871587159549</v>
      </c>
      <c r="GE112" s="59">
        <f ca="1">AVERAGE(OFFSET($GD$3,0,0,'Données projet'!$E$17+1,1))-AVERAGE(OFFSET($H$3,0,0,'Données projet'!$E$17+1,1))</f>
        <v>286.77702855541287</v>
      </c>
      <c r="GF112" s="59">
        <f t="shared" si="104"/>
        <v>227.12211541860779</v>
      </c>
      <c r="GG112" s="15">
        <f>IF(ISNA(VLOOKUP(A112,'Données projet'!$A$243:$I$263,3,0)),0,VLOOKUP(A112,'Données projet'!$A$243:$I$263,3,0))</f>
        <v>10</v>
      </c>
      <c r="GH112" s="15">
        <f>IF(ISNA(VLOOKUP(A112,'Données projet'!$A$243:$I$263,4,0)),0,VLOOKUP(A112,'Données projet'!$A$243:$I$263,4,0))</f>
        <v>51.28846153846154</v>
      </c>
      <c r="GI112" s="16">
        <f>IF(ISNA(VLOOKUP(A112,'Données projet'!$A$243:$I$263,5,0)),0%,VLOOKUP(A112,'Données projet'!$A$243:$I$263,5,0)*VLOOKUP('Données projet'!$B$17,Paramètres!$A$1:$I$89,7,0))</f>
        <v>0</v>
      </c>
      <c r="GJ112" s="16">
        <f>IF(ISNA(VLOOKUP(A112,'Données projet'!$A$243:$I$263,6,0)),0%,VLOOKUP(A112,'Données projet'!$A$243:$I$263,6,0)*VLOOKUP('Données projet'!$B$17,Paramètres!$A$1:$I$89,7,0))</f>
        <v>0</v>
      </c>
      <c r="GK112" s="16">
        <f>IF(ISNA(VLOOKUP(A112,'Données projet'!$A$243:$I$263,7,0)),0%,VLOOKUP(A112,'Données projet'!$A$243:$I$263,7,0))</f>
        <v>0</v>
      </c>
      <c r="GL112" s="21">
        <f>EXP(-LN(2)/35)*GL111+(1-EXP(-LN(2)/35))/(LN(2)/35)*GH112*GI112*VLOOKUP('Données projet'!$B$17,Paramètres!$A$1:$I$89,3,0)*0.475*44/12</f>
        <v>0</v>
      </c>
      <c r="GM112" s="21">
        <f>EXP(-LN(2)/25)*GM111+(1-EXP(-LN(2)/25))/(LN(2)/25)*Calculateur!GH112*Calculateur!GJ112*VLOOKUP('Données projet'!$B$17,Paramètres!$A$1:$I$89,3,0)*0.475*44/12</f>
        <v>0</v>
      </c>
      <c r="GN112" s="21">
        <f>EXP(-LN(2)/2)*GN111+(1-EXP(-LN(2)/2))/(LN(2)/2)*GH112*GK112*VLOOKUP('Données projet'!$B$17,Paramètres!$A$1:$I$89,3,0)*0.475*44/12</f>
        <v>0</v>
      </c>
      <c r="GO112" s="21">
        <f t="shared" si="81"/>
        <v>0</v>
      </c>
      <c r="GP112" s="75">
        <f>('Scénario référence'!$F$8+'Scénario référence'!$F$9+'Scénario référence'!$B$17+'Scénario référence'!$B$9+'Scénario référence'!$B$10)*70+IF((45+25*(1-EXP(-0.0175*A112)))&lt;70,'Scénario référence'!$B$16*(45+25*(1-EXP(-0.0175*A112))),70*'Scénario référence'!$B$16)+IF((32+38*(1-EXP(-0.0175*A112)))&lt;70,'Scénario référence'!$B$18*(32+38*(1-EXP(-0.0175*A112))),70*'Scénario référence'!$B$18)</f>
        <v>70</v>
      </c>
      <c r="GQ112" s="12">
        <f>IF(A112&gt;30,10,('Scénario référence'!$B$16+'Scénario référence'!$B$17+'Scénario référence'!$B$18+'Scénario référence'!$B$9+'Scénario référence'!$B$10)*A112*10/30+('Scénario référence'!$F$8+'Scénario référence'!$F$9)*10)</f>
        <v>10</v>
      </c>
      <c r="GR112" s="12">
        <f>VLOOKUP(A112,'Données projet'!$A$269:$I$289,2,0)</f>
        <v>340.16666666666663</v>
      </c>
      <c r="GS112" s="12">
        <f>VLOOKUP(A112,'Données projet'!$A$269:$I$289,9,0)</f>
        <v>6.9935897435897401</v>
      </c>
      <c r="GT112" s="12">
        <f t="array" ref="GT112">INDEX(GS:GS,MIN(IF(ISNUMBER(GS112:GS308),ROW(GS112:GS308),"")))</f>
        <v>6.9935897435897401</v>
      </c>
      <c r="GU112" s="12">
        <f>IF('Données projet'!$A$270&gt;35,GU111+GT112-HC111,IF(A112&lt;'Données projet'!$A$270,$GR$205^A112,IF(A112='Données projet'!$A$270,'Données projet'!$B$270,GU111+GT112-HC111)))</f>
        <v>340.1666666666668</v>
      </c>
      <c r="GV112" s="17">
        <f>GU112*VLOOKUP('Données projet'!$B$18,Paramètres!$A$1:$I$89,3,0)*VLOOKUP('Données projet'!$B$18,Paramètres!$A$1:$I$89,5,0)</f>
        <v>366.1554000000001</v>
      </c>
      <c r="GW112" s="13">
        <f t="shared" si="105"/>
        <v>84.880289214902177</v>
      </c>
      <c r="GX112" s="20">
        <f t="shared" si="82"/>
        <v>785.55382538262154</v>
      </c>
      <c r="GY112" s="59">
        <f t="shared" si="83"/>
        <v>1078.8871587159549</v>
      </c>
      <c r="GZ112" s="59">
        <f ca="1">AVERAGE(OFFSET($GY$3,0,0,'Données projet'!$E$18+1,1))-AVERAGE(OFFSET($H$3,0,0,'Données projet'!$E$18+1,1))</f>
        <v>286.77702855541287</v>
      </c>
      <c r="HA112" s="59">
        <f t="shared" si="106"/>
        <v>227.12211541860779</v>
      </c>
      <c r="HB112" s="15">
        <f>IF(ISNA(VLOOKUP(A112,'Données projet'!$A$269:$I$289,3,0)),0,VLOOKUP(A112,'Données projet'!$A$269:$I$289,3,0))</f>
        <v>10</v>
      </c>
      <c r="HC112" s="15">
        <f>IF(ISNA(VLOOKUP(A112,'Données projet'!$A$269:$I$289,4,0)),0,VLOOKUP(A112,'Données projet'!$A$269:$I$289,4,0))</f>
        <v>51.28846153846154</v>
      </c>
      <c r="HD112" s="16">
        <f>IF(ISNA(VLOOKUP(A112,'Données projet'!$A$269:$I$289,5,0)),0%,VLOOKUP(A112,'Données projet'!$A$269:$I$289,5,0)*VLOOKUP('Données projet'!$B$18,Paramètres!$A$1:$I$89,7,0))</f>
        <v>0</v>
      </c>
      <c r="HE112" s="16">
        <f>IF(ISNA(VLOOKUP(A112,'Données projet'!$A$269:$I$289,6,0)),0%,VLOOKUP(A112,'Données projet'!$A$269:$I$289,6,0)*VLOOKUP('Données projet'!$B$18,Paramètres!$A$1:$I$89,7,0))</f>
        <v>0</v>
      </c>
      <c r="HF112" s="16">
        <f>IF(ISNA(VLOOKUP(A112,'Données projet'!$A$269:$I$289,7,0)),0%,VLOOKUP(A112,'Données projet'!$A$269:$I$289,7,0))</f>
        <v>0</v>
      </c>
      <c r="HG112" s="21">
        <f>EXP(-LN(2)/35)*HG111+(1-EXP(-LN(2)/35))/(LN(2)/35)*HC112*HD112*VLOOKUP('Données projet'!$B$18,Paramètres!$A$1:$I$89,3,0)*0.475*44/12</f>
        <v>0</v>
      </c>
      <c r="HH112" s="21">
        <f>EXP(-LN(2)/25)*HH111+(1-EXP(-LN(2)/25))/(LN(2)/25)*Calculateur!HC112*Calculateur!HE112*VLOOKUP('Données projet'!$B$18,Paramètres!$A$1:$I$89,3,0)*0.475*44/12</f>
        <v>0</v>
      </c>
      <c r="HI112" s="21">
        <f>EXP(-LN(2)/2)*HI111+(1-EXP(-LN(2)/2))/(LN(2)/2)*HC112*HF112*VLOOKUP('Données projet'!$B$18,Paramètres!$A$1:$I$89,3,0)*0.475*44/12</f>
        <v>0</v>
      </c>
      <c r="HJ112" s="22">
        <f t="shared" si="84"/>
        <v>0</v>
      </c>
    </row>
    <row r="113" spans="1:218" x14ac:dyDescent="0.25">
      <c r="A113" s="10">
        <f t="shared" si="85"/>
        <v>110</v>
      </c>
      <c r="B113" s="73">
        <f>'Scénario référence'!$B$16*5+'Scénario référence'!$B$17*0+'Scénario référence'!$B$18*5</f>
        <v>0</v>
      </c>
      <c r="C113" s="19">
        <f>Calculateur!C112+'Scénario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97.812000000000168</v>
      </c>
      <c r="D113" s="11">
        <f t="shared" si="86"/>
        <v>26.440067470123306</v>
      </c>
      <c r="E11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13" s="11">
        <f>IF(OR('Scénario référence'!$F$8&gt;0,'Scénario référence'!$F$9&gt;0),('Scénario référence'!$F$8+'Scénario référence'!$F$9)*10,0)</f>
        <v>10</v>
      </c>
      <c r="G113" s="11">
        <f>'Scénario référence'!$B$8*B113*44/12+'Scénario référence'!$B$9*(C113+D113)/0.475*44/12+'Scénario référence'!$B$10*(C113+D113)/0.475*44/12+'Scénario référence'!$F$8*(C113+D113)/0.475*44/12+'Scénario référence'!$F$9*(C113+D113)/0.475*44/12</f>
        <v>959.1387664360409</v>
      </c>
      <c r="H113" s="67">
        <f t="shared" si="56"/>
        <v>509.73901751046503</v>
      </c>
      <c r="I113" s="70">
        <f>('Scénario référence'!$F$8+'Scénario référence'!$F$9+'Scénario référence'!$B$17+'Scénario référence'!$B$9+'Scénario référence'!$B$10)*70+IF((45+25*(1-EXP(-0.0175*A113)))&lt;70,'Scénario référence'!$B$16*(45+25*(1-EXP(-0.0175*A113))),70*'Scénario référence'!$B$16)+IF((32+38*(1-EXP(-0.0175*A113)))&lt;70,'Scénario référence'!$B$18*(32+38*(1-EXP(-0.0175*A113))),70*'Scénario référence'!$B$18)</f>
        <v>70</v>
      </c>
      <c r="J113" s="13">
        <f>IF(A113&gt;30,10,('Scénario référence'!$B$16+'Scénario référence'!$B$17+'Scénario référence'!$B$18+'Scénario référence'!$B$9+'Scénario référence'!$B$10)*A113*10/30+('Scénario référence'!$F$8+'Scénario référence'!$F$9)*10)</f>
        <v>10</v>
      </c>
      <c r="K113" s="12" t="e">
        <f>VLOOKUP(A113,'Données projet'!$A$35:$I$55,2,0)</f>
        <v>#N/A</v>
      </c>
      <c r="L113" s="12" t="e">
        <f>VLOOKUP(A113,'Données projet'!$A$35:$I$55,9,0)</f>
        <v>#N/A</v>
      </c>
      <c r="M113" s="12">
        <f t="array" ref="M113">INDEX(L:L,MIN(IF(ISNUMBER(L113:L309),ROW(L113:L309),"")))</f>
        <v>0</v>
      </c>
      <c r="N113" s="13">
        <f>IF('Données projet'!$A$36&gt;35,N112+M113-V112,IF(A113&lt;'Données projet'!$A$36,$K$205^A113,IF(A113='Données projet'!$A$36,'Données projet'!$B$36,N112+M113-V112)))</f>
        <v>-2.2737367544323206E-13</v>
      </c>
      <c r="O113" s="13">
        <f>N113*VLOOKUP('Données projet'!$B$9,Paramètres!$A$1:$I$89,3,0)*VLOOKUP('Données projet'!$B$9,Paramètres!$A$1:$I$89,5,0)</f>
        <v>-1.2710188457276673E-13</v>
      </c>
      <c r="P113" s="13" t="e">
        <f t="shared" si="87"/>
        <v>#NUM!</v>
      </c>
      <c r="Q113" s="20" t="e">
        <f t="shared" si="107"/>
        <v>#NUM!</v>
      </c>
      <c r="R113" s="59" t="e">
        <f t="shared" si="55"/>
        <v>#NUM!</v>
      </c>
      <c r="S113" s="59">
        <f ca="1">AVERAGE(OFFSET($R$3,0,0,'Données projet'!$E$9+1,1))-AVERAGE(OFFSET($H$3,0,0,'Données projet'!$E$9+1,1))</f>
        <v>255.5374979188561</v>
      </c>
      <c r="T113" s="59">
        <f t="shared" si="88"/>
        <v>343.10418468620901</v>
      </c>
      <c r="U113" s="15">
        <f>IF(ISNA(VLOOKUP(A113,'Données projet'!$A$35:$I$55,3,0)),0,VLOOKUP(A113,'Données projet'!$A$35:$I$55,3,0))</f>
        <v>0</v>
      </c>
      <c r="V113" s="15">
        <f>IF(ISNA(VLOOKUP(A113,'Données projet'!$A$35:$I$55,4,0)),0,VLOOKUP(A113,'Données projet'!$A$35:$I$55,4,0))</f>
        <v>0</v>
      </c>
      <c r="W113" s="16">
        <f>IF(ISNA(VLOOKUP(A113,'Données projet'!$A$35:$I$55,5,0)),0%,VLOOKUP(A113,'Données projet'!$A$35:$I$55,5,0)*VLOOKUP('Données projet'!$B$9,Paramètres!$A$1:$I$89,7,0))</f>
        <v>0</v>
      </c>
      <c r="X113" s="16">
        <f>IF(ISNA(VLOOKUP(A113,'Données projet'!$A$35:$I$55,6,0)),0%,VLOOKUP(A113,'Données projet'!$A$35:$I$55,6,0)*VLOOKUP('Données projet'!$B$9,Paramètres!$A$1:$I$89,7,0))</f>
        <v>0</v>
      </c>
      <c r="Y113" s="16">
        <f>IF(ISNA(VLOOKUP(A113,'Données projet'!$A$35:$I$55,7,0)),0%,VLOOKUP(A113,'Données projet'!$A$35:$I$55,7,0))</f>
        <v>0</v>
      </c>
      <c r="Z113" s="21">
        <f>EXP(-LN(2)/35)*Z112+(1-EXP(-LN(2)/35))/(LN(2)/35)*V113*W113*VLOOKUP('Données projet'!$B$9,Paramètres!$A$1:$I$89,3,0)*0.475*44/12</f>
        <v>0.63371743948408821</v>
      </c>
      <c r="AA113" s="21">
        <f>EXP(-LN(2)/25)*AA112+(1-EXP(-LN(2)/25))/(LN(2)/25)*Calculateur!V113*Calculateur!X113*VLOOKUP('Données projet'!$B$9,Paramètres!$A$1:$I$89,3,0)*0.475*44/12</f>
        <v>1.7367765720258679</v>
      </c>
      <c r="AB113" s="21">
        <f>EXP(-LN(2)/2)*AB112+(1-EXP(-LN(2)/2))/(LN(2)/2)*V113*Y113*VLOOKUP('Données projet'!$B$9,Paramètres!$A$1:$I$89,3,0)*0.475*44/12</f>
        <v>1.5394580982084026E-12</v>
      </c>
      <c r="AC113" s="22">
        <f t="shared" si="57"/>
        <v>2.3704940115114956</v>
      </c>
      <c r="AD113" s="13">
        <f>('Scénario référence'!$F$8+'Scénario référence'!$F$9+'Scénario référence'!$B$17+'Scénario référence'!$B$9+'Scénario référence'!$B$10)*70+IF((45+25*(1-EXP(-0.0175*A113)))&lt;70,'Scénario référence'!$B$16*(45+25*(1-EXP(-0.0175*A113))),70*'Scénario référence'!$B$16)+IF((32+38*(1-EXP(-0.0175*A113)))&lt;70,'Scénario référence'!$B$18*(32+38*(1-EXP(-0.0175*A113))),70*'Scénario référence'!$B$18)</f>
        <v>70</v>
      </c>
      <c r="AE113" s="13">
        <f>IF(A113&gt;30,10,('Scénario référence'!$B$16+'Scénario référence'!$B$17+'Scénario référence'!$B$18+'Scénario référence'!$B$9+'Scénario référence'!$B$10)*A113*10/30+('Scénario référence'!$F$8+'Scénario référence'!$F$9)*10)</f>
        <v>10</v>
      </c>
      <c r="AF113" s="12" t="e">
        <f>VLOOKUP(A113,'Données projet'!$A$61:$I$81,2,0)</f>
        <v>#N/A</v>
      </c>
      <c r="AG113" s="12" t="e">
        <f>VLOOKUP(A113,'Données projet'!$A$61:$I$81,9,0)</f>
        <v>#N/A</v>
      </c>
      <c r="AH113" s="12">
        <f t="array" ref="AH113">INDEX(AG:AG,MIN(IF(ISNUMBER(AG113:AG309),ROW(AG113:AG309),"")))</f>
        <v>0</v>
      </c>
      <c r="AI113" s="13">
        <f>IF('Données projet'!$A$62&gt;35,AI112+AH113-AQ112,IF(A113&lt;'Données projet'!$A$62,$AF$205^A113,IF(A113='Données projet'!$A$62,'Données projet'!$B$62,AI112+AH113-AQ112)))</f>
        <v>0</v>
      </c>
      <c r="AJ113" s="13">
        <f>AI113*VLOOKUP('Données projet'!$B$10,Paramètres!$A$1:$I$89,3,0)*VLOOKUP('Données projet'!$B$10,Paramètres!$A$1:$I$89,5,0)</f>
        <v>0</v>
      </c>
      <c r="AK113" s="13" t="e">
        <f t="shared" si="89"/>
        <v>#NUM!</v>
      </c>
      <c r="AL113" s="20" t="e">
        <f t="shared" si="58"/>
        <v>#NUM!</v>
      </c>
      <c r="AM113" s="59" t="e">
        <f t="shared" si="59"/>
        <v>#NUM!</v>
      </c>
      <c r="AN113" s="59">
        <f ca="1">AVERAGE(OFFSET($AM$3,0,0,'Données projet'!$E$10+1,1))-AVERAGE(OFFSET($H$3,0,0,'Données projet'!$E$10+1,1))</f>
        <v>261.78489480911571</v>
      </c>
      <c r="AO113" s="59">
        <f t="shared" si="90"/>
        <v>297.50513563712764</v>
      </c>
      <c r="AP113" s="15">
        <f>IF(ISNA(VLOOKUP(A113,'Données projet'!$A$61:$I$81,3,0)),0,VLOOKUP(A113,'Données projet'!$A$61:$I$81,3,0))</f>
        <v>0</v>
      </c>
      <c r="AQ113" s="15">
        <f>IF(ISNA(VLOOKUP(A113,'Données projet'!$A$61:$I$81,4,0)),0,VLOOKUP(A113,'Données projet'!$A$61:$I$81,4,0))</f>
        <v>0</v>
      </c>
      <c r="AR113" s="16">
        <f>IF(ISNA(VLOOKUP(A113,'Données projet'!$A$61:$I$81,5,0)),0%,VLOOKUP(A113,'Données projet'!$A$61:$I$81,5,0)*VLOOKUP('Données projet'!$B$10,Paramètres!$A$1:$I$89,7,0))</f>
        <v>0</v>
      </c>
      <c r="AS113" s="16">
        <f>IF(ISNA(VLOOKUP(A113,'Données projet'!$A$61:$I$81,6,0)),0%,VLOOKUP(A113,'Données projet'!$A$61:$I$81,6,0)*VLOOKUP('Données projet'!$B$10,Paramètres!$A$1:$I$89,7,0))</f>
        <v>0</v>
      </c>
      <c r="AT113" s="16">
        <f>IF(ISNA(VLOOKUP(A113,'Données projet'!$A$61:$I$81,7,0)),0%,VLOOKUP(A113,'Données projet'!$A$61:$I$81,7,0))</f>
        <v>0</v>
      </c>
      <c r="AU113" s="21">
        <f>EXP(-LN(2)/35)*AU112+(1-EXP(-LN(2)/35))/(LN(2)/35)*AQ113*AR113*VLOOKUP('Données projet'!$B$10,Paramètres!$A$1:$I$89,3,0)*0.475*44/12</f>
        <v>1.7112163327250649</v>
      </c>
      <c r="AV113" s="21">
        <f>EXP(-LN(2)/25)*AV112+(1-EXP(-LN(2)/25))/(LN(2)/25)*Calculateur!AQ113*Calculateur!AS113*VLOOKUP('Données projet'!$B$10,Paramètres!$A$1:$I$89,3,0)*0.475*44/12</f>
        <v>3.0327661292258234</v>
      </c>
      <c r="AW113" s="21">
        <f>EXP(-LN(2)/2)*AW112+(1-EXP(-LN(2)/2))/(LN(2)/2)*AQ113*AT113*VLOOKUP('Données projet'!$B$10,Paramètres!$A$1:$I$89,3,0)*0.475*44/12</f>
        <v>2.219275405596989E-11</v>
      </c>
      <c r="AX113" s="21">
        <f t="shared" si="60"/>
        <v>4.743982461973081</v>
      </c>
      <c r="AY113" s="74">
        <f>('Scénario référence'!$F$8+'Scénario référence'!$F$9+'Scénario référence'!$B$17+'Scénario référence'!$B$9+'Scénario référence'!$B$10)*70+IF((45+25*(1-EXP(-0.0175*A113)))&lt;70,'Scénario référence'!$B$16*(45+25*(1-EXP(-0.0175*A113))),70*'Scénario référence'!$B$16)+IF((32+38*(1-EXP(-0.0175*A113)))&lt;70,'Scénario référence'!$B$18*(32+38*(1-EXP(-0.0175*A113))),70*'Scénario référence'!$B$18)</f>
        <v>70</v>
      </c>
      <c r="AZ113" s="12">
        <f>IF(A113&gt;30,10,('Scénario référence'!$B$16+'Scénario référence'!$B$17+'Scénario référence'!$B$18+'Scénario référence'!$B$9+'Scénario référence'!$B$10)*A113*10/30+('Scénario référence'!$F$8+'Scénario référence'!$F$9)*10)</f>
        <v>10</v>
      </c>
      <c r="BA113" s="12" t="e">
        <f>VLOOKUP(A113,'Données projet'!$A$87:$I$107,2,0)</f>
        <v>#N/A</v>
      </c>
      <c r="BB113" s="12" t="e">
        <f>VLOOKUP(A113,'Données projet'!$A$87:$I$107,9,0)</f>
        <v>#N/A</v>
      </c>
      <c r="BC113" s="12">
        <f t="array" ref="BC113">INDEX(BB:BB,MIN(IF(ISNUMBER(BB113:BB309),ROW(BB113:BB309),"")))</f>
        <v>0</v>
      </c>
      <c r="BD113" s="12">
        <f>IF('Données projet'!$A$88&gt;35,BD112+BC113-BL112,IF(A113&lt;'Données projet'!$A$88,$BA$205^A113,IF(A113='Données projet'!$A$88,'Données projet'!$B$88,BD112+BC113-BL112)))</f>
        <v>553.99999999999955</v>
      </c>
      <c r="BE113" s="13">
        <f>BD113*VLOOKUP('Données projet'!$B$11,Paramètres!$A$1:$I$89,3,0)*VLOOKUP('Données projet'!$B$11,Paramètres!$A$1:$I$89,5,0)</f>
        <v>331.29199999999975</v>
      </c>
      <c r="BF113" s="13">
        <f t="shared" si="91"/>
        <v>77.698110787752</v>
      </c>
      <c r="BG113" s="20">
        <f t="shared" si="61"/>
        <v>712.32444295533423</v>
      </c>
      <c r="BH113" s="59">
        <f t="shared" si="62"/>
        <v>1005.6577762886675</v>
      </c>
      <c r="BI113" s="59">
        <f ca="1">AVERAGE(OFFSET($BH$3,0,0,'Données projet'!$E$11+1,1))-AVERAGE(OFFSET($H$3,0,0,'Données projet'!$E$11+1,1))</f>
        <v>316.58509520829671</v>
      </c>
      <c r="BJ113" s="59">
        <f t="shared" si="92"/>
        <v>240.71332110643596</v>
      </c>
      <c r="BK113" s="15">
        <f>IF(ISNA(VLOOKUP(A113,'Données projet'!$A$87:$I$107,3,0)),0,VLOOKUP(A113,'Données projet'!$A$87:$I$107,3,0))</f>
        <v>0</v>
      </c>
      <c r="BL113" s="15">
        <f>IF(ISNA(VLOOKUP(A113,'Données projet'!$A$87:$I$107,4,0)),0,VLOOKUP(A113,'Données projet'!$A$87:$I$107,4,0))</f>
        <v>0</v>
      </c>
      <c r="BM113" s="16">
        <f>IF(ISNA(VLOOKUP(A113,'Données projet'!$A$87:$I$107,5,0)),0%,VLOOKUP(A113,'Données projet'!$A$87:$I$107,5,0)*VLOOKUP('Données projet'!$B$11,Paramètres!$A$1:$I$89,7,0))</f>
        <v>0</v>
      </c>
      <c r="BN113" s="16">
        <f>IF(ISNA(VLOOKUP(A113,'Données projet'!$A$87:$I$107,6,0)),0%,VLOOKUP(A113,'Données projet'!$A$87:$I$107,6,0)*VLOOKUP('Données projet'!$B$11,Paramètres!$A$1:$I$89,7,0))</f>
        <v>0</v>
      </c>
      <c r="BO113" s="16">
        <f>IF(ISNA(VLOOKUP(A113,'Données projet'!$A$87:$I$107,7,0)),0%,VLOOKUP(A113,'Données projet'!$A$87:$I$107,7,0))</f>
        <v>0</v>
      </c>
      <c r="BP113" s="21">
        <f>EXP(-LN(2)/35)*BP112+(1-EXP(-LN(2)/35))/(LN(2)/35)*BL113*BM113*VLOOKUP('Données projet'!$B$11,Paramètres!$A$1:$I$89,3,0)*0.475*44/12</f>
        <v>0.51979469332961892</v>
      </c>
      <c r="BQ113" s="21">
        <f>EXP(-LN(2)/25)*BQ112+(1-EXP(-LN(2)/25))/(LN(2)/25)*Calculateur!BL113*Calculateur!BN113*VLOOKUP('Données projet'!$B$11,Paramètres!$A$1:$I$89,3,0)*0.475*44/12</f>
        <v>1.6614377758722996</v>
      </c>
      <c r="BR113" s="21">
        <f>EXP(-LN(2)/2)*BR112+(1-EXP(-LN(2)/2))/(LN(2)/2)*BL113*BO113*VLOOKUP('Données projet'!$B$11,Paramètres!$A$1:$I$89,3,0)*0.475*44/12</f>
        <v>1.995371628267178E-11</v>
      </c>
      <c r="BS113" s="22">
        <f t="shared" si="63"/>
        <v>2.1812324692218725</v>
      </c>
      <c r="BT113" s="75">
        <f>('Scénario référence'!$F$8+'Scénario référence'!$F$9+'Scénario référence'!$B$17+'Scénario référence'!$B$9+'Scénario référence'!$B$10)*70+IF((45+25*(1-EXP(-0.0175*A113)))&lt;70,'Scénario référence'!$B$16*(45+25*(1-EXP(-0.0175*A113))),70*'Scénario référence'!$B$16)+IF((32+38*(1-EXP(-0.0175*A113)))&lt;70,'Scénario référence'!$B$18*(32+38*(1-EXP(-0.0175*A113))),70*'Scénario référence'!$B$18)</f>
        <v>70</v>
      </c>
      <c r="BU113" s="12">
        <f>IF(A113&gt;30,10,('Scénario référence'!$B$16+'Scénario référence'!$B$17+'Scénario référence'!$B$18+'Scénario référence'!$B$9+'Scénario référence'!$B$10)*A113*10/30+('Scénario référence'!$F$8+'Scénario référence'!$F$9)*10)</f>
        <v>10</v>
      </c>
      <c r="BV113" s="12" t="e">
        <f>VLOOKUP(A113,'Données projet'!$A$113:$I$133,2,0)</f>
        <v>#N/A</v>
      </c>
      <c r="BW113" s="12" t="e">
        <f>VLOOKUP(A113,'Données projet'!$A$113:$I$133,9,0)</f>
        <v>#N/A</v>
      </c>
      <c r="BX113" s="12">
        <f t="array" ref="BX113">INDEX(BW:BW,MIN(IF(ISNUMBER(BW113:BW309),ROW(BW113:BW309),"")))</f>
        <v>0</v>
      </c>
      <c r="BY113" s="12">
        <f>IF('Données projet'!$A$114&gt;35,BY112+BX113-CG112,IF(A113&lt;'Données projet'!$A$114,$BV$205^A113,IF(A113='Données projet'!$A$114,'Données projet'!$B$114,BY112+BX113-CG112)))</f>
        <v>333.99999999999977</v>
      </c>
      <c r="BZ113" s="13">
        <f>BY113*VLOOKUP('Données projet'!$B$12,Paramètres!$A$1:$I$89,3,0)*VLOOKUP('Données projet'!$B$12,Paramètres!$A$1:$I$89,5,0)</f>
        <v>191.04799999999986</v>
      </c>
      <c r="CA113" s="13">
        <f t="shared" si="93"/>
        <v>47.771576544305155</v>
      </c>
      <c r="CB113" s="20">
        <f t="shared" si="64"/>
        <v>415.94409581466454</v>
      </c>
      <c r="CC113" s="59">
        <f t="shared" si="65"/>
        <v>709.27742914799785</v>
      </c>
      <c r="CD113" s="59">
        <f ca="1">AVERAGE(OFFSET($CC$3,0,0,'Données projet'!$E$12+1,1))-AVERAGE(OFFSET($H$3,0,0,'Données projet'!$E$12+1,1))</f>
        <v>188.64374818906128</v>
      </c>
      <c r="CE113" s="59">
        <f t="shared" si="94"/>
        <v>211.95157880548652</v>
      </c>
      <c r="CF113" s="15">
        <f>IF(ISNA(VLOOKUP(A113,'Données projet'!$A$113:$I$133,3,0)),0,VLOOKUP(A113,'Données projet'!$A$113:$I$133,3,0))</f>
        <v>0</v>
      </c>
      <c r="CG113" s="15">
        <f>IF(ISNA(VLOOKUP(A113,'Données projet'!$A$113:$I$133,4,0)),0,VLOOKUP(A113,'Données projet'!$A$113:$I$133,4,0))</f>
        <v>0</v>
      </c>
      <c r="CH113" s="16">
        <f>IF(ISNA(VLOOKUP(A113,'Données projet'!$A$113:$I$133,5,0)),0%,VLOOKUP(A113,'Données projet'!$A$113:$I$133,5,0)*VLOOKUP('Données projet'!$B$12,Paramètres!$A$1:$I$89,7,0))</f>
        <v>0</v>
      </c>
      <c r="CI113" s="16">
        <f>IF(ISNA(VLOOKUP(A113,'Données projet'!$A$113:$I$133,6,0)),0%,VLOOKUP(A113,'Données projet'!$A$113:$I$133,6,0)*VLOOKUP('Données projet'!$B$12,Paramètres!$A$1:$I$89,7,0))</f>
        <v>0</v>
      </c>
      <c r="CJ113" s="16">
        <f>IF(ISNA(VLOOKUP(A113,'Données projet'!$A$113:$I$133,7,0)),0%,VLOOKUP(A113,'Données projet'!$A$113:$I$133,7,0))</f>
        <v>0</v>
      </c>
      <c r="CK113" s="21">
        <f>EXP(-LN(2)/35)*CK112+(1-EXP(-LN(2)/35))/(LN(2)/35)*CG113*CH113*VLOOKUP('Données projet'!$B$12,Paramètres!$A$1:$I$89,3,0)*0.475*44/12</f>
        <v>0.50419766946363498</v>
      </c>
      <c r="CL113" s="21">
        <f>EXP(-LN(2)/25)*CL112+(1-EXP(-LN(2)/25))/(LN(2)/25)*Calculateur!CG113*Calculateur!CI113*VLOOKUP('Données projet'!$B$12,Paramètres!$A$1:$I$89,3,0)*0.475*44/12</f>
        <v>1.5637828525309123</v>
      </c>
      <c r="CM113" s="21">
        <f>EXP(-LN(2)/2)*CM112+(1-EXP(-LN(2)/2))/(LN(2)/2)*CG113*CJ113*VLOOKUP('Données projet'!$B$12,Paramètres!$A$1:$I$89,3,0)*0.475*44/12</f>
        <v>1.9323613017819531E-11</v>
      </c>
      <c r="CN113" s="22">
        <f t="shared" si="66"/>
        <v>2.0679805220138712</v>
      </c>
      <c r="CO113" s="75">
        <f>('Scénario référence'!$F$8+'Scénario référence'!$F$9+'Scénario référence'!$B$17+'Scénario référence'!$B$9+'Scénario référence'!$B$10)*70+IF((45+25*(1-EXP(-0.0175*A113)))&lt;70,'Scénario référence'!$B$16*(45+25*(1-EXP(-0.0175*A113))),70*'Scénario référence'!$B$16)+IF((32+38*(1-EXP(-0.0175*A113)))&lt;70,'Scénario référence'!$B$18*(32+38*(1-EXP(-0.0175*A113))),70*'Scénario référence'!$B$18)</f>
        <v>70</v>
      </c>
      <c r="CP113" s="12">
        <f>IF(A113&gt;30,10,('Scénario référence'!$B$16+'Scénario référence'!$B$17+'Scénario référence'!$B$18+'Scénario référence'!$B$9+'Scénario référence'!$B$10)*A113*10/30+('Scénario référence'!$F$8+'Scénario référence'!$F$9)*10)</f>
        <v>10</v>
      </c>
      <c r="CQ113" s="12" t="e">
        <f>VLOOKUP(A113,'Données projet'!$A$139:$I$159,2,0)</f>
        <v>#N/A</v>
      </c>
      <c r="CR113" s="12" t="e">
        <f>VLOOKUP(A113,'Données projet'!$A$139:$I$159,9,0)</f>
        <v>#N/A</v>
      </c>
      <c r="CS113" s="12">
        <f t="array" ref="CS113">INDEX(CR:CR,MIN(IF(ISNUMBER(CR113:CR309),ROW(CR113:CR309),"")))</f>
        <v>0</v>
      </c>
      <c r="CT113" s="12">
        <f>IF('Données projet'!$A$140&gt;35,CT112+CS113-DB112,IF(A113&lt;'Données projet'!$A$140,$CQ$205^A113,IF(A113='Données projet'!$A$140,'Données projet'!$B$140,CT112+CS113-DB112)))</f>
        <v>0</v>
      </c>
      <c r="CU113" s="17" t="e">
        <f>CT113*VLOOKUP('Données projet'!$B$13,Paramètres!$A$1:$I$89,3,0)*VLOOKUP('Données projet'!$B$13,Paramètres!$A$1:$I$89,5,0)</f>
        <v>#N/A</v>
      </c>
      <c r="CV113" s="13" t="e">
        <f t="shared" si="95"/>
        <v>#N/A</v>
      </c>
      <c r="CW113" s="20" t="e">
        <f t="shared" si="67"/>
        <v>#N/A</v>
      </c>
      <c r="CX113" s="59" t="e">
        <f t="shared" si="68"/>
        <v>#N/A</v>
      </c>
      <c r="CY113" s="59" t="e">
        <f ca="1">AVERAGE(OFFSET($CX$3,0,0,'Données projet'!$E$13+1,1))-AVERAGE(OFFSET($H$3,0,0,'Données projet'!$E$13+1,1))</f>
        <v>#N/A</v>
      </c>
      <c r="CZ113" s="59" t="e">
        <f t="shared" si="96"/>
        <v>#N/A</v>
      </c>
      <c r="DA113" s="15">
        <f>IF(ISNA(VLOOKUP(A113,'Données projet'!$A$139:$I$159,3,0)),0,VLOOKUP(A113,'Données projet'!$A$139:$I$159,3,0))</f>
        <v>0</v>
      </c>
      <c r="DB113" s="15">
        <f>IF(ISNA(VLOOKUP(A113,'Données projet'!$A$139:$I$159,4,0)),0,VLOOKUP(A113,'Données projet'!$A$139:$I$159,4,0))</f>
        <v>0</v>
      </c>
      <c r="DC113" s="16">
        <f>IF(ISNA(VLOOKUP(A113,'Données projet'!$A$139:$I$159,5,0)),0%,VLOOKUP(A113,'Données projet'!$A$139:$I$159,5,0)*VLOOKUP('Données projet'!$B$13,Paramètres!$A$1:$I$89,7,0))</f>
        <v>0</v>
      </c>
      <c r="DD113" s="16">
        <f>IF(ISNA(VLOOKUP(A113,'Données projet'!$A$139:$I$159,6,0)),0%,VLOOKUP(A113,'Données projet'!$A$139:$I$159,6,0)*VLOOKUP('Données projet'!$B$13,Paramètres!$A$1:$I$89,7,0))</f>
        <v>0</v>
      </c>
      <c r="DE113" s="16">
        <f>IF(ISNA(VLOOKUP(A113,'Données projet'!$A$139:$I$159,7,0)),0%,VLOOKUP(A113,'Données projet'!$A$139:$I$159,7,0))</f>
        <v>0</v>
      </c>
      <c r="DF113" s="21" t="e">
        <f>EXP(-LN(2)/35)*DF112+(1-EXP(-LN(2)/35))/(LN(2)/35)*DB113*DC113*VLOOKUP('Données projet'!$B$13,Paramètres!$A$1:$I$89,3,0)*0.475*44/12</f>
        <v>#N/A</v>
      </c>
      <c r="DG113" s="21" t="e">
        <f>EXP(-LN(2)/25)*DG112+(1-EXP(-LN(2)/25))/(LN(2)/25)*Calculateur!DB113*Calculateur!DD113*VLOOKUP('Données projet'!$B$13,Paramètres!$A$1:$I$89,3,0)*0.475*44/12</f>
        <v>#N/A</v>
      </c>
      <c r="DH113" s="21" t="e">
        <f>EXP(-LN(2)/2)*DH112+(1-EXP(-LN(2)/2))/(LN(2)/2)*DB113*DE113*VLOOKUP('Données projet'!$B$13,Paramètres!$A$1:$I$89,3,0)*0.475*44/12</f>
        <v>#N/A</v>
      </c>
      <c r="DI113" s="22" t="e">
        <f t="shared" si="69"/>
        <v>#N/A</v>
      </c>
      <c r="DJ113" s="75">
        <f>('Scénario référence'!$F$8+'Scénario référence'!$F$9+'Scénario référence'!$B$17+'Scénario référence'!$B$9+'Scénario référence'!$B$10)*70+IF((45+25*(1-EXP(-0.0175*A113)))&lt;70,'Scénario référence'!$B$16*(45+25*(1-EXP(-0.0175*A113))),70*'Scénario référence'!$B$16)+IF((32+38*(1-EXP(-0.0175*A113)))&lt;70,'Scénario référence'!$B$18*(32+38*(1-EXP(-0.0175*A113))),70*'Scénario référence'!$B$18)</f>
        <v>70</v>
      </c>
      <c r="DK113" s="12">
        <f>IF(A113&gt;30,10,('Scénario référence'!$B$16+'Scénario référence'!$B$17+'Scénario référence'!$B$18+'Scénario référence'!$B$9+'Scénario référence'!$B$10)*A113*10/30+('Scénario référence'!$F$8+'Scénario référence'!$F$9)*10)</f>
        <v>10</v>
      </c>
      <c r="DL113" s="12" t="e">
        <f>VLOOKUP(A113,'Données projet'!$A$165:$I$185,2,0)</f>
        <v>#N/A</v>
      </c>
      <c r="DM113" s="12" t="e">
        <f>VLOOKUP(A113,'Données projet'!$A$165:$I$185,9,0)</f>
        <v>#N/A</v>
      </c>
      <c r="DN113" s="12">
        <f t="array" ref="DN113">INDEX(DM:DM,MIN(IF(ISNUMBER(DM113:DM309),ROW(DM113:DM309),"")))</f>
        <v>0</v>
      </c>
      <c r="DO113" s="12">
        <f>IF('Données projet'!$A$166&gt;35,DO112+DN113-DW112,IF(A113&lt;'Données projet'!$A$166,$DL$205^A113,IF(A113='Données projet'!$A$166,'Données projet'!$B$166,DO112+DN113-DW112)))</f>
        <v>268.00000000000017</v>
      </c>
      <c r="DP113" s="17">
        <f>DO113*VLOOKUP('Données projet'!$B$14,Paramètres!$A$1:$I$89,3,0)*VLOOKUP('Données projet'!$B$14,Paramètres!$A$1:$I$89,5,0)</f>
        <v>175.59360000000012</v>
      </c>
      <c r="DQ113" s="13">
        <f t="shared" si="97"/>
        <v>44.340433728638573</v>
      </c>
      <c r="DR113" s="20">
        <f t="shared" si="70"/>
        <v>383.05177541071242</v>
      </c>
      <c r="DS113" s="59">
        <f t="shared" si="71"/>
        <v>676.38510874404574</v>
      </c>
      <c r="DT113" s="59">
        <f ca="1">AVERAGE(OFFSET($DS$3,0,0,'Données projet'!$E$14+1,1))-AVERAGE(OFFSET($H$3,0,0,'Données projet'!$E$14+1,1))</f>
        <v>188.68915783955595</v>
      </c>
      <c r="DU113" s="59">
        <f t="shared" si="98"/>
        <v>240.82467772396944</v>
      </c>
      <c r="DV113" s="15">
        <f>IF(ISNA(VLOOKUP(A113,'Données projet'!$A$165:$I$185,3,0)),0,VLOOKUP(A113,'Données projet'!$A$165:$I$185,3,0))</f>
        <v>0</v>
      </c>
      <c r="DW113" s="15">
        <f>IF(ISNA(VLOOKUP(A113,'Données projet'!$A$165:$I$185,4,0)),0,VLOOKUP(A113,'Données projet'!$A$165:$I$185,4,0))</f>
        <v>0</v>
      </c>
      <c r="DX113" s="16">
        <f>IF(ISNA(VLOOKUP(A113,'Données projet'!$A$165:$I$185,5,0)),0%,VLOOKUP(A113,'Données projet'!$A$165:$I$185,5,0)*VLOOKUP('Données projet'!$B$14,Paramètres!$A$1:$I$89,7,0))</f>
        <v>0</v>
      </c>
      <c r="DY113" s="16">
        <f>IF(ISNA(VLOOKUP(A113,'Données projet'!$A$165:$I$185,6,0)),0%,VLOOKUP(A113,'Données projet'!$A$165:$I$185,6,0)*VLOOKUP('Données projet'!$B$14,Paramètres!$A$1:$I$89,7,0))</f>
        <v>0</v>
      </c>
      <c r="DZ113" s="16">
        <f>IF(ISNA(VLOOKUP(A113,'Données projet'!$A$165:$I$185,7,0)),0%,VLOOKUP(A113,'Données projet'!$A$165:$I$185,7,0))</f>
        <v>0</v>
      </c>
      <c r="EA113" s="21">
        <f>EXP(-LN(2)/35)*EA112+(1-EXP(-LN(2)/35))/(LN(2)/35)*DW113*DX113*VLOOKUP('Données projet'!$B$14,Paramètres!$A$1:$I$89,3,0)*0.475*44/12</f>
        <v>0.31936763154157</v>
      </c>
      <c r="EB113" s="21">
        <f>EXP(-LN(2)/25)*EB112+(1-EXP(-LN(2)/25))/(LN(2)/25)*Calculateur!DW113*Calculateur!DY113*VLOOKUP('Données projet'!$B$14,Paramètres!$A$1:$I$89,3,0)*0.475*44/12</f>
        <v>0.87468886063393381</v>
      </c>
      <c r="EC113" s="21">
        <f>EXP(-LN(2)/2)*EC112+(1-EXP(-LN(2)/2))/(LN(2)/2)*DW113*DZ113*VLOOKUP('Données projet'!$B$14,Paramètres!$A$1:$I$89,3,0)*0.475*44/12</f>
        <v>1.2729658907307646E-11</v>
      </c>
      <c r="ED113" s="22">
        <f t="shared" si="72"/>
        <v>1.1940564921882333</v>
      </c>
      <c r="EE113" s="75">
        <f>('Scénario référence'!$F$8+'Scénario référence'!$F$9+'Scénario référence'!$B$17+'Scénario référence'!$B$9+'Scénario référence'!$B$10)*70+IF((45+25*(1-EXP(-0.0175*A113)))&lt;70,'Scénario référence'!$B$16*(45+25*(1-EXP(-0.0175*A113))),70*'Scénario référence'!$B$16)+IF((32+38*(1-EXP(-0.0175*A113)))&lt;70,'Scénario référence'!$B$18*(32+38*(1-EXP(-0.0175*A113))),70*'Scénario référence'!$B$18)</f>
        <v>70</v>
      </c>
      <c r="EF113" s="12">
        <f>IF(A113&gt;30,10,('Scénario référence'!$B$16+'Scénario référence'!$B$17+'Scénario référence'!$B$18+'Scénario référence'!$B$9+'Scénario référence'!$B$10)*A113*10/30+('Scénario référence'!$F$8+'Scénario référence'!$F$9)*10)</f>
        <v>10</v>
      </c>
      <c r="EG113" s="12" t="e">
        <f>VLOOKUP(A113,'Données projet'!$A$191:$I$211,2,0)</f>
        <v>#N/A</v>
      </c>
      <c r="EH113" s="12" t="e">
        <f>VLOOKUP(A113,'Données projet'!$A$191:$I$211,9,0)</f>
        <v>#N/A</v>
      </c>
      <c r="EI113" s="12">
        <f t="array" ref="EI113">INDEX(EH:EH,MIN(IF(ISNUMBER(EH113:EH309),ROW(EH113:EH309),"")))</f>
        <v>0</v>
      </c>
      <c r="EJ113" s="12">
        <f>IF('Données projet'!$A$192&gt;35,EJ112+EI113-ER112,IF(A113&lt;'Données projet'!$A$192,$EG$205^A113,IF(A113='Données projet'!$A$192,'Données projet'!$B$192,EJ112+EI113-ER112)))</f>
        <v>275.99999999999972</v>
      </c>
      <c r="EK113" s="17">
        <f>EJ113*VLOOKUP('Données projet'!$B$15,Paramètres!$A$1:$I$89,3,0)*VLOOKUP('Données projet'!$B$15,Paramètres!$A$1:$I$89,5,0)</f>
        <v>223.8911999999998</v>
      </c>
      <c r="EL113" s="13">
        <f t="shared" si="99"/>
        <v>54.95975389514858</v>
      </c>
      <c r="EM113" s="20">
        <f t="shared" si="73"/>
        <v>485.66541136738346</v>
      </c>
      <c r="EN113" s="59">
        <f t="shared" si="74"/>
        <v>778.99874470071677</v>
      </c>
      <c r="EO113" s="59">
        <f ca="1">AVERAGE(OFFSET($EN$3,0,0,'Données projet'!$E$15+1,1))-AVERAGE(OFFSET($H$3,0,0,'Données projet'!$E$15+1,1))</f>
        <v>205.5272583787887</v>
      </c>
      <c r="EP113" s="59">
        <f t="shared" si="100"/>
        <v>180.54762778843178</v>
      </c>
      <c r="EQ113" s="15">
        <f>IF(ISNA(VLOOKUP(A113,'Données projet'!$A$191:$I$211,3,0)),0,VLOOKUP(A113,'Données projet'!$A$191:$I$211,3,0))</f>
        <v>0</v>
      </c>
      <c r="ER113" s="15">
        <f>IF(ISNA(VLOOKUP(A113,'Données projet'!$A$191:$I$211,4,0)),0,VLOOKUP(A113,'Données projet'!$A$191:$I$211,4,0))</f>
        <v>0</v>
      </c>
      <c r="ES113" s="16">
        <f>IF(ISNA(VLOOKUP(A113,'Données projet'!$A$191:$I$211,5,0)),0%,VLOOKUP(A113,'Données projet'!$A$191:$I$211,5,0)*VLOOKUP('Données projet'!$B$15,Paramètres!$A$1:$I$89,7,0))</f>
        <v>0</v>
      </c>
      <c r="ET113" s="16">
        <f>IF(ISNA(VLOOKUP(A113,'Données projet'!$A$191:$I$211,6,0)),0%,VLOOKUP(A113,'Données projet'!$A$191:$I$211,6,0)*VLOOKUP('Données projet'!$B$15,Paramètres!$A$1:$I$89,7,0))</f>
        <v>0</v>
      </c>
      <c r="EU113" s="16">
        <f>IF(ISNA(VLOOKUP(A113,'Données projet'!$A$191:$I$211,7,0)),0%,VLOOKUP(A113,'Données projet'!$A$191:$I$211,7,0))</f>
        <v>0</v>
      </c>
      <c r="EV113" s="21">
        <f>EXP(-LN(2)/35)*EV112+(1-EXP(-LN(2)/35))/(LN(2)/35)*ER113*ES113*VLOOKUP('Données projet'!$B$15,Paramètres!$A$1:$I$89,3,0)*0.475*44/12</f>
        <v>0.20561192278295362</v>
      </c>
      <c r="EW113" s="21">
        <f>EXP(-LN(2)/25)*EW112+(1-EXP(-LN(2)/25))/(LN(2)/25)*Calculateur!ER113*Calculateur!ET113*VLOOKUP('Données projet'!$B$15,Paramètres!$A$1:$I$89,3,0)*0.475*44/12</f>
        <v>0.63155189190825711</v>
      </c>
      <c r="EX113" s="21">
        <f>EXP(-LN(2)/2)*EX112+(1-EXP(-LN(2)/2))/(LN(2)/2)*ER113*EU113*VLOOKUP('Données projet'!$B$15,Paramètres!$A$1:$I$89,3,0)*0.475*44/12</f>
        <v>8.2424635551250891E-12</v>
      </c>
      <c r="EY113" s="22">
        <f t="shared" si="75"/>
        <v>0.83716381469945322</v>
      </c>
      <c r="EZ113" s="75">
        <f>('Scénario référence'!$F$8+'Scénario référence'!$F$9+'Scénario référence'!$B$17+'Scénario référence'!$B$9+'Scénario référence'!$B$10)*70+IF((45+25*(1-EXP(-0.0175*A113)))&lt;70,'Scénario référence'!$B$16*(45+25*(1-EXP(-0.0175*A113))),70*'Scénario référence'!$B$16)+IF((32+38*(1-EXP(-0.0175*A113)))&lt;70,'Scénario référence'!$B$18*(32+38*(1-EXP(-0.0175*A113))),70*'Scénario référence'!$B$18)</f>
        <v>70</v>
      </c>
      <c r="FA113" s="12">
        <f>IF(A113&gt;30,10,('Scénario référence'!$B$16+'Scénario référence'!$B$17+'Scénario référence'!$B$18+'Scénario référence'!$B$9+'Scénario référence'!$B$10)*A113*10/30+('Scénario référence'!$F$8+'Scénario référence'!$F$9)*10)</f>
        <v>10</v>
      </c>
      <c r="FB113" s="12">
        <f>VLOOKUP(A113,'Données projet'!$A$217:$I$237,2,0)</f>
        <v>446</v>
      </c>
      <c r="FC113" s="12">
        <f>VLOOKUP(A113,'Données projet'!$A$217:$I$237,9,0)</f>
        <v>8.6</v>
      </c>
      <c r="FD113" s="12">
        <f t="array" ref="FD113">INDEX(FC:FC,MIN(IF(ISNUMBER(FC113:FC309),ROW(FC113:FC309),"")))</f>
        <v>8.6</v>
      </c>
      <c r="FE113" s="12">
        <f>IF('Données projet'!$A$218&gt;35,FE112+FD113-FM112,IF(A113&lt;'Données projet'!$A$218,$FB$205^A113,IF(A113='Données projet'!$A$218,'Données projet'!$B$218,FE112+FD113-FM112)))</f>
        <v>446.00000000000006</v>
      </c>
      <c r="FF113" s="17">
        <f>FE113*VLOOKUP('Données projet'!$B$16,Paramètres!$A$1:$I$89,3,0)*VLOOKUP('Données projet'!$B$16,Paramètres!$A$1:$I$89,5,0)</f>
        <v>382.66800000000006</v>
      </c>
      <c r="FG113" s="13">
        <f t="shared" si="101"/>
        <v>88.253860844610443</v>
      </c>
      <c r="FH113" s="20">
        <f t="shared" si="76"/>
        <v>820.1889076376965</v>
      </c>
      <c r="FI113" s="59">
        <f t="shared" si="77"/>
        <v>1113.5222409710298</v>
      </c>
      <c r="FJ113" s="59">
        <f ca="1">AVERAGE(OFFSET($FI$3,0,0,'Données projet'!$E$16+1,1))-AVERAGE(OFFSET($H$3,0,0,'Données projet'!$E$16+1,1))</f>
        <v>383.97627237444709</v>
      </c>
      <c r="FK113" s="59">
        <f t="shared" si="102"/>
        <v>203.35476578922339</v>
      </c>
      <c r="FL113" s="15">
        <f>IF(ISNA(VLOOKUP(A113,'Données projet'!$A$217:$I$237,3,0)),0,VLOOKUP(A113,'Données projet'!$A$217:$I$237,3,0))</f>
        <v>10</v>
      </c>
      <c r="FM113" s="15">
        <f>IF(ISNA(VLOOKUP(A113,'Données projet'!$A$217:$I$237,4,0)),0,VLOOKUP(A113,'Données projet'!$A$217:$I$237,4,0))</f>
        <v>68</v>
      </c>
      <c r="FN113" s="16">
        <f>IF(ISNA(VLOOKUP(A113,'Données projet'!$A$217:$I$237,5,0)),0%,VLOOKUP(A113,'Données projet'!$A$217:$I$237,5,0)*VLOOKUP('Données projet'!$B$16,Paramètres!$A$1:$I$89,7,0))</f>
        <v>0</v>
      </c>
      <c r="FO113" s="16">
        <f>IF(ISNA(VLOOKUP(A113,'Données projet'!$A$217:$I$237,6,0)),0%,VLOOKUP(A113,'Données projet'!$A$217:$I$237,6,0)*VLOOKUP('Données projet'!$B$16,Paramètres!$A$1:$I$89,7,0))</f>
        <v>0</v>
      </c>
      <c r="FP113" s="16">
        <f>IF(ISNA(VLOOKUP(A113,'Données projet'!$A$217:$I$237,7,0)),0%,VLOOKUP(A113,'Données projet'!$A$217:$I$237,7,0))</f>
        <v>0</v>
      </c>
      <c r="FQ113" s="21">
        <f>EXP(-LN(2)/35)*FQ112+(1-EXP(-LN(2)/35))/(LN(2)/35)*FM113*FN113*VLOOKUP('Données projet'!$B$16,Paramètres!$A$1:$I$89,3,0)*0.475*44/12</f>
        <v>1.0567337343214513</v>
      </c>
      <c r="FR113" s="21">
        <f>EXP(-LN(2)/25)*FR112+(1-EXP(-LN(2)/25))/(LN(2)/25)*Calculateur!FM113*Calculateur!FO113*VLOOKUP('Données projet'!$B$16,Paramètres!$A$1:$I$89,3,0)*0.475*44/12</f>
        <v>0.64109044737865439</v>
      </c>
      <c r="FS113" s="21">
        <f>EXP(-LN(2)/2)*FS112+(1-EXP(-LN(2)/2))/(LN(2)/2)*FM113*FP113*VLOOKUP('Données projet'!$B$16,Paramètres!$A$1:$I$89,3,0)*0.475*44/12</f>
        <v>1.5139713952330468E-11</v>
      </c>
      <c r="FT113" s="22">
        <f t="shared" si="78"/>
        <v>1.6978241817152455</v>
      </c>
      <c r="FU113" s="75">
        <f>('Scénario référence'!$F$8+'Scénario référence'!$F$9+'Scénario référence'!$B$17+'Scénario référence'!$B$9+'Scénario référence'!$B$10)*70+IF((45+25*(1-EXP(-0.0175*A113)))&lt;70,'Scénario référence'!$B$16*(45+25*(1-EXP(-0.0175*A113))),70*'Scénario référence'!$B$16)+IF((32+38*(1-EXP(-0.0175*A113)))&lt;70,'Scénario référence'!$B$18*(32+38*(1-EXP(-0.0175*A113))),70*'Scénario référence'!$B$18)</f>
        <v>70</v>
      </c>
      <c r="FV113" s="12">
        <f>IF(A113&gt;30,10,('Scénario référence'!$B$16+'Scénario référence'!$B$17+'Scénario référence'!$B$18+'Scénario référence'!$B$9+'Scénario référence'!$B$10)*A113*10/30+('Scénario référence'!$F$8+'Scénario référence'!$F$9)*10)</f>
        <v>10</v>
      </c>
      <c r="FW113" s="12" t="e">
        <f>VLOOKUP(A113,'Données projet'!$A$243:$I$263,2,0)</f>
        <v>#N/A</v>
      </c>
      <c r="FX113" s="12" t="e">
        <f>VLOOKUP(A113,'Données projet'!$A$243:$I$263,9,0)</f>
        <v>#N/A</v>
      </c>
      <c r="FY113" s="12">
        <f t="array" ref="FY113">INDEX(FX:FX,MIN(IF(ISNUMBER(FX113:FX309),ROW(FX113:FX309),"")))</f>
        <v>6.8461538461538511</v>
      </c>
      <c r="FZ113" s="12">
        <f>IF('Données projet'!$A$244&gt;35,FZ112+FY113-GH112,IF(A113&lt;'Données projet'!$A$244,$FW$205^A113,IF(A113='Données projet'!$A$244,'Données projet'!$B$244,FZ112+FY113-GH112)))</f>
        <v>295.72435897435912</v>
      </c>
      <c r="GA113" s="17">
        <f>FZ113*VLOOKUP('Données projet'!$B$17,Paramètres!$A$1:$I$89,3,0)*VLOOKUP('Données projet'!$B$17,Paramètres!$A$1:$I$89,5,0)</f>
        <v>318.31770000000017</v>
      </c>
      <c r="GB113" s="13">
        <f t="shared" si="103"/>
        <v>75.003211120991622</v>
      </c>
      <c r="GC113" s="20">
        <f t="shared" si="79"/>
        <v>685.03392020239414</v>
      </c>
      <c r="GD113" s="59">
        <f t="shared" si="80"/>
        <v>978.36725353572751</v>
      </c>
      <c r="GE113" s="59">
        <f ca="1">AVERAGE(OFFSET($GD$3,0,0,'Données projet'!$E$17+1,1))-AVERAGE(OFFSET($H$3,0,0,'Données projet'!$E$17+1,1))</f>
        <v>286.77702855541287</v>
      </c>
      <c r="GF113" s="59">
        <f t="shared" si="104"/>
        <v>227.12211541860779</v>
      </c>
      <c r="GG113" s="15">
        <f>IF(ISNA(VLOOKUP(A113,'Données projet'!$A$243:$I$263,3,0)),0,VLOOKUP(A113,'Données projet'!$A$243:$I$263,3,0))</f>
        <v>0</v>
      </c>
      <c r="GH113" s="15">
        <f>IF(ISNA(VLOOKUP(A113,'Données projet'!$A$243:$I$263,4,0)),0,VLOOKUP(A113,'Données projet'!$A$243:$I$263,4,0))</f>
        <v>0</v>
      </c>
      <c r="GI113" s="16">
        <f>IF(ISNA(VLOOKUP(A113,'Données projet'!$A$243:$I$263,5,0)),0%,VLOOKUP(A113,'Données projet'!$A$243:$I$263,5,0)*VLOOKUP('Données projet'!$B$17,Paramètres!$A$1:$I$89,7,0))</f>
        <v>0</v>
      </c>
      <c r="GJ113" s="16">
        <f>IF(ISNA(VLOOKUP(A113,'Données projet'!$A$243:$I$263,6,0)),0%,VLOOKUP(A113,'Données projet'!$A$243:$I$263,6,0)*VLOOKUP('Données projet'!$B$17,Paramètres!$A$1:$I$89,7,0))</f>
        <v>0</v>
      </c>
      <c r="GK113" s="16">
        <f>IF(ISNA(VLOOKUP(A113,'Données projet'!$A$243:$I$263,7,0)),0%,VLOOKUP(A113,'Données projet'!$A$243:$I$263,7,0))</f>
        <v>0</v>
      </c>
      <c r="GL113" s="21">
        <f>EXP(-LN(2)/35)*GL112+(1-EXP(-LN(2)/35))/(LN(2)/35)*GH113*GI113*VLOOKUP('Données projet'!$B$17,Paramètres!$A$1:$I$89,3,0)*0.475*44/12</f>
        <v>0</v>
      </c>
      <c r="GM113" s="21">
        <f>EXP(-LN(2)/25)*GM112+(1-EXP(-LN(2)/25))/(LN(2)/25)*Calculateur!GH113*Calculateur!GJ113*VLOOKUP('Données projet'!$B$17,Paramètres!$A$1:$I$89,3,0)*0.475*44/12</f>
        <v>0</v>
      </c>
      <c r="GN113" s="21">
        <f>EXP(-LN(2)/2)*GN112+(1-EXP(-LN(2)/2))/(LN(2)/2)*GH113*GK113*VLOOKUP('Données projet'!$B$17,Paramètres!$A$1:$I$89,3,0)*0.475*44/12</f>
        <v>0</v>
      </c>
      <c r="GO113" s="21">
        <f t="shared" si="81"/>
        <v>0</v>
      </c>
      <c r="GP113" s="75">
        <f>('Scénario référence'!$F$8+'Scénario référence'!$F$9+'Scénario référence'!$B$17+'Scénario référence'!$B$9+'Scénario référence'!$B$10)*70+IF((45+25*(1-EXP(-0.0175*A113)))&lt;70,'Scénario référence'!$B$16*(45+25*(1-EXP(-0.0175*A113))),70*'Scénario référence'!$B$16)+IF((32+38*(1-EXP(-0.0175*A113)))&lt;70,'Scénario référence'!$B$18*(32+38*(1-EXP(-0.0175*A113))),70*'Scénario référence'!$B$18)</f>
        <v>70</v>
      </c>
      <c r="GQ113" s="12">
        <f>IF(A113&gt;30,10,('Scénario référence'!$B$16+'Scénario référence'!$B$17+'Scénario référence'!$B$18+'Scénario référence'!$B$9+'Scénario référence'!$B$10)*A113*10/30+('Scénario référence'!$F$8+'Scénario référence'!$F$9)*10)</f>
        <v>10</v>
      </c>
      <c r="GR113" s="12" t="e">
        <f>VLOOKUP(A113,'Données projet'!$A$269:$I$289,2,0)</f>
        <v>#N/A</v>
      </c>
      <c r="GS113" s="12" t="e">
        <f>VLOOKUP(A113,'Données projet'!$A$269:$I$289,9,0)</f>
        <v>#N/A</v>
      </c>
      <c r="GT113" s="12">
        <f t="array" ref="GT113">INDEX(GS:GS,MIN(IF(ISNUMBER(GS113:GS309),ROW(GS113:GS309),"")))</f>
        <v>6.8461538461538511</v>
      </c>
      <c r="GU113" s="12">
        <f>IF('Données projet'!$A$270&gt;35,GU112+GT113-HC112,IF(A113&lt;'Données projet'!$A$270,$GR$205^A113,IF(A113='Données projet'!$A$270,'Données projet'!$B$270,GU112+GT113-HC112)))</f>
        <v>295.72435897435912</v>
      </c>
      <c r="GV113" s="17">
        <f>GU113*VLOOKUP('Données projet'!$B$18,Paramètres!$A$1:$I$89,3,0)*VLOOKUP('Données projet'!$B$18,Paramètres!$A$1:$I$89,5,0)</f>
        <v>318.31770000000017</v>
      </c>
      <c r="GW113" s="13">
        <f t="shared" si="105"/>
        <v>75.003211120991622</v>
      </c>
      <c r="GX113" s="20">
        <f t="shared" si="82"/>
        <v>685.03392020239414</v>
      </c>
      <c r="GY113" s="59">
        <f t="shared" si="83"/>
        <v>978.36725353572751</v>
      </c>
      <c r="GZ113" s="59">
        <f ca="1">AVERAGE(OFFSET($GY$3,0,0,'Données projet'!$E$18+1,1))-AVERAGE(OFFSET($H$3,0,0,'Données projet'!$E$18+1,1))</f>
        <v>286.77702855541287</v>
      </c>
      <c r="HA113" s="59">
        <f t="shared" si="106"/>
        <v>227.12211541860779</v>
      </c>
      <c r="HB113" s="15">
        <f>IF(ISNA(VLOOKUP(A113,'Données projet'!$A$269:$I$289,3,0)),0,VLOOKUP(A113,'Données projet'!$A$269:$I$289,3,0))</f>
        <v>0</v>
      </c>
      <c r="HC113" s="15">
        <f>IF(ISNA(VLOOKUP(A113,'Données projet'!$A$269:$I$289,4,0)),0,VLOOKUP(A113,'Données projet'!$A$269:$I$289,4,0))</f>
        <v>0</v>
      </c>
      <c r="HD113" s="16">
        <f>IF(ISNA(VLOOKUP(A113,'Données projet'!$A$269:$I$289,5,0)),0%,VLOOKUP(A113,'Données projet'!$A$269:$I$289,5,0)*VLOOKUP('Données projet'!$B$18,Paramètres!$A$1:$I$89,7,0))</f>
        <v>0</v>
      </c>
      <c r="HE113" s="16">
        <f>IF(ISNA(VLOOKUP(A113,'Données projet'!$A$269:$I$289,6,0)),0%,VLOOKUP(A113,'Données projet'!$A$269:$I$289,6,0)*VLOOKUP('Données projet'!$B$18,Paramètres!$A$1:$I$89,7,0))</f>
        <v>0</v>
      </c>
      <c r="HF113" s="16">
        <f>IF(ISNA(VLOOKUP(A113,'Données projet'!$A$269:$I$289,7,0)),0%,VLOOKUP(A113,'Données projet'!$A$269:$I$289,7,0))</f>
        <v>0</v>
      </c>
      <c r="HG113" s="21">
        <f>EXP(-LN(2)/35)*HG112+(1-EXP(-LN(2)/35))/(LN(2)/35)*HC113*HD113*VLOOKUP('Données projet'!$B$18,Paramètres!$A$1:$I$89,3,0)*0.475*44/12</f>
        <v>0</v>
      </c>
      <c r="HH113" s="21">
        <f>EXP(-LN(2)/25)*HH112+(1-EXP(-LN(2)/25))/(LN(2)/25)*Calculateur!HC113*Calculateur!HE113*VLOOKUP('Données projet'!$B$18,Paramètres!$A$1:$I$89,3,0)*0.475*44/12</f>
        <v>0</v>
      </c>
      <c r="HI113" s="21">
        <f>EXP(-LN(2)/2)*HI112+(1-EXP(-LN(2)/2))/(LN(2)/2)*HC113*HF113*VLOOKUP('Données projet'!$B$18,Paramètres!$A$1:$I$89,3,0)*0.475*44/12</f>
        <v>0</v>
      </c>
      <c r="HJ113" s="22">
        <f t="shared" si="84"/>
        <v>0</v>
      </c>
    </row>
    <row r="114" spans="1:218" x14ac:dyDescent="0.25">
      <c r="A114" s="10">
        <f t="shared" si="85"/>
        <v>111</v>
      </c>
      <c r="B114" s="73">
        <f>'Scénario référence'!$B$16*5+'Scénario référence'!$B$17*0+'Scénario référence'!$B$18*5</f>
        <v>0</v>
      </c>
      <c r="C114" s="19">
        <f>Calculateur!C113+'Scénario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98.701200000000171</v>
      </c>
      <c r="D114" s="11">
        <f t="shared" si="86"/>
        <v>26.65234132809799</v>
      </c>
      <c r="E11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14" s="11">
        <f>IF(OR('Scénario référence'!$F$8&gt;0,'Scénario référence'!$F$9&gt;0),('Scénario référence'!$F$8+'Scénario référence'!$F$9)*10,0)</f>
        <v>10</v>
      </c>
      <c r="G114" s="11">
        <f>'Scénario référence'!$B$8*B114*44/12+'Scénario référence'!$B$9*(C114+D114)/0.475*44/12+'Scénario référence'!$B$10*(C114+D114)/0.475*44/12+'Scénario référence'!$F$8*(C114+D114)/0.475*44/12+'Scénario référence'!$F$9*(C114+D114)/0.475*44/12</f>
        <v>967.64137165549471</v>
      </c>
      <c r="H114" s="67">
        <f t="shared" si="56"/>
        <v>511.6574178131043</v>
      </c>
      <c r="I114" s="70">
        <f>('Scénario référence'!$F$8+'Scénario référence'!$F$9+'Scénario référence'!$B$17+'Scénario référence'!$B$9+'Scénario référence'!$B$10)*70+IF((45+25*(1-EXP(-0.0175*A114)))&lt;70,'Scénario référence'!$B$16*(45+25*(1-EXP(-0.0175*A114))),70*'Scénario référence'!$B$16)+IF((32+38*(1-EXP(-0.0175*A114)))&lt;70,'Scénario référence'!$B$18*(32+38*(1-EXP(-0.0175*A114))),70*'Scénario référence'!$B$18)</f>
        <v>70</v>
      </c>
      <c r="J114" s="13">
        <f>IF(A114&gt;30,10,('Scénario référence'!$B$16+'Scénario référence'!$B$17+'Scénario référence'!$B$18+'Scénario référence'!$B$9+'Scénario référence'!$B$10)*A114*10/30+('Scénario référence'!$F$8+'Scénario référence'!$F$9)*10)</f>
        <v>10</v>
      </c>
      <c r="K114" s="12" t="e">
        <f>VLOOKUP(A114,'Données projet'!$A$35:$I$55,2,0)</f>
        <v>#N/A</v>
      </c>
      <c r="L114" s="12" t="e">
        <f>VLOOKUP(A114,'Données projet'!$A$35:$I$55,9,0)</f>
        <v>#N/A</v>
      </c>
      <c r="M114" s="12">
        <f t="array" ref="M114">INDEX(L:L,MIN(IF(ISNUMBER(L114:L310),ROW(L114:L310),"")))</f>
        <v>0</v>
      </c>
      <c r="N114" s="13">
        <f>IF('Données projet'!$A$36&gt;35,N113+M114-V113,IF(A114&lt;'Données projet'!$A$36,$K$205^A114,IF(A114='Données projet'!$A$36,'Données projet'!$B$36,N113+M114-V113)))</f>
        <v>-2.2737367544323206E-13</v>
      </c>
      <c r="O114" s="13">
        <f>N114*VLOOKUP('Données projet'!$B$9,Paramètres!$A$1:$I$89,3,0)*VLOOKUP('Données projet'!$B$9,Paramètres!$A$1:$I$89,5,0)</f>
        <v>-1.2710188457276673E-13</v>
      </c>
      <c r="P114" s="13" t="e">
        <f t="shared" si="87"/>
        <v>#NUM!</v>
      </c>
      <c r="Q114" s="20" t="e">
        <f t="shared" si="107"/>
        <v>#NUM!</v>
      </c>
      <c r="R114" s="59" t="e">
        <f t="shared" si="55"/>
        <v>#NUM!</v>
      </c>
      <c r="S114" s="59">
        <f ca="1">AVERAGE(OFFSET($R$3,0,0,'Données projet'!$E$9+1,1))-AVERAGE(OFFSET($H$3,0,0,'Données projet'!$E$9+1,1))</f>
        <v>255.5374979188561</v>
      </c>
      <c r="T114" s="59">
        <f t="shared" si="88"/>
        <v>343.10418468620901</v>
      </c>
      <c r="U114" s="15">
        <f>IF(ISNA(VLOOKUP(A114,'Données projet'!$A$35:$I$55,3,0)),0,VLOOKUP(A114,'Données projet'!$A$35:$I$55,3,0))</f>
        <v>0</v>
      </c>
      <c r="V114" s="15">
        <f>IF(ISNA(VLOOKUP(A114,'Données projet'!$A$35:$I$55,4,0)),0,VLOOKUP(A114,'Données projet'!$A$35:$I$55,4,0))</f>
        <v>0</v>
      </c>
      <c r="W114" s="16">
        <f>IF(ISNA(VLOOKUP(A114,'Données projet'!$A$35:$I$55,5,0)),0%,VLOOKUP(A114,'Données projet'!$A$35:$I$55,5,0)*VLOOKUP('Données projet'!$B$9,Paramètres!$A$1:$I$89,7,0))</f>
        <v>0</v>
      </c>
      <c r="X114" s="16">
        <f>IF(ISNA(VLOOKUP(A114,'Données projet'!$A$35:$I$55,6,0)),0%,VLOOKUP(A114,'Données projet'!$A$35:$I$55,6,0)*VLOOKUP('Données projet'!$B$9,Paramètres!$A$1:$I$89,7,0))</f>
        <v>0</v>
      </c>
      <c r="Y114" s="16">
        <f>IF(ISNA(VLOOKUP(A114,'Données projet'!$A$35:$I$55,7,0)),0%,VLOOKUP(A114,'Données projet'!$A$35:$I$55,7,0))</f>
        <v>0</v>
      </c>
      <c r="Z114" s="21">
        <f>EXP(-LN(2)/35)*Z113+(1-EXP(-LN(2)/35))/(LN(2)/35)*V114*W114*VLOOKUP('Données projet'!$B$9,Paramètres!$A$1:$I$89,3,0)*0.475*44/12</f>
        <v>0.62129062702527671</v>
      </c>
      <c r="AA114" s="21">
        <f>EXP(-LN(2)/25)*AA113+(1-EXP(-LN(2)/25))/(LN(2)/25)*Calculateur!V114*Calculateur!X114*VLOOKUP('Données projet'!$B$9,Paramètres!$A$1:$I$89,3,0)*0.475*44/12</f>
        <v>1.6892843253307102</v>
      </c>
      <c r="AB114" s="21">
        <f>EXP(-LN(2)/2)*AB113+(1-EXP(-LN(2)/2))/(LN(2)/2)*V114*Y114*VLOOKUP('Données projet'!$B$9,Paramètres!$A$1:$I$89,3,0)*0.475*44/12</f>
        <v>1.0885612605957075E-12</v>
      </c>
      <c r="AC114" s="22">
        <f t="shared" si="57"/>
        <v>2.3105749523570753</v>
      </c>
      <c r="AD114" s="13">
        <f>('Scénario référence'!$F$8+'Scénario référence'!$F$9+'Scénario référence'!$B$17+'Scénario référence'!$B$9+'Scénario référence'!$B$10)*70+IF((45+25*(1-EXP(-0.0175*A114)))&lt;70,'Scénario référence'!$B$16*(45+25*(1-EXP(-0.0175*A114))),70*'Scénario référence'!$B$16)+IF((32+38*(1-EXP(-0.0175*A114)))&lt;70,'Scénario référence'!$B$18*(32+38*(1-EXP(-0.0175*A114))),70*'Scénario référence'!$B$18)</f>
        <v>70</v>
      </c>
      <c r="AE114" s="13">
        <f>IF(A114&gt;30,10,('Scénario référence'!$B$16+'Scénario référence'!$B$17+'Scénario référence'!$B$18+'Scénario référence'!$B$9+'Scénario référence'!$B$10)*A114*10/30+('Scénario référence'!$F$8+'Scénario référence'!$F$9)*10)</f>
        <v>10</v>
      </c>
      <c r="AF114" s="12" t="e">
        <f>VLOOKUP(A114,'Données projet'!$A$61:$I$81,2,0)</f>
        <v>#N/A</v>
      </c>
      <c r="AG114" s="12" t="e">
        <f>VLOOKUP(A114,'Données projet'!$A$61:$I$81,9,0)</f>
        <v>#N/A</v>
      </c>
      <c r="AH114" s="12">
        <f t="array" ref="AH114">INDEX(AG:AG,MIN(IF(ISNUMBER(AG114:AG310),ROW(AG114:AG310),"")))</f>
        <v>0</v>
      </c>
      <c r="AI114" s="13">
        <f>IF('Données projet'!$A$62&gt;35,AI113+AH114-AQ113,IF(A114&lt;'Données projet'!$A$62,$AF$205^A114,IF(A114='Données projet'!$A$62,'Données projet'!$B$62,AI113+AH114-AQ113)))</f>
        <v>0</v>
      </c>
      <c r="AJ114" s="13">
        <f>AI114*VLOOKUP('Données projet'!$B$10,Paramètres!$A$1:$I$89,3,0)*VLOOKUP('Données projet'!$B$10,Paramètres!$A$1:$I$89,5,0)</f>
        <v>0</v>
      </c>
      <c r="AK114" s="13" t="e">
        <f t="shared" si="89"/>
        <v>#NUM!</v>
      </c>
      <c r="AL114" s="20" t="e">
        <f t="shared" si="58"/>
        <v>#NUM!</v>
      </c>
      <c r="AM114" s="59" t="e">
        <f t="shared" si="59"/>
        <v>#NUM!</v>
      </c>
      <c r="AN114" s="59">
        <f ca="1">AVERAGE(OFFSET($AM$3,0,0,'Données projet'!$E$10+1,1))-AVERAGE(OFFSET($H$3,0,0,'Données projet'!$E$10+1,1))</f>
        <v>261.78489480911571</v>
      </c>
      <c r="AO114" s="59">
        <f t="shared" si="90"/>
        <v>297.50513563712764</v>
      </c>
      <c r="AP114" s="15">
        <f>IF(ISNA(VLOOKUP(A114,'Données projet'!$A$61:$I$81,3,0)),0,VLOOKUP(A114,'Données projet'!$A$61:$I$81,3,0))</f>
        <v>0</v>
      </c>
      <c r="AQ114" s="15">
        <f>IF(ISNA(VLOOKUP(A114,'Données projet'!$A$61:$I$81,4,0)),0,VLOOKUP(A114,'Données projet'!$A$61:$I$81,4,0))</f>
        <v>0</v>
      </c>
      <c r="AR114" s="16">
        <f>IF(ISNA(VLOOKUP(A114,'Données projet'!$A$61:$I$81,5,0)),0%,VLOOKUP(A114,'Données projet'!$A$61:$I$81,5,0)*VLOOKUP('Données projet'!$B$10,Paramètres!$A$1:$I$89,7,0))</f>
        <v>0</v>
      </c>
      <c r="AS114" s="16">
        <f>IF(ISNA(VLOOKUP(A114,'Données projet'!$A$61:$I$81,6,0)),0%,VLOOKUP(A114,'Données projet'!$A$61:$I$81,6,0)*VLOOKUP('Données projet'!$B$10,Paramètres!$A$1:$I$89,7,0))</f>
        <v>0</v>
      </c>
      <c r="AT114" s="16">
        <f>IF(ISNA(VLOOKUP(A114,'Données projet'!$A$61:$I$81,7,0)),0%,VLOOKUP(A114,'Données projet'!$A$61:$I$81,7,0))</f>
        <v>0</v>
      </c>
      <c r="AU114" s="21">
        <f>EXP(-LN(2)/35)*AU113+(1-EXP(-LN(2)/35))/(LN(2)/35)*AQ114*AR114*VLOOKUP('Données projet'!$B$10,Paramètres!$A$1:$I$89,3,0)*0.475*44/12</f>
        <v>1.6776604241792288</v>
      </c>
      <c r="AV114" s="21">
        <f>EXP(-LN(2)/25)*AV113+(1-EXP(-LN(2)/25))/(LN(2)/25)*Calculateur!AQ114*Calculateur!AS114*VLOOKUP('Données projet'!$B$10,Paramètres!$A$1:$I$89,3,0)*0.475*44/12</f>
        <v>2.949834979935904</v>
      </c>
      <c r="AW114" s="21">
        <f>EXP(-LN(2)/2)*AW113+(1-EXP(-LN(2)/2))/(LN(2)/2)*AQ114*AT114*VLOOKUP('Données projet'!$B$10,Paramètres!$A$1:$I$89,3,0)*0.475*44/12</f>
        <v>1.5692646886181566E-11</v>
      </c>
      <c r="AX114" s="21">
        <f t="shared" si="60"/>
        <v>4.6274954041308254</v>
      </c>
      <c r="AY114" s="74">
        <f>('Scénario référence'!$F$8+'Scénario référence'!$F$9+'Scénario référence'!$B$17+'Scénario référence'!$B$9+'Scénario référence'!$B$10)*70+IF((45+25*(1-EXP(-0.0175*A114)))&lt;70,'Scénario référence'!$B$16*(45+25*(1-EXP(-0.0175*A114))),70*'Scénario référence'!$B$16)+IF((32+38*(1-EXP(-0.0175*A114)))&lt;70,'Scénario référence'!$B$18*(32+38*(1-EXP(-0.0175*A114))),70*'Scénario référence'!$B$18)</f>
        <v>70</v>
      </c>
      <c r="AZ114" s="12">
        <f>IF(A114&gt;30,10,('Scénario référence'!$B$16+'Scénario référence'!$B$17+'Scénario référence'!$B$18+'Scénario référence'!$B$9+'Scénario référence'!$B$10)*A114*10/30+('Scénario référence'!$F$8+'Scénario référence'!$F$9)*10)</f>
        <v>10</v>
      </c>
      <c r="BA114" s="12" t="e">
        <f>VLOOKUP(A114,'Données projet'!$A$87:$I$107,2,0)</f>
        <v>#N/A</v>
      </c>
      <c r="BB114" s="12" t="e">
        <f>VLOOKUP(A114,'Données projet'!$A$87:$I$107,9,0)</f>
        <v>#N/A</v>
      </c>
      <c r="BC114" s="12">
        <f t="array" ref="BC114">INDEX(BB:BB,MIN(IF(ISNUMBER(BB114:BB310),ROW(BB114:BB310),"")))</f>
        <v>0</v>
      </c>
      <c r="BD114" s="12">
        <f>IF('Données projet'!$A$88&gt;35,BD113+BC114-BL113,IF(A114&lt;'Données projet'!$A$88,$BA$205^A114,IF(A114='Données projet'!$A$88,'Données projet'!$B$88,BD113+BC114-BL113)))</f>
        <v>553.99999999999955</v>
      </c>
      <c r="BE114" s="13">
        <f>BD114*VLOOKUP('Données projet'!$B$11,Paramètres!$A$1:$I$89,3,0)*VLOOKUP('Données projet'!$B$11,Paramètres!$A$1:$I$89,5,0)</f>
        <v>331.29199999999975</v>
      </c>
      <c r="BF114" s="13">
        <f t="shared" si="91"/>
        <v>77.698110787752</v>
      </c>
      <c r="BG114" s="20">
        <f t="shared" si="61"/>
        <v>712.32444295533423</v>
      </c>
      <c r="BH114" s="59">
        <f t="shared" si="62"/>
        <v>1005.6577762886675</v>
      </c>
      <c r="BI114" s="59">
        <f ca="1">AVERAGE(OFFSET($BH$3,0,0,'Données projet'!$E$11+1,1))-AVERAGE(OFFSET($H$3,0,0,'Données projet'!$E$11+1,1))</f>
        <v>316.58509520829671</v>
      </c>
      <c r="BJ114" s="59">
        <f t="shared" si="92"/>
        <v>240.71332110643596</v>
      </c>
      <c r="BK114" s="15">
        <f>IF(ISNA(VLOOKUP(A114,'Données projet'!$A$87:$I$107,3,0)),0,VLOOKUP(A114,'Données projet'!$A$87:$I$107,3,0))</f>
        <v>0</v>
      </c>
      <c r="BL114" s="15">
        <f>IF(ISNA(VLOOKUP(A114,'Données projet'!$A$87:$I$107,4,0)),0,VLOOKUP(A114,'Données projet'!$A$87:$I$107,4,0))</f>
        <v>0</v>
      </c>
      <c r="BM114" s="16">
        <f>IF(ISNA(VLOOKUP(A114,'Données projet'!$A$87:$I$107,5,0)),0%,VLOOKUP(A114,'Données projet'!$A$87:$I$107,5,0)*VLOOKUP('Données projet'!$B$11,Paramètres!$A$1:$I$89,7,0))</f>
        <v>0</v>
      </c>
      <c r="BN114" s="16">
        <f>IF(ISNA(VLOOKUP(A114,'Données projet'!$A$87:$I$107,6,0)),0%,VLOOKUP(A114,'Données projet'!$A$87:$I$107,6,0)*VLOOKUP('Données projet'!$B$11,Paramètres!$A$1:$I$89,7,0))</f>
        <v>0</v>
      </c>
      <c r="BO114" s="16">
        <f>IF(ISNA(VLOOKUP(A114,'Données projet'!$A$87:$I$107,7,0)),0%,VLOOKUP(A114,'Données projet'!$A$87:$I$107,7,0))</f>
        <v>0</v>
      </c>
      <c r="BP114" s="21">
        <f>EXP(-LN(2)/35)*BP113+(1-EXP(-LN(2)/35))/(LN(2)/35)*BL114*BM114*VLOOKUP('Données projet'!$B$11,Paramètres!$A$1:$I$89,3,0)*0.475*44/12</f>
        <v>0.50960183643688262</v>
      </c>
      <c r="BQ114" s="21">
        <f>EXP(-LN(2)/25)*BQ113+(1-EXP(-LN(2)/25))/(LN(2)/25)*Calculateur!BL114*Calculateur!BN114*VLOOKUP('Données projet'!$B$11,Paramètres!$A$1:$I$89,3,0)*0.475*44/12</f>
        <v>1.6160056725198562</v>
      </c>
      <c r="BR114" s="21">
        <f>EXP(-LN(2)/2)*BR113+(1-EXP(-LN(2)/2))/(LN(2)/2)*BL114*BO114*VLOOKUP('Données projet'!$B$11,Paramètres!$A$1:$I$89,3,0)*0.475*44/12</f>
        <v>1.4109408093349647E-11</v>
      </c>
      <c r="BS114" s="22">
        <f t="shared" si="63"/>
        <v>2.1256075089708482</v>
      </c>
      <c r="BT114" s="75">
        <f>('Scénario référence'!$F$8+'Scénario référence'!$F$9+'Scénario référence'!$B$17+'Scénario référence'!$B$9+'Scénario référence'!$B$10)*70+IF((45+25*(1-EXP(-0.0175*A114)))&lt;70,'Scénario référence'!$B$16*(45+25*(1-EXP(-0.0175*A114))),70*'Scénario référence'!$B$16)+IF((32+38*(1-EXP(-0.0175*A114)))&lt;70,'Scénario référence'!$B$18*(32+38*(1-EXP(-0.0175*A114))),70*'Scénario référence'!$B$18)</f>
        <v>70</v>
      </c>
      <c r="BU114" s="12">
        <f>IF(A114&gt;30,10,('Scénario référence'!$B$16+'Scénario référence'!$B$17+'Scénario référence'!$B$18+'Scénario référence'!$B$9+'Scénario référence'!$B$10)*A114*10/30+('Scénario référence'!$F$8+'Scénario référence'!$F$9)*10)</f>
        <v>10</v>
      </c>
      <c r="BV114" s="12" t="e">
        <f>VLOOKUP(A114,'Données projet'!$A$113:$I$133,2,0)</f>
        <v>#N/A</v>
      </c>
      <c r="BW114" s="12" t="e">
        <f>VLOOKUP(A114,'Données projet'!$A$113:$I$133,9,0)</f>
        <v>#N/A</v>
      </c>
      <c r="BX114" s="12">
        <f t="array" ref="BX114">INDEX(BW:BW,MIN(IF(ISNUMBER(BW114:BW310),ROW(BW114:BW310),"")))</f>
        <v>0</v>
      </c>
      <c r="BY114" s="12">
        <f>IF('Données projet'!$A$114&gt;35,BY113+BX114-CG113,IF(A114&lt;'Données projet'!$A$114,$BV$205^A114,IF(A114='Données projet'!$A$114,'Données projet'!$B$114,BY113+BX114-CG113)))</f>
        <v>333.99999999999977</v>
      </c>
      <c r="BZ114" s="13">
        <f>BY114*VLOOKUP('Données projet'!$B$12,Paramètres!$A$1:$I$89,3,0)*VLOOKUP('Données projet'!$B$12,Paramètres!$A$1:$I$89,5,0)</f>
        <v>191.04799999999986</v>
      </c>
      <c r="CA114" s="13">
        <f t="shared" si="93"/>
        <v>47.771576544305155</v>
      </c>
      <c r="CB114" s="20">
        <f t="shared" si="64"/>
        <v>415.94409581466454</v>
      </c>
      <c r="CC114" s="59">
        <f t="shared" si="65"/>
        <v>709.27742914799785</v>
      </c>
      <c r="CD114" s="59">
        <f ca="1">AVERAGE(OFFSET($CC$3,0,0,'Données projet'!$E$12+1,1))-AVERAGE(OFFSET($H$3,0,0,'Données projet'!$E$12+1,1))</f>
        <v>188.64374818906128</v>
      </c>
      <c r="CE114" s="59">
        <f t="shared" si="94"/>
        <v>211.95157880548652</v>
      </c>
      <c r="CF114" s="15">
        <f>IF(ISNA(VLOOKUP(A114,'Données projet'!$A$113:$I$133,3,0)),0,VLOOKUP(A114,'Données projet'!$A$113:$I$133,3,0))</f>
        <v>0</v>
      </c>
      <c r="CG114" s="15">
        <f>IF(ISNA(VLOOKUP(A114,'Données projet'!$A$113:$I$133,4,0)),0,VLOOKUP(A114,'Données projet'!$A$113:$I$133,4,0))</f>
        <v>0</v>
      </c>
      <c r="CH114" s="16">
        <f>IF(ISNA(VLOOKUP(A114,'Données projet'!$A$113:$I$133,5,0)),0%,VLOOKUP(A114,'Données projet'!$A$113:$I$133,5,0)*VLOOKUP('Données projet'!$B$12,Paramètres!$A$1:$I$89,7,0))</f>
        <v>0</v>
      </c>
      <c r="CI114" s="16">
        <f>IF(ISNA(VLOOKUP(A114,'Données projet'!$A$113:$I$133,6,0)),0%,VLOOKUP(A114,'Données projet'!$A$113:$I$133,6,0)*VLOOKUP('Données projet'!$B$12,Paramètres!$A$1:$I$89,7,0))</f>
        <v>0</v>
      </c>
      <c r="CJ114" s="16">
        <f>IF(ISNA(VLOOKUP(A114,'Données projet'!$A$113:$I$133,7,0)),0%,VLOOKUP(A114,'Données projet'!$A$113:$I$133,7,0))</f>
        <v>0</v>
      </c>
      <c r="CK114" s="21">
        <f>EXP(-LN(2)/35)*CK113+(1-EXP(-LN(2)/35))/(LN(2)/35)*CG114*CH114*VLOOKUP('Données projet'!$B$12,Paramètres!$A$1:$I$89,3,0)*0.475*44/12</f>
        <v>0.49431066069566537</v>
      </c>
      <c r="CL114" s="21">
        <f>EXP(-LN(2)/25)*CL113+(1-EXP(-LN(2)/25))/(LN(2)/25)*Calculateur!CG114*Calculateur!CI114*VLOOKUP('Données projet'!$B$12,Paramètres!$A$1:$I$89,3,0)*0.475*44/12</f>
        <v>1.5210211281926884</v>
      </c>
      <c r="CM114" s="21">
        <f>EXP(-LN(2)/2)*CM113+(1-EXP(-LN(2)/2))/(LN(2)/2)*CG114*CJ114*VLOOKUP('Données projet'!$B$12,Paramètres!$A$1:$I$89,3,0)*0.475*44/12</f>
        <v>1.3663857801924837E-11</v>
      </c>
      <c r="CN114" s="22">
        <f t="shared" si="66"/>
        <v>2.0153317889020177</v>
      </c>
      <c r="CO114" s="75">
        <f>('Scénario référence'!$F$8+'Scénario référence'!$F$9+'Scénario référence'!$B$17+'Scénario référence'!$B$9+'Scénario référence'!$B$10)*70+IF((45+25*(1-EXP(-0.0175*A114)))&lt;70,'Scénario référence'!$B$16*(45+25*(1-EXP(-0.0175*A114))),70*'Scénario référence'!$B$16)+IF((32+38*(1-EXP(-0.0175*A114)))&lt;70,'Scénario référence'!$B$18*(32+38*(1-EXP(-0.0175*A114))),70*'Scénario référence'!$B$18)</f>
        <v>70</v>
      </c>
      <c r="CP114" s="12">
        <f>IF(A114&gt;30,10,('Scénario référence'!$B$16+'Scénario référence'!$B$17+'Scénario référence'!$B$18+'Scénario référence'!$B$9+'Scénario référence'!$B$10)*A114*10/30+('Scénario référence'!$F$8+'Scénario référence'!$F$9)*10)</f>
        <v>10</v>
      </c>
      <c r="CQ114" s="12" t="e">
        <f>VLOOKUP(A114,'Données projet'!$A$139:$I$159,2,0)</f>
        <v>#N/A</v>
      </c>
      <c r="CR114" s="12" t="e">
        <f>VLOOKUP(A114,'Données projet'!$A$139:$I$159,9,0)</f>
        <v>#N/A</v>
      </c>
      <c r="CS114" s="12">
        <f t="array" ref="CS114">INDEX(CR:CR,MIN(IF(ISNUMBER(CR114:CR310),ROW(CR114:CR310),"")))</f>
        <v>0</v>
      </c>
      <c r="CT114" s="12">
        <f>IF('Données projet'!$A$140&gt;35,CT113+CS114-DB113,IF(A114&lt;'Données projet'!$A$140,$CQ$205^A114,IF(A114='Données projet'!$A$140,'Données projet'!$B$140,CT113+CS114-DB113)))</f>
        <v>0</v>
      </c>
      <c r="CU114" s="17" t="e">
        <f>CT114*VLOOKUP('Données projet'!$B$13,Paramètres!$A$1:$I$89,3,0)*VLOOKUP('Données projet'!$B$13,Paramètres!$A$1:$I$89,5,0)</f>
        <v>#N/A</v>
      </c>
      <c r="CV114" s="13" t="e">
        <f t="shared" si="95"/>
        <v>#N/A</v>
      </c>
      <c r="CW114" s="20" t="e">
        <f t="shared" si="67"/>
        <v>#N/A</v>
      </c>
      <c r="CX114" s="59" t="e">
        <f t="shared" si="68"/>
        <v>#N/A</v>
      </c>
      <c r="CY114" s="59" t="e">
        <f ca="1">AVERAGE(OFFSET($CX$3,0,0,'Données projet'!$E$13+1,1))-AVERAGE(OFFSET($H$3,0,0,'Données projet'!$E$13+1,1))</f>
        <v>#N/A</v>
      </c>
      <c r="CZ114" s="59" t="e">
        <f t="shared" si="96"/>
        <v>#N/A</v>
      </c>
      <c r="DA114" s="15">
        <f>IF(ISNA(VLOOKUP(A114,'Données projet'!$A$139:$I$159,3,0)),0,VLOOKUP(A114,'Données projet'!$A$139:$I$159,3,0))</f>
        <v>0</v>
      </c>
      <c r="DB114" s="15">
        <f>IF(ISNA(VLOOKUP(A114,'Données projet'!$A$139:$I$159,4,0)),0,VLOOKUP(A114,'Données projet'!$A$139:$I$159,4,0))</f>
        <v>0</v>
      </c>
      <c r="DC114" s="16">
        <f>IF(ISNA(VLOOKUP(A114,'Données projet'!$A$139:$I$159,5,0)),0%,VLOOKUP(A114,'Données projet'!$A$139:$I$159,5,0)*VLOOKUP('Données projet'!$B$13,Paramètres!$A$1:$I$89,7,0))</f>
        <v>0</v>
      </c>
      <c r="DD114" s="16">
        <f>IF(ISNA(VLOOKUP(A114,'Données projet'!$A$139:$I$159,6,0)),0%,VLOOKUP(A114,'Données projet'!$A$139:$I$159,6,0)*VLOOKUP('Données projet'!$B$13,Paramètres!$A$1:$I$89,7,0))</f>
        <v>0</v>
      </c>
      <c r="DE114" s="16">
        <f>IF(ISNA(VLOOKUP(A114,'Données projet'!$A$139:$I$159,7,0)),0%,VLOOKUP(A114,'Données projet'!$A$139:$I$159,7,0))</f>
        <v>0</v>
      </c>
      <c r="DF114" s="21" t="e">
        <f>EXP(-LN(2)/35)*DF113+(1-EXP(-LN(2)/35))/(LN(2)/35)*DB114*DC114*VLOOKUP('Données projet'!$B$13,Paramètres!$A$1:$I$89,3,0)*0.475*44/12</f>
        <v>#N/A</v>
      </c>
      <c r="DG114" s="21" t="e">
        <f>EXP(-LN(2)/25)*DG113+(1-EXP(-LN(2)/25))/(LN(2)/25)*Calculateur!DB114*Calculateur!DD114*VLOOKUP('Données projet'!$B$13,Paramètres!$A$1:$I$89,3,0)*0.475*44/12</f>
        <v>#N/A</v>
      </c>
      <c r="DH114" s="21" t="e">
        <f>EXP(-LN(2)/2)*DH113+(1-EXP(-LN(2)/2))/(LN(2)/2)*DB114*DE114*VLOOKUP('Données projet'!$B$13,Paramètres!$A$1:$I$89,3,0)*0.475*44/12</f>
        <v>#N/A</v>
      </c>
      <c r="DI114" s="22" t="e">
        <f t="shared" si="69"/>
        <v>#N/A</v>
      </c>
      <c r="DJ114" s="75">
        <f>('Scénario référence'!$F$8+'Scénario référence'!$F$9+'Scénario référence'!$B$17+'Scénario référence'!$B$9+'Scénario référence'!$B$10)*70+IF((45+25*(1-EXP(-0.0175*A114)))&lt;70,'Scénario référence'!$B$16*(45+25*(1-EXP(-0.0175*A114))),70*'Scénario référence'!$B$16)+IF((32+38*(1-EXP(-0.0175*A114)))&lt;70,'Scénario référence'!$B$18*(32+38*(1-EXP(-0.0175*A114))),70*'Scénario référence'!$B$18)</f>
        <v>70</v>
      </c>
      <c r="DK114" s="12">
        <f>IF(A114&gt;30,10,('Scénario référence'!$B$16+'Scénario référence'!$B$17+'Scénario référence'!$B$18+'Scénario référence'!$B$9+'Scénario référence'!$B$10)*A114*10/30+('Scénario référence'!$F$8+'Scénario référence'!$F$9)*10)</f>
        <v>10</v>
      </c>
      <c r="DL114" s="12" t="e">
        <f>VLOOKUP(A114,'Données projet'!$A$165:$I$185,2,0)</f>
        <v>#N/A</v>
      </c>
      <c r="DM114" s="12" t="e">
        <f>VLOOKUP(A114,'Données projet'!$A$165:$I$185,9,0)</f>
        <v>#N/A</v>
      </c>
      <c r="DN114" s="12">
        <f t="array" ref="DN114">INDEX(DM:DM,MIN(IF(ISNUMBER(DM114:DM310),ROW(DM114:DM310),"")))</f>
        <v>0</v>
      </c>
      <c r="DO114" s="12">
        <f>IF('Données projet'!$A$166&gt;35,DO113+DN114-DW113,IF(A114&lt;'Données projet'!$A$166,$DL$205^A114,IF(A114='Données projet'!$A$166,'Données projet'!$B$166,DO113+DN114-DW113)))</f>
        <v>268.00000000000017</v>
      </c>
      <c r="DP114" s="17">
        <f>DO114*VLOOKUP('Données projet'!$B$14,Paramètres!$A$1:$I$89,3,0)*VLOOKUP('Données projet'!$B$14,Paramètres!$A$1:$I$89,5,0)</f>
        <v>175.59360000000012</v>
      </c>
      <c r="DQ114" s="13">
        <f t="shared" si="97"/>
        <v>44.340433728638573</v>
      </c>
      <c r="DR114" s="20">
        <f t="shared" si="70"/>
        <v>383.05177541071242</v>
      </c>
      <c r="DS114" s="59">
        <f t="shared" si="71"/>
        <v>676.38510874404574</v>
      </c>
      <c r="DT114" s="59">
        <f ca="1">AVERAGE(OFFSET($DS$3,0,0,'Données projet'!$E$14+1,1))-AVERAGE(OFFSET($H$3,0,0,'Données projet'!$E$14+1,1))</f>
        <v>188.68915783955595</v>
      </c>
      <c r="DU114" s="59">
        <f t="shared" si="98"/>
        <v>240.82467772396944</v>
      </c>
      <c r="DV114" s="15">
        <f>IF(ISNA(VLOOKUP(A114,'Données projet'!$A$165:$I$185,3,0)),0,VLOOKUP(A114,'Données projet'!$A$165:$I$185,3,0))</f>
        <v>0</v>
      </c>
      <c r="DW114" s="15">
        <f>IF(ISNA(VLOOKUP(A114,'Données projet'!$A$165:$I$185,4,0)),0,VLOOKUP(A114,'Données projet'!$A$165:$I$185,4,0))</f>
        <v>0</v>
      </c>
      <c r="DX114" s="16">
        <f>IF(ISNA(VLOOKUP(A114,'Données projet'!$A$165:$I$185,5,0)),0%,VLOOKUP(A114,'Données projet'!$A$165:$I$185,5,0)*VLOOKUP('Données projet'!$B$14,Paramètres!$A$1:$I$89,7,0))</f>
        <v>0</v>
      </c>
      <c r="DY114" s="16">
        <f>IF(ISNA(VLOOKUP(A114,'Données projet'!$A$165:$I$185,6,0)),0%,VLOOKUP(A114,'Données projet'!$A$165:$I$185,6,0)*VLOOKUP('Données projet'!$B$14,Paramètres!$A$1:$I$89,7,0))</f>
        <v>0</v>
      </c>
      <c r="DZ114" s="16">
        <f>IF(ISNA(VLOOKUP(A114,'Données projet'!$A$165:$I$185,7,0)),0%,VLOOKUP(A114,'Données projet'!$A$165:$I$185,7,0))</f>
        <v>0</v>
      </c>
      <c r="EA114" s="21">
        <f>EXP(-LN(2)/35)*EA113+(1-EXP(-LN(2)/35))/(LN(2)/35)*DW114*DX114*VLOOKUP('Données projet'!$B$14,Paramètres!$A$1:$I$89,3,0)*0.475*44/12</f>
        <v>0.31310502708206062</v>
      </c>
      <c r="EB114" s="21">
        <f>EXP(-LN(2)/25)*EB113+(1-EXP(-LN(2)/25))/(LN(2)/25)*Calculateur!DW114*Calculateur!DY114*VLOOKUP('Données projet'!$B$14,Paramètres!$A$1:$I$89,3,0)*0.475*44/12</f>
        <v>0.85077044774201083</v>
      </c>
      <c r="EC114" s="21">
        <f>EXP(-LN(2)/2)*EC113+(1-EXP(-LN(2)/2))/(LN(2)/2)*DW114*DZ114*VLOOKUP('Données projet'!$B$14,Paramètres!$A$1:$I$89,3,0)*0.475*44/12</f>
        <v>9.0012281355489731E-12</v>
      </c>
      <c r="ED114" s="22">
        <f t="shared" si="72"/>
        <v>1.1638754748330726</v>
      </c>
      <c r="EE114" s="75">
        <f>('Scénario référence'!$F$8+'Scénario référence'!$F$9+'Scénario référence'!$B$17+'Scénario référence'!$B$9+'Scénario référence'!$B$10)*70+IF((45+25*(1-EXP(-0.0175*A114)))&lt;70,'Scénario référence'!$B$16*(45+25*(1-EXP(-0.0175*A114))),70*'Scénario référence'!$B$16)+IF((32+38*(1-EXP(-0.0175*A114)))&lt;70,'Scénario référence'!$B$18*(32+38*(1-EXP(-0.0175*A114))),70*'Scénario référence'!$B$18)</f>
        <v>70</v>
      </c>
      <c r="EF114" s="12">
        <f>IF(A114&gt;30,10,('Scénario référence'!$B$16+'Scénario référence'!$B$17+'Scénario référence'!$B$18+'Scénario référence'!$B$9+'Scénario référence'!$B$10)*A114*10/30+('Scénario référence'!$F$8+'Scénario référence'!$F$9)*10)</f>
        <v>10</v>
      </c>
      <c r="EG114" s="12" t="e">
        <f>VLOOKUP(A114,'Données projet'!$A$191:$I$211,2,0)</f>
        <v>#N/A</v>
      </c>
      <c r="EH114" s="12" t="e">
        <f>VLOOKUP(A114,'Données projet'!$A$191:$I$211,9,0)</f>
        <v>#N/A</v>
      </c>
      <c r="EI114" s="12">
        <f t="array" ref="EI114">INDEX(EH:EH,MIN(IF(ISNUMBER(EH114:EH310),ROW(EH114:EH310),"")))</f>
        <v>0</v>
      </c>
      <c r="EJ114" s="12">
        <f>IF('Données projet'!$A$192&gt;35,EJ113+EI114-ER113,IF(A114&lt;'Données projet'!$A$192,$EG$205^A114,IF(A114='Données projet'!$A$192,'Données projet'!$B$192,EJ113+EI114-ER113)))</f>
        <v>275.99999999999972</v>
      </c>
      <c r="EK114" s="17">
        <f>EJ114*VLOOKUP('Données projet'!$B$15,Paramètres!$A$1:$I$89,3,0)*VLOOKUP('Données projet'!$B$15,Paramètres!$A$1:$I$89,5,0)</f>
        <v>223.8911999999998</v>
      </c>
      <c r="EL114" s="13">
        <f t="shared" si="99"/>
        <v>54.95975389514858</v>
      </c>
      <c r="EM114" s="20">
        <f t="shared" si="73"/>
        <v>485.66541136738346</v>
      </c>
      <c r="EN114" s="59">
        <f t="shared" si="74"/>
        <v>778.99874470071677</v>
      </c>
      <c r="EO114" s="59">
        <f ca="1">AVERAGE(OFFSET($EN$3,0,0,'Données projet'!$E$15+1,1))-AVERAGE(OFFSET($H$3,0,0,'Données projet'!$E$15+1,1))</f>
        <v>205.5272583787887</v>
      </c>
      <c r="EP114" s="59">
        <f t="shared" si="100"/>
        <v>180.54762778843178</v>
      </c>
      <c r="EQ114" s="15">
        <f>IF(ISNA(VLOOKUP(A114,'Données projet'!$A$191:$I$211,3,0)),0,VLOOKUP(A114,'Données projet'!$A$191:$I$211,3,0))</f>
        <v>0</v>
      </c>
      <c r="ER114" s="15">
        <f>IF(ISNA(VLOOKUP(A114,'Données projet'!$A$191:$I$211,4,0)),0,VLOOKUP(A114,'Données projet'!$A$191:$I$211,4,0))</f>
        <v>0</v>
      </c>
      <c r="ES114" s="16">
        <f>IF(ISNA(VLOOKUP(A114,'Données projet'!$A$191:$I$211,5,0)),0%,VLOOKUP(A114,'Données projet'!$A$191:$I$211,5,0)*VLOOKUP('Données projet'!$B$15,Paramètres!$A$1:$I$89,7,0))</f>
        <v>0</v>
      </c>
      <c r="ET114" s="16">
        <f>IF(ISNA(VLOOKUP(A114,'Données projet'!$A$191:$I$211,6,0)),0%,VLOOKUP(A114,'Données projet'!$A$191:$I$211,6,0)*VLOOKUP('Données projet'!$B$15,Paramètres!$A$1:$I$89,7,0))</f>
        <v>0</v>
      </c>
      <c r="EU114" s="16">
        <f>IF(ISNA(VLOOKUP(A114,'Données projet'!$A$191:$I$211,7,0)),0%,VLOOKUP(A114,'Données projet'!$A$191:$I$211,7,0))</f>
        <v>0</v>
      </c>
      <c r="EV114" s="21">
        <f>EXP(-LN(2)/35)*EV113+(1-EXP(-LN(2)/35))/(LN(2)/35)*ER114*ES114*VLOOKUP('Données projet'!$B$15,Paramètres!$A$1:$I$89,3,0)*0.475*44/12</f>
        <v>0.2015799983880695</v>
      </c>
      <c r="EW114" s="21">
        <f>EXP(-LN(2)/25)*EW113+(1-EXP(-LN(2)/25))/(LN(2)/25)*Calculateur!ER114*Calculateur!ET114*VLOOKUP('Données projet'!$B$15,Paramètres!$A$1:$I$89,3,0)*0.475*44/12</f>
        <v>0.61428207221215525</v>
      </c>
      <c r="EX114" s="21">
        <f>EXP(-LN(2)/2)*EX113+(1-EXP(-LN(2)/2))/(LN(2)/2)*ER114*EU114*VLOOKUP('Données projet'!$B$15,Paramètres!$A$1:$I$89,3,0)*0.475*44/12</f>
        <v>5.8283018735119291E-12</v>
      </c>
      <c r="EY114" s="22">
        <f t="shared" si="75"/>
        <v>0.81586207060605309</v>
      </c>
      <c r="EZ114" s="75">
        <f>('Scénario référence'!$F$8+'Scénario référence'!$F$9+'Scénario référence'!$B$17+'Scénario référence'!$B$9+'Scénario référence'!$B$10)*70+IF((45+25*(1-EXP(-0.0175*A114)))&lt;70,'Scénario référence'!$B$16*(45+25*(1-EXP(-0.0175*A114))),70*'Scénario référence'!$B$16)+IF((32+38*(1-EXP(-0.0175*A114)))&lt;70,'Scénario référence'!$B$18*(32+38*(1-EXP(-0.0175*A114))),70*'Scénario référence'!$B$18)</f>
        <v>70</v>
      </c>
      <c r="FA114" s="12">
        <f>IF(A114&gt;30,10,('Scénario référence'!$B$16+'Scénario référence'!$B$17+'Scénario référence'!$B$18+'Scénario référence'!$B$9+'Scénario référence'!$B$10)*A114*10/30+('Scénario référence'!$F$8+'Scénario référence'!$F$9)*10)</f>
        <v>10</v>
      </c>
      <c r="FB114" s="12" t="e">
        <f>VLOOKUP(A114,'Données projet'!$A$217:$I$237,2,0)</f>
        <v>#N/A</v>
      </c>
      <c r="FC114" s="12" t="e">
        <f>VLOOKUP(A114,'Données projet'!$A$217:$I$237,9,0)</f>
        <v>#N/A</v>
      </c>
      <c r="FD114" s="12">
        <f t="array" ref="FD114">INDEX(FC:FC,MIN(IF(ISNUMBER(FC114:FC310),ROW(FC114:FC310),"")))</f>
        <v>7.4</v>
      </c>
      <c r="FE114" s="12">
        <f>IF('Données projet'!$A$218&gt;35,FE113+FD114-FM113,IF(A114&lt;'Données projet'!$A$218,$FB$205^A114,IF(A114='Données projet'!$A$218,'Données projet'!$B$218,FE113+FD114-FM113)))</f>
        <v>385.40000000000003</v>
      </c>
      <c r="FF114" s="17">
        <f>FE114*VLOOKUP('Données projet'!$B$16,Paramètres!$A$1:$I$89,3,0)*VLOOKUP('Données projet'!$B$16,Paramètres!$A$1:$I$89,5,0)</f>
        <v>330.67320000000007</v>
      </c>
      <c r="FG114" s="13">
        <f t="shared" si="101"/>
        <v>77.56986214894971</v>
      </c>
      <c r="FH114" s="20">
        <f t="shared" si="76"/>
        <v>711.02333324275412</v>
      </c>
      <c r="FI114" s="59">
        <f t="shared" si="77"/>
        <v>1004.3566665760875</v>
      </c>
      <c r="FJ114" s="59">
        <f ca="1">AVERAGE(OFFSET($FI$3,0,0,'Données projet'!$E$16+1,1))-AVERAGE(OFFSET($H$3,0,0,'Données projet'!$E$16+1,1))</f>
        <v>383.97627237444709</v>
      </c>
      <c r="FK114" s="59">
        <f t="shared" si="102"/>
        <v>203.35476578922339</v>
      </c>
      <c r="FL114" s="15">
        <f>IF(ISNA(VLOOKUP(A114,'Données projet'!$A$217:$I$237,3,0)),0,VLOOKUP(A114,'Données projet'!$A$217:$I$237,3,0))</f>
        <v>0</v>
      </c>
      <c r="FM114" s="15">
        <f>IF(ISNA(VLOOKUP(A114,'Données projet'!$A$217:$I$237,4,0)),0,VLOOKUP(A114,'Données projet'!$A$217:$I$237,4,0))</f>
        <v>0</v>
      </c>
      <c r="FN114" s="16">
        <f>IF(ISNA(VLOOKUP(A114,'Données projet'!$A$217:$I$237,5,0)),0%,VLOOKUP(A114,'Données projet'!$A$217:$I$237,5,0)*VLOOKUP('Données projet'!$B$16,Paramètres!$A$1:$I$89,7,0))</f>
        <v>0</v>
      </c>
      <c r="FO114" s="16">
        <f>IF(ISNA(VLOOKUP(A114,'Données projet'!$A$217:$I$237,6,0)),0%,VLOOKUP(A114,'Données projet'!$A$217:$I$237,6,0)*VLOOKUP('Données projet'!$B$16,Paramètres!$A$1:$I$89,7,0))</f>
        <v>0</v>
      </c>
      <c r="FP114" s="16">
        <f>IF(ISNA(VLOOKUP(A114,'Données projet'!$A$217:$I$237,7,0)),0%,VLOOKUP(A114,'Données projet'!$A$217:$I$237,7,0))</f>
        <v>0</v>
      </c>
      <c r="FQ114" s="21">
        <f>EXP(-LN(2)/35)*FQ113+(1-EXP(-LN(2)/35))/(LN(2)/35)*FM114*FN114*VLOOKUP('Données projet'!$B$16,Paramètres!$A$1:$I$89,3,0)*0.475*44/12</f>
        <v>1.0360118303353423</v>
      </c>
      <c r="FR114" s="21">
        <f>EXP(-LN(2)/25)*FR113+(1-EXP(-LN(2)/25))/(LN(2)/25)*Calculateur!FM114*Calculateur!FO114*VLOOKUP('Données projet'!$B$16,Paramètres!$A$1:$I$89,3,0)*0.475*44/12</f>
        <v>0.62355979538160367</v>
      </c>
      <c r="FS114" s="21">
        <f>EXP(-LN(2)/2)*FS113+(1-EXP(-LN(2)/2))/(LN(2)/2)*FM114*FP114*VLOOKUP('Données projet'!$B$16,Paramètres!$A$1:$I$89,3,0)*0.475*44/12</f>
        <v>1.0705394400917461E-11</v>
      </c>
      <c r="FT114" s="22">
        <f t="shared" si="78"/>
        <v>1.6595716257276514</v>
      </c>
      <c r="FU114" s="75">
        <f>('Scénario référence'!$F$8+'Scénario référence'!$F$9+'Scénario référence'!$B$17+'Scénario référence'!$B$9+'Scénario référence'!$B$10)*70+IF((45+25*(1-EXP(-0.0175*A114)))&lt;70,'Scénario référence'!$B$16*(45+25*(1-EXP(-0.0175*A114))),70*'Scénario référence'!$B$16)+IF((32+38*(1-EXP(-0.0175*A114)))&lt;70,'Scénario référence'!$B$18*(32+38*(1-EXP(-0.0175*A114))),70*'Scénario référence'!$B$18)</f>
        <v>70</v>
      </c>
      <c r="FV114" s="12">
        <f>IF(A114&gt;30,10,('Scénario référence'!$B$16+'Scénario référence'!$B$17+'Scénario référence'!$B$18+'Scénario référence'!$B$9+'Scénario référence'!$B$10)*A114*10/30+('Scénario référence'!$F$8+'Scénario référence'!$F$9)*10)</f>
        <v>10</v>
      </c>
      <c r="FW114" s="12" t="e">
        <f>VLOOKUP(A114,'Données projet'!$A$243:$I$263,2,0)</f>
        <v>#N/A</v>
      </c>
      <c r="FX114" s="12" t="e">
        <f>VLOOKUP(A114,'Données projet'!$A$243:$I$263,9,0)</f>
        <v>#N/A</v>
      </c>
      <c r="FY114" s="12">
        <f t="array" ref="FY114">INDEX(FX:FX,MIN(IF(ISNUMBER(FX114:FX310),ROW(FX114:FX310),"")))</f>
        <v>6.8461538461538511</v>
      </c>
      <c r="FZ114" s="12">
        <f>IF('Données projet'!$A$244&gt;35,FZ113+FY114-GH113,IF(A114&lt;'Données projet'!$A$244,$FW$205^A114,IF(A114='Données projet'!$A$244,'Données projet'!$B$244,FZ113+FY114-GH113)))</f>
        <v>302.57051282051299</v>
      </c>
      <c r="GA114" s="17">
        <f>FZ114*VLOOKUP('Données projet'!$B$17,Paramètres!$A$1:$I$89,3,0)*VLOOKUP('Données projet'!$B$17,Paramètres!$A$1:$I$89,5,0)</f>
        <v>325.68690000000015</v>
      </c>
      <c r="GB114" s="13">
        <f t="shared" si="103"/>
        <v>76.535407961985811</v>
      </c>
      <c r="GC114" s="20">
        <f t="shared" si="79"/>
        <v>700.5371863671254</v>
      </c>
      <c r="GD114" s="59">
        <f t="shared" si="80"/>
        <v>993.87051970045877</v>
      </c>
      <c r="GE114" s="59">
        <f ca="1">AVERAGE(OFFSET($GD$3,0,0,'Données projet'!$E$17+1,1))-AVERAGE(OFFSET($H$3,0,0,'Données projet'!$E$17+1,1))</f>
        <v>286.77702855541287</v>
      </c>
      <c r="GF114" s="59">
        <f t="shared" si="104"/>
        <v>227.12211541860779</v>
      </c>
      <c r="GG114" s="15">
        <f>IF(ISNA(VLOOKUP(A114,'Données projet'!$A$243:$I$263,3,0)),0,VLOOKUP(A114,'Données projet'!$A$243:$I$263,3,0))</f>
        <v>0</v>
      </c>
      <c r="GH114" s="15">
        <f>IF(ISNA(VLOOKUP(A114,'Données projet'!$A$243:$I$263,4,0)),0,VLOOKUP(A114,'Données projet'!$A$243:$I$263,4,0))</f>
        <v>0</v>
      </c>
      <c r="GI114" s="16">
        <f>IF(ISNA(VLOOKUP(A114,'Données projet'!$A$243:$I$263,5,0)),0%,VLOOKUP(A114,'Données projet'!$A$243:$I$263,5,0)*VLOOKUP('Données projet'!$B$17,Paramètres!$A$1:$I$89,7,0))</f>
        <v>0</v>
      </c>
      <c r="GJ114" s="16">
        <f>IF(ISNA(VLOOKUP(A114,'Données projet'!$A$243:$I$263,6,0)),0%,VLOOKUP(A114,'Données projet'!$A$243:$I$263,6,0)*VLOOKUP('Données projet'!$B$17,Paramètres!$A$1:$I$89,7,0))</f>
        <v>0</v>
      </c>
      <c r="GK114" s="16">
        <f>IF(ISNA(VLOOKUP(A114,'Données projet'!$A$243:$I$263,7,0)),0%,VLOOKUP(A114,'Données projet'!$A$243:$I$263,7,0))</f>
        <v>0</v>
      </c>
      <c r="GL114" s="21">
        <f>EXP(-LN(2)/35)*GL113+(1-EXP(-LN(2)/35))/(LN(2)/35)*GH114*GI114*VLOOKUP('Données projet'!$B$17,Paramètres!$A$1:$I$89,3,0)*0.475*44/12</f>
        <v>0</v>
      </c>
      <c r="GM114" s="21">
        <f>EXP(-LN(2)/25)*GM113+(1-EXP(-LN(2)/25))/(LN(2)/25)*Calculateur!GH114*Calculateur!GJ114*VLOOKUP('Données projet'!$B$17,Paramètres!$A$1:$I$89,3,0)*0.475*44/12</f>
        <v>0</v>
      </c>
      <c r="GN114" s="21">
        <f>EXP(-LN(2)/2)*GN113+(1-EXP(-LN(2)/2))/(LN(2)/2)*GH114*GK114*VLOOKUP('Données projet'!$B$17,Paramètres!$A$1:$I$89,3,0)*0.475*44/12</f>
        <v>0</v>
      </c>
      <c r="GO114" s="21">
        <f t="shared" si="81"/>
        <v>0</v>
      </c>
      <c r="GP114" s="75">
        <f>('Scénario référence'!$F$8+'Scénario référence'!$F$9+'Scénario référence'!$B$17+'Scénario référence'!$B$9+'Scénario référence'!$B$10)*70+IF((45+25*(1-EXP(-0.0175*A114)))&lt;70,'Scénario référence'!$B$16*(45+25*(1-EXP(-0.0175*A114))),70*'Scénario référence'!$B$16)+IF((32+38*(1-EXP(-0.0175*A114)))&lt;70,'Scénario référence'!$B$18*(32+38*(1-EXP(-0.0175*A114))),70*'Scénario référence'!$B$18)</f>
        <v>70</v>
      </c>
      <c r="GQ114" s="12">
        <f>IF(A114&gt;30,10,('Scénario référence'!$B$16+'Scénario référence'!$B$17+'Scénario référence'!$B$18+'Scénario référence'!$B$9+'Scénario référence'!$B$10)*A114*10/30+('Scénario référence'!$F$8+'Scénario référence'!$F$9)*10)</f>
        <v>10</v>
      </c>
      <c r="GR114" s="12" t="e">
        <f>VLOOKUP(A114,'Données projet'!$A$269:$I$289,2,0)</f>
        <v>#N/A</v>
      </c>
      <c r="GS114" s="12" t="e">
        <f>VLOOKUP(A114,'Données projet'!$A$269:$I$289,9,0)</f>
        <v>#N/A</v>
      </c>
      <c r="GT114" s="12">
        <f t="array" ref="GT114">INDEX(GS:GS,MIN(IF(ISNUMBER(GS114:GS310),ROW(GS114:GS310),"")))</f>
        <v>6.8461538461538511</v>
      </c>
      <c r="GU114" s="12">
        <f>IF('Données projet'!$A$270&gt;35,GU113+GT114-HC113,IF(A114&lt;'Données projet'!$A$270,$GR$205^A114,IF(A114='Données projet'!$A$270,'Données projet'!$B$270,GU113+GT114-HC113)))</f>
        <v>302.57051282051299</v>
      </c>
      <c r="GV114" s="17">
        <f>GU114*VLOOKUP('Données projet'!$B$18,Paramètres!$A$1:$I$89,3,0)*VLOOKUP('Données projet'!$B$18,Paramètres!$A$1:$I$89,5,0)</f>
        <v>325.68690000000015</v>
      </c>
      <c r="GW114" s="13">
        <f t="shared" si="105"/>
        <v>76.535407961985811</v>
      </c>
      <c r="GX114" s="20">
        <f t="shared" si="82"/>
        <v>700.5371863671254</v>
      </c>
      <c r="GY114" s="59">
        <f t="shared" si="83"/>
        <v>993.87051970045877</v>
      </c>
      <c r="GZ114" s="59">
        <f ca="1">AVERAGE(OFFSET($GY$3,0,0,'Données projet'!$E$18+1,1))-AVERAGE(OFFSET($H$3,0,0,'Données projet'!$E$18+1,1))</f>
        <v>286.77702855541287</v>
      </c>
      <c r="HA114" s="59">
        <f t="shared" si="106"/>
        <v>227.12211541860779</v>
      </c>
      <c r="HB114" s="15">
        <f>IF(ISNA(VLOOKUP(A114,'Données projet'!$A$269:$I$289,3,0)),0,VLOOKUP(A114,'Données projet'!$A$269:$I$289,3,0))</f>
        <v>0</v>
      </c>
      <c r="HC114" s="15">
        <f>IF(ISNA(VLOOKUP(A114,'Données projet'!$A$269:$I$289,4,0)),0,VLOOKUP(A114,'Données projet'!$A$269:$I$289,4,0))</f>
        <v>0</v>
      </c>
      <c r="HD114" s="16">
        <f>IF(ISNA(VLOOKUP(A114,'Données projet'!$A$269:$I$289,5,0)),0%,VLOOKUP(A114,'Données projet'!$A$269:$I$289,5,0)*VLOOKUP('Données projet'!$B$18,Paramètres!$A$1:$I$89,7,0))</f>
        <v>0</v>
      </c>
      <c r="HE114" s="16">
        <f>IF(ISNA(VLOOKUP(A114,'Données projet'!$A$269:$I$289,6,0)),0%,VLOOKUP(A114,'Données projet'!$A$269:$I$289,6,0)*VLOOKUP('Données projet'!$B$18,Paramètres!$A$1:$I$89,7,0))</f>
        <v>0</v>
      </c>
      <c r="HF114" s="16">
        <f>IF(ISNA(VLOOKUP(A114,'Données projet'!$A$269:$I$289,7,0)),0%,VLOOKUP(A114,'Données projet'!$A$269:$I$289,7,0))</f>
        <v>0</v>
      </c>
      <c r="HG114" s="21">
        <f>EXP(-LN(2)/35)*HG113+(1-EXP(-LN(2)/35))/(LN(2)/35)*HC114*HD114*VLOOKUP('Données projet'!$B$18,Paramètres!$A$1:$I$89,3,0)*0.475*44/12</f>
        <v>0</v>
      </c>
      <c r="HH114" s="21">
        <f>EXP(-LN(2)/25)*HH113+(1-EXP(-LN(2)/25))/(LN(2)/25)*Calculateur!HC114*Calculateur!HE114*VLOOKUP('Données projet'!$B$18,Paramètres!$A$1:$I$89,3,0)*0.475*44/12</f>
        <v>0</v>
      </c>
      <c r="HI114" s="21">
        <f>EXP(-LN(2)/2)*HI113+(1-EXP(-LN(2)/2))/(LN(2)/2)*HC114*HF114*VLOOKUP('Données projet'!$B$18,Paramètres!$A$1:$I$89,3,0)*0.475*44/12</f>
        <v>0</v>
      </c>
      <c r="HJ114" s="22">
        <f t="shared" si="84"/>
        <v>0</v>
      </c>
    </row>
    <row r="115" spans="1:218" x14ac:dyDescent="0.25">
      <c r="A115" s="10">
        <f t="shared" si="85"/>
        <v>112</v>
      </c>
      <c r="B115" s="73">
        <f>'Scénario référence'!$B$16*5+'Scénario référence'!$B$17*0+'Scénario référence'!$B$18*5</f>
        <v>0</v>
      </c>
      <c r="C115" s="19">
        <f>Calculateur!C114+'Scénario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99.590400000000173</v>
      </c>
      <c r="D115" s="11">
        <f t="shared" si="86"/>
        <v>26.864392698869374</v>
      </c>
      <c r="E11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15" s="11">
        <f>IF(OR('Scénario référence'!$F$8&gt;0,'Scénario référence'!$F$9&gt;0),('Scénario référence'!$F$8+'Scénario référence'!$F$9)*10,0)</f>
        <v>10</v>
      </c>
      <c r="G115" s="11">
        <f>'Scénario référence'!$B$8*B115*44/12+'Scénario référence'!$B$9*(C115+D115)/0.475*44/12+'Scénario référence'!$B$10*(C115+D115)/0.475*44/12+'Scénario référence'!$F$8*(C115+D115)/0.475*44/12+'Scénario référence'!$F$9*(C115+D115)/0.475*44/12</f>
        <v>976.14225942987014</v>
      </c>
      <c r="H115" s="67">
        <f t="shared" si="56"/>
        <v>513.57543061719775</v>
      </c>
      <c r="I115" s="70">
        <f>('Scénario référence'!$F$8+'Scénario référence'!$F$9+'Scénario référence'!$B$17+'Scénario référence'!$B$9+'Scénario référence'!$B$10)*70+IF((45+25*(1-EXP(-0.0175*A115)))&lt;70,'Scénario référence'!$B$16*(45+25*(1-EXP(-0.0175*A115))),70*'Scénario référence'!$B$16)+IF((32+38*(1-EXP(-0.0175*A115)))&lt;70,'Scénario référence'!$B$18*(32+38*(1-EXP(-0.0175*A115))),70*'Scénario référence'!$B$18)</f>
        <v>70</v>
      </c>
      <c r="J115" s="13">
        <f>IF(A115&gt;30,10,('Scénario référence'!$B$16+'Scénario référence'!$B$17+'Scénario référence'!$B$18+'Scénario référence'!$B$9+'Scénario référence'!$B$10)*A115*10/30+('Scénario référence'!$F$8+'Scénario référence'!$F$9)*10)</f>
        <v>10</v>
      </c>
      <c r="K115" s="12" t="e">
        <f>VLOOKUP(A115,'Données projet'!$A$35:$I$55,2,0)</f>
        <v>#N/A</v>
      </c>
      <c r="L115" s="12" t="e">
        <f>VLOOKUP(A115,'Données projet'!$A$35:$I$55,9,0)</f>
        <v>#N/A</v>
      </c>
      <c r="M115" s="12">
        <f t="array" ref="M115">INDEX(L:L,MIN(IF(ISNUMBER(L115:L311),ROW(L115:L311),"")))</f>
        <v>0</v>
      </c>
      <c r="N115" s="13">
        <f>IF('Données projet'!$A$36&gt;35,N114+M115-V114,IF(A115&lt;'Données projet'!$A$36,$K$205^A115,IF(A115='Données projet'!$A$36,'Données projet'!$B$36,N114+M115-V114)))</f>
        <v>-2.2737367544323206E-13</v>
      </c>
      <c r="O115" s="13">
        <f>N115*VLOOKUP('Données projet'!$B$9,Paramètres!$A$1:$I$89,3,0)*VLOOKUP('Données projet'!$B$9,Paramètres!$A$1:$I$89,5,0)</f>
        <v>-1.2710188457276673E-13</v>
      </c>
      <c r="P115" s="13" t="e">
        <f t="shared" si="87"/>
        <v>#NUM!</v>
      </c>
      <c r="Q115" s="20" t="e">
        <f t="shared" si="107"/>
        <v>#NUM!</v>
      </c>
      <c r="R115" s="59" t="e">
        <f t="shared" si="55"/>
        <v>#NUM!</v>
      </c>
      <c r="S115" s="59">
        <f ca="1">AVERAGE(OFFSET($R$3,0,0,'Données projet'!$E$9+1,1))-AVERAGE(OFFSET($H$3,0,0,'Données projet'!$E$9+1,1))</f>
        <v>255.5374979188561</v>
      </c>
      <c r="T115" s="59">
        <f t="shared" si="88"/>
        <v>343.10418468620901</v>
      </c>
      <c r="U115" s="15">
        <f>IF(ISNA(VLOOKUP(A115,'Données projet'!$A$35:$I$55,3,0)),0,VLOOKUP(A115,'Données projet'!$A$35:$I$55,3,0))</f>
        <v>0</v>
      </c>
      <c r="V115" s="15">
        <f>IF(ISNA(VLOOKUP(A115,'Données projet'!$A$35:$I$55,4,0)),0,VLOOKUP(A115,'Données projet'!$A$35:$I$55,4,0))</f>
        <v>0</v>
      </c>
      <c r="W115" s="16">
        <f>IF(ISNA(VLOOKUP(A115,'Données projet'!$A$35:$I$55,5,0)),0%,VLOOKUP(A115,'Données projet'!$A$35:$I$55,5,0)*VLOOKUP('Données projet'!$B$9,Paramètres!$A$1:$I$89,7,0))</f>
        <v>0</v>
      </c>
      <c r="X115" s="16">
        <f>IF(ISNA(VLOOKUP(A115,'Données projet'!$A$35:$I$55,6,0)),0%,VLOOKUP(A115,'Données projet'!$A$35:$I$55,6,0)*VLOOKUP('Données projet'!$B$9,Paramètres!$A$1:$I$89,7,0))</f>
        <v>0</v>
      </c>
      <c r="Y115" s="16">
        <f>IF(ISNA(VLOOKUP(A115,'Données projet'!$A$35:$I$55,7,0)),0%,VLOOKUP(A115,'Données projet'!$A$35:$I$55,7,0))</f>
        <v>0</v>
      </c>
      <c r="Z115" s="21">
        <f>EXP(-LN(2)/35)*Z114+(1-EXP(-LN(2)/35))/(LN(2)/35)*V115*W115*VLOOKUP('Données projet'!$B$9,Paramètres!$A$1:$I$89,3,0)*0.475*44/12</f>
        <v>0.60910749677917531</v>
      </c>
      <c r="AA115" s="21">
        <f>EXP(-LN(2)/25)*AA114+(1-EXP(-LN(2)/25))/(LN(2)/25)*Calculateur!V115*Calculateur!X115*VLOOKUP('Données projet'!$B$9,Paramètres!$A$1:$I$89,3,0)*0.475*44/12</f>
        <v>1.6430907566189401</v>
      </c>
      <c r="AB115" s="21">
        <f>EXP(-LN(2)/2)*AB114+(1-EXP(-LN(2)/2))/(LN(2)/2)*V115*Y115*VLOOKUP('Données projet'!$B$9,Paramètres!$A$1:$I$89,3,0)*0.475*44/12</f>
        <v>7.6972904910420131E-13</v>
      </c>
      <c r="AC115" s="22">
        <f t="shared" si="57"/>
        <v>2.2521982533988849</v>
      </c>
      <c r="AD115" s="13">
        <f>('Scénario référence'!$F$8+'Scénario référence'!$F$9+'Scénario référence'!$B$17+'Scénario référence'!$B$9+'Scénario référence'!$B$10)*70+IF((45+25*(1-EXP(-0.0175*A115)))&lt;70,'Scénario référence'!$B$16*(45+25*(1-EXP(-0.0175*A115))),70*'Scénario référence'!$B$16)+IF((32+38*(1-EXP(-0.0175*A115)))&lt;70,'Scénario référence'!$B$18*(32+38*(1-EXP(-0.0175*A115))),70*'Scénario référence'!$B$18)</f>
        <v>70</v>
      </c>
      <c r="AE115" s="13">
        <f>IF(A115&gt;30,10,('Scénario référence'!$B$16+'Scénario référence'!$B$17+'Scénario référence'!$B$18+'Scénario référence'!$B$9+'Scénario référence'!$B$10)*A115*10/30+('Scénario référence'!$F$8+'Scénario référence'!$F$9)*10)</f>
        <v>10</v>
      </c>
      <c r="AF115" s="12" t="e">
        <f>VLOOKUP(A115,'Données projet'!$A$61:$I$81,2,0)</f>
        <v>#N/A</v>
      </c>
      <c r="AG115" s="12" t="e">
        <f>VLOOKUP(A115,'Données projet'!$A$61:$I$81,9,0)</f>
        <v>#N/A</v>
      </c>
      <c r="AH115" s="12">
        <f t="array" ref="AH115">INDEX(AG:AG,MIN(IF(ISNUMBER(AG115:AG311),ROW(AG115:AG311),"")))</f>
        <v>0</v>
      </c>
      <c r="AI115" s="13">
        <f>IF('Données projet'!$A$62&gt;35,AI114+AH115-AQ114,IF(A115&lt;'Données projet'!$A$62,$AF$205^A115,IF(A115='Données projet'!$A$62,'Données projet'!$B$62,AI114+AH115-AQ114)))</f>
        <v>0</v>
      </c>
      <c r="AJ115" s="13">
        <f>AI115*VLOOKUP('Données projet'!$B$10,Paramètres!$A$1:$I$89,3,0)*VLOOKUP('Données projet'!$B$10,Paramètres!$A$1:$I$89,5,0)</f>
        <v>0</v>
      </c>
      <c r="AK115" s="13" t="e">
        <f t="shared" si="89"/>
        <v>#NUM!</v>
      </c>
      <c r="AL115" s="20" t="e">
        <f t="shared" si="58"/>
        <v>#NUM!</v>
      </c>
      <c r="AM115" s="59" t="e">
        <f t="shared" si="59"/>
        <v>#NUM!</v>
      </c>
      <c r="AN115" s="59">
        <f ca="1">AVERAGE(OFFSET($AM$3,0,0,'Données projet'!$E$10+1,1))-AVERAGE(OFFSET($H$3,0,0,'Données projet'!$E$10+1,1))</f>
        <v>261.78489480911571</v>
      </c>
      <c r="AO115" s="59">
        <f t="shared" si="90"/>
        <v>297.50513563712764</v>
      </c>
      <c r="AP115" s="15">
        <f>IF(ISNA(VLOOKUP(A115,'Données projet'!$A$61:$I$81,3,0)),0,VLOOKUP(A115,'Données projet'!$A$61:$I$81,3,0))</f>
        <v>0</v>
      </c>
      <c r="AQ115" s="15">
        <f>IF(ISNA(VLOOKUP(A115,'Données projet'!$A$61:$I$81,4,0)),0,VLOOKUP(A115,'Données projet'!$A$61:$I$81,4,0))</f>
        <v>0</v>
      </c>
      <c r="AR115" s="16">
        <f>IF(ISNA(VLOOKUP(A115,'Données projet'!$A$61:$I$81,5,0)),0%,VLOOKUP(A115,'Données projet'!$A$61:$I$81,5,0)*VLOOKUP('Données projet'!$B$10,Paramètres!$A$1:$I$89,7,0))</f>
        <v>0</v>
      </c>
      <c r="AS115" s="16">
        <f>IF(ISNA(VLOOKUP(A115,'Données projet'!$A$61:$I$81,6,0)),0%,VLOOKUP(A115,'Données projet'!$A$61:$I$81,6,0)*VLOOKUP('Données projet'!$B$10,Paramètres!$A$1:$I$89,7,0))</f>
        <v>0</v>
      </c>
      <c r="AT115" s="16">
        <f>IF(ISNA(VLOOKUP(A115,'Données projet'!$A$61:$I$81,7,0)),0%,VLOOKUP(A115,'Données projet'!$A$61:$I$81,7,0))</f>
        <v>0</v>
      </c>
      <c r="AU115" s="21">
        <f>EXP(-LN(2)/35)*AU114+(1-EXP(-LN(2)/35))/(LN(2)/35)*AQ115*AR115*VLOOKUP('Données projet'!$B$10,Paramètres!$A$1:$I$89,3,0)*0.475*44/12</f>
        <v>1.6447625265328931</v>
      </c>
      <c r="AV115" s="21">
        <f>EXP(-LN(2)/25)*AV114+(1-EXP(-LN(2)/25))/(LN(2)/25)*Calculateur!AQ115*Calculateur!AS115*VLOOKUP('Données projet'!$B$10,Paramètres!$A$1:$I$89,3,0)*0.475*44/12</f>
        <v>2.8691715872844772</v>
      </c>
      <c r="AW115" s="21">
        <f>EXP(-LN(2)/2)*AW114+(1-EXP(-LN(2)/2))/(LN(2)/2)*AQ115*AT115*VLOOKUP('Données projet'!$B$10,Paramètres!$A$1:$I$89,3,0)*0.475*44/12</f>
        <v>1.1096377027984945E-11</v>
      </c>
      <c r="AX115" s="21">
        <f t="shared" si="60"/>
        <v>4.5139341138284665</v>
      </c>
      <c r="AY115" s="74">
        <f>('Scénario référence'!$F$8+'Scénario référence'!$F$9+'Scénario référence'!$B$17+'Scénario référence'!$B$9+'Scénario référence'!$B$10)*70+IF((45+25*(1-EXP(-0.0175*A115)))&lt;70,'Scénario référence'!$B$16*(45+25*(1-EXP(-0.0175*A115))),70*'Scénario référence'!$B$16)+IF((32+38*(1-EXP(-0.0175*A115)))&lt;70,'Scénario référence'!$B$18*(32+38*(1-EXP(-0.0175*A115))),70*'Scénario référence'!$B$18)</f>
        <v>70</v>
      </c>
      <c r="AZ115" s="12">
        <f>IF(A115&gt;30,10,('Scénario référence'!$B$16+'Scénario référence'!$B$17+'Scénario référence'!$B$18+'Scénario référence'!$B$9+'Scénario référence'!$B$10)*A115*10/30+('Scénario référence'!$F$8+'Scénario référence'!$F$9)*10)</f>
        <v>10</v>
      </c>
      <c r="BA115" s="12" t="e">
        <f>VLOOKUP(A115,'Données projet'!$A$87:$I$107,2,0)</f>
        <v>#N/A</v>
      </c>
      <c r="BB115" s="12" t="e">
        <f>VLOOKUP(A115,'Données projet'!$A$87:$I$107,9,0)</f>
        <v>#N/A</v>
      </c>
      <c r="BC115" s="12">
        <f t="array" ref="BC115">INDEX(BB:BB,MIN(IF(ISNUMBER(BB115:BB311),ROW(BB115:BB311),"")))</f>
        <v>0</v>
      </c>
      <c r="BD115" s="12">
        <f>IF('Données projet'!$A$88&gt;35,BD114+BC115-BL114,IF(A115&lt;'Données projet'!$A$88,$BA$205^A115,IF(A115='Données projet'!$A$88,'Données projet'!$B$88,BD114+BC115-BL114)))</f>
        <v>553.99999999999955</v>
      </c>
      <c r="BE115" s="13">
        <f>BD115*VLOOKUP('Données projet'!$B$11,Paramètres!$A$1:$I$89,3,0)*VLOOKUP('Données projet'!$B$11,Paramètres!$A$1:$I$89,5,0)</f>
        <v>331.29199999999975</v>
      </c>
      <c r="BF115" s="13">
        <f t="shared" si="91"/>
        <v>77.698110787752</v>
      </c>
      <c r="BG115" s="20">
        <f t="shared" si="61"/>
        <v>712.32444295533423</v>
      </c>
      <c r="BH115" s="59">
        <f t="shared" si="62"/>
        <v>1005.6577762886675</v>
      </c>
      <c r="BI115" s="59">
        <f ca="1">AVERAGE(OFFSET($BH$3,0,0,'Données projet'!$E$11+1,1))-AVERAGE(OFFSET($H$3,0,0,'Données projet'!$E$11+1,1))</f>
        <v>316.58509520829671</v>
      </c>
      <c r="BJ115" s="59">
        <f t="shared" si="92"/>
        <v>240.71332110643596</v>
      </c>
      <c r="BK115" s="15">
        <f>IF(ISNA(VLOOKUP(A115,'Données projet'!$A$87:$I$107,3,0)),0,VLOOKUP(A115,'Données projet'!$A$87:$I$107,3,0))</f>
        <v>0</v>
      </c>
      <c r="BL115" s="15">
        <f>IF(ISNA(VLOOKUP(A115,'Données projet'!$A$87:$I$107,4,0)),0,VLOOKUP(A115,'Données projet'!$A$87:$I$107,4,0))</f>
        <v>0</v>
      </c>
      <c r="BM115" s="16">
        <f>IF(ISNA(VLOOKUP(A115,'Données projet'!$A$87:$I$107,5,0)),0%,VLOOKUP(A115,'Données projet'!$A$87:$I$107,5,0)*VLOOKUP('Données projet'!$B$11,Paramètres!$A$1:$I$89,7,0))</f>
        <v>0</v>
      </c>
      <c r="BN115" s="16">
        <f>IF(ISNA(VLOOKUP(A115,'Données projet'!$A$87:$I$107,6,0)),0%,VLOOKUP(A115,'Données projet'!$A$87:$I$107,6,0)*VLOOKUP('Données projet'!$B$11,Paramètres!$A$1:$I$89,7,0))</f>
        <v>0</v>
      </c>
      <c r="BO115" s="16">
        <f>IF(ISNA(VLOOKUP(A115,'Données projet'!$A$87:$I$107,7,0)),0%,VLOOKUP(A115,'Données projet'!$A$87:$I$107,7,0))</f>
        <v>0</v>
      </c>
      <c r="BP115" s="21">
        <f>EXP(-LN(2)/35)*BP114+(1-EXP(-LN(2)/35))/(LN(2)/35)*BL115*BM115*VLOOKUP('Données projet'!$B$11,Paramètres!$A$1:$I$89,3,0)*0.475*44/12</f>
        <v>0.49960885525078402</v>
      </c>
      <c r="BQ115" s="21">
        <f>EXP(-LN(2)/25)*BQ114+(1-EXP(-LN(2)/25))/(LN(2)/25)*Calculateur!BL115*Calculateur!BN115*VLOOKUP('Données projet'!$B$11,Paramètres!$A$1:$I$89,3,0)*0.475*44/12</f>
        <v>1.5718159124227558</v>
      </c>
      <c r="BR115" s="21">
        <f>EXP(-LN(2)/2)*BR114+(1-EXP(-LN(2)/2))/(LN(2)/2)*BL115*BO115*VLOOKUP('Données projet'!$B$11,Paramètres!$A$1:$I$89,3,0)*0.475*44/12</f>
        <v>9.9768581413358919E-12</v>
      </c>
      <c r="BS115" s="22">
        <f t="shared" si="63"/>
        <v>2.0714247676835167</v>
      </c>
      <c r="BT115" s="75">
        <f>('Scénario référence'!$F$8+'Scénario référence'!$F$9+'Scénario référence'!$B$17+'Scénario référence'!$B$9+'Scénario référence'!$B$10)*70+IF((45+25*(1-EXP(-0.0175*A115)))&lt;70,'Scénario référence'!$B$16*(45+25*(1-EXP(-0.0175*A115))),70*'Scénario référence'!$B$16)+IF((32+38*(1-EXP(-0.0175*A115)))&lt;70,'Scénario référence'!$B$18*(32+38*(1-EXP(-0.0175*A115))),70*'Scénario référence'!$B$18)</f>
        <v>70</v>
      </c>
      <c r="BU115" s="12">
        <f>IF(A115&gt;30,10,('Scénario référence'!$B$16+'Scénario référence'!$B$17+'Scénario référence'!$B$18+'Scénario référence'!$B$9+'Scénario référence'!$B$10)*A115*10/30+('Scénario référence'!$F$8+'Scénario référence'!$F$9)*10)</f>
        <v>10</v>
      </c>
      <c r="BV115" s="12" t="e">
        <f>VLOOKUP(A115,'Données projet'!$A$113:$I$133,2,0)</f>
        <v>#N/A</v>
      </c>
      <c r="BW115" s="12" t="e">
        <f>VLOOKUP(A115,'Données projet'!$A$113:$I$133,9,0)</f>
        <v>#N/A</v>
      </c>
      <c r="BX115" s="12">
        <f t="array" ref="BX115">INDEX(BW:BW,MIN(IF(ISNUMBER(BW115:BW311),ROW(BW115:BW311),"")))</f>
        <v>0</v>
      </c>
      <c r="BY115" s="12">
        <f>IF('Données projet'!$A$114&gt;35,BY114+BX115-CG114,IF(A115&lt;'Données projet'!$A$114,$BV$205^A115,IF(A115='Données projet'!$A$114,'Données projet'!$B$114,BY114+BX115-CG114)))</f>
        <v>333.99999999999977</v>
      </c>
      <c r="BZ115" s="13">
        <f>BY115*VLOOKUP('Données projet'!$B$12,Paramètres!$A$1:$I$89,3,0)*VLOOKUP('Données projet'!$B$12,Paramètres!$A$1:$I$89,5,0)</f>
        <v>191.04799999999986</v>
      </c>
      <c r="CA115" s="13">
        <f t="shared" si="93"/>
        <v>47.771576544305155</v>
      </c>
      <c r="CB115" s="20">
        <f t="shared" si="64"/>
        <v>415.94409581466454</v>
      </c>
      <c r="CC115" s="59">
        <f t="shared" si="65"/>
        <v>709.27742914799785</v>
      </c>
      <c r="CD115" s="59">
        <f ca="1">AVERAGE(OFFSET($CC$3,0,0,'Données projet'!$E$12+1,1))-AVERAGE(OFFSET($H$3,0,0,'Données projet'!$E$12+1,1))</f>
        <v>188.64374818906128</v>
      </c>
      <c r="CE115" s="59">
        <f t="shared" si="94"/>
        <v>211.95157880548652</v>
      </c>
      <c r="CF115" s="15">
        <f>IF(ISNA(VLOOKUP(A115,'Données projet'!$A$113:$I$133,3,0)),0,VLOOKUP(A115,'Données projet'!$A$113:$I$133,3,0))</f>
        <v>0</v>
      </c>
      <c r="CG115" s="15">
        <f>IF(ISNA(VLOOKUP(A115,'Données projet'!$A$113:$I$133,4,0)),0,VLOOKUP(A115,'Données projet'!$A$113:$I$133,4,0))</f>
        <v>0</v>
      </c>
      <c r="CH115" s="16">
        <f>IF(ISNA(VLOOKUP(A115,'Données projet'!$A$113:$I$133,5,0)),0%,VLOOKUP(A115,'Données projet'!$A$113:$I$133,5,0)*VLOOKUP('Données projet'!$B$12,Paramètres!$A$1:$I$89,7,0))</f>
        <v>0</v>
      </c>
      <c r="CI115" s="16">
        <f>IF(ISNA(VLOOKUP(A115,'Données projet'!$A$113:$I$133,6,0)),0%,VLOOKUP(A115,'Données projet'!$A$113:$I$133,6,0)*VLOOKUP('Données projet'!$B$12,Paramètres!$A$1:$I$89,7,0))</f>
        <v>0</v>
      </c>
      <c r="CJ115" s="16">
        <f>IF(ISNA(VLOOKUP(A115,'Données projet'!$A$113:$I$133,7,0)),0%,VLOOKUP(A115,'Données projet'!$A$113:$I$133,7,0))</f>
        <v>0</v>
      </c>
      <c r="CK115" s="21">
        <f>EXP(-LN(2)/35)*CK114+(1-EXP(-LN(2)/35))/(LN(2)/35)*CG115*CH115*VLOOKUP('Données projet'!$B$12,Paramètres!$A$1:$I$89,3,0)*0.475*44/12</f>
        <v>0.48461753013915576</v>
      </c>
      <c r="CL115" s="21">
        <f>EXP(-LN(2)/25)*CL114+(1-EXP(-LN(2)/25))/(LN(2)/25)*Calculateur!CG115*Calculateur!CI115*VLOOKUP('Données projet'!$B$12,Paramètres!$A$1:$I$89,3,0)*0.475*44/12</f>
        <v>1.4794287254552345</v>
      </c>
      <c r="CM115" s="21">
        <f>EXP(-LN(2)/2)*CM114+(1-EXP(-LN(2)/2))/(LN(2)/2)*CG115*CJ115*VLOOKUP('Données projet'!$B$12,Paramètres!$A$1:$I$89,3,0)*0.475*44/12</f>
        <v>9.6618065089097655E-12</v>
      </c>
      <c r="CN115" s="22">
        <f t="shared" si="66"/>
        <v>1.9640462556040521</v>
      </c>
      <c r="CO115" s="75">
        <f>('Scénario référence'!$F$8+'Scénario référence'!$F$9+'Scénario référence'!$B$17+'Scénario référence'!$B$9+'Scénario référence'!$B$10)*70+IF((45+25*(1-EXP(-0.0175*A115)))&lt;70,'Scénario référence'!$B$16*(45+25*(1-EXP(-0.0175*A115))),70*'Scénario référence'!$B$16)+IF((32+38*(1-EXP(-0.0175*A115)))&lt;70,'Scénario référence'!$B$18*(32+38*(1-EXP(-0.0175*A115))),70*'Scénario référence'!$B$18)</f>
        <v>70</v>
      </c>
      <c r="CP115" s="12">
        <f>IF(A115&gt;30,10,('Scénario référence'!$B$16+'Scénario référence'!$B$17+'Scénario référence'!$B$18+'Scénario référence'!$B$9+'Scénario référence'!$B$10)*A115*10/30+('Scénario référence'!$F$8+'Scénario référence'!$F$9)*10)</f>
        <v>10</v>
      </c>
      <c r="CQ115" s="12" t="e">
        <f>VLOOKUP(A115,'Données projet'!$A$139:$I$159,2,0)</f>
        <v>#N/A</v>
      </c>
      <c r="CR115" s="12" t="e">
        <f>VLOOKUP(A115,'Données projet'!$A$139:$I$159,9,0)</f>
        <v>#N/A</v>
      </c>
      <c r="CS115" s="12">
        <f t="array" ref="CS115">INDEX(CR:CR,MIN(IF(ISNUMBER(CR115:CR311),ROW(CR115:CR311),"")))</f>
        <v>0</v>
      </c>
      <c r="CT115" s="12">
        <f>IF('Données projet'!$A$140&gt;35,CT114+CS115-DB114,IF(A115&lt;'Données projet'!$A$140,$CQ$205^A115,IF(A115='Données projet'!$A$140,'Données projet'!$B$140,CT114+CS115-DB114)))</f>
        <v>0</v>
      </c>
      <c r="CU115" s="17" t="e">
        <f>CT115*VLOOKUP('Données projet'!$B$13,Paramètres!$A$1:$I$89,3,0)*VLOOKUP('Données projet'!$B$13,Paramètres!$A$1:$I$89,5,0)</f>
        <v>#N/A</v>
      </c>
      <c r="CV115" s="13" t="e">
        <f t="shared" si="95"/>
        <v>#N/A</v>
      </c>
      <c r="CW115" s="20" t="e">
        <f t="shared" si="67"/>
        <v>#N/A</v>
      </c>
      <c r="CX115" s="59" t="e">
        <f t="shared" si="68"/>
        <v>#N/A</v>
      </c>
      <c r="CY115" s="59" t="e">
        <f ca="1">AVERAGE(OFFSET($CX$3,0,0,'Données projet'!$E$13+1,1))-AVERAGE(OFFSET($H$3,0,0,'Données projet'!$E$13+1,1))</f>
        <v>#N/A</v>
      </c>
      <c r="CZ115" s="59" t="e">
        <f t="shared" si="96"/>
        <v>#N/A</v>
      </c>
      <c r="DA115" s="15">
        <f>IF(ISNA(VLOOKUP(A115,'Données projet'!$A$139:$I$159,3,0)),0,VLOOKUP(A115,'Données projet'!$A$139:$I$159,3,0))</f>
        <v>0</v>
      </c>
      <c r="DB115" s="15">
        <f>IF(ISNA(VLOOKUP(A115,'Données projet'!$A$139:$I$159,4,0)),0,VLOOKUP(A115,'Données projet'!$A$139:$I$159,4,0))</f>
        <v>0</v>
      </c>
      <c r="DC115" s="16">
        <f>IF(ISNA(VLOOKUP(A115,'Données projet'!$A$139:$I$159,5,0)),0%,VLOOKUP(A115,'Données projet'!$A$139:$I$159,5,0)*VLOOKUP('Données projet'!$B$13,Paramètres!$A$1:$I$89,7,0))</f>
        <v>0</v>
      </c>
      <c r="DD115" s="16">
        <f>IF(ISNA(VLOOKUP(A115,'Données projet'!$A$139:$I$159,6,0)),0%,VLOOKUP(A115,'Données projet'!$A$139:$I$159,6,0)*VLOOKUP('Données projet'!$B$13,Paramètres!$A$1:$I$89,7,0))</f>
        <v>0</v>
      </c>
      <c r="DE115" s="16">
        <f>IF(ISNA(VLOOKUP(A115,'Données projet'!$A$139:$I$159,7,0)),0%,VLOOKUP(A115,'Données projet'!$A$139:$I$159,7,0))</f>
        <v>0</v>
      </c>
      <c r="DF115" s="21" t="e">
        <f>EXP(-LN(2)/35)*DF114+(1-EXP(-LN(2)/35))/(LN(2)/35)*DB115*DC115*VLOOKUP('Données projet'!$B$13,Paramètres!$A$1:$I$89,3,0)*0.475*44/12</f>
        <v>#N/A</v>
      </c>
      <c r="DG115" s="21" t="e">
        <f>EXP(-LN(2)/25)*DG114+(1-EXP(-LN(2)/25))/(LN(2)/25)*Calculateur!DB115*Calculateur!DD115*VLOOKUP('Données projet'!$B$13,Paramètres!$A$1:$I$89,3,0)*0.475*44/12</f>
        <v>#N/A</v>
      </c>
      <c r="DH115" s="21" t="e">
        <f>EXP(-LN(2)/2)*DH114+(1-EXP(-LN(2)/2))/(LN(2)/2)*DB115*DE115*VLOOKUP('Données projet'!$B$13,Paramètres!$A$1:$I$89,3,0)*0.475*44/12</f>
        <v>#N/A</v>
      </c>
      <c r="DI115" s="22" t="e">
        <f t="shared" si="69"/>
        <v>#N/A</v>
      </c>
      <c r="DJ115" s="75">
        <f>('Scénario référence'!$F$8+'Scénario référence'!$F$9+'Scénario référence'!$B$17+'Scénario référence'!$B$9+'Scénario référence'!$B$10)*70+IF((45+25*(1-EXP(-0.0175*A115)))&lt;70,'Scénario référence'!$B$16*(45+25*(1-EXP(-0.0175*A115))),70*'Scénario référence'!$B$16)+IF((32+38*(1-EXP(-0.0175*A115)))&lt;70,'Scénario référence'!$B$18*(32+38*(1-EXP(-0.0175*A115))),70*'Scénario référence'!$B$18)</f>
        <v>70</v>
      </c>
      <c r="DK115" s="12">
        <f>IF(A115&gt;30,10,('Scénario référence'!$B$16+'Scénario référence'!$B$17+'Scénario référence'!$B$18+'Scénario référence'!$B$9+'Scénario référence'!$B$10)*A115*10/30+('Scénario référence'!$F$8+'Scénario référence'!$F$9)*10)</f>
        <v>10</v>
      </c>
      <c r="DL115" s="12" t="e">
        <f>VLOOKUP(A115,'Données projet'!$A$165:$I$185,2,0)</f>
        <v>#N/A</v>
      </c>
      <c r="DM115" s="12" t="e">
        <f>VLOOKUP(A115,'Données projet'!$A$165:$I$185,9,0)</f>
        <v>#N/A</v>
      </c>
      <c r="DN115" s="12">
        <f t="array" ref="DN115">INDEX(DM:DM,MIN(IF(ISNUMBER(DM115:DM311),ROW(DM115:DM311),"")))</f>
        <v>0</v>
      </c>
      <c r="DO115" s="12">
        <f>IF('Données projet'!$A$166&gt;35,DO114+DN115-DW114,IF(A115&lt;'Données projet'!$A$166,$DL$205^A115,IF(A115='Données projet'!$A$166,'Données projet'!$B$166,DO114+DN115-DW114)))</f>
        <v>268.00000000000017</v>
      </c>
      <c r="DP115" s="17">
        <f>DO115*VLOOKUP('Données projet'!$B$14,Paramètres!$A$1:$I$89,3,0)*VLOOKUP('Données projet'!$B$14,Paramètres!$A$1:$I$89,5,0)</f>
        <v>175.59360000000012</v>
      </c>
      <c r="DQ115" s="13">
        <f t="shared" si="97"/>
        <v>44.340433728638573</v>
      </c>
      <c r="DR115" s="20">
        <f t="shared" si="70"/>
        <v>383.05177541071242</v>
      </c>
      <c r="DS115" s="59">
        <f t="shared" si="71"/>
        <v>676.38510874404574</v>
      </c>
      <c r="DT115" s="59">
        <f ca="1">AVERAGE(OFFSET($DS$3,0,0,'Données projet'!$E$14+1,1))-AVERAGE(OFFSET($H$3,0,0,'Données projet'!$E$14+1,1))</f>
        <v>188.68915783955595</v>
      </c>
      <c r="DU115" s="59">
        <f t="shared" si="98"/>
        <v>240.82467772396944</v>
      </c>
      <c r="DV115" s="15">
        <f>IF(ISNA(VLOOKUP(A115,'Données projet'!$A$165:$I$185,3,0)),0,VLOOKUP(A115,'Données projet'!$A$165:$I$185,3,0))</f>
        <v>0</v>
      </c>
      <c r="DW115" s="15">
        <f>IF(ISNA(VLOOKUP(A115,'Données projet'!$A$165:$I$185,4,0)),0,VLOOKUP(A115,'Données projet'!$A$165:$I$185,4,0))</f>
        <v>0</v>
      </c>
      <c r="DX115" s="16">
        <f>IF(ISNA(VLOOKUP(A115,'Données projet'!$A$165:$I$185,5,0)),0%,VLOOKUP(A115,'Données projet'!$A$165:$I$185,5,0)*VLOOKUP('Données projet'!$B$14,Paramètres!$A$1:$I$89,7,0))</f>
        <v>0</v>
      </c>
      <c r="DY115" s="16">
        <f>IF(ISNA(VLOOKUP(A115,'Données projet'!$A$165:$I$185,6,0)),0%,VLOOKUP(A115,'Données projet'!$A$165:$I$185,6,0)*VLOOKUP('Données projet'!$B$14,Paramètres!$A$1:$I$89,7,0))</f>
        <v>0</v>
      </c>
      <c r="DZ115" s="16">
        <f>IF(ISNA(VLOOKUP(A115,'Données projet'!$A$165:$I$185,7,0)),0%,VLOOKUP(A115,'Données projet'!$A$165:$I$185,7,0))</f>
        <v>0</v>
      </c>
      <c r="EA115" s="21">
        <f>EXP(-LN(2)/35)*EA114+(1-EXP(-LN(2)/35))/(LN(2)/35)*DW115*DX115*VLOOKUP('Données projet'!$B$14,Paramètres!$A$1:$I$89,3,0)*0.475*44/12</f>
        <v>0.30696522847619068</v>
      </c>
      <c r="EB115" s="21">
        <f>EXP(-LN(2)/25)*EB114+(1-EXP(-LN(2)/25))/(LN(2)/25)*Calculateur!DW115*Calculateur!DY115*VLOOKUP('Données projet'!$B$14,Paramètres!$A$1:$I$89,3,0)*0.475*44/12</f>
        <v>0.82750608510843215</v>
      </c>
      <c r="EC115" s="21">
        <f>EXP(-LN(2)/2)*EC114+(1-EXP(-LN(2)/2))/(LN(2)/2)*DW115*DZ115*VLOOKUP('Données projet'!$B$14,Paramètres!$A$1:$I$89,3,0)*0.475*44/12</f>
        <v>6.3648294536538229E-12</v>
      </c>
      <c r="ED115" s="22">
        <f t="shared" si="72"/>
        <v>1.1344713135909876</v>
      </c>
      <c r="EE115" s="75">
        <f>('Scénario référence'!$F$8+'Scénario référence'!$F$9+'Scénario référence'!$B$17+'Scénario référence'!$B$9+'Scénario référence'!$B$10)*70+IF((45+25*(1-EXP(-0.0175*A115)))&lt;70,'Scénario référence'!$B$16*(45+25*(1-EXP(-0.0175*A115))),70*'Scénario référence'!$B$16)+IF((32+38*(1-EXP(-0.0175*A115)))&lt;70,'Scénario référence'!$B$18*(32+38*(1-EXP(-0.0175*A115))),70*'Scénario référence'!$B$18)</f>
        <v>70</v>
      </c>
      <c r="EF115" s="12">
        <f>IF(A115&gt;30,10,('Scénario référence'!$B$16+'Scénario référence'!$B$17+'Scénario référence'!$B$18+'Scénario référence'!$B$9+'Scénario référence'!$B$10)*A115*10/30+('Scénario référence'!$F$8+'Scénario référence'!$F$9)*10)</f>
        <v>10</v>
      </c>
      <c r="EG115" s="12" t="e">
        <f>VLOOKUP(A115,'Données projet'!$A$191:$I$211,2,0)</f>
        <v>#N/A</v>
      </c>
      <c r="EH115" s="12" t="e">
        <f>VLOOKUP(A115,'Données projet'!$A$191:$I$211,9,0)</f>
        <v>#N/A</v>
      </c>
      <c r="EI115" s="12">
        <f t="array" ref="EI115">INDEX(EH:EH,MIN(IF(ISNUMBER(EH115:EH311),ROW(EH115:EH311),"")))</f>
        <v>0</v>
      </c>
      <c r="EJ115" s="12">
        <f>IF('Données projet'!$A$192&gt;35,EJ114+EI115-ER114,IF(A115&lt;'Données projet'!$A$192,$EG$205^A115,IF(A115='Données projet'!$A$192,'Données projet'!$B$192,EJ114+EI115-ER114)))</f>
        <v>275.99999999999972</v>
      </c>
      <c r="EK115" s="17">
        <f>EJ115*VLOOKUP('Données projet'!$B$15,Paramètres!$A$1:$I$89,3,0)*VLOOKUP('Données projet'!$B$15,Paramètres!$A$1:$I$89,5,0)</f>
        <v>223.8911999999998</v>
      </c>
      <c r="EL115" s="13">
        <f t="shared" si="99"/>
        <v>54.95975389514858</v>
      </c>
      <c r="EM115" s="20">
        <f t="shared" si="73"/>
        <v>485.66541136738346</v>
      </c>
      <c r="EN115" s="59">
        <f t="shared" si="74"/>
        <v>778.99874470071677</v>
      </c>
      <c r="EO115" s="59">
        <f ca="1">AVERAGE(OFFSET($EN$3,0,0,'Données projet'!$E$15+1,1))-AVERAGE(OFFSET($H$3,0,0,'Données projet'!$E$15+1,1))</f>
        <v>205.5272583787887</v>
      </c>
      <c r="EP115" s="59">
        <f t="shared" si="100"/>
        <v>180.54762778843178</v>
      </c>
      <c r="EQ115" s="15">
        <f>IF(ISNA(VLOOKUP(A115,'Données projet'!$A$191:$I$211,3,0)),0,VLOOKUP(A115,'Données projet'!$A$191:$I$211,3,0))</f>
        <v>0</v>
      </c>
      <c r="ER115" s="15">
        <f>IF(ISNA(VLOOKUP(A115,'Données projet'!$A$191:$I$211,4,0)),0,VLOOKUP(A115,'Données projet'!$A$191:$I$211,4,0))</f>
        <v>0</v>
      </c>
      <c r="ES115" s="16">
        <f>IF(ISNA(VLOOKUP(A115,'Données projet'!$A$191:$I$211,5,0)),0%,VLOOKUP(A115,'Données projet'!$A$191:$I$211,5,0)*VLOOKUP('Données projet'!$B$15,Paramètres!$A$1:$I$89,7,0))</f>
        <v>0</v>
      </c>
      <c r="ET115" s="16">
        <f>IF(ISNA(VLOOKUP(A115,'Données projet'!$A$191:$I$211,6,0)),0%,VLOOKUP(A115,'Données projet'!$A$191:$I$211,6,0)*VLOOKUP('Données projet'!$B$15,Paramètres!$A$1:$I$89,7,0))</f>
        <v>0</v>
      </c>
      <c r="EU115" s="16">
        <f>IF(ISNA(VLOOKUP(A115,'Données projet'!$A$191:$I$211,7,0)),0%,VLOOKUP(A115,'Données projet'!$A$191:$I$211,7,0))</f>
        <v>0</v>
      </c>
      <c r="EV115" s="21">
        <f>EXP(-LN(2)/35)*EV114+(1-EXP(-LN(2)/35))/(LN(2)/35)*ER115*ES115*VLOOKUP('Données projet'!$B$15,Paramètres!$A$1:$I$89,3,0)*0.475*44/12</f>
        <v>0.19762713757133801</v>
      </c>
      <c r="EW115" s="21">
        <f>EXP(-LN(2)/25)*EW114+(1-EXP(-LN(2)/25))/(LN(2)/25)*Calculateur!ER115*Calculateur!ET115*VLOOKUP('Données projet'!$B$15,Paramètres!$A$1:$I$89,3,0)*0.475*44/12</f>
        <v>0.59748449664382364</v>
      </c>
      <c r="EX115" s="21">
        <f>EXP(-LN(2)/2)*EX114+(1-EXP(-LN(2)/2))/(LN(2)/2)*ER115*EU115*VLOOKUP('Données projet'!$B$15,Paramètres!$A$1:$I$89,3,0)*0.475*44/12</f>
        <v>4.1212317775625446E-12</v>
      </c>
      <c r="EY115" s="22">
        <f t="shared" si="75"/>
        <v>0.79511163421928288</v>
      </c>
      <c r="EZ115" s="75">
        <f>('Scénario référence'!$F$8+'Scénario référence'!$F$9+'Scénario référence'!$B$17+'Scénario référence'!$B$9+'Scénario référence'!$B$10)*70+IF((45+25*(1-EXP(-0.0175*A115)))&lt;70,'Scénario référence'!$B$16*(45+25*(1-EXP(-0.0175*A115))),70*'Scénario référence'!$B$16)+IF((32+38*(1-EXP(-0.0175*A115)))&lt;70,'Scénario référence'!$B$18*(32+38*(1-EXP(-0.0175*A115))),70*'Scénario référence'!$B$18)</f>
        <v>70</v>
      </c>
      <c r="FA115" s="12">
        <f>IF(A115&gt;30,10,('Scénario référence'!$B$16+'Scénario référence'!$B$17+'Scénario référence'!$B$18+'Scénario référence'!$B$9+'Scénario référence'!$B$10)*A115*10/30+('Scénario référence'!$F$8+'Scénario référence'!$F$9)*10)</f>
        <v>10</v>
      </c>
      <c r="FB115" s="12" t="e">
        <f>VLOOKUP(A115,'Données projet'!$A$217:$I$237,2,0)</f>
        <v>#N/A</v>
      </c>
      <c r="FC115" s="12" t="e">
        <f>VLOOKUP(A115,'Données projet'!$A$217:$I$237,9,0)</f>
        <v>#N/A</v>
      </c>
      <c r="FD115" s="12">
        <f t="array" ref="FD115">INDEX(FC:FC,MIN(IF(ISNUMBER(FC115:FC311),ROW(FC115:FC311),"")))</f>
        <v>7.4</v>
      </c>
      <c r="FE115" s="12">
        <f>IF('Données projet'!$A$218&gt;35,FE114+FD115-FM114,IF(A115&lt;'Données projet'!$A$218,$FB$205^A115,IF(A115='Données projet'!$A$218,'Données projet'!$B$218,FE114+FD115-FM114)))</f>
        <v>392.8</v>
      </c>
      <c r="FF115" s="17">
        <f>FE115*VLOOKUP('Données projet'!$B$16,Paramètres!$A$1:$I$89,3,0)*VLOOKUP('Données projet'!$B$16,Paramètres!$A$1:$I$89,5,0)</f>
        <v>337.02240000000006</v>
      </c>
      <c r="FG115" s="13">
        <f t="shared" si="101"/>
        <v>78.884440823098231</v>
      </c>
      <c r="FH115" s="20">
        <f t="shared" si="76"/>
        <v>724.37108110022939</v>
      </c>
      <c r="FI115" s="59">
        <f t="shared" si="77"/>
        <v>1017.7044144335628</v>
      </c>
      <c r="FJ115" s="59">
        <f ca="1">AVERAGE(OFFSET($FI$3,0,0,'Données projet'!$E$16+1,1))-AVERAGE(OFFSET($H$3,0,0,'Données projet'!$E$16+1,1))</f>
        <v>383.97627237444709</v>
      </c>
      <c r="FK115" s="59">
        <f t="shared" si="102"/>
        <v>203.35476578922339</v>
      </c>
      <c r="FL115" s="15">
        <f>IF(ISNA(VLOOKUP(A115,'Données projet'!$A$217:$I$237,3,0)),0,VLOOKUP(A115,'Données projet'!$A$217:$I$237,3,0))</f>
        <v>0</v>
      </c>
      <c r="FM115" s="15">
        <f>IF(ISNA(VLOOKUP(A115,'Données projet'!$A$217:$I$237,4,0)),0,VLOOKUP(A115,'Données projet'!$A$217:$I$237,4,0))</f>
        <v>0</v>
      </c>
      <c r="FN115" s="16">
        <f>IF(ISNA(VLOOKUP(A115,'Données projet'!$A$217:$I$237,5,0)),0%,VLOOKUP(A115,'Données projet'!$A$217:$I$237,5,0)*VLOOKUP('Données projet'!$B$16,Paramètres!$A$1:$I$89,7,0))</f>
        <v>0</v>
      </c>
      <c r="FO115" s="16">
        <f>IF(ISNA(VLOOKUP(A115,'Données projet'!$A$217:$I$237,6,0)),0%,VLOOKUP(A115,'Données projet'!$A$217:$I$237,6,0)*VLOOKUP('Données projet'!$B$16,Paramètres!$A$1:$I$89,7,0))</f>
        <v>0</v>
      </c>
      <c r="FP115" s="16">
        <f>IF(ISNA(VLOOKUP(A115,'Données projet'!$A$217:$I$237,7,0)),0%,VLOOKUP(A115,'Données projet'!$A$217:$I$237,7,0))</f>
        <v>0</v>
      </c>
      <c r="FQ115" s="21">
        <f>EXP(-LN(2)/35)*FQ114+(1-EXP(-LN(2)/35))/(LN(2)/35)*FM115*FN115*VLOOKUP('Données projet'!$B$16,Paramètres!$A$1:$I$89,3,0)*0.475*44/12</f>
        <v>1.0156962702472874</v>
      </c>
      <c r="FR115" s="21">
        <f>EXP(-LN(2)/25)*FR114+(1-EXP(-LN(2)/25))/(LN(2)/25)*Calculateur!FM115*Calculateur!FO115*VLOOKUP('Données projet'!$B$16,Paramètres!$A$1:$I$89,3,0)*0.475*44/12</f>
        <v>0.60650851998530919</v>
      </c>
      <c r="FS115" s="21">
        <f>EXP(-LN(2)/2)*FS114+(1-EXP(-LN(2)/2))/(LN(2)/2)*FM115*FP115*VLOOKUP('Données projet'!$B$16,Paramètres!$A$1:$I$89,3,0)*0.475*44/12</f>
        <v>7.5698569761652342E-12</v>
      </c>
      <c r="FT115" s="22">
        <f t="shared" si="78"/>
        <v>1.6222047902401666</v>
      </c>
      <c r="FU115" s="75">
        <f>('Scénario référence'!$F$8+'Scénario référence'!$F$9+'Scénario référence'!$B$17+'Scénario référence'!$B$9+'Scénario référence'!$B$10)*70+IF((45+25*(1-EXP(-0.0175*A115)))&lt;70,'Scénario référence'!$B$16*(45+25*(1-EXP(-0.0175*A115))),70*'Scénario référence'!$B$16)+IF((32+38*(1-EXP(-0.0175*A115)))&lt;70,'Scénario référence'!$B$18*(32+38*(1-EXP(-0.0175*A115))),70*'Scénario référence'!$B$18)</f>
        <v>70</v>
      </c>
      <c r="FV115" s="12">
        <f>IF(A115&gt;30,10,('Scénario référence'!$B$16+'Scénario référence'!$B$17+'Scénario référence'!$B$18+'Scénario référence'!$B$9+'Scénario référence'!$B$10)*A115*10/30+('Scénario référence'!$F$8+'Scénario référence'!$F$9)*10)</f>
        <v>10</v>
      </c>
      <c r="FW115" s="12" t="e">
        <f>VLOOKUP(A115,'Données projet'!$A$243:$I$263,2,0)</f>
        <v>#N/A</v>
      </c>
      <c r="FX115" s="12" t="e">
        <f>VLOOKUP(A115,'Données projet'!$A$243:$I$263,9,0)</f>
        <v>#N/A</v>
      </c>
      <c r="FY115" s="12">
        <f t="array" ref="FY115">INDEX(FX:FX,MIN(IF(ISNUMBER(FX115:FX311),ROW(FX115:FX311),"")))</f>
        <v>6.8461538461538511</v>
      </c>
      <c r="FZ115" s="12">
        <f>IF('Données projet'!$A$244&gt;35,FZ114+FY115-GH114,IF(A115&lt;'Données projet'!$A$244,$FW$205^A115,IF(A115='Données projet'!$A$244,'Données projet'!$B$244,FZ114+FY115-GH114)))</f>
        <v>309.41666666666686</v>
      </c>
      <c r="GA115" s="17">
        <f>FZ115*VLOOKUP('Données projet'!$B$17,Paramètres!$A$1:$I$89,3,0)*VLOOKUP('Données projet'!$B$17,Paramètres!$A$1:$I$89,5,0)</f>
        <v>333.05610000000019</v>
      </c>
      <c r="GB115" s="13">
        <f t="shared" si="103"/>
        <v>78.06357433958803</v>
      </c>
      <c r="GC115" s="20">
        <f t="shared" si="79"/>
        <v>716.03343280811612</v>
      </c>
      <c r="GD115" s="59">
        <f t="shared" si="80"/>
        <v>1009.3667661414495</v>
      </c>
      <c r="GE115" s="59">
        <f ca="1">AVERAGE(OFFSET($GD$3,0,0,'Données projet'!$E$17+1,1))-AVERAGE(OFFSET($H$3,0,0,'Données projet'!$E$17+1,1))</f>
        <v>286.77702855541287</v>
      </c>
      <c r="GF115" s="59">
        <f t="shared" si="104"/>
        <v>227.12211541860779</v>
      </c>
      <c r="GG115" s="15">
        <f>IF(ISNA(VLOOKUP(A115,'Données projet'!$A$243:$I$263,3,0)),0,VLOOKUP(A115,'Données projet'!$A$243:$I$263,3,0))</f>
        <v>0</v>
      </c>
      <c r="GH115" s="15">
        <f>IF(ISNA(VLOOKUP(A115,'Données projet'!$A$243:$I$263,4,0)),0,VLOOKUP(A115,'Données projet'!$A$243:$I$263,4,0))</f>
        <v>0</v>
      </c>
      <c r="GI115" s="16">
        <f>IF(ISNA(VLOOKUP(A115,'Données projet'!$A$243:$I$263,5,0)),0%,VLOOKUP(A115,'Données projet'!$A$243:$I$263,5,0)*VLOOKUP('Données projet'!$B$17,Paramètres!$A$1:$I$89,7,0))</f>
        <v>0</v>
      </c>
      <c r="GJ115" s="16">
        <f>IF(ISNA(VLOOKUP(A115,'Données projet'!$A$243:$I$263,6,0)),0%,VLOOKUP(A115,'Données projet'!$A$243:$I$263,6,0)*VLOOKUP('Données projet'!$B$17,Paramètres!$A$1:$I$89,7,0))</f>
        <v>0</v>
      </c>
      <c r="GK115" s="16">
        <f>IF(ISNA(VLOOKUP(A115,'Données projet'!$A$243:$I$263,7,0)),0%,VLOOKUP(A115,'Données projet'!$A$243:$I$263,7,0))</f>
        <v>0</v>
      </c>
      <c r="GL115" s="21">
        <f>EXP(-LN(2)/35)*GL114+(1-EXP(-LN(2)/35))/(LN(2)/35)*GH115*GI115*VLOOKUP('Données projet'!$B$17,Paramètres!$A$1:$I$89,3,0)*0.475*44/12</f>
        <v>0</v>
      </c>
      <c r="GM115" s="21">
        <f>EXP(-LN(2)/25)*GM114+(1-EXP(-LN(2)/25))/(LN(2)/25)*Calculateur!GH115*Calculateur!GJ115*VLOOKUP('Données projet'!$B$17,Paramètres!$A$1:$I$89,3,0)*0.475*44/12</f>
        <v>0</v>
      </c>
      <c r="GN115" s="21">
        <f>EXP(-LN(2)/2)*GN114+(1-EXP(-LN(2)/2))/(LN(2)/2)*GH115*GK115*VLOOKUP('Données projet'!$B$17,Paramètres!$A$1:$I$89,3,0)*0.475*44/12</f>
        <v>0</v>
      </c>
      <c r="GO115" s="21">
        <f t="shared" si="81"/>
        <v>0</v>
      </c>
      <c r="GP115" s="75">
        <f>('Scénario référence'!$F$8+'Scénario référence'!$F$9+'Scénario référence'!$B$17+'Scénario référence'!$B$9+'Scénario référence'!$B$10)*70+IF((45+25*(1-EXP(-0.0175*A115)))&lt;70,'Scénario référence'!$B$16*(45+25*(1-EXP(-0.0175*A115))),70*'Scénario référence'!$B$16)+IF((32+38*(1-EXP(-0.0175*A115)))&lt;70,'Scénario référence'!$B$18*(32+38*(1-EXP(-0.0175*A115))),70*'Scénario référence'!$B$18)</f>
        <v>70</v>
      </c>
      <c r="GQ115" s="12">
        <f>IF(A115&gt;30,10,('Scénario référence'!$B$16+'Scénario référence'!$B$17+'Scénario référence'!$B$18+'Scénario référence'!$B$9+'Scénario référence'!$B$10)*A115*10/30+('Scénario référence'!$F$8+'Scénario référence'!$F$9)*10)</f>
        <v>10</v>
      </c>
      <c r="GR115" s="12" t="e">
        <f>VLOOKUP(A115,'Données projet'!$A$269:$I$289,2,0)</f>
        <v>#N/A</v>
      </c>
      <c r="GS115" s="12" t="e">
        <f>VLOOKUP(A115,'Données projet'!$A$269:$I$289,9,0)</f>
        <v>#N/A</v>
      </c>
      <c r="GT115" s="12">
        <f t="array" ref="GT115">INDEX(GS:GS,MIN(IF(ISNUMBER(GS115:GS311),ROW(GS115:GS311),"")))</f>
        <v>6.8461538461538511</v>
      </c>
      <c r="GU115" s="12">
        <f>IF('Données projet'!$A$270&gt;35,GU114+GT115-HC114,IF(A115&lt;'Données projet'!$A$270,$GR$205^A115,IF(A115='Données projet'!$A$270,'Données projet'!$B$270,GU114+GT115-HC114)))</f>
        <v>309.41666666666686</v>
      </c>
      <c r="GV115" s="17">
        <f>GU115*VLOOKUP('Données projet'!$B$18,Paramètres!$A$1:$I$89,3,0)*VLOOKUP('Données projet'!$B$18,Paramètres!$A$1:$I$89,5,0)</f>
        <v>333.05610000000019</v>
      </c>
      <c r="GW115" s="13">
        <f t="shared" si="105"/>
        <v>78.06357433958803</v>
      </c>
      <c r="GX115" s="20">
        <f t="shared" si="82"/>
        <v>716.03343280811612</v>
      </c>
      <c r="GY115" s="59">
        <f t="shared" si="83"/>
        <v>1009.3667661414495</v>
      </c>
      <c r="GZ115" s="59">
        <f ca="1">AVERAGE(OFFSET($GY$3,0,0,'Données projet'!$E$18+1,1))-AVERAGE(OFFSET($H$3,0,0,'Données projet'!$E$18+1,1))</f>
        <v>286.77702855541287</v>
      </c>
      <c r="HA115" s="59">
        <f t="shared" si="106"/>
        <v>227.12211541860779</v>
      </c>
      <c r="HB115" s="15">
        <f>IF(ISNA(VLOOKUP(A115,'Données projet'!$A$269:$I$289,3,0)),0,VLOOKUP(A115,'Données projet'!$A$269:$I$289,3,0))</f>
        <v>0</v>
      </c>
      <c r="HC115" s="15">
        <f>IF(ISNA(VLOOKUP(A115,'Données projet'!$A$269:$I$289,4,0)),0,VLOOKUP(A115,'Données projet'!$A$269:$I$289,4,0))</f>
        <v>0</v>
      </c>
      <c r="HD115" s="16">
        <f>IF(ISNA(VLOOKUP(A115,'Données projet'!$A$269:$I$289,5,0)),0%,VLOOKUP(A115,'Données projet'!$A$269:$I$289,5,0)*VLOOKUP('Données projet'!$B$18,Paramètres!$A$1:$I$89,7,0))</f>
        <v>0</v>
      </c>
      <c r="HE115" s="16">
        <f>IF(ISNA(VLOOKUP(A115,'Données projet'!$A$269:$I$289,6,0)),0%,VLOOKUP(A115,'Données projet'!$A$269:$I$289,6,0)*VLOOKUP('Données projet'!$B$18,Paramètres!$A$1:$I$89,7,0))</f>
        <v>0</v>
      </c>
      <c r="HF115" s="16">
        <f>IF(ISNA(VLOOKUP(A115,'Données projet'!$A$269:$I$289,7,0)),0%,VLOOKUP(A115,'Données projet'!$A$269:$I$289,7,0))</f>
        <v>0</v>
      </c>
      <c r="HG115" s="21">
        <f>EXP(-LN(2)/35)*HG114+(1-EXP(-LN(2)/35))/(LN(2)/35)*HC115*HD115*VLOOKUP('Données projet'!$B$18,Paramètres!$A$1:$I$89,3,0)*0.475*44/12</f>
        <v>0</v>
      </c>
      <c r="HH115" s="21">
        <f>EXP(-LN(2)/25)*HH114+(1-EXP(-LN(2)/25))/(LN(2)/25)*Calculateur!HC115*Calculateur!HE115*VLOOKUP('Données projet'!$B$18,Paramètres!$A$1:$I$89,3,0)*0.475*44/12</f>
        <v>0</v>
      </c>
      <c r="HI115" s="21">
        <f>EXP(-LN(2)/2)*HI114+(1-EXP(-LN(2)/2))/(LN(2)/2)*HC115*HF115*VLOOKUP('Données projet'!$B$18,Paramètres!$A$1:$I$89,3,0)*0.475*44/12</f>
        <v>0</v>
      </c>
      <c r="HJ115" s="22">
        <f t="shared" si="84"/>
        <v>0</v>
      </c>
    </row>
    <row r="116" spans="1:218" x14ac:dyDescent="0.25">
      <c r="A116" s="10">
        <f t="shared" si="85"/>
        <v>113</v>
      </c>
      <c r="B116" s="73">
        <f>'Scénario référence'!$B$16*5+'Scénario référence'!$B$17*0+'Scénario référence'!$B$18*5</f>
        <v>0</v>
      </c>
      <c r="C116" s="19">
        <f>Calculateur!C115+'Scénario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100.47960000000018</v>
      </c>
      <c r="D116" s="11">
        <f t="shared" si="86"/>
        <v>27.076223799065254</v>
      </c>
      <c r="E11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16" s="11">
        <f>IF(OR('Scénario référence'!$F$8&gt;0,'Scénario référence'!$F$9&gt;0),('Scénario référence'!$F$8+'Scénario référence'!$F$9)*10,0)</f>
        <v>10</v>
      </c>
      <c r="G116" s="11">
        <f>'Scénario référence'!$B$8*B116*44/12+'Scénario référence'!$B$9*(C116+D116)/0.475*44/12+'Scénario référence'!$B$10*(C116+D116)/0.475*44/12+'Scénario référence'!$F$8*(C116+D116)/0.475*44/12+'Scénario référence'!$F$9*(C116+D116)/0.475*44/12</f>
        <v>984.64144686997872</v>
      </c>
      <c r="H116" s="67">
        <f t="shared" si="56"/>
        <v>515.49305978337225</v>
      </c>
      <c r="I116" s="70">
        <f>('Scénario référence'!$F$8+'Scénario référence'!$F$9+'Scénario référence'!$B$17+'Scénario référence'!$B$9+'Scénario référence'!$B$10)*70+IF((45+25*(1-EXP(-0.0175*A116)))&lt;70,'Scénario référence'!$B$16*(45+25*(1-EXP(-0.0175*A116))),70*'Scénario référence'!$B$16)+IF((32+38*(1-EXP(-0.0175*A116)))&lt;70,'Scénario référence'!$B$18*(32+38*(1-EXP(-0.0175*A116))),70*'Scénario référence'!$B$18)</f>
        <v>70</v>
      </c>
      <c r="J116" s="13">
        <f>IF(A116&gt;30,10,('Scénario référence'!$B$16+'Scénario référence'!$B$17+'Scénario référence'!$B$18+'Scénario référence'!$B$9+'Scénario référence'!$B$10)*A116*10/30+('Scénario référence'!$F$8+'Scénario référence'!$F$9)*10)</f>
        <v>10</v>
      </c>
      <c r="K116" s="12" t="e">
        <f>VLOOKUP(A116,'Données projet'!$A$35:$I$55,2,0)</f>
        <v>#N/A</v>
      </c>
      <c r="L116" s="12" t="e">
        <f>VLOOKUP(A116,'Données projet'!$A$35:$I$55,9,0)</f>
        <v>#N/A</v>
      </c>
      <c r="M116" s="12">
        <f t="array" ref="M116">INDEX(L:L,MIN(IF(ISNUMBER(L116:L312),ROW(L116:L312),"")))</f>
        <v>0</v>
      </c>
      <c r="N116" s="13">
        <f>IF('Données projet'!$A$36&gt;35,N115+M116-V115,IF(A116&lt;'Données projet'!$A$36,$K$205^A116,IF(A116='Données projet'!$A$36,'Données projet'!$B$36,N115+M116-V115)))</f>
        <v>-2.2737367544323206E-13</v>
      </c>
      <c r="O116" s="13">
        <f>N116*VLOOKUP('Données projet'!$B$9,Paramètres!$A$1:$I$89,3,0)*VLOOKUP('Données projet'!$B$9,Paramètres!$A$1:$I$89,5,0)</f>
        <v>-1.2710188457276673E-13</v>
      </c>
      <c r="P116" s="13" t="e">
        <f t="shared" si="87"/>
        <v>#NUM!</v>
      </c>
      <c r="Q116" s="20" t="e">
        <f t="shared" si="107"/>
        <v>#NUM!</v>
      </c>
      <c r="R116" s="59" t="e">
        <f t="shared" si="55"/>
        <v>#NUM!</v>
      </c>
      <c r="S116" s="59">
        <f ca="1">AVERAGE(OFFSET($R$3,0,0,'Données projet'!$E$9+1,1))-AVERAGE(OFFSET($H$3,0,0,'Données projet'!$E$9+1,1))</f>
        <v>255.5374979188561</v>
      </c>
      <c r="T116" s="59">
        <f t="shared" si="88"/>
        <v>343.10418468620901</v>
      </c>
      <c r="U116" s="15">
        <f>IF(ISNA(VLOOKUP(A116,'Données projet'!$A$35:$I$55,3,0)),0,VLOOKUP(A116,'Données projet'!$A$35:$I$55,3,0))</f>
        <v>0</v>
      </c>
      <c r="V116" s="15">
        <f>IF(ISNA(VLOOKUP(A116,'Données projet'!$A$35:$I$55,4,0)),0,VLOOKUP(A116,'Données projet'!$A$35:$I$55,4,0))</f>
        <v>0</v>
      </c>
      <c r="W116" s="16">
        <f>IF(ISNA(VLOOKUP(A116,'Données projet'!$A$35:$I$55,5,0)),0%,VLOOKUP(A116,'Données projet'!$A$35:$I$55,5,0)*VLOOKUP('Données projet'!$B$9,Paramètres!$A$1:$I$89,7,0))</f>
        <v>0</v>
      </c>
      <c r="X116" s="16">
        <f>IF(ISNA(VLOOKUP(A116,'Données projet'!$A$35:$I$55,6,0)),0%,VLOOKUP(A116,'Données projet'!$A$35:$I$55,6,0)*VLOOKUP('Données projet'!$B$9,Paramètres!$A$1:$I$89,7,0))</f>
        <v>0</v>
      </c>
      <c r="Y116" s="16">
        <f>IF(ISNA(VLOOKUP(A116,'Données projet'!$A$35:$I$55,7,0)),0%,VLOOKUP(A116,'Données projet'!$A$35:$I$55,7,0))</f>
        <v>0</v>
      </c>
      <c r="Z116" s="21">
        <f>EXP(-LN(2)/35)*Z115+(1-EXP(-LN(2)/35))/(LN(2)/35)*V116*W116*VLOOKUP('Données projet'!$B$9,Paramètres!$A$1:$I$89,3,0)*0.475*44/12</f>
        <v>0.59716327028622429</v>
      </c>
      <c r="AA116" s="21">
        <f>EXP(-LN(2)/25)*AA115+(1-EXP(-LN(2)/25))/(LN(2)/25)*Calculateur!V116*Calculateur!X116*VLOOKUP('Données projet'!$B$9,Paramètres!$A$1:$I$89,3,0)*0.475*44/12</f>
        <v>1.5981603534728077</v>
      </c>
      <c r="AB116" s="21">
        <f>EXP(-LN(2)/2)*AB115+(1-EXP(-LN(2)/2))/(LN(2)/2)*V116*Y116*VLOOKUP('Données projet'!$B$9,Paramètres!$A$1:$I$89,3,0)*0.475*44/12</f>
        <v>5.4428063029785376E-13</v>
      </c>
      <c r="AC116" s="22">
        <f t="shared" si="57"/>
        <v>2.1953236237595766</v>
      </c>
      <c r="AD116" s="13">
        <f>('Scénario référence'!$F$8+'Scénario référence'!$F$9+'Scénario référence'!$B$17+'Scénario référence'!$B$9+'Scénario référence'!$B$10)*70+IF((45+25*(1-EXP(-0.0175*A116)))&lt;70,'Scénario référence'!$B$16*(45+25*(1-EXP(-0.0175*A116))),70*'Scénario référence'!$B$16)+IF((32+38*(1-EXP(-0.0175*A116)))&lt;70,'Scénario référence'!$B$18*(32+38*(1-EXP(-0.0175*A116))),70*'Scénario référence'!$B$18)</f>
        <v>70</v>
      </c>
      <c r="AE116" s="13">
        <f>IF(A116&gt;30,10,('Scénario référence'!$B$16+'Scénario référence'!$B$17+'Scénario référence'!$B$18+'Scénario référence'!$B$9+'Scénario référence'!$B$10)*A116*10/30+('Scénario référence'!$F$8+'Scénario référence'!$F$9)*10)</f>
        <v>10</v>
      </c>
      <c r="AF116" s="12" t="e">
        <f>VLOOKUP(A116,'Données projet'!$A$61:$I$81,2,0)</f>
        <v>#N/A</v>
      </c>
      <c r="AG116" s="12" t="e">
        <f>VLOOKUP(A116,'Données projet'!$A$61:$I$81,9,0)</f>
        <v>#N/A</v>
      </c>
      <c r="AH116" s="12">
        <f t="array" ref="AH116">INDEX(AG:AG,MIN(IF(ISNUMBER(AG116:AG312),ROW(AG116:AG312),"")))</f>
        <v>0</v>
      </c>
      <c r="AI116" s="13">
        <f>IF('Données projet'!$A$62&gt;35,AI115+AH116-AQ115,IF(A116&lt;'Données projet'!$A$62,$AF$205^A116,IF(A116='Données projet'!$A$62,'Données projet'!$B$62,AI115+AH116-AQ115)))</f>
        <v>0</v>
      </c>
      <c r="AJ116" s="13">
        <f>AI116*VLOOKUP('Données projet'!$B$10,Paramètres!$A$1:$I$89,3,0)*VLOOKUP('Données projet'!$B$10,Paramètres!$A$1:$I$89,5,0)</f>
        <v>0</v>
      </c>
      <c r="AK116" s="13" t="e">
        <f t="shared" si="89"/>
        <v>#NUM!</v>
      </c>
      <c r="AL116" s="20" t="e">
        <f t="shared" si="58"/>
        <v>#NUM!</v>
      </c>
      <c r="AM116" s="59" t="e">
        <f t="shared" si="59"/>
        <v>#NUM!</v>
      </c>
      <c r="AN116" s="59">
        <f ca="1">AVERAGE(OFFSET($AM$3,0,0,'Données projet'!$E$10+1,1))-AVERAGE(OFFSET($H$3,0,0,'Données projet'!$E$10+1,1))</f>
        <v>261.78489480911571</v>
      </c>
      <c r="AO116" s="59">
        <f t="shared" si="90"/>
        <v>297.50513563712764</v>
      </c>
      <c r="AP116" s="15">
        <f>IF(ISNA(VLOOKUP(A116,'Données projet'!$A$61:$I$81,3,0)),0,VLOOKUP(A116,'Données projet'!$A$61:$I$81,3,0))</f>
        <v>0</v>
      </c>
      <c r="AQ116" s="15">
        <f>IF(ISNA(VLOOKUP(A116,'Données projet'!$A$61:$I$81,4,0)),0,VLOOKUP(A116,'Données projet'!$A$61:$I$81,4,0))</f>
        <v>0</v>
      </c>
      <c r="AR116" s="16">
        <f>IF(ISNA(VLOOKUP(A116,'Données projet'!$A$61:$I$81,5,0)),0%,VLOOKUP(A116,'Données projet'!$A$61:$I$81,5,0)*VLOOKUP('Données projet'!$B$10,Paramètres!$A$1:$I$89,7,0))</f>
        <v>0</v>
      </c>
      <c r="AS116" s="16">
        <f>IF(ISNA(VLOOKUP(A116,'Données projet'!$A$61:$I$81,6,0)),0%,VLOOKUP(A116,'Données projet'!$A$61:$I$81,6,0)*VLOOKUP('Données projet'!$B$10,Paramètres!$A$1:$I$89,7,0))</f>
        <v>0</v>
      </c>
      <c r="AT116" s="16">
        <f>IF(ISNA(VLOOKUP(A116,'Données projet'!$A$61:$I$81,7,0)),0%,VLOOKUP(A116,'Données projet'!$A$61:$I$81,7,0))</f>
        <v>0</v>
      </c>
      <c r="AU116" s="21">
        <f>EXP(-LN(2)/35)*AU115+(1-EXP(-LN(2)/35))/(LN(2)/35)*AQ116*AR116*VLOOKUP('Données projet'!$B$10,Paramètres!$A$1:$I$89,3,0)*0.475*44/12</f>
        <v>1.6125097365936658</v>
      </c>
      <c r="AV116" s="21">
        <f>EXP(-LN(2)/25)*AV115+(1-EXP(-LN(2)/25))/(LN(2)/25)*Calculateur!AQ116*Calculateur!AS116*VLOOKUP('Données projet'!$B$10,Paramètres!$A$1:$I$89,3,0)*0.475*44/12</f>
        <v>2.7907139393470071</v>
      </c>
      <c r="AW116" s="21">
        <f>EXP(-LN(2)/2)*AW115+(1-EXP(-LN(2)/2))/(LN(2)/2)*AQ116*AT116*VLOOKUP('Données projet'!$B$10,Paramètres!$A$1:$I$89,3,0)*0.475*44/12</f>
        <v>7.8463234430907829E-12</v>
      </c>
      <c r="AX116" s="21">
        <f t="shared" si="60"/>
        <v>4.403223675948519</v>
      </c>
      <c r="AY116" s="74">
        <f>('Scénario référence'!$F$8+'Scénario référence'!$F$9+'Scénario référence'!$B$17+'Scénario référence'!$B$9+'Scénario référence'!$B$10)*70+IF((45+25*(1-EXP(-0.0175*A116)))&lt;70,'Scénario référence'!$B$16*(45+25*(1-EXP(-0.0175*A116))),70*'Scénario référence'!$B$16)+IF((32+38*(1-EXP(-0.0175*A116)))&lt;70,'Scénario référence'!$B$18*(32+38*(1-EXP(-0.0175*A116))),70*'Scénario référence'!$B$18)</f>
        <v>70</v>
      </c>
      <c r="AZ116" s="12">
        <f>IF(A116&gt;30,10,('Scénario référence'!$B$16+'Scénario référence'!$B$17+'Scénario référence'!$B$18+'Scénario référence'!$B$9+'Scénario référence'!$B$10)*A116*10/30+('Scénario référence'!$F$8+'Scénario référence'!$F$9)*10)</f>
        <v>10</v>
      </c>
      <c r="BA116" s="12" t="e">
        <f>VLOOKUP(A116,'Données projet'!$A$87:$I$107,2,0)</f>
        <v>#N/A</v>
      </c>
      <c r="BB116" s="12" t="e">
        <f>VLOOKUP(A116,'Données projet'!$A$87:$I$107,9,0)</f>
        <v>#N/A</v>
      </c>
      <c r="BC116" s="12">
        <f t="array" ref="BC116">INDEX(BB:BB,MIN(IF(ISNUMBER(BB116:BB312),ROW(BB116:BB312),"")))</f>
        <v>0</v>
      </c>
      <c r="BD116" s="12">
        <f>IF('Données projet'!$A$88&gt;35,BD115+BC116-BL115,IF(A116&lt;'Données projet'!$A$88,$BA$205^A116,IF(A116='Données projet'!$A$88,'Données projet'!$B$88,BD115+BC116-BL115)))</f>
        <v>553.99999999999955</v>
      </c>
      <c r="BE116" s="13">
        <f>BD116*VLOOKUP('Données projet'!$B$11,Paramètres!$A$1:$I$89,3,0)*VLOOKUP('Données projet'!$B$11,Paramètres!$A$1:$I$89,5,0)</f>
        <v>331.29199999999975</v>
      </c>
      <c r="BF116" s="13">
        <f t="shared" si="91"/>
        <v>77.698110787752</v>
      </c>
      <c r="BG116" s="20">
        <f t="shared" si="61"/>
        <v>712.32444295533423</v>
      </c>
      <c r="BH116" s="59">
        <f t="shared" si="62"/>
        <v>1005.6577762886675</v>
      </c>
      <c r="BI116" s="59">
        <f ca="1">AVERAGE(OFFSET($BH$3,0,0,'Données projet'!$E$11+1,1))-AVERAGE(OFFSET($H$3,0,0,'Données projet'!$E$11+1,1))</f>
        <v>316.58509520829671</v>
      </c>
      <c r="BJ116" s="59">
        <f t="shared" si="92"/>
        <v>240.71332110643596</v>
      </c>
      <c r="BK116" s="15">
        <f>IF(ISNA(VLOOKUP(A116,'Données projet'!$A$87:$I$107,3,0)),0,VLOOKUP(A116,'Données projet'!$A$87:$I$107,3,0))</f>
        <v>0</v>
      </c>
      <c r="BL116" s="15">
        <f>IF(ISNA(VLOOKUP(A116,'Données projet'!$A$87:$I$107,4,0)),0,VLOOKUP(A116,'Données projet'!$A$87:$I$107,4,0))</f>
        <v>0</v>
      </c>
      <c r="BM116" s="16">
        <f>IF(ISNA(VLOOKUP(A116,'Données projet'!$A$87:$I$107,5,0)),0%,VLOOKUP(A116,'Données projet'!$A$87:$I$107,5,0)*VLOOKUP('Données projet'!$B$11,Paramètres!$A$1:$I$89,7,0))</f>
        <v>0</v>
      </c>
      <c r="BN116" s="16">
        <f>IF(ISNA(VLOOKUP(A116,'Données projet'!$A$87:$I$107,6,0)),0%,VLOOKUP(A116,'Données projet'!$A$87:$I$107,6,0)*VLOOKUP('Données projet'!$B$11,Paramètres!$A$1:$I$89,7,0))</f>
        <v>0</v>
      </c>
      <c r="BO116" s="16">
        <f>IF(ISNA(VLOOKUP(A116,'Données projet'!$A$87:$I$107,7,0)),0%,VLOOKUP(A116,'Données projet'!$A$87:$I$107,7,0))</f>
        <v>0</v>
      </c>
      <c r="BP116" s="21">
        <f>EXP(-LN(2)/35)*BP115+(1-EXP(-LN(2)/35))/(LN(2)/35)*BL116*BM116*VLOOKUP('Données projet'!$B$11,Paramètres!$A$1:$I$89,3,0)*0.475*44/12</f>
        <v>0.48981183033062814</v>
      </c>
      <c r="BQ116" s="21">
        <f>EXP(-LN(2)/25)*BQ115+(1-EXP(-LN(2)/25))/(LN(2)/25)*Calculateur!BL116*Calculateur!BN116*VLOOKUP('Données projet'!$B$11,Paramètres!$A$1:$I$89,3,0)*0.475*44/12</f>
        <v>1.528834523639349</v>
      </c>
      <c r="BR116" s="21">
        <f>EXP(-LN(2)/2)*BR115+(1-EXP(-LN(2)/2))/(LN(2)/2)*BL116*BO116*VLOOKUP('Données projet'!$B$11,Paramètres!$A$1:$I$89,3,0)*0.475*44/12</f>
        <v>7.0547040466748241E-12</v>
      </c>
      <c r="BS116" s="22">
        <f t="shared" si="63"/>
        <v>2.0186463539770321</v>
      </c>
      <c r="BT116" s="75">
        <f>('Scénario référence'!$F$8+'Scénario référence'!$F$9+'Scénario référence'!$B$17+'Scénario référence'!$B$9+'Scénario référence'!$B$10)*70+IF((45+25*(1-EXP(-0.0175*A116)))&lt;70,'Scénario référence'!$B$16*(45+25*(1-EXP(-0.0175*A116))),70*'Scénario référence'!$B$16)+IF((32+38*(1-EXP(-0.0175*A116)))&lt;70,'Scénario référence'!$B$18*(32+38*(1-EXP(-0.0175*A116))),70*'Scénario référence'!$B$18)</f>
        <v>70</v>
      </c>
      <c r="BU116" s="12">
        <f>IF(A116&gt;30,10,('Scénario référence'!$B$16+'Scénario référence'!$B$17+'Scénario référence'!$B$18+'Scénario référence'!$B$9+'Scénario référence'!$B$10)*A116*10/30+('Scénario référence'!$F$8+'Scénario référence'!$F$9)*10)</f>
        <v>10</v>
      </c>
      <c r="BV116" s="12" t="e">
        <f>VLOOKUP(A116,'Données projet'!$A$113:$I$133,2,0)</f>
        <v>#N/A</v>
      </c>
      <c r="BW116" s="12" t="e">
        <f>VLOOKUP(A116,'Données projet'!$A$113:$I$133,9,0)</f>
        <v>#N/A</v>
      </c>
      <c r="BX116" s="12">
        <f t="array" ref="BX116">INDEX(BW:BW,MIN(IF(ISNUMBER(BW116:BW312),ROW(BW116:BW312),"")))</f>
        <v>0</v>
      </c>
      <c r="BY116" s="12">
        <f>IF('Données projet'!$A$114&gt;35,BY115+BX116-CG115,IF(A116&lt;'Données projet'!$A$114,$BV$205^A116,IF(A116='Données projet'!$A$114,'Données projet'!$B$114,BY115+BX116-CG115)))</f>
        <v>333.99999999999977</v>
      </c>
      <c r="BZ116" s="13">
        <f>BY116*VLOOKUP('Données projet'!$B$12,Paramètres!$A$1:$I$89,3,0)*VLOOKUP('Données projet'!$B$12,Paramètres!$A$1:$I$89,5,0)</f>
        <v>191.04799999999986</v>
      </c>
      <c r="CA116" s="13">
        <f t="shared" si="93"/>
        <v>47.771576544305155</v>
      </c>
      <c r="CB116" s="20">
        <f t="shared" si="64"/>
        <v>415.94409581466454</v>
      </c>
      <c r="CC116" s="59">
        <f t="shared" si="65"/>
        <v>709.27742914799785</v>
      </c>
      <c r="CD116" s="59">
        <f ca="1">AVERAGE(OFFSET($CC$3,0,0,'Données projet'!$E$12+1,1))-AVERAGE(OFFSET($H$3,0,0,'Données projet'!$E$12+1,1))</f>
        <v>188.64374818906128</v>
      </c>
      <c r="CE116" s="59">
        <f t="shared" si="94"/>
        <v>211.95157880548652</v>
      </c>
      <c r="CF116" s="15">
        <f>IF(ISNA(VLOOKUP(A116,'Données projet'!$A$113:$I$133,3,0)),0,VLOOKUP(A116,'Données projet'!$A$113:$I$133,3,0))</f>
        <v>0</v>
      </c>
      <c r="CG116" s="15">
        <f>IF(ISNA(VLOOKUP(A116,'Données projet'!$A$113:$I$133,4,0)),0,VLOOKUP(A116,'Données projet'!$A$113:$I$133,4,0))</f>
        <v>0</v>
      </c>
      <c r="CH116" s="16">
        <f>IF(ISNA(VLOOKUP(A116,'Données projet'!$A$113:$I$133,5,0)),0%,VLOOKUP(A116,'Données projet'!$A$113:$I$133,5,0)*VLOOKUP('Données projet'!$B$12,Paramètres!$A$1:$I$89,7,0))</f>
        <v>0</v>
      </c>
      <c r="CI116" s="16">
        <f>IF(ISNA(VLOOKUP(A116,'Données projet'!$A$113:$I$133,6,0)),0%,VLOOKUP(A116,'Données projet'!$A$113:$I$133,6,0)*VLOOKUP('Données projet'!$B$12,Paramètres!$A$1:$I$89,7,0))</f>
        <v>0</v>
      </c>
      <c r="CJ116" s="16">
        <f>IF(ISNA(VLOOKUP(A116,'Données projet'!$A$113:$I$133,7,0)),0%,VLOOKUP(A116,'Données projet'!$A$113:$I$133,7,0))</f>
        <v>0</v>
      </c>
      <c r="CK116" s="21">
        <f>EXP(-LN(2)/35)*CK115+(1-EXP(-LN(2)/35))/(LN(2)/35)*CG116*CH116*VLOOKUP('Données projet'!$B$12,Paramètres!$A$1:$I$89,3,0)*0.475*44/12</f>
        <v>0.47511447596063344</v>
      </c>
      <c r="CL116" s="21">
        <f>EXP(-LN(2)/25)*CL115+(1-EXP(-LN(2)/25))/(LN(2)/25)*Calculateur!CG116*Calculateur!CI116*VLOOKUP('Données projet'!$B$12,Paramètres!$A$1:$I$89,3,0)*0.475*44/12</f>
        <v>1.4389736691578858</v>
      </c>
      <c r="CM116" s="21">
        <f>EXP(-LN(2)/2)*CM115+(1-EXP(-LN(2)/2))/(LN(2)/2)*CG116*CJ116*VLOOKUP('Données projet'!$B$12,Paramètres!$A$1:$I$89,3,0)*0.475*44/12</f>
        <v>6.8319289009624183E-12</v>
      </c>
      <c r="CN116" s="22">
        <f t="shared" si="66"/>
        <v>1.9140881451253511</v>
      </c>
      <c r="CO116" s="75">
        <f>('Scénario référence'!$F$8+'Scénario référence'!$F$9+'Scénario référence'!$B$17+'Scénario référence'!$B$9+'Scénario référence'!$B$10)*70+IF((45+25*(1-EXP(-0.0175*A116)))&lt;70,'Scénario référence'!$B$16*(45+25*(1-EXP(-0.0175*A116))),70*'Scénario référence'!$B$16)+IF((32+38*(1-EXP(-0.0175*A116)))&lt;70,'Scénario référence'!$B$18*(32+38*(1-EXP(-0.0175*A116))),70*'Scénario référence'!$B$18)</f>
        <v>70</v>
      </c>
      <c r="CP116" s="12">
        <f>IF(A116&gt;30,10,('Scénario référence'!$B$16+'Scénario référence'!$B$17+'Scénario référence'!$B$18+'Scénario référence'!$B$9+'Scénario référence'!$B$10)*A116*10/30+('Scénario référence'!$F$8+'Scénario référence'!$F$9)*10)</f>
        <v>10</v>
      </c>
      <c r="CQ116" s="12" t="e">
        <f>VLOOKUP(A116,'Données projet'!$A$139:$I$159,2,0)</f>
        <v>#N/A</v>
      </c>
      <c r="CR116" s="12" t="e">
        <f>VLOOKUP(A116,'Données projet'!$A$139:$I$159,9,0)</f>
        <v>#N/A</v>
      </c>
      <c r="CS116" s="12">
        <f t="array" ref="CS116">INDEX(CR:CR,MIN(IF(ISNUMBER(CR116:CR312),ROW(CR116:CR312),"")))</f>
        <v>0</v>
      </c>
      <c r="CT116" s="12">
        <f>IF('Données projet'!$A$140&gt;35,CT115+CS116-DB115,IF(A116&lt;'Données projet'!$A$140,$CQ$205^A116,IF(A116='Données projet'!$A$140,'Données projet'!$B$140,CT115+CS116-DB115)))</f>
        <v>0</v>
      </c>
      <c r="CU116" s="17" t="e">
        <f>CT116*VLOOKUP('Données projet'!$B$13,Paramètres!$A$1:$I$89,3,0)*VLOOKUP('Données projet'!$B$13,Paramètres!$A$1:$I$89,5,0)</f>
        <v>#N/A</v>
      </c>
      <c r="CV116" s="13" t="e">
        <f t="shared" si="95"/>
        <v>#N/A</v>
      </c>
      <c r="CW116" s="20" t="e">
        <f t="shared" si="67"/>
        <v>#N/A</v>
      </c>
      <c r="CX116" s="59" t="e">
        <f t="shared" si="68"/>
        <v>#N/A</v>
      </c>
      <c r="CY116" s="59" t="e">
        <f ca="1">AVERAGE(OFFSET($CX$3,0,0,'Données projet'!$E$13+1,1))-AVERAGE(OFFSET($H$3,0,0,'Données projet'!$E$13+1,1))</f>
        <v>#N/A</v>
      </c>
      <c r="CZ116" s="59" t="e">
        <f t="shared" si="96"/>
        <v>#N/A</v>
      </c>
      <c r="DA116" s="15">
        <f>IF(ISNA(VLOOKUP(A116,'Données projet'!$A$139:$I$159,3,0)),0,VLOOKUP(A116,'Données projet'!$A$139:$I$159,3,0))</f>
        <v>0</v>
      </c>
      <c r="DB116" s="15">
        <f>IF(ISNA(VLOOKUP(A116,'Données projet'!$A$139:$I$159,4,0)),0,VLOOKUP(A116,'Données projet'!$A$139:$I$159,4,0))</f>
        <v>0</v>
      </c>
      <c r="DC116" s="16">
        <f>IF(ISNA(VLOOKUP(A116,'Données projet'!$A$139:$I$159,5,0)),0%,VLOOKUP(A116,'Données projet'!$A$139:$I$159,5,0)*VLOOKUP('Données projet'!$B$13,Paramètres!$A$1:$I$89,7,0))</f>
        <v>0</v>
      </c>
      <c r="DD116" s="16">
        <f>IF(ISNA(VLOOKUP(A116,'Données projet'!$A$139:$I$159,6,0)),0%,VLOOKUP(A116,'Données projet'!$A$139:$I$159,6,0)*VLOOKUP('Données projet'!$B$13,Paramètres!$A$1:$I$89,7,0))</f>
        <v>0</v>
      </c>
      <c r="DE116" s="16">
        <f>IF(ISNA(VLOOKUP(A116,'Données projet'!$A$139:$I$159,7,0)),0%,VLOOKUP(A116,'Données projet'!$A$139:$I$159,7,0))</f>
        <v>0</v>
      </c>
      <c r="DF116" s="21" t="e">
        <f>EXP(-LN(2)/35)*DF115+(1-EXP(-LN(2)/35))/(LN(2)/35)*DB116*DC116*VLOOKUP('Données projet'!$B$13,Paramètres!$A$1:$I$89,3,0)*0.475*44/12</f>
        <v>#N/A</v>
      </c>
      <c r="DG116" s="21" t="e">
        <f>EXP(-LN(2)/25)*DG115+(1-EXP(-LN(2)/25))/(LN(2)/25)*Calculateur!DB116*Calculateur!DD116*VLOOKUP('Données projet'!$B$13,Paramètres!$A$1:$I$89,3,0)*0.475*44/12</f>
        <v>#N/A</v>
      </c>
      <c r="DH116" s="21" t="e">
        <f>EXP(-LN(2)/2)*DH115+(1-EXP(-LN(2)/2))/(LN(2)/2)*DB116*DE116*VLOOKUP('Données projet'!$B$13,Paramètres!$A$1:$I$89,3,0)*0.475*44/12</f>
        <v>#N/A</v>
      </c>
      <c r="DI116" s="22" t="e">
        <f t="shared" si="69"/>
        <v>#N/A</v>
      </c>
      <c r="DJ116" s="75">
        <f>('Scénario référence'!$F$8+'Scénario référence'!$F$9+'Scénario référence'!$B$17+'Scénario référence'!$B$9+'Scénario référence'!$B$10)*70+IF((45+25*(1-EXP(-0.0175*A116)))&lt;70,'Scénario référence'!$B$16*(45+25*(1-EXP(-0.0175*A116))),70*'Scénario référence'!$B$16)+IF((32+38*(1-EXP(-0.0175*A116)))&lt;70,'Scénario référence'!$B$18*(32+38*(1-EXP(-0.0175*A116))),70*'Scénario référence'!$B$18)</f>
        <v>70</v>
      </c>
      <c r="DK116" s="12">
        <f>IF(A116&gt;30,10,('Scénario référence'!$B$16+'Scénario référence'!$B$17+'Scénario référence'!$B$18+'Scénario référence'!$B$9+'Scénario référence'!$B$10)*A116*10/30+('Scénario référence'!$F$8+'Scénario référence'!$F$9)*10)</f>
        <v>10</v>
      </c>
      <c r="DL116" s="12" t="e">
        <f>VLOOKUP(A116,'Données projet'!$A$165:$I$185,2,0)</f>
        <v>#N/A</v>
      </c>
      <c r="DM116" s="12" t="e">
        <f>VLOOKUP(A116,'Données projet'!$A$165:$I$185,9,0)</f>
        <v>#N/A</v>
      </c>
      <c r="DN116" s="12">
        <f t="array" ref="DN116">INDEX(DM:DM,MIN(IF(ISNUMBER(DM116:DM312),ROW(DM116:DM312),"")))</f>
        <v>0</v>
      </c>
      <c r="DO116" s="12">
        <f>IF('Données projet'!$A$166&gt;35,DO115+DN116-DW115,IF(A116&lt;'Données projet'!$A$166,$DL$205^A116,IF(A116='Données projet'!$A$166,'Données projet'!$B$166,DO115+DN116-DW115)))</f>
        <v>268.00000000000017</v>
      </c>
      <c r="DP116" s="17">
        <f>DO116*VLOOKUP('Données projet'!$B$14,Paramètres!$A$1:$I$89,3,0)*VLOOKUP('Données projet'!$B$14,Paramètres!$A$1:$I$89,5,0)</f>
        <v>175.59360000000012</v>
      </c>
      <c r="DQ116" s="13">
        <f t="shared" si="97"/>
        <v>44.340433728638573</v>
      </c>
      <c r="DR116" s="20">
        <f t="shared" si="70"/>
        <v>383.05177541071242</v>
      </c>
      <c r="DS116" s="59">
        <f t="shared" si="71"/>
        <v>676.38510874404574</v>
      </c>
      <c r="DT116" s="59">
        <f ca="1">AVERAGE(OFFSET($DS$3,0,0,'Données projet'!$E$14+1,1))-AVERAGE(OFFSET($H$3,0,0,'Données projet'!$E$14+1,1))</f>
        <v>188.68915783955595</v>
      </c>
      <c r="DU116" s="59">
        <f t="shared" si="98"/>
        <v>240.82467772396944</v>
      </c>
      <c r="DV116" s="15">
        <f>IF(ISNA(VLOOKUP(A116,'Données projet'!$A$165:$I$185,3,0)),0,VLOOKUP(A116,'Données projet'!$A$165:$I$185,3,0))</f>
        <v>0</v>
      </c>
      <c r="DW116" s="15">
        <f>IF(ISNA(VLOOKUP(A116,'Données projet'!$A$165:$I$185,4,0)),0,VLOOKUP(A116,'Données projet'!$A$165:$I$185,4,0))</f>
        <v>0</v>
      </c>
      <c r="DX116" s="16">
        <f>IF(ISNA(VLOOKUP(A116,'Données projet'!$A$165:$I$185,5,0)),0%,VLOOKUP(A116,'Données projet'!$A$165:$I$185,5,0)*VLOOKUP('Données projet'!$B$14,Paramètres!$A$1:$I$89,7,0))</f>
        <v>0</v>
      </c>
      <c r="DY116" s="16">
        <f>IF(ISNA(VLOOKUP(A116,'Données projet'!$A$165:$I$185,6,0)),0%,VLOOKUP(A116,'Données projet'!$A$165:$I$185,6,0)*VLOOKUP('Données projet'!$B$14,Paramètres!$A$1:$I$89,7,0))</f>
        <v>0</v>
      </c>
      <c r="DZ116" s="16">
        <f>IF(ISNA(VLOOKUP(A116,'Données projet'!$A$165:$I$185,7,0)),0%,VLOOKUP(A116,'Données projet'!$A$165:$I$185,7,0))</f>
        <v>0</v>
      </c>
      <c r="EA116" s="21">
        <f>EXP(-LN(2)/35)*EA115+(1-EXP(-LN(2)/35))/(LN(2)/35)*DW116*DX116*VLOOKUP('Données projet'!$B$14,Paramètres!$A$1:$I$89,3,0)*0.475*44/12</f>
        <v>0.30094582757607446</v>
      </c>
      <c r="EB116" s="21">
        <f>EXP(-LN(2)/25)*EB115+(1-EXP(-LN(2)/25))/(LN(2)/25)*Calculateur!DW116*Calculateur!DY116*VLOOKUP('Données projet'!$B$14,Paramètres!$A$1:$I$89,3,0)*0.475*44/12</f>
        <v>0.80487788769448831</v>
      </c>
      <c r="EC116" s="21">
        <f>EXP(-LN(2)/2)*EC115+(1-EXP(-LN(2)/2))/(LN(2)/2)*DW116*DZ116*VLOOKUP('Données projet'!$B$14,Paramètres!$A$1:$I$89,3,0)*0.475*44/12</f>
        <v>4.5006140677744865E-12</v>
      </c>
      <c r="ED116" s="22">
        <f t="shared" si="72"/>
        <v>1.1058237152750634</v>
      </c>
      <c r="EE116" s="75">
        <f>('Scénario référence'!$F$8+'Scénario référence'!$F$9+'Scénario référence'!$B$17+'Scénario référence'!$B$9+'Scénario référence'!$B$10)*70+IF((45+25*(1-EXP(-0.0175*A116)))&lt;70,'Scénario référence'!$B$16*(45+25*(1-EXP(-0.0175*A116))),70*'Scénario référence'!$B$16)+IF((32+38*(1-EXP(-0.0175*A116)))&lt;70,'Scénario référence'!$B$18*(32+38*(1-EXP(-0.0175*A116))),70*'Scénario référence'!$B$18)</f>
        <v>70</v>
      </c>
      <c r="EF116" s="12">
        <f>IF(A116&gt;30,10,('Scénario référence'!$B$16+'Scénario référence'!$B$17+'Scénario référence'!$B$18+'Scénario référence'!$B$9+'Scénario référence'!$B$10)*A116*10/30+('Scénario référence'!$F$8+'Scénario référence'!$F$9)*10)</f>
        <v>10</v>
      </c>
      <c r="EG116" s="12" t="e">
        <f>VLOOKUP(A116,'Données projet'!$A$191:$I$211,2,0)</f>
        <v>#N/A</v>
      </c>
      <c r="EH116" s="12" t="e">
        <f>VLOOKUP(A116,'Données projet'!$A$191:$I$211,9,0)</f>
        <v>#N/A</v>
      </c>
      <c r="EI116" s="12">
        <f t="array" ref="EI116">INDEX(EH:EH,MIN(IF(ISNUMBER(EH116:EH312),ROW(EH116:EH312),"")))</f>
        <v>0</v>
      </c>
      <c r="EJ116" s="12">
        <f>IF('Données projet'!$A$192&gt;35,EJ115+EI116-ER115,IF(A116&lt;'Données projet'!$A$192,$EG$205^A116,IF(A116='Données projet'!$A$192,'Données projet'!$B$192,EJ115+EI116-ER115)))</f>
        <v>275.99999999999972</v>
      </c>
      <c r="EK116" s="17">
        <f>EJ116*VLOOKUP('Données projet'!$B$15,Paramètres!$A$1:$I$89,3,0)*VLOOKUP('Données projet'!$B$15,Paramètres!$A$1:$I$89,5,0)</f>
        <v>223.8911999999998</v>
      </c>
      <c r="EL116" s="13">
        <f t="shared" si="99"/>
        <v>54.95975389514858</v>
      </c>
      <c r="EM116" s="20">
        <f t="shared" si="73"/>
        <v>485.66541136738346</v>
      </c>
      <c r="EN116" s="59">
        <f t="shared" si="74"/>
        <v>778.99874470071677</v>
      </c>
      <c r="EO116" s="59">
        <f ca="1">AVERAGE(OFFSET($EN$3,0,0,'Données projet'!$E$15+1,1))-AVERAGE(OFFSET($H$3,0,0,'Données projet'!$E$15+1,1))</f>
        <v>205.5272583787887</v>
      </c>
      <c r="EP116" s="59">
        <f t="shared" si="100"/>
        <v>180.54762778843178</v>
      </c>
      <c r="EQ116" s="15">
        <f>IF(ISNA(VLOOKUP(A116,'Données projet'!$A$191:$I$211,3,0)),0,VLOOKUP(A116,'Données projet'!$A$191:$I$211,3,0))</f>
        <v>0</v>
      </c>
      <c r="ER116" s="15">
        <f>IF(ISNA(VLOOKUP(A116,'Données projet'!$A$191:$I$211,4,0)),0,VLOOKUP(A116,'Données projet'!$A$191:$I$211,4,0))</f>
        <v>0</v>
      </c>
      <c r="ES116" s="16">
        <f>IF(ISNA(VLOOKUP(A116,'Données projet'!$A$191:$I$211,5,0)),0%,VLOOKUP(A116,'Données projet'!$A$191:$I$211,5,0)*VLOOKUP('Données projet'!$B$15,Paramètres!$A$1:$I$89,7,0))</f>
        <v>0</v>
      </c>
      <c r="ET116" s="16">
        <f>IF(ISNA(VLOOKUP(A116,'Données projet'!$A$191:$I$211,6,0)),0%,VLOOKUP(A116,'Données projet'!$A$191:$I$211,6,0)*VLOOKUP('Données projet'!$B$15,Paramètres!$A$1:$I$89,7,0))</f>
        <v>0</v>
      </c>
      <c r="EU116" s="16">
        <f>IF(ISNA(VLOOKUP(A116,'Données projet'!$A$191:$I$211,7,0)),0%,VLOOKUP(A116,'Données projet'!$A$191:$I$211,7,0))</f>
        <v>0</v>
      </c>
      <c r="EV116" s="21">
        <f>EXP(-LN(2)/35)*EV115+(1-EXP(-LN(2)/35))/(LN(2)/35)*ER116*ES116*VLOOKUP('Données projet'!$B$15,Paramètres!$A$1:$I$89,3,0)*0.475*44/12</f>
        <v>0.1937517899442156</v>
      </c>
      <c r="EW116" s="21">
        <f>EXP(-LN(2)/25)*EW115+(1-EXP(-LN(2)/25))/(LN(2)/25)*Calculateur!ER116*Calculateur!ET116*VLOOKUP('Données projet'!$B$15,Paramètres!$A$1:$I$89,3,0)*0.475*44/12</f>
        <v>0.58114625166275413</v>
      </c>
      <c r="EX116" s="21">
        <f>EXP(-LN(2)/2)*EX115+(1-EXP(-LN(2)/2))/(LN(2)/2)*ER116*EU116*VLOOKUP('Données projet'!$B$15,Paramètres!$A$1:$I$89,3,0)*0.475*44/12</f>
        <v>2.9141509367559646E-12</v>
      </c>
      <c r="EY116" s="22">
        <f t="shared" si="75"/>
        <v>0.77489804160988385</v>
      </c>
      <c r="EZ116" s="75">
        <f>('Scénario référence'!$F$8+'Scénario référence'!$F$9+'Scénario référence'!$B$17+'Scénario référence'!$B$9+'Scénario référence'!$B$10)*70+IF((45+25*(1-EXP(-0.0175*A116)))&lt;70,'Scénario référence'!$B$16*(45+25*(1-EXP(-0.0175*A116))),70*'Scénario référence'!$B$16)+IF((32+38*(1-EXP(-0.0175*A116)))&lt;70,'Scénario référence'!$B$18*(32+38*(1-EXP(-0.0175*A116))),70*'Scénario référence'!$B$18)</f>
        <v>70</v>
      </c>
      <c r="FA116" s="12">
        <f>IF(A116&gt;30,10,('Scénario référence'!$B$16+'Scénario référence'!$B$17+'Scénario référence'!$B$18+'Scénario référence'!$B$9+'Scénario référence'!$B$10)*A116*10/30+('Scénario référence'!$F$8+'Scénario référence'!$F$9)*10)</f>
        <v>10</v>
      </c>
      <c r="FB116" s="12" t="e">
        <f>VLOOKUP(A116,'Données projet'!$A$217:$I$237,2,0)</f>
        <v>#N/A</v>
      </c>
      <c r="FC116" s="12" t="e">
        <f>VLOOKUP(A116,'Données projet'!$A$217:$I$237,9,0)</f>
        <v>#N/A</v>
      </c>
      <c r="FD116" s="12">
        <f t="array" ref="FD116">INDEX(FC:FC,MIN(IF(ISNUMBER(FC116:FC312),ROW(FC116:FC312),"")))</f>
        <v>7.4</v>
      </c>
      <c r="FE116" s="12">
        <f>IF('Données projet'!$A$218&gt;35,FE115+FD116-FM115,IF(A116&lt;'Données projet'!$A$218,$FB$205^A116,IF(A116='Données projet'!$A$218,'Données projet'!$B$218,FE115+FD116-FM115)))</f>
        <v>400.2</v>
      </c>
      <c r="FF116" s="17">
        <f>FE116*VLOOKUP('Données projet'!$B$16,Paramètres!$A$1:$I$89,3,0)*VLOOKUP('Données projet'!$B$16,Paramètres!$A$1:$I$89,5,0)</f>
        <v>343.37160000000006</v>
      </c>
      <c r="FG116" s="13">
        <f t="shared" si="101"/>
        <v>80.196139773203285</v>
      </c>
      <c r="FH116" s="20">
        <f t="shared" si="76"/>
        <v>737.71381343832911</v>
      </c>
      <c r="FI116" s="59">
        <f t="shared" si="77"/>
        <v>1031.0471467716625</v>
      </c>
      <c r="FJ116" s="59">
        <f ca="1">AVERAGE(OFFSET($FI$3,0,0,'Données projet'!$E$16+1,1))-AVERAGE(OFFSET($H$3,0,0,'Données projet'!$E$16+1,1))</f>
        <v>383.97627237444709</v>
      </c>
      <c r="FK116" s="59">
        <f t="shared" si="102"/>
        <v>203.35476578922339</v>
      </c>
      <c r="FL116" s="15">
        <f>IF(ISNA(VLOOKUP(A116,'Données projet'!$A$217:$I$237,3,0)),0,VLOOKUP(A116,'Données projet'!$A$217:$I$237,3,0))</f>
        <v>0</v>
      </c>
      <c r="FM116" s="15">
        <f>IF(ISNA(VLOOKUP(A116,'Données projet'!$A$217:$I$237,4,0)),0,VLOOKUP(A116,'Données projet'!$A$217:$I$237,4,0))</f>
        <v>0</v>
      </c>
      <c r="FN116" s="16">
        <f>IF(ISNA(VLOOKUP(A116,'Données projet'!$A$217:$I$237,5,0)),0%,VLOOKUP(A116,'Données projet'!$A$217:$I$237,5,0)*VLOOKUP('Données projet'!$B$16,Paramètres!$A$1:$I$89,7,0))</f>
        <v>0</v>
      </c>
      <c r="FO116" s="16">
        <f>IF(ISNA(VLOOKUP(A116,'Données projet'!$A$217:$I$237,6,0)),0%,VLOOKUP(A116,'Données projet'!$A$217:$I$237,6,0)*VLOOKUP('Données projet'!$B$16,Paramètres!$A$1:$I$89,7,0))</f>
        <v>0</v>
      </c>
      <c r="FP116" s="16">
        <f>IF(ISNA(VLOOKUP(A116,'Données projet'!$A$217:$I$237,7,0)),0%,VLOOKUP(A116,'Données projet'!$A$217:$I$237,7,0))</f>
        <v>0</v>
      </c>
      <c r="FQ116" s="21">
        <f>EXP(-LN(2)/35)*FQ115+(1-EXP(-LN(2)/35))/(LN(2)/35)*FM116*FN116*VLOOKUP('Données projet'!$B$16,Paramètres!$A$1:$I$89,3,0)*0.475*44/12</f>
        <v>0.99577908590129105</v>
      </c>
      <c r="FR116" s="21">
        <f>EXP(-LN(2)/25)*FR115+(1-EXP(-LN(2)/25))/(LN(2)/25)*Calculateur!FM116*Calculateur!FO116*VLOOKUP('Données projet'!$B$16,Paramètres!$A$1:$I$89,3,0)*0.475*44/12</f>
        <v>0.58992351261141407</v>
      </c>
      <c r="FS116" s="21">
        <f>EXP(-LN(2)/2)*FS115+(1-EXP(-LN(2)/2))/(LN(2)/2)*FM116*FP116*VLOOKUP('Données projet'!$B$16,Paramètres!$A$1:$I$89,3,0)*0.475*44/12</f>
        <v>5.3526972004587306E-12</v>
      </c>
      <c r="FT116" s="22">
        <f t="shared" si="78"/>
        <v>1.5857025985180577</v>
      </c>
      <c r="FU116" s="75">
        <f>('Scénario référence'!$F$8+'Scénario référence'!$F$9+'Scénario référence'!$B$17+'Scénario référence'!$B$9+'Scénario référence'!$B$10)*70+IF((45+25*(1-EXP(-0.0175*A116)))&lt;70,'Scénario référence'!$B$16*(45+25*(1-EXP(-0.0175*A116))),70*'Scénario référence'!$B$16)+IF((32+38*(1-EXP(-0.0175*A116)))&lt;70,'Scénario référence'!$B$18*(32+38*(1-EXP(-0.0175*A116))),70*'Scénario référence'!$B$18)</f>
        <v>70</v>
      </c>
      <c r="FV116" s="12">
        <f>IF(A116&gt;30,10,('Scénario référence'!$B$16+'Scénario référence'!$B$17+'Scénario référence'!$B$18+'Scénario référence'!$B$9+'Scénario référence'!$B$10)*A116*10/30+('Scénario référence'!$F$8+'Scénario référence'!$F$9)*10)</f>
        <v>10</v>
      </c>
      <c r="FW116" s="12" t="e">
        <f>VLOOKUP(A116,'Données projet'!$A$243:$I$263,2,0)</f>
        <v>#N/A</v>
      </c>
      <c r="FX116" s="12" t="e">
        <f>VLOOKUP(A116,'Données projet'!$A$243:$I$263,9,0)</f>
        <v>#N/A</v>
      </c>
      <c r="FY116" s="12">
        <f t="array" ref="FY116">INDEX(FX:FX,MIN(IF(ISNUMBER(FX116:FX312),ROW(FX116:FX312),"")))</f>
        <v>6.8461538461538511</v>
      </c>
      <c r="FZ116" s="12">
        <f>IF('Données projet'!$A$244&gt;35,FZ115+FY116-GH115,IF(A116&lt;'Données projet'!$A$244,$FW$205^A116,IF(A116='Données projet'!$A$244,'Données projet'!$B$244,FZ115+FY116-GH115)))</f>
        <v>316.26282051282072</v>
      </c>
      <c r="GA116" s="17">
        <f>FZ116*VLOOKUP('Données projet'!$B$17,Paramètres!$A$1:$I$89,3,0)*VLOOKUP('Données projet'!$B$17,Paramètres!$A$1:$I$89,5,0)</f>
        <v>340.42530000000022</v>
      </c>
      <c r="GB116" s="13">
        <f t="shared" si="103"/>
        <v>79.587809700462586</v>
      </c>
      <c r="GC116" s="20">
        <f t="shared" si="79"/>
        <v>731.52283272830607</v>
      </c>
      <c r="GD116" s="59">
        <f t="shared" si="80"/>
        <v>1024.8561660616394</v>
      </c>
      <c r="GE116" s="59">
        <f ca="1">AVERAGE(OFFSET($GD$3,0,0,'Données projet'!$E$17+1,1))-AVERAGE(OFFSET($H$3,0,0,'Données projet'!$E$17+1,1))</f>
        <v>286.77702855541287</v>
      </c>
      <c r="GF116" s="59">
        <f t="shared" si="104"/>
        <v>227.12211541860779</v>
      </c>
      <c r="GG116" s="15">
        <f>IF(ISNA(VLOOKUP(A116,'Données projet'!$A$243:$I$263,3,0)),0,VLOOKUP(A116,'Données projet'!$A$243:$I$263,3,0))</f>
        <v>0</v>
      </c>
      <c r="GH116" s="15">
        <f>IF(ISNA(VLOOKUP(A116,'Données projet'!$A$243:$I$263,4,0)),0,VLOOKUP(A116,'Données projet'!$A$243:$I$263,4,0))</f>
        <v>0</v>
      </c>
      <c r="GI116" s="16">
        <f>IF(ISNA(VLOOKUP(A116,'Données projet'!$A$243:$I$263,5,0)),0%,VLOOKUP(A116,'Données projet'!$A$243:$I$263,5,0)*VLOOKUP('Données projet'!$B$17,Paramètres!$A$1:$I$89,7,0))</f>
        <v>0</v>
      </c>
      <c r="GJ116" s="16">
        <f>IF(ISNA(VLOOKUP(A116,'Données projet'!$A$243:$I$263,6,0)),0%,VLOOKUP(A116,'Données projet'!$A$243:$I$263,6,0)*VLOOKUP('Données projet'!$B$17,Paramètres!$A$1:$I$89,7,0))</f>
        <v>0</v>
      </c>
      <c r="GK116" s="16">
        <f>IF(ISNA(VLOOKUP(A116,'Données projet'!$A$243:$I$263,7,0)),0%,VLOOKUP(A116,'Données projet'!$A$243:$I$263,7,0))</f>
        <v>0</v>
      </c>
      <c r="GL116" s="21">
        <f>EXP(-LN(2)/35)*GL115+(1-EXP(-LN(2)/35))/(LN(2)/35)*GH116*GI116*VLOOKUP('Données projet'!$B$17,Paramètres!$A$1:$I$89,3,0)*0.475*44/12</f>
        <v>0</v>
      </c>
      <c r="GM116" s="21">
        <f>EXP(-LN(2)/25)*GM115+(1-EXP(-LN(2)/25))/(LN(2)/25)*Calculateur!GH116*Calculateur!GJ116*VLOOKUP('Données projet'!$B$17,Paramètres!$A$1:$I$89,3,0)*0.475*44/12</f>
        <v>0</v>
      </c>
      <c r="GN116" s="21">
        <f>EXP(-LN(2)/2)*GN115+(1-EXP(-LN(2)/2))/(LN(2)/2)*GH116*GK116*VLOOKUP('Données projet'!$B$17,Paramètres!$A$1:$I$89,3,0)*0.475*44/12</f>
        <v>0</v>
      </c>
      <c r="GO116" s="21">
        <f t="shared" si="81"/>
        <v>0</v>
      </c>
      <c r="GP116" s="75">
        <f>('Scénario référence'!$F$8+'Scénario référence'!$F$9+'Scénario référence'!$B$17+'Scénario référence'!$B$9+'Scénario référence'!$B$10)*70+IF((45+25*(1-EXP(-0.0175*A116)))&lt;70,'Scénario référence'!$B$16*(45+25*(1-EXP(-0.0175*A116))),70*'Scénario référence'!$B$16)+IF((32+38*(1-EXP(-0.0175*A116)))&lt;70,'Scénario référence'!$B$18*(32+38*(1-EXP(-0.0175*A116))),70*'Scénario référence'!$B$18)</f>
        <v>70</v>
      </c>
      <c r="GQ116" s="12">
        <f>IF(A116&gt;30,10,('Scénario référence'!$B$16+'Scénario référence'!$B$17+'Scénario référence'!$B$18+'Scénario référence'!$B$9+'Scénario référence'!$B$10)*A116*10/30+('Scénario référence'!$F$8+'Scénario référence'!$F$9)*10)</f>
        <v>10</v>
      </c>
      <c r="GR116" s="12" t="e">
        <f>VLOOKUP(A116,'Données projet'!$A$269:$I$289,2,0)</f>
        <v>#N/A</v>
      </c>
      <c r="GS116" s="12" t="e">
        <f>VLOOKUP(A116,'Données projet'!$A$269:$I$289,9,0)</f>
        <v>#N/A</v>
      </c>
      <c r="GT116" s="12">
        <f t="array" ref="GT116">INDEX(GS:GS,MIN(IF(ISNUMBER(GS116:GS312),ROW(GS116:GS312),"")))</f>
        <v>6.8461538461538511</v>
      </c>
      <c r="GU116" s="12">
        <f>IF('Données projet'!$A$270&gt;35,GU115+GT116-HC115,IF(A116&lt;'Données projet'!$A$270,$GR$205^A116,IF(A116='Données projet'!$A$270,'Données projet'!$B$270,GU115+GT116-HC115)))</f>
        <v>316.26282051282072</v>
      </c>
      <c r="GV116" s="17">
        <f>GU116*VLOOKUP('Données projet'!$B$18,Paramètres!$A$1:$I$89,3,0)*VLOOKUP('Données projet'!$B$18,Paramètres!$A$1:$I$89,5,0)</f>
        <v>340.42530000000022</v>
      </c>
      <c r="GW116" s="13">
        <f t="shared" si="105"/>
        <v>79.587809700462586</v>
      </c>
      <c r="GX116" s="20">
        <f t="shared" si="82"/>
        <v>731.52283272830607</v>
      </c>
      <c r="GY116" s="59">
        <f t="shared" si="83"/>
        <v>1024.8561660616394</v>
      </c>
      <c r="GZ116" s="59">
        <f ca="1">AVERAGE(OFFSET($GY$3,0,0,'Données projet'!$E$18+1,1))-AVERAGE(OFFSET($H$3,0,0,'Données projet'!$E$18+1,1))</f>
        <v>286.77702855541287</v>
      </c>
      <c r="HA116" s="59">
        <f t="shared" si="106"/>
        <v>227.12211541860779</v>
      </c>
      <c r="HB116" s="15">
        <f>IF(ISNA(VLOOKUP(A116,'Données projet'!$A$269:$I$289,3,0)),0,VLOOKUP(A116,'Données projet'!$A$269:$I$289,3,0))</f>
        <v>0</v>
      </c>
      <c r="HC116" s="15">
        <f>IF(ISNA(VLOOKUP(A116,'Données projet'!$A$269:$I$289,4,0)),0,VLOOKUP(A116,'Données projet'!$A$269:$I$289,4,0))</f>
        <v>0</v>
      </c>
      <c r="HD116" s="16">
        <f>IF(ISNA(VLOOKUP(A116,'Données projet'!$A$269:$I$289,5,0)),0%,VLOOKUP(A116,'Données projet'!$A$269:$I$289,5,0)*VLOOKUP('Données projet'!$B$18,Paramètres!$A$1:$I$89,7,0))</f>
        <v>0</v>
      </c>
      <c r="HE116" s="16">
        <f>IF(ISNA(VLOOKUP(A116,'Données projet'!$A$269:$I$289,6,0)),0%,VLOOKUP(A116,'Données projet'!$A$269:$I$289,6,0)*VLOOKUP('Données projet'!$B$18,Paramètres!$A$1:$I$89,7,0))</f>
        <v>0</v>
      </c>
      <c r="HF116" s="16">
        <f>IF(ISNA(VLOOKUP(A116,'Données projet'!$A$269:$I$289,7,0)),0%,VLOOKUP(A116,'Données projet'!$A$269:$I$289,7,0))</f>
        <v>0</v>
      </c>
      <c r="HG116" s="21">
        <f>EXP(-LN(2)/35)*HG115+(1-EXP(-LN(2)/35))/(LN(2)/35)*HC116*HD116*VLOOKUP('Données projet'!$B$18,Paramètres!$A$1:$I$89,3,0)*0.475*44/12</f>
        <v>0</v>
      </c>
      <c r="HH116" s="21">
        <f>EXP(-LN(2)/25)*HH115+(1-EXP(-LN(2)/25))/(LN(2)/25)*Calculateur!HC116*Calculateur!HE116*VLOOKUP('Données projet'!$B$18,Paramètres!$A$1:$I$89,3,0)*0.475*44/12</f>
        <v>0</v>
      </c>
      <c r="HI116" s="21">
        <f>EXP(-LN(2)/2)*HI115+(1-EXP(-LN(2)/2))/(LN(2)/2)*HC116*HF116*VLOOKUP('Données projet'!$B$18,Paramètres!$A$1:$I$89,3,0)*0.475*44/12</f>
        <v>0</v>
      </c>
      <c r="HJ116" s="22">
        <f t="shared" si="84"/>
        <v>0</v>
      </c>
    </row>
    <row r="117" spans="1:218" x14ac:dyDescent="0.25">
      <c r="A117" s="10">
        <f t="shared" si="85"/>
        <v>114</v>
      </c>
      <c r="B117" s="73">
        <f>'Scénario référence'!$B$16*5+'Scénario référence'!$B$17*0+'Scénario référence'!$B$18*5</f>
        <v>0</v>
      </c>
      <c r="C117" s="19">
        <f>Calculateur!C116+'Scénario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101.36880000000018</v>
      </c>
      <c r="D117" s="11">
        <f t="shared" si="86"/>
        <v>27.287836803817498</v>
      </c>
      <c r="E11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17" s="11">
        <f>IF(OR('Scénario référence'!$F$8&gt;0,'Scénario référence'!$F$9&gt;0),('Scénario référence'!$F$8+'Scénario référence'!$F$9)*10,0)</f>
        <v>10</v>
      </c>
      <c r="G117" s="11">
        <f>'Scénario référence'!$B$8*B117*44/12+'Scénario référence'!$B$9*(C117+D117)/0.475*44/12+'Scénario référence'!$B$10*(C117+D117)/0.475*44/12+'Scénario référence'!$F$8*(C117+D117)/0.475*44/12+'Scénario référence'!$F$9*(C117+D117)/0.475*44/12</f>
        <v>993.13895076631172</v>
      </c>
      <c r="H117" s="67">
        <f t="shared" si="56"/>
        <v>517.41030909998244</v>
      </c>
      <c r="I117" s="70">
        <f>('Scénario référence'!$F$8+'Scénario référence'!$F$9+'Scénario référence'!$B$17+'Scénario référence'!$B$9+'Scénario référence'!$B$10)*70+IF((45+25*(1-EXP(-0.0175*A117)))&lt;70,'Scénario référence'!$B$16*(45+25*(1-EXP(-0.0175*A117))),70*'Scénario référence'!$B$16)+IF((32+38*(1-EXP(-0.0175*A117)))&lt;70,'Scénario référence'!$B$18*(32+38*(1-EXP(-0.0175*A117))),70*'Scénario référence'!$B$18)</f>
        <v>70</v>
      </c>
      <c r="J117" s="13">
        <f>IF(A117&gt;30,10,('Scénario référence'!$B$16+'Scénario référence'!$B$17+'Scénario référence'!$B$18+'Scénario référence'!$B$9+'Scénario référence'!$B$10)*A117*10/30+('Scénario référence'!$F$8+'Scénario référence'!$F$9)*10)</f>
        <v>10</v>
      </c>
      <c r="K117" s="12" t="e">
        <f>VLOOKUP(A117,'Données projet'!$A$35:$I$55,2,0)</f>
        <v>#N/A</v>
      </c>
      <c r="L117" s="12" t="e">
        <f>VLOOKUP(A117,'Données projet'!$A$35:$I$55,9,0)</f>
        <v>#N/A</v>
      </c>
      <c r="M117" s="12">
        <f t="array" ref="M117">INDEX(L:L,MIN(IF(ISNUMBER(L117:L313),ROW(L117:L313),"")))</f>
        <v>0</v>
      </c>
      <c r="N117" s="13">
        <f>IF('Données projet'!$A$36&gt;35,N116+M117-V116,IF(A117&lt;'Données projet'!$A$36,$K$205^A117,IF(A117='Données projet'!$A$36,'Données projet'!$B$36,N116+M117-V116)))</f>
        <v>-2.2737367544323206E-13</v>
      </c>
      <c r="O117" s="13">
        <f>N117*VLOOKUP('Données projet'!$B$9,Paramètres!$A$1:$I$89,3,0)*VLOOKUP('Données projet'!$B$9,Paramètres!$A$1:$I$89,5,0)</f>
        <v>-1.2710188457276673E-13</v>
      </c>
      <c r="P117" s="13" t="e">
        <f t="shared" si="87"/>
        <v>#NUM!</v>
      </c>
      <c r="Q117" s="20" t="e">
        <f t="shared" si="107"/>
        <v>#NUM!</v>
      </c>
      <c r="R117" s="59" t="e">
        <f t="shared" si="55"/>
        <v>#NUM!</v>
      </c>
      <c r="S117" s="59">
        <f ca="1">AVERAGE(OFFSET($R$3,0,0,'Données projet'!$E$9+1,1))-AVERAGE(OFFSET($H$3,0,0,'Données projet'!$E$9+1,1))</f>
        <v>255.5374979188561</v>
      </c>
      <c r="T117" s="59">
        <f t="shared" si="88"/>
        <v>343.10418468620901</v>
      </c>
      <c r="U117" s="15">
        <f>IF(ISNA(VLOOKUP(A117,'Données projet'!$A$35:$I$55,3,0)),0,VLOOKUP(A117,'Données projet'!$A$35:$I$55,3,0))</f>
        <v>0</v>
      </c>
      <c r="V117" s="15">
        <f>IF(ISNA(VLOOKUP(A117,'Données projet'!$A$35:$I$55,4,0)),0,VLOOKUP(A117,'Données projet'!$A$35:$I$55,4,0))</f>
        <v>0</v>
      </c>
      <c r="W117" s="16">
        <f>IF(ISNA(VLOOKUP(A117,'Données projet'!$A$35:$I$55,5,0)),0%,VLOOKUP(A117,'Données projet'!$A$35:$I$55,5,0)*VLOOKUP('Données projet'!$B$9,Paramètres!$A$1:$I$89,7,0))</f>
        <v>0</v>
      </c>
      <c r="X117" s="16">
        <f>IF(ISNA(VLOOKUP(A117,'Données projet'!$A$35:$I$55,6,0)),0%,VLOOKUP(A117,'Données projet'!$A$35:$I$55,6,0)*VLOOKUP('Données projet'!$B$9,Paramètres!$A$1:$I$89,7,0))</f>
        <v>0</v>
      </c>
      <c r="Y117" s="16">
        <f>IF(ISNA(VLOOKUP(A117,'Données projet'!$A$35:$I$55,7,0)),0%,VLOOKUP(A117,'Données projet'!$A$35:$I$55,7,0))</f>
        <v>0</v>
      </c>
      <c r="Z117" s="21">
        <f>EXP(-LN(2)/35)*Z116+(1-EXP(-LN(2)/35))/(LN(2)/35)*V117*W117*VLOOKUP('Données projet'!$B$9,Paramètres!$A$1:$I$89,3,0)*0.475*44/12</f>
        <v>0.58545326278954124</v>
      </c>
      <c r="AA117" s="21">
        <f>EXP(-LN(2)/25)*AA116+(1-EXP(-LN(2)/25))/(LN(2)/25)*Calculateur!V117*Calculateur!X117*VLOOKUP('Données projet'!$B$9,Paramètres!$A$1:$I$89,3,0)*0.475*44/12</f>
        <v>1.5544585745634933</v>
      </c>
      <c r="AB117" s="21">
        <f>EXP(-LN(2)/2)*AB116+(1-EXP(-LN(2)/2))/(LN(2)/2)*V117*Y117*VLOOKUP('Données projet'!$B$9,Paramètres!$A$1:$I$89,3,0)*0.475*44/12</f>
        <v>3.8486452455210066E-13</v>
      </c>
      <c r="AC117" s="22">
        <f t="shared" si="57"/>
        <v>2.1399118373534196</v>
      </c>
      <c r="AD117" s="13">
        <f>('Scénario référence'!$F$8+'Scénario référence'!$F$9+'Scénario référence'!$B$17+'Scénario référence'!$B$9+'Scénario référence'!$B$10)*70+IF((45+25*(1-EXP(-0.0175*A117)))&lt;70,'Scénario référence'!$B$16*(45+25*(1-EXP(-0.0175*A117))),70*'Scénario référence'!$B$16)+IF((32+38*(1-EXP(-0.0175*A117)))&lt;70,'Scénario référence'!$B$18*(32+38*(1-EXP(-0.0175*A117))),70*'Scénario référence'!$B$18)</f>
        <v>70</v>
      </c>
      <c r="AE117" s="13">
        <f>IF(A117&gt;30,10,('Scénario référence'!$B$16+'Scénario référence'!$B$17+'Scénario référence'!$B$18+'Scénario référence'!$B$9+'Scénario référence'!$B$10)*A117*10/30+('Scénario référence'!$F$8+'Scénario référence'!$F$9)*10)</f>
        <v>10</v>
      </c>
      <c r="AF117" s="12" t="e">
        <f>VLOOKUP(A117,'Données projet'!$A$61:$I$81,2,0)</f>
        <v>#N/A</v>
      </c>
      <c r="AG117" s="12" t="e">
        <f>VLOOKUP(A117,'Données projet'!$A$61:$I$81,9,0)</f>
        <v>#N/A</v>
      </c>
      <c r="AH117" s="12">
        <f t="array" ref="AH117">INDEX(AG:AG,MIN(IF(ISNUMBER(AG117:AG313),ROW(AG117:AG313),"")))</f>
        <v>0</v>
      </c>
      <c r="AI117" s="13">
        <f>IF('Données projet'!$A$62&gt;35,AI116+AH117-AQ116,IF(A117&lt;'Données projet'!$A$62,$AF$205^A117,IF(A117='Données projet'!$A$62,'Données projet'!$B$62,AI116+AH117-AQ116)))</f>
        <v>0</v>
      </c>
      <c r="AJ117" s="13">
        <f>AI117*VLOOKUP('Données projet'!$B$10,Paramètres!$A$1:$I$89,3,0)*VLOOKUP('Données projet'!$B$10,Paramètres!$A$1:$I$89,5,0)</f>
        <v>0</v>
      </c>
      <c r="AK117" s="13" t="e">
        <f t="shared" si="89"/>
        <v>#NUM!</v>
      </c>
      <c r="AL117" s="20" t="e">
        <f t="shared" si="58"/>
        <v>#NUM!</v>
      </c>
      <c r="AM117" s="59" t="e">
        <f t="shared" si="59"/>
        <v>#NUM!</v>
      </c>
      <c r="AN117" s="59">
        <f ca="1">AVERAGE(OFFSET($AM$3,0,0,'Données projet'!$E$10+1,1))-AVERAGE(OFFSET($H$3,0,0,'Données projet'!$E$10+1,1))</f>
        <v>261.78489480911571</v>
      </c>
      <c r="AO117" s="59">
        <f t="shared" si="90"/>
        <v>297.50513563712764</v>
      </c>
      <c r="AP117" s="15">
        <f>IF(ISNA(VLOOKUP(A117,'Données projet'!$A$61:$I$81,3,0)),0,VLOOKUP(A117,'Données projet'!$A$61:$I$81,3,0))</f>
        <v>0</v>
      </c>
      <c r="AQ117" s="15">
        <f>IF(ISNA(VLOOKUP(A117,'Données projet'!$A$61:$I$81,4,0)),0,VLOOKUP(A117,'Données projet'!$A$61:$I$81,4,0))</f>
        <v>0</v>
      </c>
      <c r="AR117" s="16">
        <f>IF(ISNA(VLOOKUP(A117,'Données projet'!$A$61:$I$81,5,0)),0%,VLOOKUP(A117,'Données projet'!$A$61:$I$81,5,0)*VLOOKUP('Données projet'!$B$10,Paramètres!$A$1:$I$89,7,0))</f>
        <v>0</v>
      </c>
      <c r="AS117" s="16">
        <f>IF(ISNA(VLOOKUP(A117,'Données projet'!$A$61:$I$81,6,0)),0%,VLOOKUP(A117,'Données projet'!$A$61:$I$81,6,0)*VLOOKUP('Données projet'!$B$10,Paramètres!$A$1:$I$89,7,0))</f>
        <v>0</v>
      </c>
      <c r="AT117" s="16">
        <f>IF(ISNA(VLOOKUP(A117,'Données projet'!$A$61:$I$81,7,0)),0%,VLOOKUP(A117,'Données projet'!$A$61:$I$81,7,0))</f>
        <v>0</v>
      </c>
      <c r="AU117" s="21">
        <f>EXP(-LN(2)/35)*AU116+(1-EXP(-LN(2)/35))/(LN(2)/35)*AQ117*AR117*VLOOKUP('Données projet'!$B$10,Paramètres!$A$1:$I$89,3,0)*0.475*44/12</f>
        <v>1.5808894041928874</v>
      </c>
      <c r="AV117" s="21">
        <f>EXP(-LN(2)/25)*AV116+(1-EXP(-LN(2)/25))/(LN(2)/25)*Calculateur!AQ117*Calculateur!AS117*VLOOKUP('Données projet'!$B$10,Paramètres!$A$1:$I$89,3,0)*0.475*44/12</f>
        <v>2.7144017199182953</v>
      </c>
      <c r="AW117" s="21">
        <f>EXP(-LN(2)/2)*AW116+(1-EXP(-LN(2)/2))/(LN(2)/2)*AQ117*AT117*VLOOKUP('Données projet'!$B$10,Paramètres!$A$1:$I$89,3,0)*0.475*44/12</f>
        <v>5.5481885139924725E-12</v>
      </c>
      <c r="AX117" s="21">
        <f t="shared" si="60"/>
        <v>4.2952911241167309</v>
      </c>
      <c r="AY117" s="74">
        <f>('Scénario référence'!$F$8+'Scénario référence'!$F$9+'Scénario référence'!$B$17+'Scénario référence'!$B$9+'Scénario référence'!$B$10)*70+IF((45+25*(1-EXP(-0.0175*A117)))&lt;70,'Scénario référence'!$B$16*(45+25*(1-EXP(-0.0175*A117))),70*'Scénario référence'!$B$16)+IF((32+38*(1-EXP(-0.0175*A117)))&lt;70,'Scénario référence'!$B$18*(32+38*(1-EXP(-0.0175*A117))),70*'Scénario référence'!$B$18)</f>
        <v>70</v>
      </c>
      <c r="AZ117" s="12">
        <f>IF(A117&gt;30,10,('Scénario référence'!$B$16+'Scénario référence'!$B$17+'Scénario référence'!$B$18+'Scénario référence'!$B$9+'Scénario référence'!$B$10)*A117*10/30+('Scénario référence'!$F$8+'Scénario référence'!$F$9)*10)</f>
        <v>10</v>
      </c>
      <c r="BA117" s="12" t="e">
        <f>VLOOKUP(A117,'Données projet'!$A$87:$I$107,2,0)</f>
        <v>#N/A</v>
      </c>
      <c r="BB117" s="12" t="e">
        <f>VLOOKUP(A117,'Données projet'!$A$87:$I$107,9,0)</f>
        <v>#N/A</v>
      </c>
      <c r="BC117" s="12">
        <f t="array" ref="BC117">INDEX(BB:BB,MIN(IF(ISNUMBER(BB117:BB313),ROW(BB117:BB313),"")))</f>
        <v>0</v>
      </c>
      <c r="BD117" s="12">
        <f>IF('Données projet'!$A$88&gt;35,BD116+BC117-BL116,IF(A117&lt;'Données projet'!$A$88,$BA$205^A117,IF(A117='Données projet'!$A$88,'Données projet'!$B$88,BD116+BC117-BL116)))</f>
        <v>553.99999999999955</v>
      </c>
      <c r="BE117" s="13">
        <f>BD117*VLOOKUP('Données projet'!$B$11,Paramètres!$A$1:$I$89,3,0)*VLOOKUP('Données projet'!$B$11,Paramètres!$A$1:$I$89,5,0)</f>
        <v>331.29199999999975</v>
      </c>
      <c r="BF117" s="13">
        <f t="shared" si="91"/>
        <v>77.698110787752</v>
      </c>
      <c r="BG117" s="20">
        <f t="shared" si="61"/>
        <v>712.32444295533423</v>
      </c>
      <c r="BH117" s="59">
        <f t="shared" si="62"/>
        <v>1005.6577762886675</v>
      </c>
      <c r="BI117" s="59">
        <f ca="1">AVERAGE(OFFSET($BH$3,0,0,'Données projet'!$E$11+1,1))-AVERAGE(OFFSET($H$3,0,0,'Données projet'!$E$11+1,1))</f>
        <v>316.58509520829671</v>
      </c>
      <c r="BJ117" s="59">
        <f t="shared" si="92"/>
        <v>240.71332110643596</v>
      </c>
      <c r="BK117" s="15">
        <f>IF(ISNA(VLOOKUP(A117,'Données projet'!$A$87:$I$107,3,0)),0,VLOOKUP(A117,'Données projet'!$A$87:$I$107,3,0))</f>
        <v>0</v>
      </c>
      <c r="BL117" s="15">
        <f>IF(ISNA(VLOOKUP(A117,'Données projet'!$A$87:$I$107,4,0)),0,VLOOKUP(A117,'Données projet'!$A$87:$I$107,4,0))</f>
        <v>0</v>
      </c>
      <c r="BM117" s="16">
        <f>IF(ISNA(VLOOKUP(A117,'Données projet'!$A$87:$I$107,5,0)),0%,VLOOKUP(A117,'Données projet'!$A$87:$I$107,5,0)*VLOOKUP('Données projet'!$B$11,Paramètres!$A$1:$I$89,7,0))</f>
        <v>0</v>
      </c>
      <c r="BN117" s="16">
        <f>IF(ISNA(VLOOKUP(A117,'Données projet'!$A$87:$I$107,6,0)),0%,VLOOKUP(A117,'Données projet'!$A$87:$I$107,6,0)*VLOOKUP('Données projet'!$B$11,Paramètres!$A$1:$I$89,7,0))</f>
        <v>0</v>
      </c>
      <c r="BO117" s="16">
        <f>IF(ISNA(VLOOKUP(A117,'Données projet'!$A$87:$I$107,7,0)),0%,VLOOKUP(A117,'Données projet'!$A$87:$I$107,7,0))</f>
        <v>0</v>
      </c>
      <c r="BP117" s="21">
        <f>EXP(-LN(2)/35)*BP116+(1-EXP(-LN(2)/35))/(LN(2)/35)*BL117*BM117*VLOOKUP('Données projet'!$B$11,Paramètres!$A$1:$I$89,3,0)*0.475*44/12</f>
        <v>0.48020691909356134</v>
      </c>
      <c r="BQ117" s="21">
        <f>EXP(-LN(2)/25)*BQ116+(1-EXP(-LN(2)/25))/(LN(2)/25)*Calculateur!BL117*Calculateur!BN117*VLOOKUP('Données projet'!$B$11,Paramètres!$A$1:$I$89,3,0)*0.475*44/12</f>
        <v>1.4870284631925177</v>
      </c>
      <c r="BR117" s="21">
        <f>EXP(-LN(2)/2)*BR116+(1-EXP(-LN(2)/2))/(LN(2)/2)*BL117*BO117*VLOOKUP('Données projet'!$B$11,Paramètres!$A$1:$I$89,3,0)*0.475*44/12</f>
        <v>4.9884290706679467E-12</v>
      </c>
      <c r="BS117" s="22">
        <f t="shared" si="63"/>
        <v>1.9672353822910675</v>
      </c>
      <c r="BT117" s="75">
        <f>('Scénario référence'!$F$8+'Scénario référence'!$F$9+'Scénario référence'!$B$17+'Scénario référence'!$B$9+'Scénario référence'!$B$10)*70+IF((45+25*(1-EXP(-0.0175*A117)))&lt;70,'Scénario référence'!$B$16*(45+25*(1-EXP(-0.0175*A117))),70*'Scénario référence'!$B$16)+IF((32+38*(1-EXP(-0.0175*A117)))&lt;70,'Scénario référence'!$B$18*(32+38*(1-EXP(-0.0175*A117))),70*'Scénario référence'!$B$18)</f>
        <v>70</v>
      </c>
      <c r="BU117" s="12">
        <f>IF(A117&gt;30,10,('Scénario référence'!$B$16+'Scénario référence'!$B$17+'Scénario référence'!$B$18+'Scénario référence'!$B$9+'Scénario référence'!$B$10)*A117*10/30+('Scénario référence'!$F$8+'Scénario référence'!$F$9)*10)</f>
        <v>10</v>
      </c>
      <c r="BV117" s="12" t="e">
        <f>VLOOKUP(A117,'Données projet'!$A$113:$I$133,2,0)</f>
        <v>#N/A</v>
      </c>
      <c r="BW117" s="12" t="e">
        <f>VLOOKUP(A117,'Données projet'!$A$113:$I$133,9,0)</f>
        <v>#N/A</v>
      </c>
      <c r="BX117" s="12">
        <f t="array" ref="BX117">INDEX(BW:BW,MIN(IF(ISNUMBER(BW117:BW313),ROW(BW117:BW313),"")))</f>
        <v>0</v>
      </c>
      <c r="BY117" s="12">
        <f>IF('Données projet'!$A$114&gt;35,BY116+BX117-CG116,IF(A117&lt;'Données projet'!$A$114,$BV$205^A117,IF(A117='Données projet'!$A$114,'Données projet'!$B$114,BY116+BX117-CG116)))</f>
        <v>333.99999999999977</v>
      </c>
      <c r="BZ117" s="13">
        <f>BY117*VLOOKUP('Données projet'!$B$12,Paramètres!$A$1:$I$89,3,0)*VLOOKUP('Données projet'!$B$12,Paramètres!$A$1:$I$89,5,0)</f>
        <v>191.04799999999986</v>
      </c>
      <c r="CA117" s="13">
        <f t="shared" si="93"/>
        <v>47.771576544305155</v>
      </c>
      <c r="CB117" s="20">
        <f t="shared" si="64"/>
        <v>415.94409581466454</v>
      </c>
      <c r="CC117" s="59">
        <f t="shared" si="65"/>
        <v>709.27742914799785</v>
      </c>
      <c r="CD117" s="59">
        <f ca="1">AVERAGE(OFFSET($CC$3,0,0,'Données projet'!$E$12+1,1))-AVERAGE(OFFSET($H$3,0,0,'Données projet'!$E$12+1,1))</f>
        <v>188.64374818906128</v>
      </c>
      <c r="CE117" s="59">
        <f t="shared" si="94"/>
        <v>211.95157880548652</v>
      </c>
      <c r="CF117" s="15">
        <f>IF(ISNA(VLOOKUP(A117,'Données projet'!$A$113:$I$133,3,0)),0,VLOOKUP(A117,'Données projet'!$A$113:$I$133,3,0))</f>
        <v>0</v>
      </c>
      <c r="CG117" s="15">
        <f>IF(ISNA(VLOOKUP(A117,'Données projet'!$A$113:$I$133,4,0)),0,VLOOKUP(A117,'Données projet'!$A$113:$I$133,4,0))</f>
        <v>0</v>
      </c>
      <c r="CH117" s="16">
        <f>IF(ISNA(VLOOKUP(A117,'Données projet'!$A$113:$I$133,5,0)),0%,VLOOKUP(A117,'Données projet'!$A$113:$I$133,5,0)*VLOOKUP('Données projet'!$B$12,Paramètres!$A$1:$I$89,7,0))</f>
        <v>0</v>
      </c>
      <c r="CI117" s="16">
        <f>IF(ISNA(VLOOKUP(A117,'Données projet'!$A$113:$I$133,6,0)),0%,VLOOKUP(A117,'Données projet'!$A$113:$I$133,6,0)*VLOOKUP('Données projet'!$B$12,Paramètres!$A$1:$I$89,7,0))</f>
        <v>0</v>
      </c>
      <c r="CJ117" s="16">
        <f>IF(ISNA(VLOOKUP(A117,'Données projet'!$A$113:$I$133,7,0)),0%,VLOOKUP(A117,'Données projet'!$A$113:$I$133,7,0))</f>
        <v>0</v>
      </c>
      <c r="CK117" s="21">
        <f>EXP(-LN(2)/35)*CK116+(1-EXP(-LN(2)/35))/(LN(2)/35)*CG117*CH117*VLOOKUP('Données projet'!$B$12,Paramètres!$A$1:$I$89,3,0)*0.475*44/12</f>
        <v>0.46579777087826124</v>
      </c>
      <c r="CL117" s="21">
        <f>EXP(-LN(2)/25)*CL116+(1-EXP(-LN(2)/25))/(LN(2)/25)*Calculateur!CG117*Calculateur!CI117*VLOOKUP('Données projet'!$B$12,Paramètres!$A$1:$I$89,3,0)*0.475*44/12</f>
        <v>1.3996248585024269</v>
      </c>
      <c r="CM117" s="21">
        <f>EXP(-LN(2)/2)*CM116+(1-EXP(-LN(2)/2))/(LN(2)/2)*CG117*CJ117*VLOOKUP('Données projet'!$B$12,Paramètres!$A$1:$I$89,3,0)*0.475*44/12</f>
        <v>4.8309032544548828E-12</v>
      </c>
      <c r="CN117" s="22">
        <f t="shared" si="66"/>
        <v>1.8654226293855189</v>
      </c>
      <c r="CO117" s="75">
        <f>('Scénario référence'!$F$8+'Scénario référence'!$F$9+'Scénario référence'!$B$17+'Scénario référence'!$B$9+'Scénario référence'!$B$10)*70+IF((45+25*(1-EXP(-0.0175*A117)))&lt;70,'Scénario référence'!$B$16*(45+25*(1-EXP(-0.0175*A117))),70*'Scénario référence'!$B$16)+IF((32+38*(1-EXP(-0.0175*A117)))&lt;70,'Scénario référence'!$B$18*(32+38*(1-EXP(-0.0175*A117))),70*'Scénario référence'!$B$18)</f>
        <v>70</v>
      </c>
      <c r="CP117" s="12">
        <f>IF(A117&gt;30,10,('Scénario référence'!$B$16+'Scénario référence'!$B$17+'Scénario référence'!$B$18+'Scénario référence'!$B$9+'Scénario référence'!$B$10)*A117*10/30+('Scénario référence'!$F$8+'Scénario référence'!$F$9)*10)</f>
        <v>10</v>
      </c>
      <c r="CQ117" s="12" t="e">
        <f>VLOOKUP(A117,'Données projet'!$A$139:$I$159,2,0)</f>
        <v>#N/A</v>
      </c>
      <c r="CR117" s="12" t="e">
        <f>VLOOKUP(A117,'Données projet'!$A$139:$I$159,9,0)</f>
        <v>#N/A</v>
      </c>
      <c r="CS117" s="12">
        <f t="array" ref="CS117">INDEX(CR:CR,MIN(IF(ISNUMBER(CR117:CR313),ROW(CR117:CR313),"")))</f>
        <v>0</v>
      </c>
      <c r="CT117" s="12">
        <f>IF('Données projet'!$A$140&gt;35,CT116+CS117-DB116,IF(A117&lt;'Données projet'!$A$140,$CQ$205^A117,IF(A117='Données projet'!$A$140,'Données projet'!$B$140,CT116+CS117-DB116)))</f>
        <v>0</v>
      </c>
      <c r="CU117" s="17" t="e">
        <f>CT117*VLOOKUP('Données projet'!$B$13,Paramètres!$A$1:$I$89,3,0)*VLOOKUP('Données projet'!$B$13,Paramètres!$A$1:$I$89,5,0)</f>
        <v>#N/A</v>
      </c>
      <c r="CV117" s="13" t="e">
        <f t="shared" si="95"/>
        <v>#N/A</v>
      </c>
      <c r="CW117" s="20" t="e">
        <f t="shared" si="67"/>
        <v>#N/A</v>
      </c>
      <c r="CX117" s="59" t="e">
        <f t="shared" si="68"/>
        <v>#N/A</v>
      </c>
      <c r="CY117" s="59" t="e">
        <f ca="1">AVERAGE(OFFSET($CX$3,0,0,'Données projet'!$E$13+1,1))-AVERAGE(OFFSET($H$3,0,0,'Données projet'!$E$13+1,1))</f>
        <v>#N/A</v>
      </c>
      <c r="CZ117" s="59" t="e">
        <f t="shared" si="96"/>
        <v>#N/A</v>
      </c>
      <c r="DA117" s="15">
        <f>IF(ISNA(VLOOKUP(A117,'Données projet'!$A$139:$I$159,3,0)),0,VLOOKUP(A117,'Données projet'!$A$139:$I$159,3,0))</f>
        <v>0</v>
      </c>
      <c r="DB117" s="15">
        <f>IF(ISNA(VLOOKUP(A117,'Données projet'!$A$139:$I$159,4,0)),0,VLOOKUP(A117,'Données projet'!$A$139:$I$159,4,0))</f>
        <v>0</v>
      </c>
      <c r="DC117" s="16">
        <f>IF(ISNA(VLOOKUP(A117,'Données projet'!$A$139:$I$159,5,0)),0%,VLOOKUP(A117,'Données projet'!$A$139:$I$159,5,0)*VLOOKUP('Données projet'!$B$13,Paramètres!$A$1:$I$89,7,0))</f>
        <v>0</v>
      </c>
      <c r="DD117" s="16">
        <f>IF(ISNA(VLOOKUP(A117,'Données projet'!$A$139:$I$159,6,0)),0%,VLOOKUP(A117,'Données projet'!$A$139:$I$159,6,0)*VLOOKUP('Données projet'!$B$13,Paramètres!$A$1:$I$89,7,0))</f>
        <v>0</v>
      </c>
      <c r="DE117" s="16">
        <f>IF(ISNA(VLOOKUP(A117,'Données projet'!$A$139:$I$159,7,0)),0%,VLOOKUP(A117,'Données projet'!$A$139:$I$159,7,0))</f>
        <v>0</v>
      </c>
      <c r="DF117" s="21" t="e">
        <f>EXP(-LN(2)/35)*DF116+(1-EXP(-LN(2)/35))/(LN(2)/35)*DB117*DC117*VLOOKUP('Données projet'!$B$13,Paramètres!$A$1:$I$89,3,0)*0.475*44/12</f>
        <v>#N/A</v>
      </c>
      <c r="DG117" s="21" t="e">
        <f>EXP(-LN(2)/25)*DG116+(1-EXP(-LN(2)/25))/(LN(2)/25)*Calculateur!DB117*Calculateur!DD117*VLOOKUP('Données projet'!$B$13,Paramètres!$A$1:$I$89,3,0)*0.475*44/12</f>
        <v>#N/A</v>
      </c>
      <c r="DH117" s="21" t="e">
        <f>EXP(-LN(2)/2)*DH116+(1-EXP(-LN(2)/2))/(LN(2)/2)*DB117*DE117*VLOOKUP('Données projet'!$B$13,Paramètres!$A$1:$I$89,3,0)*0.475*44/12</f>
        <v>#N/A</v>
      </c>
      <c r="DI117" s="22" t="e">
        <f t="shared" si="69"/>
        <v>#N/A</v>
      </c>
      <c r="DJ117" s="75">
        <f>('Scénario référence'!$F$8+'Scénario référence'!$F$9+'Scénario référence'!$B$17+'Scénario référence'!$B$9+'Scénario référence'!$B$10)*70+IF((45+25*(1-EXP(-0.0175*A117)))&lt;70,'Scénario référence'!$B$16*(45+25*(1-EXP(-0.0175*A117))),70*'Scénario référence'!$B$16)+IF((32+38*(1-EXP(-0.0175*A117)))&lt;70,'Scénario référence'!$B$18*(32+38*(1-EXP(-0.0175*A117))),70*'Scénario référence'!$B$18)</f>
        <v>70</v>
      </c>
      <c r="DK117" s="12">
        <f>IF(A117&gt;30,10,('Scénario référence'!$B$16+'Scénario référence'!$B$17+'Scénario référence'!$B$18+'Scénario référence'!$B$9+'Scénario référence'!$B$10)*A117*10/30+('Scénario référence'!$F$8+'Scénario référence'!$F$9)*10)</f>
        <v>10</v>
      </c>
      <c r="DL117" s="12" t="e">
        <f>VLOOKUP(A117,'Données projet'!$A$165:$I$185,2,0)</f>
        <v>#N/A</v>
      </c>
      <c r="DM117" s="12" t="e">
        <f>VLOOKUP(A117,'Données projet'!$A$165:$I$185,9,0)</f>
        <v>#N/A</v>
      </c>
      <c r="DN117" s="12">
        <f t="array" ref="DN117">INDEX(DM:DM,MIN(IF(ISNUMBER(DM117:DM313),ROW(DM117:DM313),"")))</f>
        <v>0</v>
      </c>
      <c r="DO117" s="12">
        <f>IF('Données projet'!$A$166&gt;35,DO116+DN117-DW116,IF(A117&lt;'Données projet'!$A$166,$DL$205^A117,IF(A117='Données projet'!$A$166,'Données projet'!$B$166,DO116+DN117-DW116)))</f>
        <v>268.00000000000017</v>
      </c>
      <c r="DP117" s="17">
        <f>DO117*VLOOKUP('Données projet'!$B$14,Paramètres!$A$1:$I$89,3,0)*VLOOKUP('Données projet'!$B$14,Paramètres!$A$1:$I$89,5,0)</f>
        <v>175.59360000000012</v>
      </c>
      <c r="DQ117" s="13">
        <f t="shared" si="97"/>
        <v>44.340433728638573</v>
      </c>
      <c r="DR117" s="20">
        <f t="shared" si="70"/>
        <v>383.05177541071242</v>
      </c>
      <c r="DS117" s="59">
        <f t="shared" si="71"/>
        <v>676.38510874404574</v>
      </c>
      <c r="DT117" s="59">
        <f ca="1">AVERAGE(OFFSET($DS$3,0,0,'Données projet'!$E$14+1,1))-AVERAGE(OFFSET($H$3,0,0,'Données projet'!$E$14+1,1))</f>
        <v>188.68915783955595</v>
      </c>
      <c r="DU117" s="59">
        <f t="shared" si="98"/>
        <v>240.82467772396944</v>
      </c>
      <c r="DV117" s="15">
        <f>IF(ISNA(VLOOKUP(A117,'Données projet'!$A$165:$I$185,3,0)),0,VLOOKUP(A117,'Données projet'!$A$165:$I$185,3,0))</f>
        <v>0</v>
      </c>
      <c r="DW117" s="15">
        <f>IF(ISNA(VLOOKUP(A117,'Données projet'!$A$165:$I$185,4,0)),0,VLOOKUP(A117,'Données projet'!$A$165:$I$185,4,0))</f>
        <v>0</v>
      </c>
      <c r="DX117" s="16">
        <f>IF(ISNA(VLOOKUP(A117,'Données projet'!$A$165:$I$185,5,0)),0%,VLOOKUP(A117,'Données projet'!$A$165:$I$185,5,0)*VLOOKUP('Données projet'!$B$14,Paramètres!$A$1:$I$89,7,0))</f>
        <v>0</v>
      </c>
      <c r="DY117" s="16">
        <f>IF(ISNA(VLOOKUP(A117,'Données projet'!$A$165:$I$185,6,0)),0%,VLOOKUP(A117,'Données projet'!$A$165:$I$185,6,0)*VLOOKUP('Données projet'!$B$14,Paramètres!$A$1:$I$89,7,0))</f>
        <v>0</v>
      </c>
      <c r="DZ117" s="16">
        <f>IF(ISNA(VLOOKUP(A117,'Données projet'!$A$165:$I$185,7,0)),0%,VLOOKUP(A117,'Données projet'!$A$165:$I$185,7,0))</f>
        <v>0</v>
      </c>
      <c r="EA117" s="21">
        <f>EXP(-LN(2)/35)*EA116+(1-EXP(-LN(2)/35))/(LN(2)/35)*DW117*DX117*VLOOKUP('Données projet'!$B$14,Paramètres!$A$1:$I$89,3,0)*0.475*44/12</f>
        <v>0.29504446345613755</v>
      </c>
      <c r="EB117" s="21">
        <f>EXP(-LN(2)/25)*EB116+(1-EXP(-LN(2)/25))/(LN(2)/25)*Calculateur!DW117*Calculateur!DY117*VLOOKUP('Données projet'!$B$14,Paramètres!$A$1:$I$89,3,0)*0.475*44/12</f>
        <v>0.78286845952879403</v>
      </c>
      <c r="EC117" s="21">
        <f>EXP(-LN(2)/2)*EC116+(1-EXP(-LN(2)/2))/(LN(2)/2)*DW117*DZ117*VLOOKUP('Données projet'!$B$14,Paramètres!$A$1:$I$89,3,0)*0.475*44/12</f>
        <v>3.1824147268269115E-12</v>
      </c>
      <c r="ED117" s="22">
        <f t="shared" si="72"/>
        <v>1.0779129229881139</v>
      </c>
      <c r="EE117" s="75">
        <f>('Scénario référence'!$F$8+'Scénario référence'!$F$9+'Scénario référence'!$B$17+'Scénario référence'!$B$9+'Scénario référence'!$B$10)*70+IF((45+25*(1-EXP(-0.0175*A117)))&lt;70,'Scénario référence'!$B$16*(45+25*(1-EXP(-0.0175*A117))),70*'Scénario référence'!$B$16)+IF((32+38*(1-EXP(-0.0175*A117)))&lt;70,'Scénario référence'!$B$18*(32+38*(1-EXP(-0.0175*A117))),70*'Scénario référence'!$B$18)</f>
        <v>70</v>
      </c>
      <c r="EF117" s="12">
        <f>IF(A117&gt;30,10,('Scénario référence'!$B$16+'Scénario référence'!$B$17+'Scénario référence'!$B$18+'Scénario référence'!$B$9+'Scénario référence'!$B$10)*A117*10/30+('Scénario référence'!$F$8+'Scénario référence'!$F$9)*10)</f>
        <v>10</v>
      </c>
      <c r="EG117" s="12" t="e">
        <f>VLOOKUP(A117,'Données projet'!$A$191:$I$211,2,0)</f>
        <v>#N/A</v>
      </c>
      <c r="EH117" s="12" t="e">
        <f>VLOOKUP(A117,'Données projet'!$A$191:$I$211,9,0)</f>
        <v>#N/A</v>
      </c>
      <c r="EI117" s="12">
        <f t="array" ref="EI117">INDEX(EH:EH,MIN(IF(ISNUMBER(EH117:EH313),ROW(EH117:EH313),"")))</f>
        <v>0</v>
      </c>
      <c r="EJ117" s="12">
        <f>IF('Données projet'!$A$192&gt;35,EJ116+EI117-ER116,IF(A117&lt;'Données projet'!$A$192,$EG$205^A117,IF(A117='Données projet'!$A$192,'Données projet'!$B$192,EJ116+EI117-ER116)))</f>
        <v>275.99999999999972</v>
      </c>
      <c r="EK117" s="17">
        <f>EJ117*VLOOKUP('Données projet'!$B$15,Paramètres!$A$1:$I$89,3,0)*VLOOKUP('Données projet'!$B$15,Paramètres!$A$1:$I$89,5,0)</f>
        <v>223.8911999999998</v>
      </c>
      <c r="EL117" s="13">
        <f t="shared" si="99"/>
        <v>54.95975389514858</v>
      </c>
      <c r="EM117" s="20">
        <f t="shared" si="73"/>
        <v>485.66541136738346</v>
      </c>
      <c r="EN117" s="59">
        <f t="shared" si="74"/>
        <v>778.99874470071677</v>
      </c>
      <c r="EO117" s="59">
        <f ca="1">AVERAGE(OFFSET($EN$3,0,0,'Données projet'!$E$15+1,1))-AVERAGE(OFFSET($H$3,0,0,'Données projet'!$E$15+1,1))</f>
        <v>205.5272583787887</v>
      </c>
      <c r="EP117" s="59">
        <f t="shared" si="100"/>
        <v>180.54762778843178</v>
      </c>
      <c r="EQ117" s="15">
        <f>IF(ISNA(VLOOKUP(A117,'Données projet'!$A$191:$I$211,3,0)),0,VLOOKUP(A117,'Données projet'!$A$191:$I$211,3,0))</f>
        <v>0</v>
      </c>
      <c r="ER117" s="15">
        <f>IF(ISNA(VLOOKUP(A117,'Données projet'!$A$191:$I$211,4,0)),0,VLOOKUP(A117,'Données projet'!$A$191:$I$211,4,0))</f>
        <v>0</v>
      </c>
      <c r="ES117" s="16">
        <f>IF(ISNA(VLOOKUP(A117,'Données projet'!$A$191:$I$211,5,0)),0%,VLOOKUP(A117,'Données projet'!$A$191:$I$211,5,0)*VLOOKUP('Données projet'!$B$15,Paramètres!$A$1:$I$89,7,0))</f>
        <v>0</v>
      </c>
      <c r="ET117" s="16">
        <f>IF(ISNA(VLOOKUP(A117,'Données projet'!$A$191:$I$211,6,0)),0%,VLOOKUP(A117,'Données projet'!$A$191:$I$211,6,0)*VLOOKUP('Données projet'!$B$15,Paramètres!$A$1:$I$89,7,0))</f>
        <v>0</v>
      </c>
      <c r="EU117" s="16">
        <f>IF(ISNA(VLOOKUP(A117,'Données projet'!$A$191:$I$211,7,0)),0%,VLOOKUP(A117,'Données projet'!$A$191:$I$211,7,0))</f>
        <v>0</v>
      </c>
      <c r="EV117" s="21">
        <f>EXP(-LN(2)/35)*EV116+(1-EXP(-LN(2)/35))/(LN(2)/35)*ER117*ES117*VLOOKUP('Données projet'!$B$15,Paramètres!$A$1:$I$89,3,0)*0.475*44/12</f>
        <v>0.18995243552033239</v>
      </c>
      <c r="EW117" s="21">
        <f>EXP(-LN(2)/25)*EW116+(1-EXP(-LN(2)/25))/(LN(2)/25)*Calculateur!ER117*Calculateur!ET117*VLOOKUP('Données projet'!$B$15,Paramètres!$A$1:$I$89,3,0)*0.475*44/12</f>
        <v>0.56525477684988301</v>
      </c>
      <c r="EX117" s="21">
        <f>EXP(-LN(2)/2)*EX116+(1-EXP(-LN(2)/2))/(LN(2)/2)*ER117*EU117*VLOOKUP('Données projet'!$B$15,Paramètres!$A$1:$I$89,3,0)*0.475*44/12</f>
        <v>2.0606158887812723E-12</v>
      </c>
      <c r="EY117" s="22">
        <f t="shared" si="75"/>
        <v>0.75520721237227595</v>
      </c>
      <c r="EZ117" s="75">
        <f>('Scénario référence'!$F$8+'Scénario référence'!$F$9+'Scénario référence'!$B$17+'Scénario référence'!$B$9+'Scénario référence'!$B$10)*70+IF((45+25*(1-EXP(-0.0175*A117)))&lt;70,'Scénario référence'!$B$16*(45+25*(1-EXP(-0.0175*A117))),70*'Scénario référence'!$B$16)+IF((32+38*(1-EXP(-0.0175*A117)))&lt;70,'Scénario référence'!$B$18*(32+38*(1-EXP(-0.0175*A117))),70*'Scénario référence'!$B$18)</f>
        <v>70</v>
      </c>
      <c r="FA117" s="12">
        <f>IF(A117&gt;30,10,('Scénario référence'!$B$16+'Scénario référence'!$B$17+'Scénario référence'!$B$18+'Scénario référence'!$B$9+'Scénario référence'!$B$10)*A117*10/30+('Scénario référence'!$F$8+'Scénario référence'!$F$9)*10)</f>
        <v>10</v>
      </c>
      <c r="FB117" s="12" t="e">
        <f>VLOOKUP(A117,'Données projet'!$A$217:$I$237,2,0)</f>
        <v>#N/A</v>
      </c>
      <c r="FC117" s="12" t="e">
        <f>VLOOKUP(A117,'Données projet'!$A$217:$I$237,9,0)</f>
        <v>#N/A</v>
      </c>
      <c r="FD117" s="12">
        <f t="array" ref="FD117">INDEX(FC:FC,MIN(IF(ISNUMBER(FC117:FC313),ROW(FC117:FC313),"")))</f>
        <v>7.4</v>
      </c>
      <c r="FE117" s="12">
        <f>IF('Données projet'!$A$218&gt;35,FE116+FD117-FM116,IF(A117&lt;'Données projet'!$A$218,$FB$205^A117,IF(A117='Données projet'!$A$218,'Données projet'!$B$218,FE116+FD117-FM116)))</f>
        <v>407.59999999999997</v>
      </c>
      <c r="FF117" s="17">
        <f>FE117*VLOOKUP('Données projet'!$B$16,Paramètres!$A$1:$I$89,3,0)*VLOOKUP('Données projet'!$B$16,Paramètres!$A$1:$I$89,5,0)</f>
        <v>349.7208</v>
      </c>
      <c r="FG117" s="13">
        <f t="shared" si="101"/>
        <v>81.505018388531752</v>
      </c>
      <c r="FH117" s="20">
        <f t="shared" si="76"/>
        <v>751.05163369335958</v>
      </c>
      <c r="FI117" s="59">
        <f t="shared" si="77"/>
        <v>1044.3849670266929</v>
      </c>
      <c r="FJ117" s="59">
        <f ca="1">AVERAGE(OFFSET($FI$3,0,0,'Données projet'!$E$16+1,1))-AVERAGE(OFFSET($H$3,0,0,'Données projet'!$E$16+1,1))</f>
        <v>383.97627237444709</v>
      </c>
      <c r="FK117" s="59">
        <f t="shared" si="102"/>
        <v>203.35476578922339</v>
      </c>
      <c r="FL117" s="15">
        <f>IF(ISNA(VLOOKUP(A117,'Données projet'!$A$217:$I$237,3,0)),0,VLOOKUP(A117,'Données projet'!$A$217:$I$237,3,0))</f>
        <v>0</v>
      </c>
      <c r="FM117" s="15">
        <f>IF(ISNA(VLOOKUP(A117,'Données projet'!$A$217:$I$237,4,0)),0,VLOOKUP(A117,'Données projet'!$A$217:$I$237,4,0))</f>
        <v>0</v>
      </c>
      <c r="FN117" s="16">
        <f>IF(ISNA(VLOOKUP(A117,'Données projet'!$A$217:$I$237,5,0)),0%,VLOOKUP(A117,'Données projet'!$A$217:$I$237,5,0)*VLOOKUP('Données projet'!$B$16,Paramètres!$A$1:$I$89,7,0))</f>
        <v>0</v>
      </c>
      <c r="FO117" s="16">
        <f>IF(ISNA(VLOOKUP(A117,'Données projet'!$A$217:$I$237,6,0)),0%,VLOOKUP(A117,'Données projet'!$A$217:$I$237,6,0)*VLOOKUP('Données projet'!$B$16,Paramètres!$A$1:$I$89,7,0))</f>
        <v>0</v>
      </c>
      <c r="FP117" s="16">
        <f>IF(ISNA(VLOOKUP(A117,'Données projet'!$A$217:$I$237,7,0)),0%,VLOOKUP(A117,'Données projet'!$A$217:$I$237,7,0))</f>
        <v>0</v>
      </c>
      <c r="FQ117" s="21">
        <f>EXP(-LN(2)/35)*FQ116+(1-EXP(-LN(2)/35))/(LN(2)/35)*FM117*FN117*VLOOKUP('Données projet'!$B$16,Paramètres!$A$1:$I$89,3,0)*0.475*44/12</f>
        <v>0.97625246539203681</v>
      </c>
      <c r="FR117" s="21">
        <f>EXP(-LN(2)/25)*FR116+(1-EXP(-LN(2)/25))/(LN(2)/25)*Calculateur!FM117*Calculateur!FO117*VLOOKUP('Données projet'!$B$16,Paramètres!$A$1:$I$89,3,0)*0.475*44/12</f>
        <v>0.57379202313632571</v>
      </c>
      <c r="FS117" s="21">
        <f>EXP(-LN(2)/2)*FS116+(1-EXP(-LN(2)/2))/(LN(2)/2)*FM117*FP117*VLOOKUP('Données projet'!$B$16,Paramètres!$A$1:$I$89,3,0)*0.475*44/12</f>
        <v>3.7849284880826171E-12</v>
      </c>
      <c r="FT117" s="22">
        <f t="shared" si="78"/>
        <v>1.5500444885321474</v>
      </c>
      <c r="FU117" s="75">
        <f>('Scénario référence'!$F$8+'Scénario référence'!$F$9+'Scénario référence'!$B$17+'Scénario référence'!$B$9+'Scénario référence'!$B$10)*70+IF((45+25*(1-EXP(-0.0175*A117)))&lt;70,'Scénario référence'!$B$16*(45+25*(1-EXP(-0.0175*A117))),70*'Scénario référence'!$B$16)+IF((32+38*(1-EXP(-0.0175*A117)))&lt;70,'Scénario référence'!$B$18*(32+38*(1-EXP(-0.0175*A117))),70*'Scénario référence'!$B$18)</f>
        <v>70</v>
      </c>
      <c r="FV117" s="12">
        <f>IF(A117&gt;30,10,('Scénario référence'!$B$16+'Scénario référence'!$B$17+'Scénario référence'!$B$18+'Scénario référence'!$B$9+'Scénario référence'!$B$10)*A117*10/30+('Scénario référence'!$F$8+'Scénario référence'!$F$9)*10)</f>
        <v>10</v>
      </c>
      <c r="FW117" s="12" t="e">
        <f>VLOOKUP(A117,'Données projet'!$A$243:$I$263,2,0)</f>
        <v>#N/A</v>
      </c>
      <c r="FX117" s="12" t="e">
        <f>VLOOKUP(A117,'Données projet'!$A$243:$I$263,9,0)</f>
        <v>#N/A</v>
      </c>
      <c r="FY117" s="12">
        <f t="array" ref="FY117">INDEX(FX:FX,MIN(IF(ISNUMBER(FX117:FX313),ROW(FX117:FX313),"")))</f>
        <v>6.8461538461538511</v>
      </c>
      <c r="FZ117" s="12">
        <f>IF('Données projet'!$A$244&gt;35,FZ116+FY117-GH116,IF(A117&lt;'Données projet'!$A$244,$FW$205^A117,IF(A117='Données projet'!$A$244,'Données projet'!$B$244,FZ116+FY117-GH116)))</f>
        <v>323.10897435897459</v>
      </c>
      <c r="GA117" s="17">
        <f>FZ117*VLOOKUP('Données projet'!$B$17,Paramètres!$A$1:$I$89,3,0)*VLOOKUP('Données projet'!$B$17,Paramètres!$A$1:$I$89,5,0)</f>
        <v>347.79450000000026</v>
      </c>
      <c r="GB117" s="13">
        <f t="shared" si="103"/>
        <v>81.108208939911421</v>
      </c>
      <c r="GC117" s="20">
        <f t="shared" si="79"/>
        <v>747.00555140367942</v>
      </c>
      <c r="GD117" s="59">
        <f t="shared" si="80"/>
        <v>1040.3388847370127</v>
      </c>
      <c r="GE117" s="59">
        <f ca="1">AVERAGE(OFFSET($GD$3,0,0,'Données projet'!$E$17+1,1))-AVERAGE(OFFSET($H$3,0,0,'Données projet'!$E$17+1,1))</f>
        <v>286.77702855541287</v>
      </c>
      <c r="GF117" s="59">
        <f t="shared" si="104"/>
        <v>227.12211541860779</v>
      </c>
      <c r="GG117" s="15">
        <f>IF(ISNA(VLOOKUP(A117,'Données projet'!$A$243:$I$263,3,0)),0,VLOOKUP(A117,'Données projet'!$A$243:$I$263,3,0))</f>
        <v>0</v>
      </c>
      <c r="GH117" s="15">
        <f>IF(ISNA(VLOOKUP(A117,'Données projet'!$A$243:$I$263,4,0)),0,VLOOKUP(A117,'Données projet'!$A$243:$I$263,4,0))</f>
        <v>0</v>
      </c>
      <c r="GI117" s="16">
        <f>IF(ISNA(VLOOKUP(A117,'Données projet'!$A$243:$I$263,5,0)),0%,VLOOKUP(A117,'Données projet'!$A$243:$I$263,5,0)*VLOOKUP('Données projet'!$B$17,Paramètres!$A$1:$I$89,7,0))</f>
        <v>0</v>
      </c>
      <c r="GJ117" s="16">
        <f>IF(ISNA(VLOOKUP(A117,'Données projet'!$A$243:$I$263,6,0)),0%,VLOOKUP(A117,'Données projet'!$A$243:$I$263,6,0)*VLOOKUP('Données projet'!$B$17,Paramètres!$A$1:$I$89,7,0))</f>
        <v>0</v>
      </c>
      <c r="GK117" s="16">
        <f>IF(ISNA(VLOOKUP(A117,'Données projet'!$A$243:$I$263,7,0)),0%,VLOOKUP(A117,'Données projet'!$A$243:$I$263,7,0))</f>
        <v>0</v>
      </c>
      <c r="GL117" s="21">
        <f>EXP(-LN(2)/35)*GL116+(1-EXP(-LN(2)/35))/(LN(2)/35)*GH117*GI117*VLOOKUP('Données projet'!$B$17,Paramètres!$A$1:$I$89,3,0)*0.475*44/12</f>
        <v>0</v>
      </c>
      <c r="GM117" s="21">
        <f>EXP(-LN(2)/25)*GM116+(1-EXP(-LN(2)/25))/(LN(2)/25)*Calculateur!GH117*Calculateur!GJ117*VLOOKUP('Données projet'!$B$17,Paramètres!$A$1:$I$89,3,0)*0.475*44/12</f>
        <v>0</v>
      </c>
      <c r="GN117" s="21">
        <f>EXP(-LN(2)/2)*GN116+(1-EXP(-LN(2)/2))/(LN(2)/2)*GH117*GK117*VLOOKUP('Données projet'!$B$17,Paramètres!$A$1:$I$89,3,0)*0.475*44/12</f>
        <v>0</v>
      </c>
      <c r="GO117" s="21">
        <f t="shared" si="81"/>
        <v>0</v>
      </c>
      <c r="GP117" s="75">
        <f>('Scénario référence'!$F$8+'Scénario référence'!$F$9+'Scénario référence'!$B$17+'Scénario référence'!$B$9+'Scénario référence'!$B$10)*70+IF((45+25*(1-EXP(-0.0175*A117)))&lt;70,'Scénario référence'!$B$16*(45+25*(1-EXP(-0.0175*A117))),70*'Scénario référence'!$B$16)+IF((32+38*(1-EXP(-0.0175*A117)))&lt;70,'Scénario référence'!$B$18*(32+38*(1-EXP(-0.0175*A117))),70*'Scénario référence'!$B$18)</f>
        <v>70</v>
      </c>
      <c r="GQ117" s="12">
        <f>IF(A117&gt;30,10,('Scénario référence'!$B$16+'Scénario référence'!$B$17+'Scénario référence'!$B$18+'Scénario référence'!$B$9+'Scénario référence'!$B$10)*A117*10/30+('Scénario référence'!$F$8+'Scénario référence'!$F$9)*10)</f>
        <v>10</v>
      </c>
      <c r="GR117" s="12" t="e">
        <f>VLOOKUP(A117,'Données projet'!$A$269:$I$289,2,0)</f>
        <v>#N/A</v>
      </c>
      <c r="GS117" s="12" t="e">
        <f>VLOOKUP(A117,'Données projet'!$A$269:$I$289,9,0)</f>
        <v>#N/A</v>
      </c>
      <c r="GT117" s="12">
        <f t="array" ref="GT117">INDEX(GS:GS,MIN(IF(ISNUMBER(GS117:GS313),ROW(GS117:GS313),"")))</f>
        <v>6.8461538461538511</v>
      </c>
      <c r="GU117" s="12">
        <f>IF('Données projet'!$A$270&gt;35,GU116+GT117-HC116,IF(A117&lt;'Données projet'!$A$270,$GR$205^A117,IF(A117='Données projet'!$A$270,'Données projet'!$B$270,GU116+GT117-HC116)))</f>
        <v>323.10897435897459</v>
      </c>
      <c r="GV117" s="17">
        <f>GU117*VLOOKUP('Données projet'!$B$18,Paramètres!$A$1:$I$89,3,0)*VLOOKUP('Données projet'!$B$18,Paramètres!$A$1:$I$89,5,0)</f>
        <v>347.79450000000026</v>
      </c>
      <c r="GW117" s="13">
        <f t="shared" si="105"/>
        <v>81.108208939911421</v>
      </c>
      <c r="GX117" s="20">
        <f t="shared" si="82"/>
        <v>747.00555140367942</v>
      </c>
      <c r="GY117" s="59">
        <f t="shared" si="83"/>
        <v>1040.3388847370127</v>
      </c>
      <c r="GZ117" s="59">
        <f ca="1">AVERAGE(OFFSET($GY$3,0,0,'Données projet'!$E$18+1,1))-AVERAGE(OFFSET($H$3,0,0,'Données projet'!$E$18+1,1))</f>
        <v>286.77702855541287</v>
      </c>
      <c r="HA117" s="59">
        <f t="shared" si="106"/>
        <v>227.12211541860779</v>
      </c>
      <c r="HB117" s="15">
        <f>IF(ISNA(VLOOKUP(A117,'Données projet'!$A$269:$I$289,3,0)),0,VLOOKUP(A117,'Données projet'!$A$269:$I$289,3,0))</f>
        <v>0</v>
      </c>
      <c r="HC117" s="15">
        <f>IF(ISNA(VLOOKUP(A117,'Données projet'!$A$269:$I$289,4,0)),0,VLOOKUP(A117,'Données projet'!$A$269:$I$289,4,0))</f>
        <v>0</v>
      </c>
      <c r="HD117" s="16">
        <f>IF(ISNA(VLOOKUP(A117,'Données projet'!$A$269:$I$289,5,0)),0%,VLOOKUP(A117,'Données projet'!$A$269:$I$289,5,0)*VLOOKUP('Données projet'!$B$18,Paramètres!$A$1:$I$89,7,0))</f>
        <v>0</v>
      </c>
      <c r="HE117" s="16">
        <f>IF(ISNA(VLOOKUP(A117,'Données projet'!$A$269:$I$289,6,0)),0%,VLOOKUP(A117,'Données projet'!$A$269:$I$289,6,0)*VLOOKUP('Données projet'!$B$18,Paramètres!$A$1:$I$89,7,0))</f>
        <v>0</v>
      </c>
      <c r="HF117" s="16">
        <f>IF(ISNA(VLOOKUP(A117,'Données projet'!$A$269:$I$289,7,0)),0%,VLOOKUP(A117,'Données projet'!$A$269:$I$289,7,0))</f>
        <v>0</v>
      </c>
      <c r="HG117" s="21">
        <f>EXP(-LN(2)/35)*HG116+(1-EXP(-LN(2)/35))/(LN(2)/35)*HC117*HD117*VLOOKUP('Données projet'!$B$18,Paramètres!$A$1:$I$89,3,0)*0.475*44/12</f>
        <v>0</v>
      </c>
      <c r="HH117" s="21">
        <f>EXP(-LN(2)/25)*HH116+(1-EXP(-LN(2)/25))/(LN(2)/25)*Calculateur!HC117*Calculateur!HE117*VLOOKUP('Données projet'!$B$18,Paramètres!$A$1:$I$89,3,0)*0.475*44/12</f>
        <v>0</v>
      </c>
      <c r="HI117" s="21">
        <f>EXP(-LN(2)/2)*HI116+(1-EXP(-LN(2)/2))/(LN(2)/2)*HC117*HF117*VLOOKUP('Données projet'!$B$18,Paramètres!$A$1:$I$89,3,0)*0.475*44/12</f>
        <v>0</v>
      </c>
      <c r="HJ117" s="22">
        <f t="shared" si="84"/>
        <v>0</v>
      </c>
    </row>
    <row r="118" spans="1:218" x14ac:dyDescent="0.25">
      <c r="A118" s="10">
        <f t="shared" si="85"/>
        <v>115</v>
      </c>
      <c r="B118" s="73">
        <f>'Scénario référence'!$B$16*5+'Scénario référence'!$B$17*0+'Scénario référence'!$B$18*5</f>
        <v>0</v>
      </c>
      <c r="C118" s="19">
        <f>Calculateur!C117+'Scénario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102.25800000000018</v>
      </c>
      <c r="D118" s="11">
        <f t="shared" si="86"/>
        <v>27.499233847895908</v>
      </c>
      <c r="E11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18" s="11">
        <f>IF(OR('Scénario référence'!$F$8&gt;0,'Scénario référence'!$F$9&gt;0),('Scénario référence'!$F$8+'Scénario référence'!$F$9)*10,0)</f>
        <v>10</v>
      </c>
      <c r="G118" s="11">
        <f>'Scénario référence'!$B$8*B118*44/12+'Scénario référence'!$B$9*(C118+D118)/0.475*44/12+'Scénario référence'!$B$10*(C118+D118)/0.475*44/12+'Scénario référence'!$F$8*(C118+D118)/0.475*44/12+'Scénario référence'!$F$9*(C118+D118)/0.475*44/12</f>
        <v>1001.6347875977945</v>
      </c>
      <c r="H118" s="67">
        <f t="shared" si="56"/>
        <v>519.32718228508566</v>
      </c>
      <c r="I118" s="70">
        <f>('Scénario référence'!$F$8+'Scénario référence'!$F$9+'Scénario référence'!$B$17+'Scénario référence'!$B$9+'Scénario référence'!$B$10)*70+IF((45+25*(1-EXP(-0.0175*A118)))&lt;70,'Scénario référence'!$B$16*(45+25*(1-EXP(-0.0175*A118))),70*'Scénario référence'!$B$16)+IF((32+38*(1-EXP(-0.0175*A118)))&lt;70,'Scénario référence'!$B$18*(32+38*(1-EXP(-0.0175*A118))),70*'Scénario référence'!$B$18)</f>
        <v>70</v>
      </c>
      <c r="J118" s="13">
        <f>IF(A118&gt;30,10,('Scénario référence'!$B$16+'Scénario référence'!$B$17+'Scénario référence'!$B$18+'Scénario référence'!$B$9+'Scénario référence'!$B$10)*A118*10/30+('Scénario référence'!$F$8+'Scénario référence'!$F$9)*10)</f>
        <v>10</v>
      </c>
      <c r="K118" s="12" t="e">
        <f>VLOOKUP(A118,'Données projet'!$A$35:$I$55,2,0)</f>
        <v>#N/A</v>
      </c>
      <c r="L118" s="12" t="e">
        <f>VLOOKUP(A118,'Données projet'!$A$35:$I$55,9,0)</f>
        <v>#N/A</v>
      </c>
      <c r="M118" s="12">
        <f t="array" ref="M118">INDEX(L:L,MIN(IF(ISNUMBER(L118:L314),ROW(L118:L314),"")))</f>
        <v>0</v>
      </c>
      <c r="N118" s="13">
        <f>IF('Données projet'!$A$36&gt;35,N117+M118-V117,IF(A118&lt;'Données projet'!$A$36,$K$205^A118,IF(A118='Données projet'!$A$36,'Données projet'!$B$36,N117+M118-V117)))</f>
        <v>-2.2737367544323206E-13</v>
      </c>
      <c r="O118" s="13">
        <f>N118*VLOOKUP('Données projet'!$B$9,Paramètres!$A$1:$I$89,3,0)*VLOOKUP('Données projet'!$B$9,Paramètres!$A$1:$I$89,5,0)</f>
        <v>-1.2710188457276673E-13</v>
      </c>
      <c r="P118" s="13" t="e">
        <f t="shared" si="87"/>
        <v>#NUM!</v>
      </c>
      <c r="Q118" s="20" t="e">
        <f t="shared" si="107"/>
        <v>#NUM!</v>
      </c>
      <c r="R118" s="59" t="e">
        <f t="shared" si="55"/>
        <v>#NUM!</v>
      </c>
      <c r="S118" s="59">
        <f ca="1">AVERAGE(OFFSET($R$3,0,0,'Données projet'!$E$9+1,1))-AVERAGE(OFFSET($H$3,0,0,'Données projet'!$E$9+1,1))</f>
        <v>255.5374979188561</v>
      </c>
      <c r="T118" s="59">
        <f t="shared" si="88"/>
        <v>343.10418468620901</v>
      </c>
      <c r="U118" s="15">
        <f>IF(ISNA(VLOOKUP(A118,'Données projet'!$A$35:$I$55,3,0)),0,VLOOKUP(A118,'Données projet'!$A$35:$I$55,3,0))</f>
        <v>0</v>
      </c>
      <c r="V118" s="15">
        <f>IF(ISNA(VLOOKUP(A118,'Données projet'!$A$35:$I$55,4,0)),0,VLOOKUP(A118,'Données projet'!$A$35:$I$55,4,0))</f>
        <v>0</v>
      </c>
      <c r="W118" s="16">
        <f>IF(ISNA(VLOOKUP(A118,'Données projet'!$A$35:$I$55,5,0)),0%,VLOOKUP(A118,'Données projet'!$A$35:$I$55,5,0)*VLOOKUP('Données projet'!$B$9,Paramètres!$A$1:$I$89,7,0))</f>
        <v>0</v>
      </c>
      <c r="X118" s="16">
        <f>IF(ISNA(VLOOKUP(A118,'Données projet'!$A$35:$I$55,6,0)),0%,VLOOKUP(A118,'Données projet'!$A$35:$I$55,6,0)*VLOOKUP('Données projet'!$B$9,Paramètres!$A$1:$I$89,7,0))</f>
        <v>0</v>
      </c>
      <c r="Y118" s="16">
        <f>IF(ISNA(VLOOKUP(A118,'Données projet'!$A$35:$I$55,7,0)),0%,VLOOKUP(A118,'Données projet'!$A$35:$I$55,7,0))</f>
        <v>0</v>
      </c>
      <c r="Z118" s="21">
        <f>EXP(-LN(2)/35)*Z117+(1-EXP(-LN(2)/35))/(LN(2)/35)*V118*W118*VLOOKUP('Données projet'!$B$9,Paramètres!$A$1:$I$89,3,0)*0.475*44/12</f>
        <v>0.57397288139746883</v>
      </c>
      <c r="AA118" s="21">
        <f>EXP(-LN(2)/25)*AA117+(1-EXP(-LN(2)/25))/(LN(2)/25)*Calculateur!V118*Calculateur!X118*VLOOKUP('Données projet'!$B$9,Paramètres!$A$1:$I$89,3,0)*0.475*44/12</f>
        <v>1.5119518230966309</v>
      </c>
      <c r="AB118" s="21">
        <f>EXP(-LN(2)/2)*AB117+(1-EXP(-LN(2)/2))/(LN(2)/2)*V118*Y118*VLOOKUP('Données projet'!$B$9,Paramètres!$A$1:$I$89,3,0)*0.475*44/12</f>
        <v>2.7214031514892688E-13</v>
      </c>
      <c r="AC118" s="22">
        <f t="shared" si="57"/>
        <v>2.0859247044943721</v>
      </c>
      <c r="AD118" s="13">
        <f>('Scénario référence'!$F$8+'Scénario référence'!$F$9+'Scénario référence'!$B$17+'Scénario référence'!$B$9+'Scénario référence'!$B$10)*70+IF((45+25*(1-EXP(-0.0175*A118)))&lt;70,'Scénario référence'!$B$16*(45+25*(1-EXP(-0.0175*A118))),70*'Scénario référence'!$B$16)+IF((32+38*(1-EXP(-0.0175*A118)))&lt;70,'Scénario référence'!$B$18*(32+38*(1-EXP(-0.0175*A118))),70*'Scénario référence'!$B$18)</f>
        <v>70</v>
      </c>
      <c r="AE118" s="13">
        <f>IF(A118&gt;30,10,('Scénario référence'!$B$16+'Scénario référence'!$B$17+'Scénario référence'!$B$18+'Scénario référence'!$B$9+'Scénario référence'!$B$10)*A118*10/30+('Scénario référence'!$F$8+'Scénario référence'!$F$9)*10)</f>
        <v>10</v>
      </c>
      <c r="AF118" s="12" t="e">
        <f>VLOOKUP(A118,'Données projet'!$A$61:$I$81,2,0)</f>
        <v>#N/A</v>
      </c>
      <c r="AG118" s="12" t="e">
        <f>VLOOKUP(A118,'Données projet'!$A$61:$I$81,9,0)</f>
        <v>#N/A</v>
      </c>
      <c r="AH118" s="12">
        <f t="array" ref="AH118">INDEX(AG:AG,MIN(IF(ISNUMBER(AG118:AG314),ROW(AG118:AG314),"")))</f>
        <v>0</v>
      </c>
      <c r="AI118" s="13">
        <f>IF('Données projet'!$A$62&gt;35,AI117+AH118-AQ117,IF(A118&lt;'Données projet'!$A$62,$AF$205^A118,IF(A118='Données projet'!$A$62,'Données projet'!$B$62,AI117+AH118-AQ117)))</f>
        <v>0</v>
      </c>
      <c r="AJ118" s="13">
        <f>AI118*VLOOKUP('Données projet'!$B$10,Paramètres!$A$1:$I$89,3,0)*VLOOKUP('Données projet'!$B$10,Paramètres!$A$1:$I$89,5,0)</f>
        <v>0</v>
      </c>
      <c r="AK118" s="13" t="e">
        <f t="shared" si="89"/>
        <v>#NUM!</v>
      </c>
      <c r="AL118" s="20" t="e">
        <f t="shared" si="58"/>
        <v>#NUM!</v>
      </c>
      <c r="AM118" s="59" t="e">
        <f t="shared" si="59"/>
        <v>#NUM!</v>
      </c>
      <c r="AN118" s="59">
        <f ca="1">AVERAGE(OFFSET($AM$3,0,0,'Données projet'!$E$10+1,1))-AVERAGE(OFFSET($H$3,0,0,'Données projet'!$E$10+1,1))</f>
        <v>261.78489480911571</v>
      </c>
      <c r="AO118" s="59">
        <f t="shared" si="90"/>
        <v>297.50513563712764</v>
      </c>
      <c r="AP118" s="15">
        <f>IF(ISNA(VLOOKUP(A118,'Données projet'!$A$61:$I$81,3,0)),0,VLOOKUP(A118,'Données projet'!$A$61:$I$81,3,0))</f>
        <v>0</v>
      </c>
      <c r="AQ118" s="15">
        <f>IF(ISNA(VLOOKUP(A118,'Données projet'!$A$61:$I$81,4,0)),0,VLOOKUP(A118,'Données projet'!$A$61:$I$81,4,0))</f>
        <v>0</v>
      </c>
      <c r="AR118" s="16">
        <f>IF(ISNA(VLOOKUP(A118,'Données projet'!$A$61:$I$81,5,0)),0%,VLOOKUP(A118,'Données projet'!$A$61:$I$81,5,0)*VLOOKUP('Données projet'!$B$10,Paramètres!$A$1:$I$89,7,0))</f>
        <v>0</v>
      </c>
      <c r="AS118" s="16">
        <f>IF(ISNA(VLOOKUP(A118,'Données projet'!$A$61:$I$81,6,0)),0%,VLOOKUP(A118,'Données projet'!$A$61:$I$81,6,0)*VLOOKUP('Données projet'!$B$10,Paramètres!$A$1:$I$89,7,0))</f>
        <v>0</v>
      </c>
      <c r="AT118" s="16">
        <f>IF(ISNA(VLOOKUP(A118,'Données projet'!$A$61:$I$81,7,0)),0%,VLOOKUP(A118,'Données projet'!$A$61:$I$81,7,0))</f>
        <v>0</v>
      </c>
      <c r="AU118" s="21">
        <f>EXP(-LN(2)/35)*AU117+(1-EXP(-LN(2)/35))/(LN(2)/35)*AQ118*AR118*VLOOKUP('Données projet'!$B$10,Paramètres!$A$1:$I$89,3,0)*0.475*44/12</f>
        <v>1.5498891272239899</v>
      </c>
      <c r="AV118" s="21">
        <f>EXP(-LN(2)/25)*AV117+(1-EXP(-LN(2)/25))/(LN(2)/25)*Calculateur!AQ118*Calculateur!AS118*VLOOKUP('Données projet'!$B$10,Paramètres!$A$1:$I$89,3,0)*0.475*44/12</f>
        <v>2.6401762621429468</v>
      </c>
      <c r="AW118" s="21">
        <f>EXP(-LN(2)/2)*AW117+(1-EXP(-LN(2)/2))/(LN(2)/2)*AQ118*AT118*VLOOKUP('Données projet'!$B$10,Paramètres!$A$1:$I$89,3,0)*0.475*44/12</f>
        <v>3.9231617215453914E-12</v>
      </c>
      <c r="AX118" s="21">
        <f t="shared" si="60"/>
        <v>4.1900653893708597</v>
      </c>
      <c r="AY118" s="74">
        <f>('Scénario référence'!$F$8+'Scénario référence'!$F$9+'Scénario référence'!$B$17+'Scénario référence'!$B$9+'Scénario référence'!$B$10)*70+IF((45+25*(1-EXP(-0.0175*A118)))&lt;70,'Scénario référence'!$B$16*(45+25*(1-EXP(-0.0175*A118))),70*'Scénario référence'!$B$16)+IF((32+38*(1-EXP(-0.0175*A118)))&lt;70,'Scénario référence'!$B$18*(32+38*(1-EXP(-0.0175*A118))),70*'Scénario référence'!$B$18)</f>
        <v>70</v>
      </c>
      <c r="AZ118" s="12">
        <f>IF(A118&gt;30,10,('Scénario référence'!$B$16+'Scénario référence'!$B$17+'Scénario référence'!$B$18+'Scénario référence'!$B$9+'Scénario référence'!$B$10)*A118*10/30+('Scénario référence'!$F$8+'Scénario référence'!$F$9)*10)</f>
        <v>10</v>
      </c>
      <c r="BA118" s="12" t="e">
        <f>VLOOKUP(A118,'Données projet'!$A$87:$I$107,2,0)</f>
        <v>#N/A</v>
      </c>
      <c r="BB118" s="12" t="e">
        <f>VLOOKUP(A118,'Données projet'!$A$87:$I$107,9,0)</f>
        <v>#N/A</v>
      </c>
      <c r="BC118" s="12">
        <f t="array" ref="BC118">INDEX(BB:BB,MIN(IF(ISNUMBER(BB118:BB314),ROW(BB118:BB314),"")))</f>
        <v>0</v>
      </c>
      <c r="BD118" s="12">
        <f>IF('Données projet'!$A$88&gt;35,BD117+BC118-BL117,IF(A118&lt;'Données projet'!$A$88,$BA$205^A118,IF(A118='Données projet'!$A$88,'Données projet'!$B$88,BD117+BC118-BL117)))</f>
        <v>553.99999999999955</v>
      </c>
      <c r="BE118" s="13">
        <f>BD118*VLOOKUP('Données projet'!$B$11,Paramètres!$A$1:$I$89,3,0)*VLOOKUP('Données projet'!$B$11,Paramètres!$A$1:$I$89,5,0)</f>
        <v>331.29199999999975</v>
      </c>
      <c r="BF118" s="13">
        <f t="shared" si="91"/>
        <v>77.698110787752</v>
      </c>
      <c r="BG118" s="20">
        <f t="shared" si="61"/>
        <v>712.32444295533423</v>
      </c>
      <c r="BH118" s="59">
        <f t="shared" si="62"/>
        <v>1005.6577762886675</v>
      </c>
      <c r="BI118" s="59">
        <f ca="1">AVERAGE(OFFSET($BH$3,0,0,'Données projet'!$E$11+1,1))-AVERAGE(OFFSET($H$3,0,0,'Données projet'!$E$11+1,1))</f>
        <v>316.58509520829671</v>
      </c>
      <c r="BJ118" s="59">
        <f t="shared" si="92"/>
        <v>240.71332110643596</v>
      </c>
      <c r="BK118" s="15">
        <f>IF(ISNA(VLOOKUP(A118,'Données projet'!$A$87:$I$107,3,0)),0,VLOOKUP(A118,'Données projet'!$A$87:$I$107,3,0))</f>
        <v>0</v>
      </c>
      <c r="BL118" s="15">
        <f>IF(ISNA(VLOOKUP(A118,'Données projet'!$A$87:$I$107,4,0)),0,VLOOKUP(A118,'Données projet'!$A$87:$I$107,4,0))</f>
        <v>0</v>
      </c>
      <c r="BM118" s="16">
        <f>IF(ISNA(VLOOKUP(A118,'Données projet'!$A$87:$I$107,5,0)),0%,VLOOKUP(A118,'Données projet'!$A$87:$I$107,5,0)*VLOOKUP('Données projet'!$B$11,Paramètres!$A$1:$I$89,7,0))</f>
        <v>0</v>
      </c>
      <c r="BN118" s="16">
        <f>IF(ISNA(VLOOKUP(A118,'Données projet'!$A$87:$I$107,6,0)),0%,VLOOKUP(A118,'Données projet'!$A$87:$I$107,6,0)*VLOOKUP('Données projet'!$B$11,Paramètres!$A$1:$I$89,7,0))</f>
        <v>0</v>
      </c>
      <c r="BO118" s="16">
        <f>IF(ISNA(VLOOKUP(A118,'Données projet'!$A$87:$I$107,7,0)),0%,VLOOKUP(A118,'Données projet'!$A$87:$I$107,7,0))</f>
        <v>0</v>
      </c>
      <c r="BP118" s="21">
        <f>EXP(-LN(2)/35)*BP117+(1-EXP(-LN(2)/35))/(LN(2)/35)*BL118*BM118*VLOOKUP('Données projet'!$B$11,Paramètres!$A$1:$I$89,3,0)*0.475*44/12</f>
        <v>0.47079035430743604</v>
      </c>
      <c r="BQ118" s="21">
        <f>EXP(-LN(2)/25)*BQ117+(1-EXP(-LN(2)/25))/(LN(2)/25)*Calculateur!BL118*Calculateur!BN118*VLOOKUP('Données projet'!$B$11,Paramètres!$A$1:$I$89,3,0)*0.475*44/12</f>
        <v>1.4463655916670901</v>
      </c>
      <c r="BR118" s="21">
        <f>EXP(-LN(2)/2)*BR117+(1-EXP(-LN(2)/2))/(LN(2)/2)*BL118*BO118*VLOOKUP('Données projet'!$B$11,Paramètres!$A$1:$I$89,3,0)*0.475*44/12</f>
        <v>3.5273520233374125E-12</v>
      </c>
      <c r="BS118" s="22">
        <f t="shared" si="63"/>
        <v>1.9171559459780536</v>
      </c>
      <c r="BT118" s="75">
        <f>('Scénario référence'!$F$8+'Scénario référence'!$F$9+'Scénario référence'!$B$17+'Scénario référence'!$B$9+'Scénario référence'!$B$10)*70+IF((45+25*(1-EXP(-0.0175*A118)))&lt;70,'Scénario référence'!$B$16*(45+25*(1-EXP(-0.0175*A118))),70*'Scénario référence'!$B$16)+IF((32+38*(1-EXP(-0.0175*A118)))&lt;70,'Scénario référence'!$B$18*(32+38*(1-EXP(-0.0175*A118))),70*'Scénario référence'!$B$18)</f>
        <v>70</v>
      </c>
      <c r="BU118" s="12">
        <f>IF(A118&gt;30,10,('Scénario référence'!$B$16+'Scénario référence'!$B$17+'Scénario référence'!$B$18+'Scénario référence'!$B$9+'Scénario référence'!$B$10)*A118*10/30+('Scénario référence'!$F$8+'Scénario référence'!$F$9)*10)</f>
        <v>10</v>
      </c>
      <c r="BV118" s="12" t="e">
        <f>VLOOKUP(A118,'Données projet'!$A$113:$I$133,2,0)</f>
        <v>#N/A</v>
      </c>
      <c r="BW118" s="12" t="e">
        <f>VLOOKUP(A118,'Données projet'!$A$113:$I$133,9,0)</f>
        <v>#N/A</v>
      </c>
      <c r="BX118" s="12">
        <f t="array" ref="BX118">INDEX(BW:BW,MIN(IF(ISNUMBER(BW118:BW314),ROW(BW118:BW314),"")))</f>
        <v>0</v>
      </c>
      <c r="BY118" s="12">
        <f>IF('Données projet'!$A$114&gt;35,BY117+BX118-CG117,IF(A118&lt;'Données projet'!$A$114,$BV$205^A118,IF(A118='Données projet'!$A$114,'Données projet'!$B$114,BY117+BX118-CG117)))</f>
        <v>333.99999999999977</v>
      </c>
      <c r="BZ118" s="13">
        <f>BY118*VLOOKUP('Données projet'!$B$12,Paramètres!$A$1:$I$89,3,0)*VLOOKUP('Données projet'!$B$12,Paramètres!$A$1:$I$89,5,0)</f>
        <v>191.04799999999986</v>
      </c>
      <c r="CA118" s="13">
        <f t="shared" si="93"/>
        <v>47.771576544305155</v>
      </c>
      <c r="CB118" s="20">
        <f t="shared" si="64"/>
        <v>415.94409581466454</v>
      </c>
      <c r="CC118" s="59">
        <f t="shared" si="65"/>
        <v>709.27742914799785</v>
      </c>
      <c r="CD118" s="59">
        <f ca="1">AVERAGE(OFFSET($CC$3,0,0,'Données projet'!$E$12+1,1))-AVERAGE(OFFSET($H$3,0,0,'Données projet'!$E$12+1,1))</f>
        <v>188.64374818906128</v>
      </c>
      <c r="CE118" s="59">
        <f t="shared" si="94"/>
        <v>211.95157880548652</v>
      </c>
      <c r="CF118" s="15">
        <f>IF(ISNA(VLOOKUP(A118,'Données projet'!$A$113:$I$133,3,0)),0,VLOOKUP(A118,'Données projet'!$A$113:$I$133,3,0))</f>
        <v>0</v>
      </c>
      <c r="CG118" s="15">
        <f>IF(ISNA(VLOOKUP(A118,'Données projet'!$A$113:$I$133,4,0)),0,VLOOKUP(A118,'Données projet'!$A$113:$I$133,4,0))</f>
        <v>0</v>
      </c>
      <c r="CH118" s="16">
        <f>IF(ISNA(VLOOKUP(A118,'Données projet'!$A$113:$I$133,5,0)),0%,VLOOKUP(A118,'Données projet'!$A$113:$I$133,5,0)*VLOOKUP('Données projet'!$B$12,Paramètres!$A$1:$I$89,7,0))</f>
        <v>0</v>
      </c>
      <c r="CI118" s="16">
        <f>IF(ISNA(VLOOKUP(A118,'Données projet'!$A$113:$I$133,6,0)),0%,VLOOKUP(A118,'Données projet'!$A$113:$I$133,6,0)*VLOOKUP('Données projet'!$B$12,Paramètres!$A$1:$I$89,7,0))</f>
        <v>0</v>
      </c>
      <c r="CJ118" s="16">
        <f>IF(ISNA(VLOOKUP(A118,'Données projet'!$A$113:$I$133,7,0)),0%,VLOOKUP(A118,'Données projet'!$A$113:$I$133,7,0))</f>
        <v>0</v>
      </c>
      <c r="CK118" s="21">
        <f>EXP(-LN(2)/35)*CK117+(1-EXP(-LN(2)/35))/(LN(2)/35)*CG118*CH118*VLOOKUP('Données projet'!$B$12,Paramètres!$A$1:$I$89,3,0)*0.475*44/12</f>
        <v>0.45666376069992537</v>
      </c>
      <c r="CL118" s="21">
        <f>EXP(-LN(2)/25)*CL117+(1-EXP(-LN(2)/25))/(LN(2)/25)*Calculateur!CG118*Calculateur!CI118*VLOOKUP('Données projet'!$B$12,Paramètres!$A$1:$I$89,3,0)*0.475*44/12</f>
        <v>1.3613520431436057</v>
      </c>
      <c r="CM118" s="21">
        <f>EXP(-LN(2)/2)*CM117+(1-EXP(-LN(2)/2))/(LN(2)/2)*CG118*CJ118*VLOOKUP('Données projet'!$B$12,Paramètres!$A$1:$I$89,3,0)*0.475*44/12</f>
        <v>3.4159644504812092E-12</v>
      </c>
      <c r="CN118" s="22">
        <f t="shared" si="66"/>
        <v>1.8180158038469469</v>
      </c>
      <c r="CO118" s="75">
        <f>('Scénario référence'!$F$8+'Scénario référence'!$F$9+'Scénario référence'!$B$17+'Scénario référence'!$B$9+'Scénario référence'!$B$10)*70+IF((45+25*(1-EXP(-0.0175*A118)))&lt;70,'Scénario référence'!$B$16*(45+25*(1-EXP(-0.0175*A118))),70*'Scénario référence'!$B$16)+IF((32+38*(1-EXP(-0.0175*A118)))&lt;70,'Scénario référence'!$B$18*(32+38*(1-EXP(-0.0175*A118))),70*'Scénario référence'!$B$18)</f>
        <v>70</v>
      </c>
      <c r="CP118" s="12">
        <f>IF(A118&gt;30,10,('Scénario référence'!$B$16+'Scénario référence'!$B$17+'Scénario référence'!$B$18+'Scénario référence'!$B$9+'Scénario référence'!$B$10)*A118*10/30+('Scénario référence'!$F$8+'Scénario référence'!$F$9)*10)</f>
        <v>10</v>
      </c>
      <c r="CQ118" s="12" t="e">
        <f>VLOOKUP(A118,'Données projet'!$A$139:$I$159,2,0)</f>
        <v>#N/A</v>
      </c>
      <c r="CR118" s="12" t="e">
        <f>VLOOKUP(A118,'Données projet'!$A$139:$I$159,9,0)</f>
        <v>#N/A</v>
      </c>
      <c r="CS118" s="12">
        <f t="array" ref="CS118">INDEX(CR:CR,MIN(IF(ISNUMBER(CR118:CR314),ROW(CR118:CR314),"")))</f>
        <v>0</v>
      </c>
      <c r="CT118" s="12">
        <f>IF('Données projet'!$A$140&gt;35,CT117+CS118-DB117,IF(A118&lt;'Données projet'!$A$140,$CQ$205^A118,IF(A118='Données projet'!$A$140,'Données projet'!$B$140,CT117+CS118-DB117)))</f>
        <v>0</v>
      </c>
      <c r="CU118" s="17" t="e">
        <f>CT118*VLOOKUP('Données projet'!$B$13,Paramètres!$A$1:$I$89,3,0)*VLOOKUP('Données projet'!$B$13,Paramètres!$A$1:$I$89,5,0)</f>
        <v>#N/A</v>
      </c>
      <c r="CV118" s="13" t="e">
        <f t="shared" si="95"/>
        <v>#N/A</v>
      </c>
      <c r="CW118" s="20" t="e">
        <f t="shared" si="67"/>
        <v>#N/A</v>
      </c>
      <c r="CX118" s="59" t="e">
        <f t="shared" si="68"/>
        <v>#N/A</v>
      </c>
      <c r="CY118" s="59" t="e">
        <f ca="1">AVERAGE(OFFSET($CX$3,0,0,'Données projet'!$E$13+1,1))-AVERAGE(OFFSET($H$3,0,0,'Données projet'!$E$13+1,1))</f>
        <v>#N/A</v>
      </c>
      <c r="CZ118" s="59" t="e">
        <f t="shared" si="96"/>
        <v>#N/A</v>
      </c>
      <c r="DA118" s="15">
        <f>IF(ISNA(VLOOKUP(A118,'Données projet'!$A$139:$I$159,3,0)),0,VLOOKUP(A118,'Données projet'!$A$139:$I$159,3,0))</f>
        <v>0</v>
      </c>
      <c r="DB118" s="15">
        <f>IF(ISNA(VLOOKUP(A118,'Données projet'!$A$139:$I$159,4,0)),0,VLOOKUP(A118,'Données projet'!$A$139:$I$159,4,0))</f>
        <v>0</v>
      </c>
      <c r="DC118" s="16">
        <f>IF(ISNA(VLOOKUP(A118,'Données projet'!$A$139:$I$159,5,0)),0%,VLOOKUP(A118,'Données projet'!$A$139:$I$159,5,0)*VLOOKUP('Données projet'!$B$13,Paramètres!$A$1:$I$89,7,0))</f>
        <v>0</v>
      </c>
      <c r="DD118" s="16">
        <f>IF(ISNA(VLOOKUP(A118,'Données projet'!$A$139:$I$159,6,0)),0%,VLOOKUP(A118,'Données projet'!$A$139:$I$159,6,0)*VLOOKUP('Données projet'!$B$13,Paramètres!$A$1:$I$89,7,0))</f>
        <v>0</v>
      </c>
      <c r="DE118" s="16">
        <f>IF(ISNA(VLOOKUP(A118,'Données projet'!$A$139:$I$159,7,0)),0%,VLOOKUP(A118,'Données projet'!$A$139:$I$159,7,0))</f>
        <v>0</v>
      </c>
      <c r="DF118" s="21" t="e">
        <f>EXP(-LN(2)/35)*DF117+(1-EXP(-LN(2)/35))/(LN(2)/35)*DB118*DC118*VLOOKUP('Données projet'!$B$13,Paramètres!$A$1:$I$89,3,0)*0.475*44/12</f>
        <v>#N/A</v>
      </c>
      <c r="DG118" s="21" t="e">
        <f>EXP(-LN(2)/25)*DG117+(1-EXP(-LN(2)/25))/(LN(2)/25)*Calculateur!DB118*Calculateur!DD118*VLOOKUP('Données projet'!$B$13,Paramètres!$A$1:$I$89,3,0)*0.475*44/12</f>
        <v>#N/A</v>
      </c>
      <c r="DH118" s="21" t="e">
        <f>EXP(-LN(2)/2)*DH117+(1-EXP(-LN(2)/2))/(LN(2)/2)*DB118*DE118*VLOOKUP('Données projet'!$B$13,Paramètres!$A$1:$I$89,3,0)*0.475*44/12</f>
        <v>#N/A</v>
      </c>
      <c r="DI118" s="22" t="e">
        <f t="shared" si="69"/>
        <v>#N/A</v>
      </c>
      <c r="DJ118" s="75">
        <f>('Scénario référence'!$F$8+'Scénario référence'!$F$9+'Scénario référence'!$B$17+'Scénario référence'!$B$9+'Scénario référence'!$B$10)*70+IF((45+25*(1-EXP(-0.0175*A118)))&lt;70,'Scénario référence'!$B$16*(45+25*(1-EXP(-0.0175*A118))),70*'Scénario référence'!$B$16)+IF((32+38*(1-EXP(-0.0175*A118)))&lt;70,'Scénario référence'!$B$18*(32+38*(1-EXP(-0.0175*A118))),70*'Scénario référence'!$B$18)</f>
        <v>70</v>
      </c>
      <c r="DK118" s="12">
        <f>IF(A118&gt;30,10,('Scénario référence'!$B$16+'Scénario référence'!$B$17+'Scénario référence'!$B$18+'Scénario référence'!$B$9+'Scénario référence'!$B$10)*A118*10/30+('Scénario référence'!$F$8+'Scénario référence'!$F$9)*10)</f>
        <v>10</v>
      </c>
      <c r="DL118" s="12" t="e">
        <f>VLOOKUP(A118,'Données projet'!$A$165:$I$185,2,0)</f>
        <v>#N/A</v>
      </c>
      <c r="DM118" s="12" t="e">
        <f>VLOOKUP(A118,'Données projet'!$A$165:$I$185,9,0)</f>
        <v>#N/A</v>
      </c>
      <c r="DN118" s="12">
        <f t="array" ref="DN118">INDEX(DM:DM,MIN(IF(ISNUMBER(DM118:DM314),ROW(DM118:DM314),"")))</f>
        <v>0</v>
      </c>
      <c r="DO118" s="12">
        <f>IF('Données projet'!$A$166&gt;35,DO117+DN118-DW117,IF(A118&lt;'Données projet'!$A$166,$DL$205^A118,IF(A118='Données projet'!$A$166,'Données projet'!$B$166,DO117+DN118-DW117)))</f>
        <v>268.00000000000017</v>
      </c>
      <c r="DP118" s="17">
        <f>DO118*VLOOKUP('Données projet'!$B$14,Paramètres!$A$1:$I$89,3,0)*VLOOKUP('Données projet'!$B$14,Paramètres!$A$1:$I$89,5,0)</f>
        <v>175.59360000000012</v>
      </c>
      <c r="DQ118" s="13">
        <f t="shared" si="97"/>
        <v>44.340433728638573</v>
      </c>
      <c r="DR118" s="20">
        <f t="shared" si="70"/>
        <v>383.05177541071242</v>
      </c>
      <c r="DS118" s="59">
        <f t="shared" si="71"/>
        <v>676.38510874404574</v>
      </c>
      <c r="DT118" s="59">
        <f ca="1">AVERAGE(OFFSET($DS$3,0,0,'Données projet'!$E$14+1,1))-AVERAGE(OFFSET($H$3,0,0,'Données projet'!$E$14+1,1))</f>
        <v>188.68915783955595</v>
      </c>
      <c r="DU118" s="59">
        <f t="shared" si="98"/>
        <v>240.82467772396944</v>
      </c>
      <c r="DV118" s="15">
        <f>IF(ISNA(VLOOKUP(A118,'Données projet'!$A$165:$I$185,3,0)),0,VLOOKUP(A118,'Données projet'!$A$165:$I$185,3,0))</f>
        <v>0</v>
      </c>
      <c r="DW118" s="15">
        <f>IF(ISNA(VLOOKUP(A118,'Données projet'!$A$165:$I$185,4,0)),0,VLOOKUP(A118,'Données projet'!$A$165:$I$185,4,0))</f>
        <v>0</v>
      </c>
      <c r="DX118" s="16">
        <f>IF(ISNA(VLOOKUP(A118,'Données projet'!$A$165:$I$185,5,0)),0%,VLOOKUP(A118,'Données projet'!$A$165:$I$185,5,0)*VLOOKUP('Données projet'!$B$14,Paramètres!$A$1:$I$89,7,0))</f>
        <v>0</v>
      </c>
      <c r="DY118" s="16">
        <f>IF(ISNA(VLOOKUP(A118,'Données projet'!$A$165:$I$185,6,0)),0%,VLOOKUP(A118,'Données projet'!$A$165:$I$185,6,0)*VLOOKUP('Données projet'!$B$14,Paramètres!$A$1:$I$89,7,0))</f>
        <v>0</v>
      </c>
      <c r="DZ118" s="16">
        <f>IF(ISNA(VLOOKUP(A118,'Données projet'!$A$165:$I$185,7,0)),0%,VLOOKUP(A118,'Données projet'!$A$165:$I$185,7,0))</f>
        <v>0</v>
      </c>
      <c r="EA118" s="21">
        <f>EXP(-LN(2)/35)*EA117+(1-EXP(-LN(2)/35))/(LN(2)/35)*DW118*DX118*VLOOKUP('Données projet'!$B$14,Paramètres!$A$1:$I$89,3,0)*0.475*44/12</f>
        <v>0.2892588214871159</v>
      </c>
      <c r="EB118" s="21">
        <f>EXP(-LN(2)/25)*EB117+(1-EXP(-LN(2)/25))/(LN(2)/25)*Calculateur!DW118*Calculateur!DY118*VLOOKUP('Données projet'!$B$14,Paramètres!$A$1:$I$89,3,0)*0.475*44/12</f>
        <v>0.76146088033371617</v>
      </c>
      <c r="EC118" s="21">
        <f>EXP(-LN(2)/2)*EC117+(1-EXP(-LN(2)/2))/(LN(2)/2)*DW118*DZ118*VLOOKUP('Données projet'!$B$14,Paramètres!$A$1:$I$89,3,0)*0.475*44/12</f>
        <v>2.2503070338872433E-12</v>
      </c>
      <c r="ED118" s="22">
        <f t="shared" si="72"/>
        <v>1.0507197018230823</v>
      </c>
      <c r="EE118" s="75">
        <f>('Scénario référence'!$F$8+'Scénario référence'!$F$9+'Scénario référence'!$B$17+'Scénario référence'!$B$9+'Scénario référence'!$B$10)*70+IF((45+25*(1-EXP(-0.0175*A118)))&lt;70,'Scénario référence'!$B$16*(45+25*(1-EXP(-0.0175*A118))),70*'Scénario référence'!$B$16)+IF((32+38*(1-EXP(-0.0175*A118)))&lt;70,'Scénario référence'!$B$18*(32+38*(1-EXP(-0.0175*A118))),70*'Scénario référence'!$B$18)</f>
        <v>70</v>
      </c>
      <c r="EF118" s="12">
        <f>IF(A118&gt;30,10,('Scénario référence'!$B$16+'Scénario référence'!$B$17+'Scénario référence'!$B$18+'Scénario référence'!$B$9+'Scénario référence'!$B$10)*A118*10/30+('Scénario référence'!$F$8+'Scénario référence'!$F$9)*10)</f>
        <v>10</v>
      </c>
      <c r="EG118" s="12" t="e">
        <f>VLOOKUP(A118,'Données projet'!$A$191:$I$211,2,0)</f>
        <v>#N/A</v>
      </c>
      <c r="EH118" s="12" t="e">
        <f>VLOOKUP(A118,'Données projet'!$A$191:$I$211,9,0)</f>
        <v>#N/A</v>
      </c>
      <c r="EI118" s="12">
        <f t="array" ref="EI118">INDEX(EH:EH,MIN(IF(ISNUMBER(EH118:EH314),ROW(EH118:EH314),"")))</f>
        <v>0</v>
      </c>
      <c r="EJ118" s="12">
        <f>IF('Données projet'!$A$192&gt;35,EJ117+EI118-ER117,IF(A118&lt;'Données projet'!$A$192,$EG$205^A118,IF(A118='Données projet'!$A$192,'Données projet'!$B$192,EJ117+EI118-ER117)))</f>
        <v>275.99999999999972</v>
      </c>
      <c r="EK118" s="17">
        <f>EJ118*VLOOKUP('Données projet'!$B$15,Paramètres!$A$1:$I$89,3,0)*VLOOKUP('Données projet'!$B$15,Paramètres!$A$1:$I$89,5,0)</f>
        <v>223.8911999999998</v>
      </c>
      <c r="EL118" s="13">
        <f t="shared" si="99"/>
        <v>54.95975389514858</v>
      </c>
      <c r="EM118" s="20">
        <f t="shared" si="73"/>
        <v>485.66541136738346</v>
      </c>
      <c r="EN118" s="59">
        <f t="shared" si="74"/>
        <v>778.99874470071677</v>
      </c>
      <c r="EO118" s="59">
        <f ca="1">AVERAGE(OFFSET($EN$3,0,0,'Données projet'!$E$15+1,1))-AVERAGE(OFFSET($H$3,0,0,'Données projet'!$E$15+1,1))</f>
        <v>205.5272583787887</v>
      </c>
      <c r="EP118" s="59">
        <f t="shared" si="100"/>
        <v>180.54762778843178</v>
      </c>
      <c r="EQ118" s="15">
        <f>IF(ISNA(VLOOKUP(A118,'Données projet'!$A$191:$I$211,3,0)),0,VLOOKUP(A118,'Données projet'!$A$191:$I$211,3,0))</f>
        <v>0</v>
      </c>
      <c r="ER118" s="15">
        <f>IF(ISNA(VLOOKUP(A118,'Données projet'!$A$191:$I$211,4,0)),0,VLOOKUP(A118,'Données projet'!$A$191:$I$211,4,0))</f>
        <v>0</v>
      </c>
      <c r="ES118" s="16">
        <f>IF(ISNA(VLOOKUP(A118,'Données projet'!$A$191:$I$211,5,0)),0%,VLOOKUP(A118,'Données projet'!$A$191:$I$211,5,0)*VLOOKUP('Données projet'!$B$15,Paramètres!$A$1:$I$89,7,0))</f>
        <v>0</v>
      </c>
      <c r="ET118" s="16">
        <f>IF(ISNA(VLOOKUP(A118,'Données projet'!$A$191:$I$211,6,0)),0%,VLOOKUP(A118,'Données projet'!$A$191:$I$211,6,0)*VLOOKUP('Données projet'!$B$15,Paramètres!$A$1:$I$89,7,0))</f>
        <v>0</v>
      </c>
      <c r="EU118" s="16">
        <f>IF(ISNA(VLOOKUP(A118,'Données projet'!$A$191:$I$211,7,0)),0%,VLOOKUP(A118,'Données projet'!$A$191:$I$211,7,0))</f>
        <v>0</v>
      </c>
      <c r="EV118" s="21">
        <f>EXP(-LN(2)/35)*EV117+(1-EXP(-LN(2)/35))/(LN(2)/35)*ER118*ES118*VLOOKUP('Données projet'!$B$15,Paramètres!$A$1:$I$89,3,0)*0.475*44/12</f>
        <v>0.18622758411932416</v>
      </c>
      <c r="EW118" s="21">
        <f>EXP(-LN(2)/25)*EW117+(1-EXP(-LN(2)/25))/(LN(2)/25)*Calculateur!ER118*Calculateur!ET118*VLOOKUP('Données projet'!$B$15,Paramètres!$A$1:$I$89,3,0)*0.475*44/12</f>
        <v>0.54979785525146618</v>
      </c>
      <c r="EX118" s="21">
        <f>EXP(-LN(2)/2)*EX117+(1-EXP(-LN(2)/2))/(LN(2)/2)*ER118*EU118*VLOOKUP('Données projet'!$B$15,Paramètres!$A$1:$I$89,3,0)*0.475*44/12</f>
        <v>1.4570754683779823E-12</v>
      </c>
      <c r="EY118" s="22">
        <f t="shared" si="75"/>
        <v>0.7360254393722474</v>
      </c>
      <c r="EZ118" s="75">
        <f>('Scénario référence'!$F$8+'Scénario référence'!$F$9+'Scénario référence'!$B$17+'Scénario référence'!$B$9+'Scénario référence'!$B$10)*70+IF((45+25*(1-EXP(-0.0175*A118)))&lt;70,'Scénario référence'!$B$16*(45+25*(1-EXP(-0.0175*A118))),70*'Scénario référence'!$B$16)+IF((32+38*(1-EXP(-0.0175*A118)))&lt;70,'Scénario référence'!$B$18*(32+38*(1-EXP(-0.0175*A118))),70*'Scénario référence'!$B$18)</f>
        <v>70</v>
      </c>
      <c r="FA118" s="12">
        <f>IF(A118&gt;30,10,('Scénario référence'!$B$16+'Scénario référence'!$B$17+'Scénario référence'!$B$18+'Scénario référence'!$B$9+'Scénario référence'!$B$10)*A118*10/30+('Scénario référence'!$F$8+'Scénario référence'!$F$9)*10)</f>
        <v>10</v>
      </c>
      <c r="FB118" s="12" t="e">
        <f>VLOOKUP(A118,'Données projet'!$A$217:$I$237,2,0)</f>
        <v>#N/A</v>
      </c>
      <c r="FC118" s="12" t="e">
        <f>VLOOKUP(A118,'Données projet'!$A$217:$I$237,9,0)</f>
        <v>#N/A</v>
      </c>
      <c r="FD118" s="12">
        <f t="array" ref="FD118">INDEX(FC:FC,MIN(IF(ISNUMBER(FC118:FC314),ROW(FC118:FC314),"")))</f>
        <v>7.4</v>
      </c>
      <c r="FE118" s="12">
        <f>IF('Données projet'!$A$218&gt;35,FE117+FD118-FM117,IF(A118&lt;'Données projet'!$A$218,$FB$205^A118,IF(A118='Données projet'!$A$218,'Données projet'!$B$218,FE117+FD118-FM117)))</f>
        <v>414.99999999999994</v>
      </c>
      <c r="FF118" s="17">
        <f>FE118*VLOOKUP('Données projet'!$B$16,Paramètres!$A$1:$I$89,3,0)*VLOOKUP('Données projet'!$B$16,Paramètres!$A$1:$I$89,5,0)</f>
        <v>356.07</v>
      </c>
      <c r="FG118" s="13">
        <f t="shared" si="101"/>
        <v>82.811133778450042</v>
      </c>
      <c r="FH118" s="20">
        <f t="shared" si="76"/>
        <v>764.38464133080049</v>
      </c>
      <c r="FI118" s="59">
        <f t="shared" si="77"/>
        <v>1057.7179746641339</v>
      </c>
      <c r="FJ118" s="59">
        <f ca="1">AVERAGE(OFFSET($FI$3,0,0,'Données projet'!$E$16+1,1))-AVERAGE(OFFSET($H$3,0,0,'Données projet'!$E$16+1,1))</f>
        <v>383.97627237444709</v>
      </c>
      <c r="FK118" s="59">
        <f t="shared" si="102"/>
        <v>203.35476578922339</v>
      </c>
      <c r="FL118" s="15">
        <f>IF(ISNA(VLOOKUP(A118,'Données projet'!$A$217:$I$237,3,0)),0,VLOOKUP(A118,'Données projet'!$A$217:$I$237,3,0))</f>
        <v>0</v>
      </c>
      <c r="FM118" s="15">
        <f>IF(ISNA(VLOOKUP(A118,'Données projet'!$A$217:$I$237,4,0)),0,VLOOKUP(A118,'Données projet'!$A$217:$I$237,4,0))</f>
        <v>0</v>
      </c>
      <c r="FN118" s="16">
        <f>IF(ISNA(VLOOKUP(A118,'Données projet'!$A$217:$I$237,5,0)),0%,VLOOKUP(A118,'Données projet'!$A$217:$I$237,5,0)*VLOOKUP('Données projet'!$B$16,Paramètres!$A$1:$I$89,7,0))</f>
        <v>0</v>
      </c>
      <c r="FO118" s="16">
        <f>IF(ISNA(VLOOKUP(A118,'Données projet'!$A$217:$I$237,6,0)),0%,VLOOKUP(A118,'Données projet'!$A$217:$I$237,6,0)*VLOOKUP('Données projet'!$B$16,Paramètres!$A$1:$I$89,7,0))</f>
        <v>0</v>
      </c>
      <c r="FP118" s="16">
        <f>IF(ISNA(VLOOKUP(A118,'Données projet'!$A$217:$I$237,7,0)),0%,VLOOKUP(A118,'Données projet'!$A$217:$I$237,7,0))</f>
        <v>0</v>
      </c>
      <c r="FQ118" s="21">
        <f>EXP(-LN(2)/35)*FQ117+(1-EXP(-LN(2)/35))/(LN(2)/35)*FM118*FN118*VLOOKUP('Données projet'!$B$16,Paramètres!$A$1:$I$89,3,0)*0.475*44/12</f>
        <v>0.95710875000090656</v>
      </c>
      <c r="FR118" s="21">
        <f>EXP(-LN(2)/25)*FR117+(1-EXP(-LN(2)/25))/(LN(2)/25)*Calculateur!FM118*Calculateur!FO118*VLOOKUP('Données projet'!$B$16,Paramètres!$A$1:$I$89,3,0)*0.475*44/12</f>
        <v>0.55810165008925183</v>
      </c>
      <c r="FS118" s="21">
        <f>EXP(-LN(2)/2)*FS117+(1-EXP(-LN(2)/2))/(LN(2)/2)*FM118*FP118*VLOOKUP('Données projet'!$B$16,Paramètres!$A$1:$I$89,3,0)*0.475*44/12</f>
        <v>2.6763486002293653E-12</v>
      </c>
      <c r="FT118" s="22">
        <f t="shared" si="78"/>
        <v>1.5152104000928348</v>
      </c>
      <c r="FU118" s="75">
        <f>('Scénario référence'!$F$8+'Scénario référence'!$F$9+'Scénario référence'!$B$17+'Scénario référence'!$B$9+'Scénario référence'!$B$10)*70+IF((45+25*(1-EXP(-0.0175*A118)))&lt;70,'Scénario référence'!$B$16*(45+25*(1-EXP(-0.0175*A118))),70*'Scénario référence'!$B$16)+IF((32+38*(1-EXP(-0.0175*A118)))&lt;70,'Scénario référence'!$B$18*(32+38*(1-EXP(-0.0175*A118))),70*'Scénario référence'!$B$18)</f>
        <v>70</v>
      </c>
      <c r="FV118" s="12">
        <f>IF(A118&gt;30,10,('Scénario référence'!$B$16+'Scénario référence'!$B$17+'Scénario référence'!$B$18+'Scénario référence'!$B$9+'Scénario référence'!$B$10)*A118*10/30+('Scénario référence'!$F$8+'Scénario référence'!$F$9)*10)</f>
        <v>10</v>
      </c>
      <c r="FW118" s="12" t="e">
        <f>VLOOKUP(A118,'Données projet'!$A$243:$I$263,2,0)</f>
        <v>#N/A</v>
      </c>
      <c r="FX118" s="12" t="e">
        <f>VLOOKUP(A118,'Données projet'!$A$243:$I$263,9,0)</f>
        <v>#N/A</v>
      </c>
      <c r="FY118" s="12">
        <f t="array" ref="FY118">INDEX(FX:FX,MIN(IF(ISNUMBER(FX118:FX314),ROW(FX118:FX314),"")))</f>
        <v>6.8461538461538511</v>
      </c>
      <c r="FZ118" s="12">
        <f>IF('Données projet'!$A$244&gt;35,FZ117+FY118-GH117,IF(A118&lt;'Données projet'!$A$244,$FW$205^A118,IF(A118='Données projet'!$A$244,'Données projet'!$B$244,FZ117+FY118-GH117)))</f>
        <v>329.95512820512846</v>
      </c>
      <c r="GA118" s="17">
        <f>FZ118*VLOOKUP('Données projet'!$B$17,Paramètres!$A$1:$I$89,3,0)*VLOOKUP('Données projet'!$B$17,Paramètres!$A$1:$I$89,5,0)</f>
        <v>355.16370000000029</v>
      </c>
      <c r="GB118" s="13">
        <f t="shared" si="103"/>
        <v>82.624862702127757</v>
      </c>
      <c r="GC118" s="20">
        <f t="shared" si="79"/>
        <v>762.48174670620631</v>
      </c>
      <c r="GD118" s="59">
        <f t="shared" si="80"/>
        <v>1055.8150800395397</v>
      </c>
      <c r="GE118" s="59">
        <f ca="1">AVERAGE(OFFSET($GD$3,0,0,'Données projet'!$E$17+1,1))-AVERAGE(OFFSET($H$3,0,0,'Données projet'!$E$17+1,1))</f>
        <v>286.77702855541287</v>
      </c>
      <c r="GF118" s="59">
        <f t="shared" si="104"/>
        <v>227.12211541860779</v>
      </c>
      <c r="GG118" s="15">
        <f>IF(ISNA(VLOOKUP(A118,'Données projet'!$A$243:$I$263,3,0)),0,VLOOKUP(A118,'Données projet'!$A$243:$I$263,3,0))</f>
        <v>0</v>
      </c>
      <c r="GH118" s="15">
        <f>IF(ISNA(VLOOKUP(A118,'Données projet'!$A$243:$I$263,4,0)),0,VLOOKUP(A118,'Données projet'!$A$243:$I$263,4,0))</f>
        <v>0</v>
      </c>
      <c r="GI118" s="16">
        <f>IF(ISNA(VLOOKUP(A118,'Données projet'!$A$243:$I$263,5,0)),0%,VLOOKUP(A118,'Données projet'!$A$243:$I$263,5,0)*VLOOKUP('Données projet'!$B$17,Paramètres!$A$1:$I$89,7,0))</f>
        <v>0</v>
      </c>
      <c r="GJ118" s="16">
        <f>IF(ISNA(VLOOKUP(A118,'Données projet'!$A$243:$I$263,6,0)),0%,VLOOKUP(A118,'Données projet'!$A$243:$I$263,6,0)*VLOOKUP('Données projet'!$B$17,Paramètres!$A$1:$I$89,7,0))</f>
        <v>0</v>
      </c>
      <c r="GK118" s="16">
        <f>IF(ISNA(VLOOKUP(A118,'Données projet'!$A$243:$I$263,7,0)),0%,VLOOKUP(A118,'Données projet'!$A$243:$I$263,7,0))</f>
        <v>0</v>
      </c>
      <c r="GL118" s="21">
        <f>EXP(-LN(2)/35)*GL117+(1-EXP(-LN(2)/35))/(LN(2)/35)*GH118*GI118*VLOOKUP('Données projet'!$B$17,Paramètres!$A$1:$I$89,3,0)*0.475*44/12</f>
        <v>0</v>
      </c>
      <c r="GM118" s="21">
        <f>EXP(-LN(2)/25)*GM117+(1-EXP(-LN(2)/25))/(LN(2)/25)*Calculateur!GH118*Calculateur!GJ118*VLOOKUP('Données projet'!$B$17,Paramètres!$A$1:$I$89,3,0)*0.475*44/12</f>
        <v>0</v>
      </c>
      <c r="GN118" s="21">
        <f>EXP(-LN(2)/2)*GN117+(1-EXP(-LN(2)/2))/(LN(2)/2)*GH118*GK118*VLOOKUP('Données projet'!$B$17,Paramètres!$A$1:$I$89,3,0)*0.475*44/12</f>
        <v>0</v>
      </c>
      <c r="GO118" s="21">
        <f t="shared" si="81"/>
        <v>0</v>
      </c>
      <c r="GP118" s="75">
        <f>('Scénario référence'!$F$8+'Scénario référence'!$F$9+'Scénario référence'!$B$17+'Scénario référence'!$B$9+'Scénario référence'!$B$10)*70+IF((45+25*(1-EXP(-0.0175*A118)))&lt;70,'Scénario référence'!$B$16*(45+25*(1-EXP(-0.0175*A118))),70*'Scénario référence'!$B$16)+IF((32+38*(1-EXP(-0.0175*A118)))&lt;70,'Scénario référence'!$B$18*(32+38*(1-EXP(-0.0175*A118))),70*'Scénario référence'!$B$18)</f>
        <v>70</v>
      </c>
      <c r="GQ118" s="12">
        <f>IF(A118&gt;30,10,('Scénario référence'!$B$16+'Scénario référence'!$B$17+'Scénario référence'!$B$18+'Scénario référence'!$B$9+'Scénario référence'!$B$10)*A118*10/30+('Scénario référence'!$F$8+'Scénario référence'!$F$9)*10)</f>
        <v>10</v>
      </c>
      <c r="GR118" s="12" t="e">
        <f>VLOOKUP(A118,'Données projet'!$A$269:$I$289,2,0)</f>
        <v>#N/A</v>
      </c>
      <c r="GS118" s="12" t="e">
        <f>VLOOKUP(A118,'Données projet'!$A$269:$I$289,9,0)</f>
        <v>#N/A</v>
      </c>
      <c r="GT118" s="12">
        <f t="array" ref="GT118">INDEX(GS:GS,MIN(IF(ISNUMBER(GS118:GS314),ROW(GS118:GS314),"")))</f>
        <v>6.8461538461538511</v>
      </c>
      <c r="GU118" s="12">
        <f>IF('Données projet'!$A$270&gt;35,GU117+GT118-HC117,IF(A118&lt;'Données projet'!$A$270,$GR$205^A118,IF(A118='Données projet'!$A$270,'Données projet'!$B$270,GU117+GT118-HC117)))</f>
        <v>329.95512820512846</v>
      </c>
      <c r="GV118" s="17">
        <f>GU118*VLOOKUP('Données projet'!$B$18,Paramètres!$A$1:$I$89,3,0)*VLOOKUP('Données projet'!$B$18,Paramètres!$A$1:$I$89,5,0)</f>
        <v>355.16370000000029</v>
      </c>
      <c r="GW118" s="13">
        <f t="shared" si="105"/>
        <v>82.624862702127757</v>
      </c>
      <c r="GX118" s="20">
        <f t="shared" si="82"/>
        <v>762.48174670620631</v>
      </c>
      <c r="GY118" s="59">
        <f t="shared" si="83"/>
        <v>1055.8150800395397</v>
      </c>
      <c r="GZ118" s="59">
        <f ca="1">AVERAGE(OFFSET($GY$3,0,0,'Données projet'!$E$18+1,1))-AVERAGE(OFFSET($H$3,0,0,'Données projet'!$E$18+1,1))</f>
        <v>286.77702855541287</v>
      </c>
      <c r="HA118" s="59">
        <f t="shared" si="106"/>
        <v>227.12211541860779</v>
      </c>
      <c r="HB118" s="15">
        <f>IF(ISNA(VLOOKUP(A118,'Données projet'!$A$269:$I$289,3,0)),0,VLOOKUP(A118,'Données projet'!$A$269:$I$289,3,0))</f>
        <v>0</v>
      </c>
      <c r="HC118" s="15">
        <f>IF(ISNA(VLOOKUP(A118,'Données projet'!$A$269:$I$289,4,0)),0,VLOOKUP(A118,'Données projet'!$A$269:$I$289,4,0))</f>
        <v>0</v>
      </c>
      <c r="HD118" s="16">
        <f>IF(ISNA(VLOOKUP(A118,'Données projet'!$A$269:$I$289,5,0)),0%,VLOOKUP(A118,'Données projet'!$A$269:$I$289,5,0)*VLOOKUP('Données projet'!$B$18,Paramètres!$A$1:$I$89,7,0))</f>
        <v>0</v>
      </c>
      <c r="HE118" s="16">
        <f>IF(ISNA(VLOOKUP(A118,'Données projet'!$A$269:$I$289,6,0)),0%,VLOOKUP(A118,'Données projet'!$A$269:$I$289,6,0)*VLOOKUP('Données projet'!$B$18,Paramètres!$A$1:$I$89,7,0))</f>
        <v>0</v>
      </c>
      <c r="HF118" s="16">
        <f>IF(ISNA(VLOOKUP(A118,'Données projet'!$A$269:$I$289,7,0)),0%,VLOOKUP(A118,'Données projet'!$A$269:$I$289,7,0))</f>
        <v>0</v>
      </c>
      <c r="HG118" s="21">
        <f>EXP(-LN(2)/35)*HG117+(1-EXP(-LN(2)/35))/(LN(2)/35)*HC118*HD118*VLOOKUP('Données projet'!$B$18,Paramètres!$A$1:$I$89,3,0)*0.475*44/12</f>
        <v>0</v>
      </c>
      <c r="HH118" s="21">
        <f>EXP(-LN(2)/25)*HH117+(1-EXP(-LN(2)/25))/(LN(2)/25)*Calculateur!HC118*Calculateur!HE118*VLOOKUP('Données projet'!$B$18,Paramètres!$A$1:$I$89,3,0)*0.475*44/12</f>
        <v>0</v>
      </c>
      <c r="HI118" s="21">
        <f>EXP(-LN(2)/2)*HI117+(1-EXP(-LN(2)/2))/(LN(2)/2)*HC118*HF118*VLOOKUP('Données projet'!$B$18,Paramètres!$A$1:$I$89,3,0)*0.475*44/12</f>
        <v>0</v>
      </c>
      <c r="HJ118" s="22">
        <f t="shared" si="84"/>
        <v>0</v>
      </c>
    </row>
    <row r="119" spans="1:218" x14ac:dyDescent="0.25">
      <c r="A119" s="10">
        <f t="shared" si="85"/>
        <v>116</v>
      </c>
      <c r="B119" s="73">
        <f>'Scénario référence'!$B$16*5+'Scénario référence'!$B$17*0+'Scénario référence'!$B$18*5</f>
        <v>0</v>
      </c>
      <c r="C119" s="19">
        <f>Calculateur!C118+'Scénario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103.14720000000018</v>
      </c>
      <c r="D119" s="11">
        <f t="shared" si="86"/>
        <v>27.710417026801501</v>
      </c>
      <c r="E11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19" s="11">
        <f>IF(OR('Scénario référence'!$F$8&gt;0,'Scénario référence'!$F$9&gt;0),('Scénario référence'!$F$8+'Scénario référence'!$F$9)*10,0)</f>
        <v>10</v>
      </c>
      <c r="G119" s="11">
        <f>'Scénario référence'!$B$8*B119*44/12+'Scénario référence'!$B$9*(C119+D119)/0.475*44/12+'Scénario référence'!$B$10*(C119+D119)/0.475*44/12+'Scénario référence'!$F$8*(C119+D119)/0.475*44/12+'Scénario référence'!$F$9*(C119+D119)/0.475*44/12</f>
        <v>1010.1289735402235</v>
      </c>
      <c r="H119" s="67">
        <f t="shared" si="56"/>
        <v>521.24368298834622</v>
      </c>
      <c r="I119" s="70">
        <f>('Scénario référence'!$F$8+'Scénario référence'!$F$9+'Scénario référence'!$B$17+'Scénario référence'!$B$9+'Scénario référence'!$B$10)*70+IF((45+25*(1-EXP(-0.0175*A119)))&lt;70,'Scénario référence'!$B$16*(45+25*(1-EXP(-0.0175*A119))),70*'Scénario référence'!$B$16)+IF((32+38*(1-EXP(-0.0175*A119)))&lt;70,'Scénario référence'!$B$18*(32+38*(1-EXP(-0.0175*A119))),70*'Scénario référence'!$B$18)</f>
        <v>70</v>
      </c>
      <c r="J119" s="13">
        <f>IF(A119&gt;30,10,('Scénario référence'!$B$16+'Scénario référence'!$B$17+'Scénario référence'!$B$18+'Scénario référence'!$B$9+'Scénario référence'!$B$10)*A119*10/30+('Scénario référence'!$F$8+'Scénario référence'!$F$9)*10)</f>
        <v>10</v>
      </c>
      <c r="K119" s="12" t="e">
        <f>VLOOKUP(A119,'Données projet'!$A$35:$I$55,2,0)</f>
        <v>#N/A</v>
      </c>
      <c r="L119" s="12" t="e">
        <f>VLOOKUP(A119,'Données projet'!$A$35:$I$55,9,0)</f>
        <v>#N/A</v>
      </c>
      <c r="M119" s="12">
        <f t="array" ref="M119">INDEX(L:L,MIN(IF(ISNUMBER(L119:L315),ROW(L119:L315),"")))</f>
        <v>0</v>
      </c>
      <c r="N119" s="13">
        <f>IF('Données projet'!$A$36&gt;35,N118+M119-V118,IF(A119&lt;'Données projet'!$A$36,$K$205^A119,IF(A119='Données projet'!$A$36,'Données projet'!$B$36,N118+M119-V118)))</f>
        <v>-2.2737367544323206E-13</v>
      </c>
      <c r="O119" s="13">
        <f>N119*VLOOKUP('Données projet'!$B$9,Paramètres!$A$1:$I$89,3,0)*VLOOKUP('Données projet'!$B$9,Paramètres!$A$1:$I$89,5,0)</f>
        <v>-1.2710188457276673E-13</v>
      </c>
      <c r="P119" s="13" t="e">
        <f t="shared" si="87"/>
        <v>#NUM!</v>
      </c>
      <c r="Q119" s="20" t="e">
        <f t="shared" si="107"/>
        <v>#NUM!</v>
      </c>
      <c r="R119" s="59" t="e">
        <f t="shared" si="55"/>
        <v>#NUM!</v>
      </c>
      <c r="S119" s="59">
        <f ca="1">AVERAGE(OFFSET($R$3,0,0,'Données projet'!$E$9+1,1))-AVERAGE(OFFSET($H$3,0,0,'Données projet'!$E$9+1,1))</f>
        <v>255.5374979188561</v>
      </c>
      <c r="T119" s="59">
        <f t="shared" si="88"/>
        <v>343.10418468620901</v>
      </c>
      <c r="U119" s="15">
        <f>IF(ISNA(VLOOKUP(A119,'Données projet'!$A$35:$I$55,3,0)),0,VLOOKUP(A119,'Données projet'!$A$35:$I$55,3,0))</f>
        <v>0</v>
      </c>
      <c r="V119" s="15">
        <f>IF(ISNA(VLOOKUP(A119,'Données projet'!$A$35:$I$55,4,0)),0,VLOOKUP(A119,'Données projet'!$A$35:$I$55,4,0))</f>
        <v>0</v>
      </c>
      <c r="W119" s="16">
        <f>IF(ISNA(VLOOKUP(A119,'Données projet'!$A$35:$I$55,5,0)),0%,VLOOKUP(A119,'Données projet'!$A$35:$I$55,5,0)*VLOOKUP('Données projet'!$B$9,Paramètres!$A$1:$I$89,7,0))</f>
        <v>0</v>
      </c>
      <c r="X119" s="16">
        <f>IF(ISNA(VLOOKUP(A119,'Données projet'!$A$35:$I$55,6,0)),0%,VLOOKUP(A119,'Données projet'!$A$35:$I$55,6,0)*VLOOKUP('Données projet'!$B$9,Paramètres!$A$1:$I$89,7,0))</f>
        <v>0</v>
      </c>
      <c r="Y119" s="16">
        <f>IF(ISNA(VLOOKUP(A119,'Données projet'!$A$35:$I$55,7,0)),0%,VLOOKUP(A119,'Données projet'!$A$35:$I$55,7,0))</f>
        <v>0</v>
      </c>
      <c r="Z119" s="21">
        <f>EXP(-LN(2)/35)*Z118+(1-EXP(-LN(2)/35))/(LN(2)/35)*V119*W119*VLOOKUP('Données projet'!$B$9,Paramètres!$A$1:$I$89,3,0)*0.475*44/12</f>
        <v>0.56271762328215369</v>
      </c>
      <c r="AA119" s="21">
        <f>EXP(-LN(2)/25)*AA118+(1-EXP(-LN(2)/25))/(LN(2)/25)*Calculateur!V119*Calculateur!X119*VLOOKUP('Données projet'!$B$9,Paramètres!$A$1:$I$89,3,0)*0.475*44/12</f>
        <v>1.4706074209839628</v>
      </c>
      <c r="AB119" s="21">
        <f>EXP(-LN(2)/2)*AB118+(1-EXP(-LN(2)/2))/(LN(2)/2)*V119*Y119*VLOOKUP('Données projet'!$B$9,Paramètres!$A$1:$I$89,3,0)*0.475*44/12</f>
        <v>1.9243226227605033E-13</v>
      </c>
      <c r="AC119" s="22">
        <f t="shared" si="57"/>
        <v>2.0333250442663089</v>
      </c>
      <c r="AD119" s="13">
        <f>('Scénario référence'!$F$8+'Scénario référence'!$F$9+'Scénario référence'!$B$17+'Scénario référence'!$B$9+'Scénario référence'!$B$10)*70+IF((45+25*(1-EXP(-0.0175*A119)))&lt;70,'Scénario référence'!$B$16*(45+25*(1-EXP(-0.0175*A119))),70*'Scénario référence'!$B$16)+IF((32+38*(1-EXP(-0.0175*A119)))&lt;70,'Scénario référence'!$B$18*(32+38*(1-EXP(-0.0175*A119))),70*'Scénario référence'!$B$18)</f>
        <v>70</v>
      </c>
      <c r="AE119" s="13">
        <f>IF(A119&gt;30,10,('Scénario référence'!$B$16+'Scénario référence'!$B$17+'Scénario référence'!$B$18+'Scénario référence'!$B$9+'Scénario référence'!$B$10)*A119*10/30+('Scénario référence'!$F$8+'Scénario référence'!$F$9)*10)</f>
        <v>10</v>
      </c>
      <c r="AF119" s="12" t="e">
        <f>VLOOKUP(A119,'Données projet'!$A$61:$I$81,2,0)</f>
        <v>#N/A</v>
      </c>
      <c r="AG119" s="12" t="e">
        <f>VLOOKUP(A119,'Données projet'!$A$61:$I$81,9,0)</f>
        <v>#N/A</v>
      </c>
      <c r="AH119" s="12">
        <f t="array" ref="AH119">INDEX(AG:AG,MIN(IF(ISNUMBER(AG119:AG315),ROW(AG119:AG315),"")))</f>
        <v>0</v>
      </c>
      <c r="AI119" s="13">
        <f>IF('Données projet'!$A$62&gt;35,AI118+AH119-AQ118,IF(A119&lt;'Données projet'!$A$62,$AF$205^A119,IF(A119='Données projet'!$A$62,'Données projet'!$B$62,AI118+AH119-AQ118)))</f>
        <v>0</v>
      </c>
      <c r="AJ119" s="13">
        <f>AI119*VLOOKUP('Données projet'!$B$10,Paramètres!$A$1:$I$89,3,0)*VLOOKUP('Données projet'!$B$10,Paramètres!$A$1:$I$89,5,0)</f>
        <v>0</v>
      </c>
      <c r="AK119" s="13" t="e">
        <f t="shared" si="89"/>
        <v>#NUM!</v>
      </c>
      <c r="AL119" s="20" t="e">
        <f t="shared" si="58"/>
        <v>#NUM!</v>
      </c>
      <c r="AM119" s="59" t="e">
        <f t="shared" si="59"/>
        <v>#NUM!</v>
      </c>
      <c r="AN119" s="59">
        <f ca="1">AVERAGE(OFFSET($AM$3,0,0,'Données projet'!$E$10+1,1))-AVERAGE(OFFSET($H$3,0,0,'Données projet'!$E$10+1,1))</f>
        <v>261.78489480911571</v>
      </c>
      <c r="AO119" s="59">
        <f t="shared" si="90"/>
        <v>297.50513563712764</v>
      </c>
      <c r="AP119" s="15">
        <f>IF(ISNA(VLOOKUP(A119,'Données projet'!$A$61:$I$81,3,0)),0,VLOOKUP(A119,'Données projet'!$A$61:$I$81,3,0))</f>
        <v>0</v>
      </c>
      <c r="AQ119" s="15">
        <f>IF(ISNA(VLOOKUP(A119,'Données projet'!$A$61:$I$81,4,0)),0,VLOOKUP(A119,'Données projet'!$A$61:$I$81,4,0))</f>
        <v>0</v>
      </c>
      <c r="AR119" s="16">
        <f>IF(ISNA(VLOOKUP(A119,'Données projet'!$A$61:$I$81,5,0)),0%,VLOOKUP(A119,'Données projet'!$A$61:$I$81,5,0)*VLOOKUP('Données projet'!$B$10,Paramètres!$A$1:$I$89,7,0))</f>
        <v>0</v>
      </c>
      <c r="AS119" s="16">
        <f>IF(ISNA(VLOOKUP(A119,'Données projet'!$A$61:$I$81,6,0)),0%,VLOOKUP(A119,'Données projet'!$A$61:$I$81,6,0)*VLOOKUP('Données projet'!$B$10,Paramètres!$A$1:$I$89,7,0))</f>
        <v>0</v>
      </c>
      <c r="AT119" s="16">
        <f>IF(ISNA(VLOOKUP(A119,'Données projet'!$A$61:$I$81,7,0)),0%,VLOOKUP(A119,'Données projet'!$A$61:$I$81,7,0))</f>
        <v>0</v>
      </c>
      <c r="AU119" s="21">
        <f>EXP(-LN(2)/35)*AU118+(1-EXP(-LN(2)/35))/(LN(2)/35)*AQ119*AR119*VLOOKUP('Données projet'!$B$10,Paramètres!$A$1:$I$89,3,0)*0.475*44/12</f>
        <v>1.5194967467781506</v>
      </c>
      <c r="AV119" s="21">
        <f>EXP(-LN(2)/25)*AV118+(1-EXP(-LN(2)/25))/(LN(2)/25)*Calculateur!AQ119*Calculateur!AS119*VLOOKUP('Données projet'!$B$10,Paramètres!$A$1:$I$89,3,0)*0.475*44/12</f>
        <v>2.5679805034138123</v>
      </c>
      <c r="AW119" s="21">
        <f>EXP(-LN(2)/2)*AW118+(1-EXP(-LN(2)/2))/(LN(2)/2)*AQ119*AT119*VLOOKUP('Données projet'!$B$10,Paramètres!$A$1:$I$89,3,0)*0.475*44/12</f>
        <v>2.7740942569962362E-12</v>
      </c>
      <c r="AX119" s="21">
        <f t="shared" si="60"/>
        <v>4.0874772501947367</v>
      </c>
      <c r="AY119" s="74">
        <f>('Scénario référence'!$F$8+'Scénario référence'!$F$9+'Scénario référence'!$B$17+'Scénario référence'!$B$9+'Scénario référence'!$B$10)*70+IF((45+25*(1-EXP(-0.0175*A119)))&lt;70,'Scénario référence'!$B$16*(45+25*(1-EXP(-0.0175*A119))),70*'Scénario référence'!$B$16)+IF((32+38*(1-EXP(-0.0175*A119)))&lt;70,'Scénario référence'!$B$18*(32+38*(1-EXP(-0.0175*A119))),70*'Scénario référence'!$B$18)</f>
        <v>70</v>
      </c>
      <c r="AZ119" s="12">
        <f>IF(A119&gt;30,10,('Scénario référence'!$B$16+'Scénario référence'!$B$17+'Scénario référence'!$B$18+'Scénario référence'!$B$9+'Scénario référence'!$B$10)*A119*10/30+('Scénario référence'!$F$8+'Scénario référence'!$F$9)*10)</f>
        <v>10</v>
      </c>
      <c r="BA119" s="12" t="e">
        <f>VLOOKUP(A119,'Données projet'!$A$87:$I$107,2,0)</f>
        <v>#N/A</v>
      </c>
      <c r="BB119" s="12" t="e">
        <f>VLOOKUP(A119,'Données projet'!$A$87:$I$107,9,0)</f>
        <v>#N/A</v>
      </c>
      <c r="BC119" s="12">
        <f t="array" ref="BC119">INDEX(BB:BB,MIN(IF(ISNUMBER(BB119:BB315),ROW(BB119:BB315),"")))</f>
        <v>0</v>
      </c>
      <c r="BD119" s="12">
        <f>IF('Données projet'!$A$88&gt;35,BD118+BC119-BL118,IF(A119&lt;'Données projet'!$A$88,$BA$205^A119,IF(A119='Données projet'!$A$88,'Données projet'!$B$88,BD118+BC119-BL118)))</f>
        <v>553.99999999999955</v>
      </c>
      <c r="BE119" s="13">
        <f>BD119*VLOOKUP('Données projet'!$B$11,Paramètres!$A$1:$I$89,3,0)*VLOOKUP('Données projet'!$B$11,Paramètres!$A$1:$I$89,5,0)</f>
        <v>331.29199999999975</v>
      </c>
      <c r="BF119" s="13">
        <f t="shared" si="91"/>
        <v>77.698110787752</v>
      </c>
      <c r="BG119" s="20">
        <f t="shared" si="61"/>
        <v>712.32444295533423</v>
      </c>
      <c r="BH119" s="59">
        <f t="shared" si="62"/>
        <v>1005.6577762886675</v>
      </c>
      <c r="BI119" s="59">
        <f ca="1">AVERAGE(OFFSET($BH$3,0,0,'Données projet'!$E$11+1,1))-AVERAGE(OFFSET($H$3,0,0,'Données projet'!$E$11+1,1))</f>
        <v>316.58509520829671</v>
      </c>
      <c r="BJ119" s="59">
        <f t="shared" si="92"/>
        <v>240.71332110643596</v>
      </c>
      <c r="BK119" s="15">
        <f>IF(ISNA(VLOOKUP(A119,'Données projet'!$A$87:$I$107,3,0)),0,VLOOKUP(A119,'Données projet'!$A$87:$I$107,3,0))</f>
        <v>0</v>
      </c>
      <c r="BL119" s="15">
        <f>IF(ISNA(VLOOKUP(A119,'Données projet'!$A$87:$I$107,4,0)),0,VLOOKUP(A119,'Données projet'!$A$87:$I$107,4,0))</f>
        <v>0</v>
      </c>
      <c r="BM119" s="16">
        <f>IF(ISNA(VLOOKUP(A119,'Données projet'!$A$87:$I$107,5,0)),0%,VLOOKUP(A119,'Données projet'!$A$87:$I$107,5,0)*VLOOKUP('Données projet'!$B$11,Paramètres!$A$1:$I$89,7,0))</f>
        <v>0</v>
      </c>
      <c r="BN119" s="16">
        <f>IF(ISNA(VLOOKUP(A119,'Données projet'!$A$87:$I$107,6,0)),0%,VLOOKUP(A119,'Données projet'!$A$87:$I$107,6,0)*VLOOKUP('Données projet'!$B$11,Paramètres!$A$1:$I$89,7,0))</f>
        <v>0</v>
      </c>
      <c r="BO119" s="16">
        <f>IF(ISNA(VLOOKUP(A119,'Données projet'!$A$87:$I$107,7,0)),0%,VLOOKUP(A119,'Données projet'!$A$87:$I$107,7,0))</f>
        <v>0</v>
      </c>
      <c r="BP119" s="21">
        <f>EXP(-LN(2)/35)*BP118+(1-EXP(-LN(2)/35))/(LN(2)/35)*BL119*BM119*VLOOKUP('Données projet'!$B$11,Paramètres!$A$1:$I$89,3,0)*0.475*44/12</f>
        <v>0.46155844261322926</v>
      </c>
      <c r="BQ119" s="21">
        <f>EXP(-LN(2)/25)*BQ118+(1-EXP(-LN(2)/25))/(LN(2)/25)*Calculateur!BL119*Calculateur!BN119*VLOOKUP('Données projet'!$B$11,Paramètres!$A$1:$I$89,3,0)*0.475*44/12</f>
        <v>1.4068146485018929</v>
      </c>
      <c r="BR119" s="21">
        <f>EXP(-LN(2)/2)*BR118+(1-EXP(-LN(2)/2))/(LN(2)/2)*BL119*BO119*VLOOKUP('Données projet'!$B$11,Paramètres!$A$1:$I$89,3,0)*0.475*44/12</f>
        <v>2.4942145353339734E-12</v>
      </c>
      <c r="BS119" s="22">
        <f t="shared" si="63"/>
        <v>1.8683730911176164</v>
      </c>
      <c r="BT119" s="75">
        <f>('Scénario référence'!$F$8+'Scénario référence'!$F$9+'Scénario référence'!$B$17+'Scénario référence'!$B$9+'Scénario référence'!$B$10)*70+IF((45+25*(1-EXP(-0.0175*A119)))&lt;70,'Scénario référence'!$B$16*(45+25*(1-EXP(-0.0175*A119))),70*'Scénario référence'!$B$16)+IF((32+38*(1-EXP(-0.0175*A119)))&lt;70,'Scénario référence'!$B$18*(32+38*(1-EXP(-0.0175*A119))),70*'Scénario référence'!$B$18)</f>
        <v>70</v>
      </c>
      <c r="BU119" s="12">
        <f>IF(A119&gt;30,10,('Scénario référence'!$B$16+'Scénario référence'!$B$17+'Scénario référence'!$B$18+'Scénario référence'!$B$9+'Scénario référence'!$B$10)*A119*10/30+('Scénario référence'!$F$8+'Scénario référence'!$F$9)*10)</f>
        <v>10</v>
      </c>
      <c r="BV119" s="12" t="e">
        <f>VLOOKUP(A119,'Données projet'!$A$113:$I$133,2,0)</f>
        <v>#N/A</v>
      </c>
      <c r="BW119" s="12" t="e">
        <f>VLOOKUP(A119,'Données projet'!$A$113:$I$133,9,0)</f>
        <v>#N/A</v>
      </c>
      <c r="BX119" s="12">
        <f t="array" ref="BX119">INDEX(BW:BW,MIN(IF(ISNUMBER(BW119:BW315),ROW(BW119:BW315),"")))</f>
        <v>0</v>
      </c>
      <c r="BY119" s="12">
        <f>IF('Données projet'!$A$114&gt;35,BY118+BX119-CG118,IF(A119&lt;'Données projet'!$A$114,$BV$205^A119,IF(A119='Données projet'!$A$114,'Données projet'!$B$114,BY118+BX119-CG118)))</f>
        <v>333.99999999999977</v>
      </c>
      <c r="BZ119" s="13">
        <f>BY119*VLOOKUP('Données projet'!$B$12,Paramètres!$A$1:$I$89,3,0)*VLOOKUP('Données projet'!$B$12,Paramètres!$A$1:$I$89,5,0)</f>
        <v>191.04799999999986</v>
      </c>
      <c r="CA119" s="13">
        <f t="shared" si="93"/>
        <v>47.771576544305155</v>
      </c>
      <c r="CB119" s="20">
        <f t="shared" si="64"/>
        <v>415.94409581466454</v>
      </c>
      <c r="CC119" s="59">
        <f t="shared" si="65"/>
        <v>709.27742914799785</v>
      </c>
      <c r="CD119" s="59">
        <f ca="1">AVERAGE(OFFSET($CC$3,0,0,'Données projet'!$E$12+1,1))-AVERAGE(OFFSET($H$3,0,0,'Données projet'!$E$12+1,1))</f>
        <v>188.64374818906128</v>
      </c>
      <c r="CE119" s="59">
        <f t="shared" si="94"/>
        <v>211.95157880548652</v>
      </c>
      <c r="CF119" s="15">
        <f>IF(ISNA(VLOOKUP(A119,'Données projet'!$A$113:$I$133,3,0)),0,VLOOKUP(A119,'Données projet'!$A$113:$I$133,3,0))</f>
        <v>0</v>
      </c>
      <c r="CG119" s="15">
        <f>IF(ISNA(VLOOKUP(A119,'Données projet'!$A$113:$I$133,4,0)),0,VLOOKUP(A119,'Données projet'!$A$113:$I$133,4,0))</f>
        <v>0</v>
      </c>
      <c r="CH119" s="16">
        <f>IF(ISNA(VLOOKUP(A119,'Données projet'!$A$113:$I$133,5,0)),0%,VLOOKUP(A119,'Données projet'!$A$113:$I$133,5,0)*VLOOKUP('Données projet'!$B$12,Paramètres!$A$1:$I$89,7,0))</f>
        <v>0</v>
      </c>
      <c r="CI119" s="16">
        <f>IF(ISNA(VLOOKUP(A119,'Données projet'!$A$113:$I$133,6,0)),0%,VLOOKUP(A119,'Données projet'!$A$113:$I$133,6,0)*VLOOKUP('Données projet'!$B$12,Paramètres!$A$1:$I$89,7,0))</f>
        <v>0</v>
      </c>
      <c r="CJ119" s="16">
        <f>IF(ISNA(VLOOKUP(A119,'Données projet'!$A$113:$I$133,7,0)),0%,VLOOKUP(A119,'Données projet'!$A$113:$I$133,7,0))</f>
        <v>0</v>
      </c>
      <c r="CK119" s="21">
        <f>EXP(-LN(2)/35)*CK118+(1-EXP(-LN(2)/35))/(LN(2)/35)*CG119*CH119*VLOOKUP('Données projet'!$B$12,Paramètres!$A$1:$I$89,3,0)*0.475*44/12</f>
        <v>0.44770886288999057</v>
      </c>
      <c r="CL119" s="21">
        <f>EXP(-LN(2)/25)*CL118+(1-EXP(-LN(2)/25))/(LN(2)/25)*Calculateur!CG119*Calculateur!CI119*VLOOKUP('Données projet'!$B$12,Paramètres!$A$1:$I$89,3,0)*0.475*44/12</f>
        <v>1.3241257999334513</v>
      </c>
      <c r="CM119" s="21">
        <f>EXP(-LN(2)/2)*CM118+(1-EXP(-LN(2)/2))/(LN(2)/2)*CG119*CJ119*VLOOKUP('Données projet'!$B$12,Paramètres!$A$1:$I$89,3,0)*0.475*44/12</f>
        <v>2.4154516272274414E-12</v>
      </c>
      <c r="CN119" s="22">
        <f t="shared" si="66"/>
        <v>1.7718346628258572</v>
      </c>
      <c r="CO119" s="75">
        <f>('Scénario référence'!$F$8+'Scénario référence'!$F$9+'Scénario référence'!$B$17+'Scénario référence'!$B$9+'Scénario référence'!$B$10)*70+IF((45+25*(1-EXP(-0.0175*A119)))&lt;70,'Scénario référence'!$B$16*(45+25*(1-EXP(-0.0175*A119))),70*'Scénario référence'!$B$16)+IF((32+38*(1-EXP(-0.0175*A119)))&lt;70,'Scénario référence'!$B$18*(32+38*(1-EXP(-0.0175*A119))),70*'Scénario référence'!$B$18)</f>
        <v>70</v>
      </c>
      <c r="CP119" s="12">
        <f>IF(A119&gt;30,10,('Scénario référence'!$B$16+'Scénario référence'!$B$17+'Scénario référence'!$B$18+'Scénario référence'!$B$9+'Scénario référence'!$B$10)*A119*10/30+('Scénario référence'!$F$8+'Scénario référence'!$F$9)*10)</f>
        <v>10</v>
      </c>
      <c r="CQ119" s="12" t="e">
        <f>VLOOKUP(A119,'Données projet'!$A$139:$I$159,2,0)</f>
        <v>#N/A</v>
      </c>
      <c r="CR119" s="12" t="e">
        <f>VLOOKUP(A119,'Données projet'!$A$139:$I$159,9,0)</f>
        <v>#N/A</v>
      </c>
      <c r="CS119" s="12">
        <f t="array" ref="CS119">INDEX(CR:CR,MIN(IF(ISNUMBER(CR119:CR315),ROW(CR119:CR315),"")))</f>
        <v>0</v>
      </c>
      <c r="CT119" s="12">
        <f>IF('Données projet'!$A$140&gt;35,CT118+CS119-DB118,IF(A119&lt;'Données projet'!$A$140,$CQ$205^A119,IF(A119='Données projet'!$A$140,'Données projet'!$B$140,CT118+CS119-DB118)))</f>
        <v>0</v>
      </c>
      <c r="CU119" s="17" t="e">
        <f>CT119*VLOOKUP('Données projet'!$B$13,Paramètres!$A$1:$I$89,3,0)*VLOOKUP('Données projet'!$B$13,Paramètres!$A$1:$I$89,5,0)</f>
        <v>#N/A</v>
      </c>
      <c r="CV119" s="13" t="e">
        <f t="shared" si="95"/>
        <v>#N/A</v>
      </c>
      <c r="CW119" s="20" t="e">
        <f t="shared" si="67"/>
        <v>#N/A</v>
      </c>
      <c r="CX119" s="59" t="e">
        <f t="shared" si="68"/>
        <v>#N/A</v>
      </c>
      <c r="CY119" s="59" t="e">
        <f ca="1">AVERAGE(OFFSET($CX$3,0,0,'Données projet'!$E$13+1,1))-AVERAGE(OFFSET($H$3,0,0,'Données projet'!$E$13+1,1))</f>
        <v>#N/A</v>
      </c>
      <c r="CZ119" s="59" t="e">
        <f t="shared" si="96"/>
        <v>#N/A</v>
      </c>
      <c r="DA119" s="15">
        <f>IF(ISNA(VLOOKUP(A119,'Données projet'!$A$139:$I$159,3,0)),0,VLOOKUP(A119,'Données projet'!$A$139:$I$159,3,0))</f>
        <v>0</v>
      </c>
      <c r="DB119" s="15">
        <f>IF(ISNA(VLOOKUP(A119,'Données projet'!$A$139:$I$159,4,0)),0,VLOOKUP(A119,'Données projet'!$A$139:$I$159,4,0))</f>
        <v>0</v>
      </c>
      <c r="DC119" s="16">
        <f>IF(ISNA(VLOOKUP(A119,'Données projet'!$A$139:$I$159,5,0)),0%,VLOOKUP(A119,'Données projet'!$A$139:$I$159,5,0)*VLOOKUP('Données projet'!$B$13,Paramètres!$A$1:$I$89,7,0))</f>
        <v>0</v>
      </c>
      <c r="DD119" s="16">
        <f>IF(ISNA(VLOOKUP(A119,'Données projet'!$A$139:$I$159,6,0)),0%,VLOOKUP(A119,'Données projet'!$A$139:$I$159,6,0)*VLOOKUP('Données projet'!$B$13,Paramètres!$A$1:$I$89,7,0))</f>
        <v>0</v>
      </c>
      <c r="DE119" s="16">
        <f>IF(ISNA(VLOOKUP(A119,'Données projet'!$A$139:$I$159,7,0)),0%,VLOOKUP(A119,'Données projet'!$A$139:$I$159,7,0))</f>
        <v>0</v>
      </c>
      <c r="DF119" s="21" t="e">
        <f>EXP(-LN(2)/35)*DF118+(1-EXP(-LN(2)/35))/(LN(2)/35)*DB119*DC119*VLOOKUP('Données projet'!$B$13,Paramètres!$A$1:$I$89,3,0)*0.475*44/12</f>
        <v>#N/A</v>
      </c>
      <c r="DG119" s="21" t="e">
        <f>EXP(-LN(2)/25)*DG118+(1-EXP(-LN(2)/25))/(LN(2)/25)*Calculateur!DB119*Calculateur!DD119*VLOOKUP('Données projet'!$B$13,Paramètres!$A$1:$I$89,3,0)*0.475*44/12</f>
        <v>#N/A</v>
      </c>
      <c r="DH119" s="21" t="e">
        <f>EXP(-LN(2)/2)*DH118+(1-EXP(-LN(2)/2))/(LN(2)/2)*DB119*DE119*VLOOKUP('Données projet'!$B$13,Paramètres!$A$1:$I$89,3,0)*0.475*44/12</f>
        <v>#N/A</v>
      </c>
      <c r="DI119" s="22" t="e">
        <f t="shared" si="69"/>
        <v>#N/A</v>
      </c>
      <c r="DJ119" s="75">
        <f>('Scénario référence'!$F$8+'Scénario référence'!$F$9+'Scénario référence'!$B$17+'Scénario référence'!$B$9+'Scénario référence'!$B$10)*70+IF((45+25*(1-EXP(-0.0175*A119)))&lt;70,'Scénario référence'!$B$16*(45+25*(1-EXP(-0.0175*A119))),70*'Scénario référence'!$B$16)+IF((32+38*(1-EXP(-0.0175*A119)))&lt;70,'Scénario référence'!$B$18*(32+38*(1-EXP(-0.0175*A119))),70*'Scénario référence'!$B$18)</f>
        <v>70</v>
      </c>
      <c r="DK119" s="12">
        <f>IF(A119&gt;30,10,('Scénario référence'!$B$16+'Scénario référence'!$B$17+'Scénario référence'!$B$18+'Scénario référence'!$B$9+'Scénario référence'!$B$10)*A119*10/30+('Scénario référence'!$F$8+'Scénario référence'!$F$9)*10)</f>
        <v>10</v>
      </c>
      <c r="DL119" s="12" t="e">
        <f>VLOOKUP(A119,'Données projet'!$A$165:$I$185,2,0)</f>
        <v>#N/A</v>
      </c>
      <c r="DM119" s="12" t="e">
        <f>VLOOKUP(A119,'Données projet'!$A$165:$I$185,9,0)</f>
        <v>#N/A</v>
      </c>
      <c r="DN119" s="12">
        <f t="array" ref="DN119">INDEX(DM:DM,MIN(IF(ISNUMBER(DM119:DM315),ROW(DM119:DM315),"")))</f>
        <v>0</v>
      </c>
      <c r="DO119" s="12">
        <f>IF('Données projet'!$A$166&gt;35,DO118+DN119-DW118,IF(A119&lt;'Données projet'!$A$166,$DL$205^A119,IF(A119='Données projet'!$A$166,'Données projet'!$B$166,DO118+DN119-DW118)))</f>
        <v>268.00000000000017</v>
      </c>
      <c r="DP119" s="17">
        <f>DO119*VLOOKUP('Données projet'!$B$14,Paramètres!$A$1:$I$89,3,0)*VLOOKUP('Données projet'!$B$14,Paramètres!$A$1:$I$89,5,0)</f>
        <v>175.59360000000012</v>
      </c>
      <c r="DQ119" s="13">
        <f t="shared" si="97"/>
        <v>44.340433728638573</v>
      </c>
      <c r="DR119" s="20">
        <f t="shared" si="70"/>
        <v>383.05177541071242</v>
      </c>
      <c r="DS119" s="59">
        <f t="shared" si="71"/>
        <v>676.38510874404574</v>
      </c>
      <c r="DT119" s="59">
        <f ca="1">AVERAGE(OFFSET($DS$3,0,0,'Données projet'!$E$14+1,1))-AVERAGE(OFFSET($H$3,0,0,'Données projet'!$E$14+1,1))</f>
        <v>188.68915783955595</v>
      </c>
      <c r="DU119" s="59">
        <f t="shared" si="98"/>
        <v>240.82467772396944</v>
      </c>
      <c r="DV119" s="15">
        <f>IF(ISNA(VLOOKUP(A119,'Données projet'!$A$165:$I$185,3,0)),0,VLOOKUP(A119,'Données projet'!$A$165:$I$185,3,0))</f>
        <v>0</v>
      </c>
      <c r="DW119" s="15">
        <f>IF(ISNA(VLOOKUP(A119,'Données projet'!$A$165:$I$185,4,0)),0,VLOOKUP(A119,'Données projet'!$A$165:$I$185,4,0))</f>
        <v>0</v>
      </c>
      <c r="DX119" s="16">
        <f>IF(ISNA(VLOOKUP(A119,'Données projet'!$A$165:$I$185,5,0)),0%,VLOOKUP(A119,'Données projet'!$A$165:$I$185,5,0)*VLOOKUP('Données projet'!$B$14,Paramètres!$A$1:$I$89,7,0))</f>
        <v>0</v>
      </c>
      <c r="DY119" s="16">
        <f>IF(ISNA(VLOOKUP(A119,'Données projet'!$A$165:$I$185,6,0)),0%,VLOOKUP(A119,'Données projet'!$A$165:$I$185,6,0)*VLOOKUP('Données projet'!$B$14,Paramètres!$A$1:$I$89,7,0))</f>
        <v>0</v>
      </c>
      <c r="DZ119" s="16">
        <f>IF(ISNA(VLOOKUP(A119,'Données projet'!$A$165:$I$185,7,0)),0%,VLOOKUP(A119,'Données projet'!$A$165:$I$185,7,0))</f>
        <v>0</v>
      </c>
      <c r="EA119" s="21">
        <f>EXP(-LN(2)/35)*EA118+(1-EXP(-LN(2)/35))/(LN(2)/35)*DW119*DX119*VLOOKUP('Données projet'!$B$14,Paramètres!$A$1:$I$89,3,0)*0.475*44/12</f>
        <v>0.28358663242821358</v>
      </c>
      <c r="EB119" s="21">
        <f>EXP(-LN(2)/25)*EB118+(1-EXP(-LN(2)/25))/(LN(2)/25)*Calculateur!DW119*Calculateur!DY119*VLOOKUP('Données projet'!$B$14,Paramètres!$A$1:$I$89,3,0)*0.475*44/12</f>
        <v>0.74063869251750336</v>
      </c>
      <c r="EC119" s="21">
        <f>EXP(-LN(2)/2)*EC118+(1-EXP(-LN(2)/2))/(LN(2)/2)*DW119*DZ119*VLOOKUP('Données projet'!$B$14,Paramètres!$A$1:$I$89,3,0)*0.475*44/12</f>
        <v>1.5912073634134557E-12</v>
      </c>
      <c r="ED119" s="22">
        <f t="shared" si="72"/>
        <v>1.0242253249473081</v>
      </c>
      <c r="EE119" s="75">
        <f>('Scénario référence'!$F$8+'Scénario référence'!$F$9+'Scénario référence'!$B$17+'Scénario référence'!$B$9+'Scénario référence'!$B$10)*70+IF((45+25*(1-EXP(-0.0175*A119)))&lt;70,'Scénario référence'!$B$16*(45+25*(1-EXP(-0.0175*A119))),70*'Scénario référence'!$B$16)+IF((32+38*(1-EXP(-0.0175*A119)))&lt;70,'Scénario référence'!$B$18*(32+38*(1-EXP(-0.0175*A119))),70*'Scénario référence'!$B$18)</f>
        <v>70</v>
      </c>
      <c r="EF119" s="12">
        <f>IF(A119&gt;30,10,('Scénario référence'!$B$16+'Scénario référence'!$B$17+'Scénario référence'!$B$18+'Scénario référence'!$B$9+'Scénario référence'!$B$10)*A119*10/30+('Scénario référence'!$F$8+'Scénario référence'!$F$9)*10)</f>
        <v>10</v>
      </c>
      <c r="EG119" s="12" t="e">
        <f>VLOOKUP(A119,'Données projet'!$A$191:$I$211,2,0)</f>
        <v>#N/A</v>
      </c>
      <c r="EH119" s="12" t="e">
        <f>VLOOKUP(A119,'Données projet'!$A$191:$I$211,9,0)</f>
        <v>#N/A</v>
      </c>
      <c r="EI119" s="12">
        <f t="array" ref="EI119">INDEX(EH:EH,MIN(IF(ISNUMBER(EH119:EH315),ROW(EH119:EH315),"")))</f>
        <v>0</v>
      </c>
      <c r="EJ119" s="12">
        <f>IF('Données projet'!$A$192&gt;35,EJ118+EI119-ER118,IF(A119&lt;'Données projet'!$A$192,$EG$205^A119,IF(A119='Données projet'!$A$192,'Données projet'!$B$192,EJ118+EI119-ER118)))</f>
        <v>275.99999999999972</v>
      </c>
      <c r="EK119" s="17">
        <f>EJ119*VLOOKUP('Données projet'!$B$15,Paramètres!$A$1:$I$89,3,0)*VLOOKUP('Données projet'!$B$15,Paramètres!$A$1:$I$89,5,0)</f>
        <v>223.8911999999998</v>
      </c>
      <c r="EL119" s="13">
        <f t="shared" si="99"/>
        <v>54.95975389514858</v>
      </c>
      <c r="EM119" s="20">
        <f t="shared" si="73"/>
        <v>485.66541136738346</v>
      </c>
      <c r="EN119" s="59">
        <f t="shared" si="74"/>
        <v>778.99874470071677</v>
      </c>
      <c r="EO119" s="59">
        <f ca="1">AVERAGE(OFFSET($EN$3,0,0,'Données projet'!$E$15+1,1))-AVERAGE(OFFSET($H$3,0,0,'Données projet'!$E$15+1,1))</f>
        <v>205.5272583787887</v>
      </c>
      <c r="EP119" s="59">
        <f t="shared" si="100"/>
        <v>180.54762778843178</v>
      </c>
      <c r="EQ119" s="15">
        <f>IF(ISNA(VLOOKUP(A119,'Données projet'!$A$191:$I$211,3,0)),0,VLOOKUP(A119,'Données projet'!$A$191:$I$211,3,0))</f>
        <v>0</v>
      </c>
      <c r="ER119" s="15">
        <f>IF(ISNA(VLOOKUP(A119,'Données projet'!$A$191:$I$211,4,0)),0,VLOOKUP(A119,'Données projet'!$A$191:$I$211,4,0))</f>
        <v>0</v>
      </c>
      <c r="ES119" s="16">
        <f>IF(ISNA(VLOOKUP(A119,'Données projet'!$A$191:$I$211,5,0)),0%,VLOOKUP(A119,'Données projet'!$A$191:$I$211,5,0)*VLOOKUP('Données projet'!$B$15,Paramètres!$A$1:$I$89,7,0))</f>
        <v>0</v>
      </c>
      <c r="ET119" s="16">
        <f>IF(ISNA(VLOOKUP(A119,'Données projet'!$A$191:$I$211,6,0)),0%,VLOOKUP(A119,'Données projet'!$A$191:$I$211,6,0)*VLOOKUP('Données projet'!$B$15,Paramètres!$A$1:$I$89,7,0))</f>
        <v>0</v>
      </c>
      <c r="EU119" s="16">
        <f>IF(ISNA(VLOOKUP(A119,'Données projet'!$A$191:$I$211,7,0)),0%,VLOOKUP(A119,'Données projet'!$A$191:$I$211,7,0))</f>
        <v>0</v>
      </c>
      <c r="EV119" s="21">
        <f>EXP(-LN(2)/35)*EV118+(1-EXP(-LN(2)/35))/(LN(2)/35)*ER119*ES119*VLOOKUP('Données projet'!$B$15,Paramètres!$A$1:$I$89,3,0)*0.475*44/12</f>
        <v>0.18257577478235468</v>
      </c>
      <c r="EW119" s="21">
        <f>EXP(-LN(2)/25)*EW118+(1-EXP(-LN(2)/25))/(LN(2)/25)*Calculateur!ER119*Calculateur!ET119*VLOOKUP('Données projet'!$B$15,Paramètres!$A$1:$I$89,3,0)*0.475*44/12</f>
        <v>0.53476360398700218</v>
      </c>
      <c r="EX119" s="21">
        <f>EXP(-LN(2)/2)*EX118+(1-EXP(-LN(2)/2))/(LN(2)/2)*ER119*EU119*VLOOKUP('Données projet'!$B$15,Paramètres!$A$1:$I$89,3,0)*0.475*44/12</f>
        <v>1.0303079443906361E-12</v>
      </c>
      <c r="EY119" s="22">
        <f t="shared" si="75"/>
        <v>0.71733937877038711</v>
      </c>
      <c r="EZ119" s="75">
        <f>('Scénario référence'!$F$8+'Scénario référence'!$F$9+'Scénario référence'!$B$17+'Scénario référence'!$B$9+'Scénario référence'!$B$10)*70+IF((45+25*(1-EXP(-0.0175*A119)))&lt;70,'Scénario référence'!$B$16*(45+25*(1-EXP(-0.0175*A119))),70*'Scénario référence'!$B$16)+IF((32+38*(1-EXP(-0.0175*A119)))&lt;70,'Scénario référence'!$B$18*(32+38*(1-EXP(-0.0175*A119))),70*'Scénario référence'!$B$18)</f>
        <v>70</v>
      </c>
      <c r="FA119" s="12">
        <f>IF(A119&gt;30,10,('Scénario référence'!$B$16+'Scénario référence'!$B$17+'Scénario référence'!$B$18+'Scénario référence'!$B$9+'Scénario référence'!$B$10)*A119*10/30+('Scénario référence'!$F$8+'Scénario référence'!$F$9)*10)</f>
        <v>10</v>
      </c>
      <c r="FB119" s="12" t="e">
        <f>VLOOKUP(A119,'Données projet'!$A$217:$I$237,2,0)</f>
        <v>#N/A</v>
      </c>
      <c r="FC119" s="12" t="e">
        <f>VLOOKUP(A119,'Données projet'!$A$217:$I$237,9,0)</f>
        <v>#N/A</v>
      </c>
      <c r="FD119" s="12">
        <f t="array" ref="FD119">INDEX(FC:FC,MIN(IF(ISNUMBER(FC119:FC315),ROW(FC119:FC315),"")))</f>
        <v>7.4</v>
      </c>
      <c r="FE119" s="12">
        <f>IF('Données projet'!$A$218&gt;35,FE118+FD119-FM118,IF(A119&lt;'Données projet'!$A$218,$FB$205^A119,IF(A119='Données projet'!$A$218,'Données projet'!$B$218,FE118+FD119-FM118)))</f>
        <v>422.39999999999992</v>
      </c>
      <c r="FF119" s="17">
        <f>FE119*VLOOKUP('Données projet'!$B$16,Paramètres!$A$1:$I$89,3,0)*VLOOKUP('Données projet'!$B$16,Paramètres!$A$1:$I$89,5,0)</f>
        <v>362.41919999999993</v>
      </c>
      <c r="FG119" s="13">
        <f t="shared" si="101"/>
        <v>84.11454089901234</v>
      </c>
      <c r="FH119" s="20">
        <f t="shared" si="76"/>
        <v>777.71293206577968</v>
      </c>
      <c r="FI119" s="59">
        <f t="shared" si="77"/>
        <v>1071.0462653991131</v>
      </c>
      <c r="FJ119" s="59">
        <f ca="1">AVERAGE(OFFSET($FI$3,0,0,'Données projet'!$E$16+1,1))-AVERAGE(OFFSET($H$3,0,0,'Données projet'!$E$16+1,1))</f>
        <v>383.97627237444709</v>
      </c>
      <c r="FK119" s="59">
        <f t="shared" si="102"/>
        <v>203.35476578922339</v>
      </c>
      <c r="FL119" s="15">
        <f>IF(ISNA(VLOOKUP(A119,'Données projet'!$A$217:$I$237,3,0)),0,VLOOKUP(A119,'Données projet'!$A$217:$I$237,3,0))</f>
        <v>0</v>
      </c>
      <c r="FM119" s="15">
        <f>IF(ISNA(VLOOKUP(A119,'Données projet'!$A$217:$I$237,4,0)),0,VLOOKUP(A119,'Données projet'!$A$217:$I$237,4,0))</f>
        <v>0</v>
      </c>
      <c r="FN119" s="16">
        <f>IF(ISNA(VLOOKUP(A119,'Données projet'!$A$217:$I$237,5,0)),0%,VLOOKUP(A119,'Données projet'!$A$217:$I$237,5,0)*VLOOKUP('Données projet'!$B$16,Paramètres!$A$1:$I$89,7,0))</f>
        <v>0</v>
      </c>
      <c r="FO119" s="16">
        <f>IF(ISNA(VLOOKUP(A119,'Données projet'!$A$217:$I$237,6,0)),0%,VLOOKUP(A119,'Données projet'!$A$217:$I$237,6,0)*VLOOKUP('Données projet'!$B$16,Paramètres!$A$1:$I$89,7,0))</f>
        <v>0</v>
      </c>
      <c r="FP119" s="16">
        <f>IF(ISNA(VLOOKUP(A119,'Données projet'!$A$217:$I$237,7,0)),0%,VLOOKUP(A119,'Données projet'!$A$217:$I$237,7,0))</f>
        <v>0</v>
      </c>
      <c r="FQ119" s="21">
        <f>EXP(-LN(2)/35)*FQ118+(1-EXP(-LN(2)/35))/(LN(2)/35)*FM119*FN119*VLOOKUP('Données projet'!$B$16,Paramètres!$A$1:$I$89,3,0)*0.475*44/12</f>
        <v>0.93834043119208288</v>
      </c>
      <c r="FR119" s="21">
        <f>EXP(-LN(2)/25)*FR118+(1-EXP(-LN(2)/25))/(LN(2)/25)*Calculateur!FM119*Calculateur!FO119*VLOOKUP('Données projet'!$B$16,Paramètres!$A$1:$I$89,3,0)*0.475*44/12</f>
        <v>0.54284033111827101</v>
      </c>
      <c r="FS119" s="21">
        <f>EXP(-LN(2)/2)*FS118+(1-EXP(-LN(2)/2))/(LN(2)/2)*FM119*FP119*VLOOKUP('Données projet'!$B$16,Paramètres!$A$1:$I$89,3,0)*0.475*44/12</f>
        <v>1.8924642440413086E-12</v>
      </c>
      <c r="FT119" s="22">
        <f t="shared" si="78"/>
        <v>1.4811807623122464</v>
      </c>
      <c r="FU119" s="75">
        <f>('Scénario référence'!$F$8+'Scénario référence'!$F$9+'Scénario référence'!$B$17+'Scénario référence'!$B$9+'Scénario référence'!$B$10)*70+IF((45+25*(1-EXP(-0.0175*A119)))&lt;70,'Scénario référence'!$B$16*(45+25*(1-EXP(-0.0175*A119))),70*'Scénario référence'!$B$16)+IF((32+38*(1-EXP(-0.0175*A119)))&lt;70,'Scénario référence'!$B$18*(32+38*(1-EXP(-0.0175*A119))),70*'Scénario référence'!$B$18)</f>
        <v>70</v>
      </c>
      <c r="FV119" s="12">
        <f>IF(A119&gt;30,10,('Scénario référence'!$B$16+'Scénario référence'!$B$17+'Scénario référence'!$B$18+'Scénario référence'!$B$9+'Scénario référence'!$B$10)*A119*10/30+('Scénario référence'!$F$8+'Scénario référence'!$F$9)*10)</f>
        <v>10</v>
      </c>
      <c r="FW119" s="12" t="e">
        <f>VLOOKUP(A119,'Données projet'!$A$243:$I$263,2,0)</f>
        <v>#N/A</v>
      </c>
      <c r="FX119" s="12" t="e">
        <f>VLOOKUP(A119,'Données projet'!$A$243:$I$263,9,0)</f>
        <v>#N/A</v>
      </c>
      <c r="FY119" s="12">
        <f t="array" ref="FY119">INDEX(FX:FX,MIN(IF(ISNUMBER(FX119:FX315),ROW(FX119:FX315),"")))</f>
        <v>6.8461538461538511</v>
      </c>
      <c r="FZ119" s="12">
        <f>IF('Données projet'!$A$244&gt;35,FZ118+FY119-GH118,IF(A119&lt;'Données projet'!$A$244,$FW$205^A119,IF(A119='Données projet'!$A$244,'Données projet'!$B$244,FZ118+FY119-GH118)))</f>
        <v>336.80128205128233</v>
      </c>
      <c r="GA119" s="17">
        <f>FZ119*VLOOKUP('Données projet'!$B$17,Paramètres!$A$1:$I$89,3,0)*VLOOKUP('Données projet'!$B$17,Paramètres!$A$1:$I$89,5,0)</f>
        <v>362.53290000000027</v>
      </c>
      <c r="GB119" s="13">
        <f t="shared" si="103"/>
        <v>84.13785765482551</v>
      </c>
      <c r="GC119" s="20">
        <f t="shared" si="79"/>
        <v>777.95156958215478</v>
      </c>
      <c r="GD119" s="59">
        <f t="shared" si="80"/>
        <v>1071.2849029154881</v>
      </c>
      <c r="GE119" s="59">
        <f ca="1">AVERAGE(OFFSET($GD$3,0,0,'Données projet'!$E$17+1,1))-AVERAGE(OFFSET($H$3,0,0,'Données projet'!$E$17+1,1))</f>
        <v>286.77702855541287</v>
      </c>
      <c r="GF119" s="59">
        <f t="shared" si="104"/>
        <v>227.12211541860779</v>
      </c>
      <c r="GG119" s="15">
        <f>IF(ISNA(VLOOKUP(A119,'Données projet'!$A$243:$I$263,3,0)),0,VLOOKUP(A119,'Données projet'!$A$243:$I$263,3,0))</f>
        <v>0</v>
      </c>
      <c r="GH119" s="15">
        <f>IF(ISNA(VLOOKUP(A119,'Données projet'!$A$243:$I$263,4,0)),0,VLOOKUP(A119,'Données projet'!$A$243:$I$263,4,0))</f>
        <v>0</v>
      </c>
      <c r="GI119" s="16">
        <f>IF(ISNA(VLOOKUP(A119,'Données projet'!$A$243:$I$263,5,0)),0%,VLOOKUP(A119,'Données projet'!$A$243:$I$263,5,0)*VLOOKUP('Données projet'!$B$17,Paramètres!$A$1:$I$89,7,0))</f>
        <v>0</v>
      </c>
      <c r="GJ119" s="16">
        <f>IF(ISNA(VLOOKUP(A119,'Données projet'!$A$243:$I$263,6,0)),0%,VLOOKUP(A119,'Données projet'!$A$243:$I$263,6,0)*VLOOKUP('Données projet'!$B$17,Paramètres!$A$1:$I$89,7,0))</f>
        <v>0</v>
      </c>
      <c r="GK119" s="16">
        <f>IF(ISNA(VLOOKUP(A119,'Données projet'!$A$243:$I$263,7,0)),0%,VLOOKUP(A119,'Données projet'!$A$243:$I$263,7,0))</f>
        <v>0</v>
      </c>
      <c r="GL119" s="21">
        <f>EXP(-LN(2)/35)*GL118+(1-EXP(-LN(2)/35))/(LN(2)/35)*GH119*GI119*VLOOKUP('Données projet'!$B$17,Paramètres!$A$1:$I$89,3,0)*0.475*44/12</f>
        <v>0</v>
      </c>
      <c r="GM119" s="21">
        <f>EXP(-LN(2)/25)*GM118+(1-EXP(-LN(2)/25))/(LN(2)/25)*Calculateur!GH119*Calculateur!GJ119*VLOOKUP('Données projet'!$B$17,Paramètres!$A$1:$I$89,3,0)*0.475*44/12</f>
        <v>0</v>
      </c>
      <c r="GN119" s="21">
        <f>EXP(-LN(2)/2)*GN118+(1-EXP(-LN(2)/2))/(LN(2)/2)*GH119*GK119*VLOOKUP('Données projet'!$B$17,Paramètres!$A$1:$I$89,3,0)*0.475*44/12</f>
        <v>0</v>
      </c>
      <c r="GO119" s="21">
        <f t="shared" si="81"/>
        <v>0</v>
      </c>
      <c r="GP119" s="75">
        <f>('Scénario référence'!$F$8+'Scénario référence'!$F$9+'Scénario référence'!$B$17+'Scénario référence'!$B$9+'Scénario référence'!$B$10)*70+IF((45+25*(1-EXP(-0.0175*A119)))&lt;70,'Scénario référence'!$B$16*(45+25*(1-EXP(-0.0175*A119))),70*'Scénario référence'!$B$16)+IF((32+38*(1-EXP(-0.0175*A119)))&lt;70,'Scénario référence'!$B$18*(32+38*(1-EXP(-0.0175*A119))),70*'Scénario référence'!$B$18)</f>
        <v>70</v>
      </c>
      <c r="GQ119" s="12">
        <f>IF(A119&gt;30,10,('Scénario référence'!$B$16+'Scénario référence'!$B$17+'Scénario référence'!$B$18+'Scénario référence'!$B$9+'Scénario référence'!$B$10)*A119*10/30+('Scénario référence'!$F$8+'Scénario référence'!$F$9)*10)</f>
        <v>10</v>
      </c>
      <c r="GR119" s="12" t="e">
        <f>VLOOKUP(A119,'Données projet'!$A$269:$I$289,2,0)</f>
        <v>#N/A</v>
      </c>
      <c r="GS119" s="12" t="e">
        <f>VLOOKUP(A119,'Données projet'!$A$269:$I$289,9,0)</f>
        <v>#N/A</v>
      </c>
      <c r="GT119" s="12">
        <f t="array" ref="GT119">INDEX(GS:GS,MIN(IF(ISNUMBER(GS119:GS315),ROW(GS119:GS315),"")))</f>
        <v>6.8461538461538511</v>
      </c>
      <c r="GU119" s="12">
        <f>IF('Données projet'!$A$270&gt;35,GU118+GT119-HC118,IF(A119&lt;'Données projet'!$A$270,$GR$205^A119,IF(A119='Données projet'!$A$270,'Données projet'!$B$270,GU118+GT119-HC118)))</f>
        <v>336.80128205128233</v>
      </c>
      <c r="GV119" s="17">
        <f>GU119*VLOOKUP('Données projet'!$B$18,Paramètres!$A$1:$I$89,3,0)*VLOOKUP('Données projet'!$B$18,Paramètres!$A$1:$I$89,5,0)</f>
        <v>362.53290000000027</v>
      </c>
      <c r="GW119" s="13">
        <f t="shared" si="105"/>
        <v>84.13785765482551</v>
      </c>
      <c r="GX119" s="20">
        <f t="shared" si="82"/>
        <v>777.95156958215478</v>
      </c>
      <c r="GY119" s="59">
        <f t="shared" si="83"/>
        <v>1071.2849029154881</v>
      </c>
      <c r="GZ119" s="59">
        <f ca="1">AVERAGE(OFFSET($GY$3,0,0,'Données projet'!$E$18+1,1))-AVERAGE(OFFSET($H$3,0,0,'Données projet'!$E$18+1,1))</f>
        <v>286.77702855541287</v>
      </c>
      <c r="HA119" s="59">
        <f t="shared" si="106"/>
        <v>227.12211541860779</v>
      </c>
      <c r="HB119" s="15">
        <f>IF(ISNA(VLOOKUP(A119,'Données projet'!$A$269:$I$289,3,0)),0,VLOOKUP(A119,'Données projet'!$A$269:$I$289,3,0))</f>
        <v>0</v>
      </c>
      <c r="HC119" s="15">
        <f>IF(ISNA(VLOOKUP(A119,'Données projet'!$A$269:$I$289,4,0)),0,VLOOKUP(A119,'Données projet'!$A$269:$I$289,4,0))</f>
        <v>0</v>
      </c>
      <c r="HD119" s="16">
        <f>IF(ISNA(VLOOKUP(A119,'Données projet'!$A$269:$I$289,5,0)),0%,VLOOKUP(A119,'Données projet'!$A$269:$I$289,5,0)*VLOOKUP('Données projet'!$B$18,Paramètres!$A$1:$I$89,7,0))</f>
        <v>0</v>
      </c>
      <c r="HE119" s="16">
        <f>IF(ISNA(VLOOKUP(A119,'Données projet'!$A$269:$I$289,6,0)),0%,VLOOKUP(A119,'Données projet'!$A$269:$I$289,6,0)*VLOOKUP('Données projet'!$B$18,Paramètres!$A$1:$I$89,7,0))</f>
        <v>0</v>
      </c>
      <c r="HF119" s="16">
        <f>IF(ISNA(VLOOKUP(A119,'Données projet'!$A$269:$I$289,7,0)),0%,VLOOKUP(A119,'Données projet'!$A$269:$I$289,7,0))</f>
        <v>0</v>
      </c>
      <c r="HG119" s="21">
        <f>EXP(-LN(2)/35)*HG118+(1-EXP(-LN(2)/35))/(LN(2)/35)*HC119*HD119*VLOOKUP('Données projet'!$B$18,Paramètres!$A$1:$I$89,3,0)*0.475*44/12</f>
        <v>0</v>
      </c>
      <c r="HH119" s="21">
        <f>EXP(-LN(2)/25)*HH118+(1-EXP(-LN(2)/25))/(LN(2)/25)*Calculateur!HC119*Calculateur!HE119*VLOOKUP('Données projet'!$B$18,Paramètres!$A$1:$I$89,3,0)*0.475*44/12</f>
        <v>0</v>
      </c>
      <c r="HI119" s="21">
        <f>EXP(-LN(2)/2)*HI118+(1-EXP(-LN(2)/2))/(LN(2)/2)*HC119*HF119*VLOOKUP('Données projet'!$B$18,Paramètres!$A$1:$I$89,3,0)*0.475*44/12</f>
        <v>0</v>
      </c>
      <c r="HJ119" s="22">
        <f t="shared" si="84"/>
        <v>0</v>
      </c>
    </row>
    <row r="120" spans="1:218" x14ac:dyDescent="0.25">
      <c r="A120" s="10">
        <f t="shared" si="85"/>
        <v>117</v>
      </c>
      <c r="B120" s="73">
        <f>'Scénario référence'!$B$16*5+'Scénario référence'!$B$17*0+'Scénario référence'!$B$18*5</f>
        <v>0</v>
      </c>
      <c r="C120" s="19">
        <f>Calculateur!C119+'Scénario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104.03640000000019</v>
      </c>
      <c r="D120" s="11">
        <f t="shared" si="86"/>
        <v>27.921388397821048</v>
      </c>
      <c r="E12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20" s="11">
        <f>IF(OR('Scénario référence'!$F$8&gt;0,'Scénario référence'!$F$9&gt;0),('Scénario référence'!$F$8+'Scénario référence'!$F$9)*10,0)</f>
        <v>10</v>
      </c>
      <c r="G120" s="11">
        <f>'Scénario référence'!$B$8*B120*44/12+'Scénario référence'!$B$9*(C120+D120)/0.475*44/12+'Scénario référence'!$B$10*(C120+D120)/0.475*44/12+'Scénario référence'!$F$8*(C120+D120)/0.475*44/12+'Scénario référence'!$F$9*(C120+D120)/0.475*44/12</f>
        <v>1018.6215244744094</v>
      </c>
      <c r="H120" s="67">
        <f t="shared" si="56"/>
        <v>523.15981479287188</v>
      </c>
      <c r="I120" s="70">
        <f>('Scénario référence'!$F$8+'Scénario référence'!$F$9+'Scénario référence'!$B$17+'Scénario référence'!$B$9+'Scénario référence'!$B$10)*70+IF((45+25*(1-EXP(-0.0175*A120)))&lt;70,'Scénario référence'!$B$16*(45+25*(1-EXP(-0.0175*A120))),70*'Scénario référence'!$B$16)+IF((32+38*(1-EXP(-0.0175*A120)))&lt;70,'Scénario référence'!$B$18*(32+38*(1-EXP(-0.0175*A120))),70*'Scénario référence'!$B$18)</f>
        <v>70</v>
      </c>
      <c r="J120" s="13">
        <f>IF(A120&gt;30,10,('Scénario référence'!$B$16+'Scénario référence'!$B$17+'Scénario référence'!$B$18+'Scénario référence'!$B$9+'Scénario référence'!$B$10)*A120*10/30+('Scénario référence'!$F$8+'Scénario référence'!$F$9)*10)</f>
        <v>10</v>
      </c>
      <c r="K120" s="12" t="e">
        <f>VLOOKUP(A120,'Données projet'!$A$35:$I$55,2,0)</f>
        <v>#N/A</v>
      </c>
      <c r="L120" s="12" t="e">
        <f>VLOOKUP(A120,'Données projet'!$A$35:$I$55,9,0)</f>
        <v>#N/A</v>
      </c>
      <c r="M120" s="12">
        <f t="array" ref="M120">INDEX(L:L,MIN(IF(ISNUMBER(L120:L316),ROW(L120:L316),"")))</f>
        <v>0</v>
      </c>
      <c r="N120" s="13">
        <f>IF('Données projet'!$A$36&gt;35,N119+M120-V119,IF(A120&lt;'Données projet'!$A$36,$K$205^A120,IF(A120='Données projet'!$A$36,'Données projet'!$B$36,N119+M120-V119)))</f>
        <v>-2.2737367544323206E-13</v>
      </c>
      <c r="O120" s="13">
        <f>N120*VLOOKUP('Données projet'!$B$9,Paramètres!$A$1:$I$89,3,0)*VLOOKUP('Données projet'!$B$9,Paramètres!$A$1:$I$89,5,0)</f>
        <v>-1.2710188457276673E-13</v>
      </c>
      <c r="P120" s="13" t="e">
        <f t="shared" si="87"/>
        <v>#NUM!</v>
      </c>
      <c r="Q120" s="20" t="e">
        <f t="shared" si="107"/>
        <v>#NUM!</v>
      </c>
      <c r="R120" s="59" t="e">
        <f t="shared" si="55"/>
        <v>#NUM!</v>
      </c>
      <c r="S120" s="59">
        <f ca="1">AVERAGE(OFFSET($R$3,0,0,'Données projet'!$E$9+1,1))-AVERAGE(OFFSET($H$3,0,0,'Données projet'!$E$9+1,1))</f>
        <v>255.5374979188561</v>
      </c>
      <c r="T120" s="59">
        <f t="shared" si="88"/>
        <v>343.10418468620901</v>
      </c>
      <c r="U120" s="15">
        <f>IF(ISNA(VLOOKUP(A120,'Données projet'!$A$35:$I$55,3,0)),0,VLOOKUP(A120,'Données projet'!$A$35:$I$55,3,0))</f>
        <v>0</v>
      </c>
      <c r="V120" s="15">
        <f>IF(ISNA(VLOOKUP(A120,'Données projet'!$A$35:$I$55,4,0)),0,VLOOKUP(A120,'Données projet'!$A$35:$I$55,4,0))</f>
        <v>0</v>
      </c>
      <c r="W120" s="16">
        <f>IF(ISNA(VLOOKUP(A120,'Données projet'!$A$35:$I$55,5,0)),0%,VLOOKUP(A120,'Données projet'!$A$35:$I$55,5,0)*VLOOKUP('Données projet'!$B$9,Paramètres!$A$1:$I$89,7,0))</f>
        <v>0</v>
      </c>
      <c r="X120" s="16">
        <f>IF(ISNA(VLOOKUP(A120,'Données projet'!$A$35:$I$55,6,0)),0%,VLOOKUP(A120,'Données projet'!$A$35:$I$55,6,0)*VLOOKUP('Données projet'!$B$9,Paramètres!$A$1:$I$89,7,0))</f>
        <v>0</v>
      </c>
      <c r="Y120" s="16">
        <f>IF(ISNA(VLOOKUP(A120,'Données projet'!$A$35:$I$55,7,0)),0%,VLOOKUP(A120,'Données projet'!$A$35:$I$55,7,0))</f>
        <v>0</v>
      </c>
      <c r="Z120" s="21">
        <f>EXP(-LN(2)/35)*Z119+(1-EXP(-LN(2)/35))/(LN(2)/35)*V120*W120*VLOOKUP('Données projet'!$B$9,Paramètres!$A$1:$I$89,3,0)*0.475*44/12</f>
        <v>0.55168307391345028</v>
      </c>
      <c r="AA120" s="21">
        <f>EXP(-LN(2)/25)*AA119+(1-EXP(-LN(2)/25))/(LN(2)/25)*Calculateur!V120*Calculateur!X120*VLOOKUP('Données projet'!$B$9,Paramètres!$A$1:$I$89,3,0)*0.475*44/12</f>
        <v>1.4303935837212731</v>
      </c>
      <c r="AB120" s="21">
        <f>EXP(-LN(2)/2)*AB119+(1-EXP(-LN(2)/2))/(LN(2)/2)*V120*Y120*VLOOKUP('Données projet'!$B$9,Paramètres!$A$1:$I$89,3,0)*0.475*44/12</f>
        <v>1.3607015757446344E-13</v>
      </c>
      <c r="AC120" s="22">
        <f t="shared" si="57"/>
        <v>1.9820766576348594</v>
      </c>
      <c r="AD120" s="13">
        <f>('Scénario référence'!$F$8+'Scénario référence'!$F$9+'Scénario référence'!$B$17+'Scénario référence'!$B$9+'Scénario référence'!$B$10)*70+IF((45+25*(1-EXP(-0.0175*A120)))&lt;70,'Scénario référence'!$B$16*(45+25*(1-EXP(-0.0175*A120))),70*'Scénario référence'!$B$16)+IF((32+38*(1-EXP(-0.0175*A120)))&lt;70,'Scénario référence'!$B$18*(32+38*(1-EXP(-0.0175*A120))),70*'Scénario référence'!$B$18)</f>
        <v>70</v>
      </c>
      <c r="AE120" s="13">
        <f>IF(A120&gt;30,10,('Scénario référence'!$B$16+'Scénario référence'!$B$17+'Scénario référence'!$B$18+'Scénario référence'!$B$9+'Scénario référence'!$B$10)*A120*10/30+('Scénario référence'!$F$8+'Scénario référence'!$F$9)*10)</f>
        <v>10</v>
      </c>
      <c r="AF120" s="12" t="e">
        <f>VLOOKUP(A120,'Données projet'!$A$61:$I$81,2,0)</f>
        <v>#N/A</v>
      </c>
      <c r="AG120" s="12" t="e">
        <f>VLOOKUP(A120,'Données projet'!$A$61:$I$81,9,0)</f>
        <v>#N/A</v>
      </c>
      <c r="AH120" s="12">
        <f t="array" ref="AH120">INDEX(AG:AG,MIN(IF(ISNUMBER(AG120:AG316),ROW(AG120:AG316),"")))</f>
        <v>0</v>
      </c>
      <c r="AI120" s="13">
        <f>IF('Données projet'!$A$62&gt;35,AI119+AH120-AQ119,IF(A120&lt;'Données projet'!$A$62,$AF$205^A120,IF(A120='Données projet'!$A$62,'Données projet'!$B$62,AI119+AH120-AQ119)))</f>
        <v>0</v>
      </c>
      <c r="AJ120" s="13">
        <f>AI120*VLOOKUP('Données projet'!$B$10,Paramètres!$A$1:$I$89,3,0)*VLOOKUP('Données projet'!$B$10,Paramètres!$A$1:$I$89,5,0)</f>
        <v>0</v>
      </c>
      <c r="AK120" s="13" t="e">
        <f t="shared" si="89"/>
        <v>#NUM!</v>
      </c>
      <c r="AL120" s="20" t="e">
        <f t="shared" si="58"/>
        <v>#NUM!</v>
      </c>
      <c r="AM120" s="59" t="e">
        <f t="shared" si="59"/>
        <v>#NUM!</v>
      </c>
      <c r="AN120" s="59">
        <f ca="1">AVERAGE(OFFSET($AM$3,0,0,'Données projet'!$E$10+1,1))-AVERAGE(OFFSET($H$3,0,0,'Données projet'!$E$10+1,1))</f>
        <v>261.78489480911571</v>
      </c>
      <c r="AO120" s="59">
        <f t="shared" si="90"/>
        <v>297.50513563712764</v>
      </c>
      <c r="AP120" s="15">
        <f>IF(ISNA(VLOOKUP(A120,'Données projet'!$A$61:$I$81,3,0)),0,VLOOKUP(A120,'Données projet'!$A$61:$I$81,3,0))</f>
        <v>0</v>
      </c>
      <c r="AQ120" s="15">
        <f>IF(ISNA(VLOOKUP(A120,'Données projet'!$A$61:$I$81,4,0)),0,VLOOKUP(A120,'Données projet'!$A$61:$I$81,4,0))</f>
        <v>0</v>
      </c>
      <c r="AR120" s="16">
        <f>IF(ISNA(VLOOKUP(A120,'Données projet'!$A$61:$I$81,5,0)),0%,VLOOKUP(A120,'Données projet'!$A$61:$I$81,5,0)*VLOOKUP('Données projet'!$B$10,Paramètres!$A$1:$I$89,7,0))</f>
        <v>0</v>
      </c>
      <c r="AS120" s="16">
        <f>IF(ISNA(VLOOKUP(A120,'Données projet'!$A$61:$I$81,6,0)),0%,VLOOKUP(A120,'Données projet'!$A$61:$I$81,6,0)*VLOOKUP('Données projet'!$B$10,Paramètres!$A$1:$I$89,7,0))</f>
        <v>0</v>
      </c>
      <c r="AT120" s="16">
        <f>IF(ISNA(VLOOKUP(A120,'Données projet'!$A$61:$I$81,7,0)),0%,VLOOKUP(A120,'Données projet'!$A$61:$I$81,7,0))</f>
        <v>0</v>
      </c>
      <c r="AU120" s="21">
        <f>EXP(-LN(2)/35)*AU119+(1-EXP(-LN(2)/35))/(LN(2)/35)*AQ120*AR120*VLOOKUP('Données projet'!$B$10,Paramètres!$A$1:$I$89,3,0)*0.475*44/12</f>
        <v>1.4897003423753326</v>
      </c>
      <c r="AV120" s="21">
        <f>EXP(-LN(2)/25)*AV119+(1-EXP(-LN(2)/25))/(LN(2)/25)*Calculateur!AQ120*Calculateur!AS120*VLOOKUP('Données projet'!$B$10,Paramètres!$A$1:$I$89,3,0)*0.475*44/12</f>
        <v>2.497758941503736</v>
      </c>
      <c r="AW120" s="21">
        <f>EXP(-LN(2)/2)*AW119+(1-EXP(-LN(2)/2))/(LN(2)/2)*AQ120*AT120*VLOOKUP('Données projet'!$B$10,Paramètres!$A$1:$I$89,3,0)*0.475*44/12</f>
        <v>1.9615808607726957E-12</v>
      </c>
      <c r="AX120" s="21">
        <f t="shared" si="60"/>
        <v>3.9874592838810301</v>
      </c>
      <c r="AY120" s="74">
        <f>('Scénario référence'!$F$8+'Scénario référence'!$F$9+'Scénario référence'!$B$17+'Scénario référence'!$B$9+'Scénario référence'!$B$10)*70+IF((45+25*(1-EXP(-0.0175*A120)))&lt;70,'Scénario référence'!$B$16*(45+25*(1-EXP(-0.0175*A120))),70*'Scénario référence'!$B$16)+IF((32+38*(1-EXP(-0.0175*A120)))&lt;70,'Scénario référence'!$B$18*(32+38*(1-EXP(-0.0175*A120))),70*'Scénario référence'!$B$18)</f>
        <v>70</v>
      </c>
      <c r="AZ120" s="12">
        <f>IF(A120&gt;30,10,('Scénario référence'!$B$16+'Scénario référence'!$B$17+'Scénario référence'!$B$18+'Scénario référence'!$B$9+'Scénario référence'!$B$10)*A120*10/30+('Scénario référence'!$F$8+'Scénario référence'!$F$9)*10)</f>
        <v>10</v>
      </c>
      <c r="BA120" s="12" t="e">
        <f>VLOOKUP(A120,'Données projet'!$A$87:$I$107,2,0)</f>
        <v>#N/A</v>
      </c>
      <c r="BB120" s="12" t="e">
        <f>VLOOKUP(A120,'Données projet'!$A$87:$I$107,9,0)</f>
        <v>#N/A</v>
      </c>
      <c r="BC120" s="12">
        <f t="array" ref="BC120">INDEX(BB:BB,MIN(IF(ISNUMBER(BB120:BB316),ROW(BB120:BB316),"")))</f>
        <v>0</v>
      </c>
      <c r="BD120" s="12">
        <f>IF('Données projet'!$A$88&gt;35,BD119+BC120-BL119,IF(A120&lt;'Données projet'!$A$88,$BA$205^A120,IF(A120='Données projet'!$A$88,'Données projet'!$B$88,BD119+BC120-BL119)))</f>
        <v>553.99999999999955</v>
      </c>
      <c r="BE120" s="13">
        <f>BD120*VLOOKUP('Données projet'!$B$11,Paramètres!$A$1:$I$89,3,0)*VLOOKUP('Données projet'!$B$11,Paramètres!$A$1:$I$89,5,0)</f>
        <v>331.29199999999975</v>
      </c>
      <c r="BF120" s="13">
        <f t="shared" si="91"/>
        <v>77.698110787752</v>
      </c>
      <c r="BG120" s="20">
        <f t="shared" si="61"/>
        <v>712.32444295533423</v>
      </c>
      <c r="BH120" s="59">
        <f t="shared" si="62"/>
        <v>1005.6577762886675</v>
      </c>
      <c r="BI120" s="59">
        <f ca="1">AVERAGE(OFFSET($BH$3,0,0,'Données projet'!$E$11+1,1))-AVERAGE(OFFSET($H$3,0,0,'Données projet'!$E$11+1,1))</f>
        <v>316.58509520829671</v>
      </c>
      <c r="BJ120" s="59">
        <f t="shared" si="92"/>
        <v>240.71332110643596</v>
      </c>
      <c r="BK120" s="15">
        <f>IF(ISNA(VLOOKUP(A120,'Données projet'!$A$87:$I$107,3,0)),0,VLOOKUP(A120,'Données projet'!$A$87:$I$107,3,0))</f>
        <v>0</v>
      </c>
      <c r="BL120" s="15">
        <f>IF(ISNA(VLOOKUP(A120,'Données projet'!$A$87:$I$107,4,0)),0,VLOOKUP(A120,'Données projet'!$A$87:$I$107,4,0))</f>
        <v>0</v>
      </c>
      <c r="BM120" s="16">
        <f>IF(ISNA(VLOOKUP(A120,'Données projet'!$A$87:$I$107,5,0)),0%,VLOOKUP(A120,'Données projet'!$A$87:$I$107,5,0)*VLOOKUP('Données projet'!$B$11,Paramètres!$A$1:$I$89,7,0))</f>
        <v>0</v>
      </c>
      <c r="BN120" s="16">
        <f>IF(ISNA(VLOOKUP(A120,'Données projet'!$A$87:$I$107,6,0)),0%,VLOOKUP(A120,'Données projet'!$A$87:$I$107,6,0)*VLOOKUP('Données projet'!$B$11,Paramètres!$A$1:$I$89,7,0))</f>
        <v>0</v>
      </c>
      <c r="BO120" s="16">
        <f>IF(ISNA(VLOOKUP(A120,'Données projet'!$A$87:$I$107,7,0)),0%,VLOOKUP(A120,'Données projet'!$A$87:$I$107,7,0))</f>
        <v>0</v>
      </c>
      <c r="BP120" s="21">
        <f>EXP(-LN(2)/35)*BP119+(1-EXP(-LN(2)/35))/(LN(2)/35)*BL120*BM120*VLOOKUP('Données projet'!$B$11,Paramètres!$A$1:$I$89,3,0)*0.475*44/12</f>
        <v>0.45250756307643575</v>
      </c>
      <c r="BQ120" s="21">
        <f>EXP(-LN(2)/25)*BQ119+(1-EXP(-LN(2)/25))/(LN(2)/25)*Calculateur!BL120*Calculateur!BN120*VLOOKUP('Données projet'!$B$11,Paramètres!$A$1:$I$89,3,0)*0.475*44/12</f>
        <v>1.3683452279574415</v>
      </c>
      <c r="BR120" s="21">
        <f>EXP(-LN(2)/2)*BR119+(1-EXP(-LN(2)/2))/(LN(2)/2)*BL120*BO120*VLOOKUP('Données projet'!$B$11,Paramètres!$A$1:$I$89,3,0)*0.475*44/12</f>
        <v>1.7636760116687062E-12</v>
      </c>
      <c r="BS120" s="22">
        <f t="shared" si="63"/>
        <v>1.8208527910356409</v>
      </c>
      <c r="BT120" s="75">
        <f>('Scénario référence'!$F$8+'Scénario référence'!$F$9+'Scénario référence'!$B$17+'Scénario référence'!$B$9+'Scénario référence'!$B$10)*70+IF((45+25*(1-EXP(-0.0175*A120)))&lt;70,'Scénario référence'!$B$16*(45+25*(1-EXP(-0.0175*A120))),70*'Scénario référence'!$B$16)+IF((32+38*(1-EXP(-0.0175*A120)))&lt;70,'Scénario référence'!$B$18*(32+38*(1-EXP(-0.0175*A120))),70*'Scénario référence'!$B$18)</f>
        <v>70</v>
      </c>
      <c r="BU120" s="12">
        <f>IF(A120&gt;30,10,('Scénario référence'!$B$16+'Scénario référence'!$B$17+'Scénario référence'!$B$18+'Scénario référence'!$B$9+'Scénario référence'!$B$10)*A120*10/30+('Scénario référence'!$F$8+'Scénario référence'!$F$9)*10)</f>
        <v>10</v>
      </c>
      <c r="BV120" s="12" t="e">
        <f>VLOOKUP(A120,'Données projet'!$A$113:$I$133,2,0)</f>
        <v>#N/A</v>
      </c>
      <c r="BW120" s="12" t="e">
        <f>VLOOKUP(A120,'Données projet'!$A$113:$I$133,9,0)</f>
        <v>#N/A</v>
      </c>
      <c r="BX120" s="12">
        <f t="array" ref="BX120">INDEX(BW:BW,MIN(IF(ISNUMBER(BW120:BW316),ROW(BW120:BW316),"")))</f>
        <v>0</v>
      </c>
      <c r="BY120" s="12">
        <f>IF('Données projet'!$A$114&gt;35,BY119+BX120-CG119,IF(A120&lt;'Données projet'!$A$114,$BV$205^A120,IF(A120='Données projet'!$A$114,'Données projet'!$B$114,BY119+BX120-CG119)))</f>
        <v>333.99999999999977</v>
      </c>
      <c r="BZ120" s="13">
        <f>BY120*VLOOKUP('Données projet'!$B$12,Paramètres!$A$1:$I$89,3,0)*VLOOKUP('Données projet'!$B$12,Paramètres!$A$1:$I$89,5,0)</f>
        <v>191.04799999999986</v>
      </c>
      <c r="CA120" s="13">
        <f t="shared" si="93"/>
        <v>47.771576544305155</v>
      </c>
      <c r="CB120" s="20">
        <f t="shared" si="64"/>
        <v>415.94409581466454</v>
      </c>
      <c r="CC120" s="59">
        <f t="shared" si="65"/>
        <v>709.27742914799785</v>
      </c>
      <c r="CD120" s="59">
        <f ca="1">AVERAGE(OFFSET($CC$3,0,0,'Données projet'!$E$12+1,1))-AVERAGE(OFFSET($H$3,0,0,'Données projet'!$E$12+1,1))</f>
        <v>188.64374818906128</v>
      </c>
      <c r="CE120" s="59">
        <f t="shared" si="94"/>
        <v>211.95157880548652</v>
      </c>
      <c r="CF120" s="15">
        <f>IF(ISNA(VLOOKUP(A120,'Données projet'!$A$113:$I$133,3,0)),0,VLOOKUP(A120,'Données projet'!$A$113:$I$133,3,0))</f>
        <v>0</v>
      </c>
      <c r="CG120" s="15">
        <f>IF(ISNA(VLOOKUP(A120,'Données projet'!$A$113:$I$133,4,0)),0,VLOOKUP(A120,'Données projet'!$A$113:$I$133,4,0))</f>
        <v>0</v>
      </c>
      <c r="CH120" s="16">
        <f>IF(ISNA(VLOOKUP(A120,'Données projet'!$A$113:$I$133,5,0)),0%,VLOOKUP(A120,'Données projet'!$A$113:$I$133,5,0)*VLOOKUP('Données projet'!$B$12,Paramètres!$A$1:$I$89,7,0))</f>
        <v>0</v>
      </c>
      <c r="CI120" s="16">
        <f>IF(ISNA(VLOOKUP(A120,'Données projet'!$A$113:$I$133,6,0)),0%,VLOOKUP(A120,'Données projet'!$A$113:$I$133,6,0)*VLOOKUP('Données projet'!$B$12,Paramètres!$A$1:$I$89,7,0))</f>
        <v>0</v>
      </c>
      <c r="CJ120" s="16">
        <f>IF(ISNA(VLOOKUP(A120,'Données projet'!$A$113:$I$133,7,0)),0%,VLOOKUP(A120,'Données projet'!$A$113:$I$133,7,0))</f>
        <v>0</v>
      </c>
      <c r="CK120" s="21">
        <f>EXP(-LN(2)/35)*CK119+(1-EXP(-LN(2)/35))/(LN(2)/35)*CG120*CH120*VLOOKUP('Données projet'!$B$12,Paramètres!$A$1:$I$89,3,0)*0.475*44/12</f>
        <v>0.43892956516416026</v>
      </c>
      <c r="CL120" s="21">
        <f>EXP(-LN(2)/25)*CL119+(1-EXP(-LN(2)/25))/(LN(2)/25)*Calculateur!CG120*Calculateur!CI120*VLOOKUP('Données projet'!$B$12,Paramètres!$A$1:$I$89,3,0)*0.475*44/12</f>
        <v>1.2879175103015215</v>
      </c>
      <c r="CM120" s="21">
        <f>EXP(-LN(2)/2)*CM119+(1-EXP(-LN(2)/2))/(LN(2)/2)*CG120*CJ120*VLOOKUP('Données projet'!$B$12,Paramètres!$A$1:$I$89,3,0)*0.475*44/12</f>
        <v>1.7079822252406046E-12</v>
      </c>
      <c r="CN120" s="22">
        <f t="shared" si="66"/>
        <v>1.7268470754673897</v>
      </c>
      <c r="CO120" s="75">
        <f>('Scénario référence'!$F$8+'Scénario référence'!$F$9+'Scénario référence'!$B$17+'Scénario référence'!$B$9+'Scénario référence'!$B$10)*70+IF((45+25*(1-EXP(-0.0175*A120)))&lt;70,'Scénario référence'!$B$16*(45+25*(1-EXP(-0.0175*A120))),70*'Scénario référence'!$B$16)+IF((32+38*(1-EXP(-0.0175*A120)))&lt;70,'Scénario référence'!$B$18*(32+38*(1-EXP(-0.0175*A120))),70*'Scénario référence'!$B$18)</f>
        <v>70</v>
      </c>
      <c r="CP120" s="12">
        <f>IF(A120&gt;30,10,('Scénario référence'!$B$16+'Scénario référence'!$B$17+'Scénario référence'!$B$18+'Scénario référence'!$B$9+'Scénario référence'!$B$10)*A120*10/30+('Scénario référence'!$F$8+'Scénario référence'!$F$9)*10)</f>
        <v>10</v>
      </c>
      <c r="CQ120" s="12" t="e">
        <f>VLOOKUP(A120,'Données projet'!$A$139:$I$159,2,0)</f>
        <v>#N/A</v>
      </c>
      <c r="CR120" s="12" t="e">
        <f>VLOOKUP(A120,'Données projet'!$A$139:$I$159,9,0)</f>
        <v>#N/A</v>
      </c>
      <c r="CS120" s="12">
        <f t="array" ref="CS120">INDEX(CR:CR,MIN(IF(ISNUMBER(CR120:CR316),ROW(CR120:CR316),"")))</f>
        <v>0</v>
      </c>
      <c r="CT120" s="12">
        <f>IF('Données projet'!$A$140&gt;35,CT119+CS120-DB119,IF(A120&lt;'Données projet'!$A$140,$CQ$205^A120,IF(A120='Données projet'!$A$140,'Données projet'!$B$140,CT119+CS120-DB119)))</f>
        <v>0</v>
      </c>
      <c r="CU120" s="17" t="e">
        <f>CT120*VLOOKUP('Données projet'!$B$13,Paramètres!$A$1:$I$89,3,0)*VLOOKUP('Données projet'!$B$13,Paramètres!$A$1:$I$89,5,0)</f>
        <v>#N/A</v>
      </c>
      <c r="CV120" s="13" t="e">
        <f t="shared" si="95"/>
        <v>#N/A</v>
      </c>
      <c r="CW120" s="20" t="e">
        <f t="shared" si="67"/>
        <v>#N/A</v>
      </c>
      <c r="CX120" s="59" t="e">
        <f t="shared" si="68"/>
        <v>#N/A</v>
      </c>
      <c r="CY120" s="59" t="e">
        <f ca="1">AVERAGE(OFFSET($CX$3,0,0,'Données projet'!$E$13+1,1))-AVERAGE(OFFSET($H$3,0,0,'Données projet'!$E$13+1,1))</f>
        <v>#N/A</v>
      </c>
      <c r="CZ120" s="59" t="e">
        <f t="shared" si="96"/>
        <v>#N/A</v>
      </c>
      <c r="DA120" s="15">
        <f>IF(ISNA(VLOOKUP(A120,'Données projet'!$A$139:$I$159,3,0)),0,VLOOKUP(A120,'Données projet'!$A$139:$I$159,3,0))</f>
        <v>0</v>
      </c>
      <c r="DB120" s="15">
        <f>IF(ISNA(VLOOKUP(A120,'Données projet'!$A$139:$I$159,4,0)),0,VLOOKUP(A120,'Données projet'!$A$139:$I$159,4,0))</f>
        <v>0</v>
      </c>
      <c r="DC120" s="16">
        <f>IF(ISNA(VLOOKUP(A120,'Données projet'!$A$139:$I$159,5,0)),0%,VLOOKUP(A120,'Données projet'!$A$139:$I$159,5,0)*VLOOKUP('Données projet'!$B$13,Paramètres!$A$1:$I$89,7,0))</f>
        <v>0</v>
      </c>
      <c r="DD120" s="16">
        <f>IF(ISNA(VLOOKUP(A120,'Données projet'!$A$139:$I$159,6,0)),0%,VLOOKUP(A120,'Données projet'!$A$139:$I$159,6,0)*VLOOKUP('Données projet'!$B$13,Paramètres!$A$1:$I$89,7,0))</f>
        <v>0</v>
      </c>
      <c r="DE120" s="16">
        <f>IF(ISNA(VLOOKUP(A120,'Données projet'!$A$139:$I$159,7,0)),0%,VLOOKUP(A120,'Données projet'!$A$139:$I$159,7,0))</f>
        <v>0</v>
      </c>
      <c r="DF120" s="21" t="e">
        <f>EXP(-LN(2)/35)*DF119+(1-EXP(-LN(2)/35))/(LN(2)/35)*DB120*DC120*VLOOKUP('Données projet'!$B$13,Paramètres!$A$1:$I$89,3,0)*0.475*44/12</f>
        <v>#N/A</v>
      </c>
      <c r="DG120" s="21" t="e">
        <f>EXP(-LN(2)/25)*DG119+(1-EXP(-LN(2)/25))/(LN(2)/25)*Calculateur!DB120*Calculateur!DD120*VLOOKUP('Données projet'!$B$13,Paramètres!$A$1:$I$89,3,0)*0.475*44/12</f>
        <v>#N/A</v>
      </c>
      <c r="DH120" s="21" t="e">
        <f>EXP(-LN(2)/2)*DH119+(1-EXP(-LN(2)/2))/(LN(2)/2)*DB120*DE120*VLOOKUP('Données projet'!$B$13,Paramètres!$A$1:$I$89,3,0)*0.475*44/12</f>
        <v>#N/A</v>
      </c>
      <c r="DI120" s="22" t="e">
        <f t="shared" si="69"/>
        <v>#N/A</v>
      </c>
      <c r="DJ120" s="75">
        <f>('Scénario référence'!$F$8+'Scénario référence'!$F$9+'Scénario référence'!$B$17+'Scénario référence'!$B$9+'Scénario référence'!$B$10)*70+IF((45+25*(1-EXP(-0.0175*A120)))&lt;70,'Scénario référence'!$B$16*(45+25*(1-EXP(-0.0175*A120))),70*'Scénario référence'!$B$16)+IF((32+38*(1-EXP(-0.0175*A120)))&lt;70,'Scénario référence'!$B$18*(32+38*(1-EXP(-0.0175*A120))),70*'Scénario référence'!$B$18)</f>
        <v>70</v>
      </c>
      <c r="DK120" s="12">
        <f>IF(A120&gt;30,10,('Scénario référence'!$B$16+'Scénario référence'!$B$17+'Scénario référence'!$B$18+'Scénario référence'!$B$9+'Scénario référence'!$B$10)*A120*10/30+('Scénario référence'!$F$8+'Scénario référence'!$F$9)*10)</f>
        <v>10</v>
      </c>
      <c r="DL120" s="12" t="e">
        <f>VLOOKUP(A120,'Données projet'!$A$165:$I$185,2,0)</f>
        <v>#N/A</v>
      </c>
      <c r="DM120" s="12" t="e">
        <f>VLOOKUP(A120,'Données projet'!$A$165:$I$185,9,0)</f>
        <v>#N/A</v>
      </c>
      <c r="DN120" s="12">
        <f t="array" ref="DN120">INDEX(DM:DM,MIN(IF(ISNUMBER(DM120:DM316),ROW(DM120:DM316),"")))</f>
        <v>0</v>
      </c>
      <c r="DO120" s="12">
        <f>IF('Données projet'!$A$166&gt;35,DO119+DN120-DW119,IF(A120&lt;'Données projet'!$A$166,$DL$205^A120,IF(A120='Données projet'!$A$166,'Données projet'!$B$166,DO119+DN120-DW119)))</f>
        <v>268.00000000000017</v>
      </c>
      <c r="DP120" s="17">
        <f>DO120*VLOOKUP('Données projet'!$B$14,Paramètres!$A$1:$I$89,3,0)*VLOOKUP('Données projet'!$B$14,Paramètres!$A$1:$I$89,5,0)</f>
        <v>175.59360000000012</v>
      </c>
      <c r="DQ120" s="13">
        <f t="shared" si="97"/>
        <v>44.340433728638573</v>
      </c>
      <c r="DR120" s="20">
        <f t="shared" si="70"/>
        <v>383.05177541071242</v>
      </c>
      <c r="DS120" s="59">
        <f t="shared" si="71"/>
        <v>676.38510874404574</v>
      </c>
      <c r="DT120" s="59">
        <f ca="1">AVERAGE(OFFSET($DS$3,0,0,'Données projet'!$E$14+1,1))-AVERAGE(OFFSET($H$3,0,0,'Données projet'!$E$14+1,1))</f>
        <v>188.68915783955595</v>
      </c>
      <c r="DU120" s="59">
        <f t="shared" si="98"/>
        <v>240.82467772396944</v>
      </c>
      <c r="DV120" s="15">
        <f>IF(ISNA(VLOOKUP(A120,'Données projet'!$A$165:$I$185,3,0)),0,VLOOKUP(A120,'Données projet'!$A$165:$I$185,3,0))</f>
        <v>0</v>
      </c>
      <c r="DW120" s="15">
        <f>IF(ISNA(VLOOKUP(A120,'Données projet'!$A$165:$I$185,4,0)),0,VLOOKUP(A120,'Données projet'!$A$165:$I$185,4,0))</f>
        <v>0</v>
      </c>
      <c r="DX120" s="16">
        <f>IF(ISNA(VLOOKUP(A120,'Données projet'!$A$165:$I$185,5,0)),0%,VLOOKUP(A120,'Données projet'!$A$165:$I$185,5,0)*VLOOKUP('Données projet'!$B$14,Paramètres!$A$1:$I$89,7,0))</f>
        <v>0</v>
      </c>
      <c r="DY120" s="16">
        <f>IF(ISNA(VLOOKUP(A120,'Données projet'!$A$165:$I$185,6,0)),0%,VLOOKUP(A120,'Données projet'!$A$165:$I$185,6,0)*VLOOKUP('Données projet'!$B$14,Paramètres!$A$1:$I$89,7,0))</f>
        <v>0</v>
      </c>
      <c r="DZ120" s="16">
        <f>IF(ISNA(VLOOKUP(A120,'Données projet'!$A$165:$I$185,7,0)),0%,VLOOKUP(A120,'Données projet'!$A$165:$I$185,7,0))</f>
        <v>0</v>
      </c>
      <c r="EA120" s="21">
        <f>EXP(-LN(2)/35)*EA119+(1-EXP(-LN(2)/35))/(LN(2)/35)*DW120*DX120*VLOOKUP('Données projet'!$B$14,Paramètres!$A$1:$I$89,3,0)*0.475*44/12</f>
        <v>0.27802567153706265</v>
      </c>
      <c r="EB120" s="21">
        <f>EXP(-LN(2)/25)*EB119+(1-EXP(-LN(2)/25))/(LN(2)/25)*Calculateur!DW120*Calculateur!DY120*VLOOKUP('Données projet'!$B$14,Paramètres!$A$1:$I$89,3,0)*0.475*44/12</f>
        <v>0.72038588852211616</v>
      </c>
      <c r="EC120" s="21">
        <f>EXP(-LN(2)/2)*EC119+(1-EXP(-LN(2)/2))/(LN(2)/2)*DW120*DZ120*VLOOKUP('Données projet'!$B$14,Paramètres!$A$1:$I$89,3,0)*0.475*44/12</f>
        <v>1.1251535169436216E-12</v>
      </c>
      <c r="ED120" s="22">
        <f t="shared" si="72"/>
        <v>0.99841156006030385</v>
      </c>
      <c r="EE120" s="75">
        <f>('Scénario référence'!$F$8+'Scénario référence'!$F$9+'Scénario référence'!$B$17+'Scénario référence'!$B$9+'Scénario référence'!$B$10)*70+IF((45+25*(1-EXP(-0.0175*A120)))&lt;70,'Scénario référence'!$B$16*(45+25*(1-EXP(-0.0175*A120))),70*'Scénario référence'!$B$16)+IF((32+38*(1-EXP(-0.0175*A120)))&lt;70,'Scénario référence'!$B$18*(32+38*(1-EXP(-0.0175*A120))),70*'Scénario référence'!$B$18)</f>
        <v>70</v>
      </c>
      <c r="EF120" s="12">
        <f>IF(A120&gt;30,10,('Scénario référence'!$B$16+'Scénario référence'!$B$17+'Scénario référence'!$B$18+'Scénario référence'!$B$9+'Scénario référence'!$B$10)*A120*10/30+('Scénario référence'!$F$8+'Scénario référence'!$F$9)*10)</f>
        <v>10</v>
      </c>
      <c r="EG120" s="12" t="e">
        <f>VLOOKUP(A120,'Données projet'!$A$191:$I$211,2,0)</f>
        <v>#N/A</v>
      </c>
      <c r="EH120" s="12" t="e">
        <f>VLOOKUP(A120,'Données projet'!$A$191:$I$211,9,0)</f>
        <v>#N/A</v>
      </c>
      <c r="EI120" s="12">
        <f t="array" ref="EI120">INDEX(EH:EH,MIN(IF(ISNUMBER(EH120:EH316),ROW(EH120:EH316),"")))</f>
        <v>0</v>
      </c>
      <c r="EJ120" s="12">
        <f>IF('Données projet'!$A$192&gt;35,EJ119+EI120-ER119,IF(A120&lt;'Données projet'!$A$192,$EG$205^A120,IF(A120='Données projet'!$A$192,'Données projet'!$B$192,EJ119+EI120-ER119)))</f>
        <v>275.99999999999972</v>
      </c>
      <c r="EK120" s="17">
        <f>EJ120*VLOOKUP('Données projet'!$B$15,Paramètres!$A$1:$I$89,3,0)*VLOOKUP('Données projet'!$B$15,Paramètres!$A$1:$I$89,5,0)</f>
        <v>223.8911999999998</v>
      </c>
      <c r="EL120" s="13">
        <f t="shared" si="99"/>
        <v>54.95975389514858</v>
      </c>
      <c r="EM120" s="20">
        <f t="shared" si="73"/>
        <v>485.66541136738346</v>
      </c>
      <c r="EN120" s="59">
        <f t="shared" si="74"/>
        <v>778.99874470071677</v>
      </c>
      <c r="EO120" s="59">
        <f ca="1">AVERAGE(OFFSET($EN$3,0,0,'Données projet'!$E$15+1,1))-AVERAGE(OFFSET($H$3,0,0,'Données projet'!$E$15+1,1))</f>
        <v>205.5272583787887</v>
      </c>
      <c r="EP120" s="59">
        <f t="shared" si="100"/>
        <v>180.54762778843178</v>
      </c>
      <c r="EQ120" s="15">
        <f>IF(ISNA(VLOOKUP(A120,'Données projet'!$A$191:$I$211,3,0)),0,VLOOKUP(A120,'Données projet'!$A$191:$I$211,3,0))</f>
        <v>0</v>
      </c>
      <c r="ER120" s="15">
        <f>IF(ISNA(VLOOKUP(A120,'Données projet'!$A$191:$I$211,4,0)),0,VLOOKUP(A120,'Données projet'!$A$191:$I$211,4,0))</f>
        <v>0</v>
      </c>
      <c r="ES120" s="16">
        <f>IF(ISNA(VLOOKUP(A120,'Données projet'!$A$191:$I$211,5,0)),0%,VLOOKUP(A120,'Données projet'!$A$191:$I$211,5,0)*VLOOKUP('Données projet'!$B$15,Paramètres!$A$1:$I$89,7,0))</f>
        <v>0</v>
      </c>
      <c r="ET120" s="16">
        <f>IF(ISNA(VLOOKUP(A120,'Données projet'!$A$191:$I$211,6,0)),0%,VLOOKUP(A120,'Données projet'!$A$191:$I$211,6,0)*VLOOKUP('Données projet'!$B$15,Paramètres!$A$1:$I$89,7,0))</f>
        <v>0</v>
      </c>
      <c r="EU120" s="16">
        <f>IF(ISNA(VLOOKUP(A120,'Données projet'!$A$191:$I$211,7,0)),0%,VLOOKUP(A120,'Données projet'!$A$191:$I$211,7,0))</f>
        <v>0</v>
      </c>
      <c r="EV120" s="21">
        <f>EXP(-LN(2)/35)*EV119+(1-EXP(-LN(2)/35))/(LN(2)/35)*ER120*ES120*VLOOKUP('Données projet'!$B$15,Paramètres!$A$1:$I$89,3,0)*0.475*44/12</f>
        <v>0.17899557519909942</v>
      </c>
      <c r="EW120" s="21">
        <f>EXP(-LN(2)/25)*EW119+(1-EXP(-LN(2)/25))/(LN(2)/25)*Calculateur!ER120*Calculateur!ET120*VLOOKUP('Données projet'!$B$15,Paramètres!$A$1:$I$89,3,0)*0.475*44/12</f>
        <v>0.52014046511398193</v>
      </c>
      <c r="EX120" s="21">
        <f>EXP(-LN(2)/2)*EX119+(1-EXP(-LN(2)/2))/(LN(2)/2)*ER120*EU120*VLOOKUP('Données projet'!$B$15,Paramètres!$A$1:$I$89,3,0)*0.475*44/12</f>
        <v>7.2853773418899114E-13</v>
      </c>
      <c r="EY120" s="22">
        <f t="shared" si="75"/>
        <v>0.69913604031380983</v>
      </c>
      <c r="EZ120" s="75">
        <f>('Scénario référence'!$F$8+'Scénario référence'!$F$9+'Scénario référence'!$B$17+'Scénario référence'!$B$9+'Scénario référence'!$B$10)*70+IF((45+25*(1-EXP(-0.0175*A120)))&lt;70,'Scénario référence'!$B$16*(45+25*(1-EXP(-0.0175*A120))),70*'Scénario référence'!$B$16)+IF((32+38*(1-EXP(-0.0175*A120)))&lt;70,'Scénario référence'!$B$18*(32+38*(1-EXP(-0.0175*A120))),70*'Scénario référence'!$B$18)</f>
        <v>70</v>
      </c>
      <c r="FA120" s="12">
        <f>IF(A120&gt;30,10,('Scénario référence'!$B$16+'Scénario référence'!$B$17+'Scénario référence'!$B$18+'Scénario référence'!$B$9+'Scénario référence'!$B$10)*A120*10/30+('Scénario référence'!$F$8+'Scénario référence'!$F$9)*10)</f>
        <v>10</v>
      </c>
      <c r="FB120" s="12" t="e">
        <f>VLOOKUP(A120,'Données projet'!$A$217:$I$237,2,0)</f>
        <v>#N/A</v>
      </c>
      <c r="FC120" s="12" t="e">
        <f>VLOOKUP(A120,'Données projet'!$A$217:$I$237,9,0)</f>
        <v>#N/A</v>
      </c>
      <c r="FD120" s="12">
        <f t="array" ref="FD120">INDEX(FC:FC,MIN(IF(ISNUMBER(FC120:FC316),ROW(FC120:FC316),"")))</f>
        <v>7.4</v>
      </c>
      <c r="FE120" s="12">
        <f>IF('Données projet'!$A$218&gt;35,FE119+FD120-FM119,IF(A120&lt;'Données projet'!$A$218,$FB$205^A120,IF(A120='Données projet'!$A$218,'Données projet'!$B$218,FE119+FD120-FM119)))</f>
        <v>429.7999999999999</v>
      </c>
      <c r="FF120" s="17">
        <f>FE120*VLOOKUP('Données projet'!$B$16,Paramètres!$A$1:$I$89,3,0)*VLOOKUP('Données projet'!$B$16,Paramètres!$A$1:$I$89,5,0)</f>
        <v>368.76839999999993</v>
      </c>
      <c r="FG120" s="13">
        <f t="shared" si="101"/>
        <v>85.41529267042732</v>
      </c>
      <c r="FH120" s="20">
        <f t="shared" si="76"/>
        <v>791.03659806766075</v>
      </c>
      <c r="FI120" s="59">
        <f t="shared" si="77"/>
        <v>1084.3699314009941</v>
      </c>
      <c r="FJ120" s="59">
        <f ca="1">AVERAGE(OFFSET($FI$3,0,0,'Données projet'!$E$16+1,1))-AVERAGE(OFFSET($H$3,0,0,'Données projet'!$E$16+1,1))</f>
        <v>383.97627237444709</v>
      </c>
      <c r="FK120" s="59">
        <f t="shared" si="102"/>
        <v>203.35476578922339</v>
      </c>
      <c r="FL120" s="15">
        <f>IF(ISNA(VLOOKUP(A120,'Données projet'!$A$217:$I$237,3,0)),0,VLOOKUP(A120,'Données projet'!$A$217:$I$237,3,0))</f>
        <v>0</v>
      </c>
      <c r="FM120" s="15">
        <f>IF(ISNA(VLOOKUP(A120,'Données projet'!$A$217:$I$237,4,0)),0,VLOOKUP(A120,'Données projet'!$A$217:$I$237,4,0))</f>
        <v>0</v>
      </c>
      <c r="FN120" s="16">
        <f>IF(ISNA(VLOOKUP(A120,'Données projet'!$A$217:$I$237,5,0)),0%,VLOOKUP(A120,'Données projet'!$A$217:$I$237,5,0)*VLOOKUP('Données projet'!$B$16,Paramètres!$A$1:$I$89,7,0))</f>
        <v>0</v>
      </c>
      <c r="FO120" s="16">
        <f>IF(ISNA(VLOOKUP(A120,'Données projet'!$A$217:$I$237,6,0)),0%,VLOOKUP(A120,'Données projet'!$A$217:$I$237,6,0)*VLOOKUP('Données projet'!$B$16,Paramètres!$A$1:$I$89,7,0))</f>
        <v>0</v>
      </c>
      <c r="FP120" s="16">
        <f>IF(ISNA(VLOOKUP(A120,'Données projet'!$A$217:$I$237,7,0)),0%,VLOOKUP(A120,'Données projet'!$A$217:$I$237,7,0))</f>
        <v>0</v>
      </c>
      <c r="FQ120" s="21">
        <f>EXP(-LN(2)/35)*FQ119+(1-EXP(-LN(2)/35))/(LN(2)/35)*FM120*FN120*VLOOKUP('Données projet'!$B$16,Paramètres!$A$1:$I$89,3,0)*0.475*44/12</f>
        <v>0.91994014766755616</v>
      </c>
      <c r="FR120" s="21">
        <f>EXP(-LN(2)/25)*FR119+(1-EXP(-LN(2)/25))/(LN(2)/25)*Calculateur!FM120*Calculateur!FO120*VLOOKUP('Données projet'!$B$16,Paramètres!$A$1:$I$89,3,0)*0.475*44/12</f>
        <v>0.52799633371710952</v>
      </c>
      <c r="FS120" s="21">
        <f>EXP(-LN(2)/2)*FS119+(1-EXP(-LN(2)/2))/(LN(2)/2)*FM120*FP120*VLOOKUP('Données projet'!$B$16,Paramètres!$A$1:$I$89,3,0)*0.475*44/12</f>
        <v>1.3381743001146827E-12</v>
      </c>
      <c r="FT120" s="22">
        <f t="shared" si="78"/>
        <v>1.4479364813860041</v>
      </c>
      <c r="FU120" s="75">
        <f>('Scénario référence'!$F$8+'Scénario référence'!$F$9+'Scénario référence'!$B$17+'Scénario référence'!$B$9+'Scénario référence'!$B$10)*70+IF((45+25*(1-EXP(-0.0175*A120)))&lt;70,'Scénario référence'!$B$16*(45+25*(1-EXP(-0.0175*A120))),70*'Scénario référence'!$B$16)+IF((32+38*(1-EXP(-0.0175*A120)))&lt;70,'Scénario référence'!$B$18*(32+38*(1-EXP(-0.0175*A120))),70*'Scénario référence'!$B$18)</f>
        <v>70</v>
      </c>
      <c r="FV120" s="12">
        <f>IF(A120&gt;30,10,('Scénario référence'!$B$16+'Scénario référence'!$B$17+'Scénario référence'!$B$18+'Scénario référence'!$B$9+'Scénario référence'!$B$10)*A120*10/30+('Scénario référence'!$F$8+'Scénario référence'!$F$9)*10)</f>
        <v>10</v>
      </c>
      <c r="FW120" s="12" t="e">
        <f>VLOOKUP(A120,'Données projet'!$A$243:$I$263,2,0)</f>
        <v>#N/A</v>
      </c>
      <c r="FX120" s="12" t="e">
        <f>VLOOKUP(A120,'Données projet'!$A$243:$I$263,9,0)</f>
        <v>#N/A</v>
      </c>
      <c r="FY120" s="12">
        <f t="array" ref="FY120">INDEX(FX:FX,MIN(IF(ISNUMBER(FX120:FX316),ROW(FX120:FX316),"")))</f>
        <v>6.8461538461538511</v>
      </c>
      <c r="FZ120" s="12">
        <f>IF('Données projet'!$A$244&gt;35,FZ119+FY120-GH119,IF(A120&lt;'Données projet'!$A$244,$FW$205^A120,IF(A120='Données projet'!$A$244,'Données projet'!$B$244,FZ119+FY120-GH119)))</f>
        <v>343.6474358974362</v>
      </c>
      <c r="GA120" s="17">
        <f>FZ120*VLOOKUP('Données projet'!$B$17,Paramètres!$A$1:$I$89,3,0)*VLOOKUP('Données projet'!$B$17,Paramètres!$A$1:$I$89,5,0)</f>
        <v>369.9021000000003</v>
      </c>
      <c r="GB120" s="13">
        <f t="shared" si="103"/>
        <v>85.647276740908836</v>
      </c>
      <c r="GC120" s="20">
        <f t="shared" si="79"/>
        <v>793.41516449041671</v>
      </c>
      <c r="GD120" s="59">
        <f t="shared" si="80"/>
        <v>1086.7484978237501</v>
      </c>
      <c r="GE120" s="59">
        <f ca="1">AVERAGE(OFFSET($GD$3,0,0,'Données projet'!$E$17+1,1))-AVERAGE(OFFSET($H$3,0,0,'Données projet'!$E$17+1,1))</f>
        <v>286.77702855541287</v>
      </c>
      <c r="GF120" s="59">
        <f t="shared" si="104"/>
        <v>227.12211541860779</v>
      </c>
      <c r="GG120" s="15">
        <f>IF(ISNA(VLOOKUP(A120,'Données projet'!$A$243:$I$263,3,0)),0,VLOOKUP(A120,'Données projet'!$A$243:$I$263,3,0))</f>
        <v>0</v>
      </c>
      <c r="GH120" s="15">
        <f>IF(ISNA(VLOOKUP(A120,'Données projet'!$A$243:$I$263,4,0)),0,VLOOKUP(A120,'Données projet'!$A$243:$I$263,4,0))</f>
        <v>0</v>
      </c>
      <c r="GI120" s="16">
        <f>IF(ISNA(VLOOKUP(A120,'Données projet'!$A$243:$I$263,5,0)),0%,VLOOKUP(A120,'Données projet'!$A$243:$I$263,5,0)*VLOOKUP('Données projet'!$B$17,Paramètres!$A$1:$I$89,7,0))</f>
        <v>0</v>
      </c>
      <c r="GJ120" s="16">
        <f>IF(ISNA(VLOOKUP(A120,'Données projet'!$A$243:$I$263,6,0)),0%,VLOOKUP(A120,'Données projet'!$A$243:$I$263,6,0)*VLOOKUP('Données projet'!$B$17,Paramètres!$A$1:$I$89,7,0))</f>
        <v>0</v>
      </c>
      <c r="GK120" s="16">
        <f>IF(ISNA(VLOOKUP(A120,'Données projet'!$A$243:$I$263,7,0)),0%,VLOOKUP(A120,'Données projet'!$A$243:$I$263,7,0))</f>
        <v>0</v>
      </c>
      <c r="GL120" s="21">
        <f>EXP(-LN(2)/35)*GL119+(1-EXP(-LN(2)/35))/(LN(2)/35)*GH120*GI120*VLOOKUP('Données projet'!$B$17,Paramètres!$A$1:$I$89,3,0)*0.475*44/12</f>
        <v>0</v>
      </c>
      <c r="GM120" s="21">
        <f>EXP(-LN(2)/25)*GM119+(1-EXP(-LN(2)/25))/(LN(2)/25)*Calculateur!GH120*Calculateur!GJ120*VLOOKUP('Données projet'!$B$17,Paramètres!$A$1:$I$89,3,0)*0.475*44/12</f>
        <v>0</v>
      </c>
      <c r="GN120" s="21">
        <f>EXP(-LN(2)/2)*GN119+(1-EXP(-LN(2)/2))/(LN(2)/2)*GH120*GK120*VLOOKUP('Données projet'!$B$17,Paramètres!$A$1:$I$89,3,0)*0.475*44/12</f>
        <v>0</v>
      </c>
      <c r="GO120" s="21">
        <f t="shared" si="81"/>
        <v>0</v>
      </c>
      <c r="GP120" s="75">
        <f>('Scénario référence'!$F$8+'Scénario référence'!$F$9+'Scénario référence'!$B$17+'Scénario référence'!$B$9+'Scénario référence'!$B$10)*70+IF((45+25*(1-EXP(-0.0175*A120)))&lt;70,'Scénario référence'!$B$16*(45+25*(1-EXP(-0.0175*A120))),70*'Scénario référence'!$B$16)+IF((32+38*(1-EXP(-0.0175*A120)))&lt;70,'Scénario référence'!$B$18*(32+38*(1-EXP(-0.0175*A120))),70*'Scénario référence'!$B$18)</f>
        <v>70</v>
      </c>
      <c r="GQ120" s="12">
        <f>IF(A120&gt;30,10,('Scénario référence'!$B$16+'Scénario référence'!$B$17+'Scénario référence'!$B$18+'Scénario référence'!$B$9+'Scénario référence'!$B$10)*A120*10/30+('Scénario référence'!$F$8+'Scénario référence'!$F$9)*10)</f>
        <v>10</v>
      </c>
      <c r="GR120" s="12" t="e">
        <f>VLOOKUP(A120,'Données projet'!$A$269:$I$289,2,0)</f>
        <v>#N/A</v>
      </c>
      <c r="GS120" s="12" t="e">
        <f>VLOOKUP(A120,'Données projet'!$A$269:$I$289,9,0)</f>
        <v>#N/A</v>
      </c>
      <c r="GT120" s="12">
        <f t="array" ref="GT120">INDEX(GS:GS,MIN(IF(ISNUMBER(GS120:GS316),ROW(GS120:GS316),"")))</f>
        <v>6.8461538461538511</v>
      </c>
      <c r="GU120" s="12">
        <f>IF('Données projet'!$A$270&gt;35,GU119+GT120-HC119,IF(A120&lt;'Données projet'!$A$270,$GR$205^A120,IF(A120='Données projet'!$A$270,'Données projet'!$B$270,GU119+GT120-HC119)))</f>
        <v>343.6474358974362</v>
      </c>
      <c r="GV120" s="17">
        <f>GU120*VLOOKUP('Données projet'!$B$18,Paramètres!$A$1:$I$89,3,0)*VLOOKUP('Données projet'!$B$18,Paramètres!$A$1:$I$89,5,0)</f>
        <v>369.9021000000003</v>
      </c>
      <c r="GW120" s="13">
        <f t="shared" si="105"/>
        <v>85.647276740908836</v>
      </c>
      <c r="GX120" s="20">
        <f t="shared" si="82"/>
        <v>793.41516449041671</v>
      </c>
      <c r="GY120" s="59">
        <f t="shared" si="83"/>
        <v>1086.7484978237501</v>
      </c>
      <c r="GZ120" s="59">
        <f ca="1">AVERAGE(OFFSET($GY$3,0,0,'Données projet'!$E$18+1,1))-AVERAGE(OFFSET($H$3,0,0,'Données projet'!$E$18+1,1))</f>
        <v>286.77702855541287</v>
      </c>
      <c r="HA120" s="59">
        <f t="shared" si="106"/>
        <v>227.12211541860779</v>
      </c>
      <c r="HB120" s="15">
        <f>IF(ISNA(VLOOKUP(A120,'Données projet'!$A$269:$I$289,3,0)),0,VLOOKUP(A120,'Données projet'!$A$269:$I$289,3,0))</f>
        <v>0</v>
      </c>
      <c r="HC120" s="15">
        <f>IF(ISNA(VLOOKUP(A120,'Données projet'!$A$269:$I$289,4,0)),0,VLOOKUP(A120,'Données projet'!$A$269:$I$289,4,0))</f>
        <v>0</v>
      </c>
      <c r="HD120" s="16">
        <f>IF(ISNA(VLOOKUP(A120,'Données projet'!$A$269:$I$289,5,0)),0%,VLOOKUP(A120,'Données projet'!$A$269:$I$289,5,0)*VLOOKUP('Données projet'!$B$18,Paramètres!$A$1:$I$89,7,0))</f>
        <v>0</v>
      </c>
      <c r="HE120" s="16">
        <f>IF(ISNA(VLOOKUP(A120,'Données projet'!$A$269:$I$289,6,0)),0%,VLOOKUP(A120,'Données projet'!$A$269:$I$289,6,0)*VLOOKUP('Données projet'!$B$18,Paramètres!$A$1:$I$89,7,0))</f>
        <v>0</v>
      </c>
      <c r="HF120" s="16">
        <f>IF(ISNA(VLOOKUP(A120,'Données projet'!$A$269:$I$289,7,0)),0%,VLOOKUP(A120,'Données projet'!$A$269:$I$289,7,0))</f>
        <v>0</v>
      </c>
      <c r="HG120" s="21">
        <f>EXP(-LN(2)/35)*HG119+(1-EXP(-LN(2)/35))/(LN(2)/35)*HC120*HD120*VLOOKUP('Données projet'!$B$18,Paramètres!$A$1:$I$89,3,0)*0.475*44/12</f>
        <v>0</v>
      </c>
      <c r="HH120" s="21">
        <f>EXP(-LN(2)/25)*HH119+(1-EXP(-LN(2)/25))/(LN(2)/25)*Calculateur!HC120*Calculateur!HE120*VLOOKUP('Données projet'!$B$18,Paramètres!$A$1:$I$89,3,0)*0.475*44/12</f>
        <v>0</v>
      </c>
      <c r="HI120" s="21">
        <f>EXP(-LN(2)/2)*HI119+(1-EXP(-LN(2)/2))/(LN(2)/2)*HC120*HF120*VLOOKUP('Données projet'!$B$18,Paramètres!$A$1:$I$89,3,0)*0.475*44/12</f>
        <v>0</v>
      </c>
      <c r="HJ120" s="22">
        <f t="shared" si="84"/>
        <v>0</v>
      </c>
    </row>
    <row r="121" spans="1:218" x14ac:dyDescent="0.25">
      <c r="A121" s="10">
        <f t="shared" si="85"/>
        <v>118</v>
      </c>
      <c r="B121" s="73">
        <f>'Scénario référence'!$B$16*5+'Scénario référence'!$B$17*0+'Scénario référence'!$B$18*5</f>
        <v>0</v>
      </c>
      <c r="C121" s="19">
        <f>Calculateur!C120+'Scénario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104.92560000000019</v>
      </c>
      <c r="D121" s="11">
        <f t="shared" si="86"/>
        <v>28.132149981044396</v>
      </c>
      <c r="E12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21" s="11">
        <f>IF(OR('Scénario référence'!$F$8&gt;0,'Scénario référence'!$F$9&gt;0),('Scénario référence'!$F$8+'Scénario référence'!$F$9)*10,0)</f>
        <v>10</v>
      </c>
      <c r="G121" s="11">
        <f>'Scénario référence'!$B$8*B121*44/12+'Scénario référence'!$B$9*(C121+D121)/0.475*44/12+'Scénario référence'!$B$10*(C121+D121)/0.475*44/12+'Scénario référence'!$F$8*(C121+D121)/0.475*44/12+'Scénario référence'!$F$9*(C121+D121)/0.475*44/12</f>
        <v>1027.1124559940286</v>
      </c>
      <c r="H121" s="67">
        <f t="shared" si="56"/>
        <v>525.07558121698594</v>
      </c>
      <c r="I121" s="70">
        <f>('Scénario référence'!$F$8+'Scénario référence'!$F$9+'Scénario référence'!$B$17+'Scénario référence'!$B$9+'Scénario référence'!$B$10)*70+IF((45+25*(1-EXP(-0.0175*A121)))&lt;70,'Scénario référence'!$B$16*(45+25*(1-EXP(-0.0175*A121))),70*'Scénario référence'!$B$16)+IF((32+38*(1-EXP(-0.0175*A121)))&lt;70,'Scénario référence'!$B$18*(32+38*(1-EXP(-0.0175*A121))),70*'Scénario référence'!$B$18)</f>
        <v>70</v>
      </c>
      <c r="J121" s="13">
        <f>IF(A121&gt;30,10,('Scénario référence'!$B$16+'Scénario référence'!$B$17+'Scénario référence'!$B$18+'Scénario référence'!$B$9+'Scénario référence'!$B$10)*A121*10/30+('Scénario référence'!$F$8+'Scénario référence'!$F$9)*10)</f>
        <v>10</v>
      </c>
      <c r="K121" s="12" t="e">
        <f>VLOOKUP(A121,'Données projet'!$A$35:$I$55,2,0)</f>
        <v>#N/A</v>
      </c>
      <c r="L121" s="12" t="e">
        <f>VLOOKUP(A121,'Données projet'!$A$35:$I$55,9,0)</f>
        <v>#N/A</v>
      </c>
      <c r="M121" s="12">
        <f t="array" ref="M121">INDEX(L:L,MIN(IF(ISNUMBER(L121:L317),ROW(L121:L317),"")))</f>
        <v>0</v>
      </c>
      <c r="N121" s="13">
        <f>IF('Données projet'!$A$36&gt;35,N120+M121-V120,IF(A121&lt;'Données projet'!$A$36,$K$205^A121,IF(A121='Données projet'!$A$36,'Données projet'!$B$36,N120+M121-V120)))</f>
        <v>-2.2737367544323206E-13</v>
      </c>
      <c r="O121" s="13">
        <f>N121*VLOOKUP('Données projet'!$B$9,Paramètres!$A$1:$I$89,3,0)*VLOOKUP('Données projet'!$B$9,Paramètres!$A$1:$I$89,5,0)</f>
        <v>-1.2710188457276673E-13</v>
      </c>
      <c r="P121" s="13" t="e">
        <f t="shared" si="87"/>
        <v>#NUM!</v>
      </c>
      <c r="Q121" s="20" t="e">
        <f t="shared" si="107"/>
        <v>#NUM!</v>
      </c>
      <c r="R121" s="59" t="e">
        <f t="shared" si="55"/>
        <v>#NUM!</v>
      </c>
      <c r="S121" s="59">
        <f ca="1">AVERAGE(OFFSET($R$3,0,0,'Données projet'!$E$9+1,1))-AVERAGE(OFFSET($H$3,0,0,'Données projet'!$E$9+1,1))</f>
        <v>255.5374979188561</v>
      </c>
      <c r="T121" s="59">
        <f t="shared" si="88"/>
        <v>343.10418468620901</v>
      </c>
      <c r="U121" s="15">
        <f>IF(ISNA(VLOOKUP(A121,'Données projet'!$A$35:$I$55,3,0)),0,VLOOKUP(A121,'Données projet'!$A$35:$I$55,3,0))</f>
        <v>0</v>
      </c>
      <c r="V121" s="15">
        <f>IF(ISNA(VLOOKUP(A121,'Données projet'!$A$35:$I$55,4,0)),0,VLOOKUP(A121,'Données projet'!$A$35:$I$55,4,0))</f>
        <v>0</v>
      </c>
      <c r="W121" s="16">
        <f>IF(ISNA(VLOOKUP(A121,'Données projet'!$A$35:$I$55,5,0)),0%,VLOOKUP(A121,'Données projet'!$A$35:$I$55,5,0)*VLOOKUP('Données projet'!$B$9,Paramètres!$A$1:$I$89,7,0))</f>
        <v>0</v>
      </c>
      <c r="X121" s="16">
        <f>IF(ISNA(VLOOKUP(A121,'Données projet'!$A$35:$I$55,6,0)),0%,VLOOKUP(A121,'Données projet'!$A$35:$I$55,6,0)*VLOOKUP('Données projet'!$B$9,Paramètres!$A$1:$I$89,7,0))</f>
        <v>0</v>
      </c>
      <c r="Y121" s="16">
        <f>IF(ISNA(VLOOKUP(A121,'Données projet'!$A$35:$I$55,7,0)),0%,VLOOKUP(A121,'Données projet'!$A$35:$I$55,7,0))</f>
        <v>0</v>
      </c>
      <c r="Z121" s="21">
        <f>EXP(-LN(2)/35)*Z120+(1-EXP(-LN(2)/35))/(LN(2)/35)*V121*W121*VLOOKUP('Données projet'!$B$9,Paramètres!$A$1:$I$89,3,0)*0.475*44/12</f>
        <v>0.54086490532745668</v>
      </c>
      <c r="AA121" s="21">
        <f>EXP(-LN(2)/25)*AA120+(1-EXP(-LN(2)/25))/(LN(2)/25)*Calculateur!V121*Calculateur!X121*VLOOKUP('Données projet'!$B$9,Paramètres!$A$1:$I$89,3,0)*0.475*44/12</f>
        <v>1.3912793959532856</v>
      </c>
      <c r="AB121" s="21">
        <f>EXP(-LN(2)/2)*AB120+(1-EXP(-LN(2)/2))/(LN(2)/2)*V121*Y121*VLOOKUP('Données projet'!$B$9,Paramètres!$A$1:$I$89,3,0)*0.475*44/12</f>
        <v>9.6216131138025164E-14</v>
      </c>
      <c r="AC121" s="22">
        <f t="shared" si="57"/>
        <v>1.9321443012808384</v>
      </c>
      <c r="AD121" s="13">
        <f>('Scénario référence'!$F$8+'Scénario référence'!$F$9+'Scénario référence'!$B$17+'Scénario référence'!$B$9+'Scénario référence'!$B$10)*70+IF((45+25*(1-EXP(-0.0175*A121)))&lt;70,'Scénario référence'!$B$16*(45+25*(1-EXP(-0.0175*A121))),70*'Scénario référence'!$B$16)+IF((32+38*(1-EXP(-0.0175*A121)))&lt;70,'Scénario référence'!$B$18*(32+38*(1-EXP(-0.0175*A121))),70*'Scénario référence'!$B$18)</f>
        <v>70</v>
      </c>
      <c r="AE121" s="13">
        <f>IF(A121&gt;30,10,('Scénario référence'!$B$16+'Scénario référence'!$B$17+'Scénario référence'!$B$18+'Scénario référence'!$B$9+'Scénario référence'!$B$10)*A121*10/30+('Scénario référence'!$F$8+'Scénario référence'!$F$9)*10)</f>
        <v>10</v>
      </c>
      <c r="AF121" s="12" t="e">
        <f>VLOOKUP(A121,'Données projet'!$A$61:$I$81,2,0)</f>
        <v>#N/A</v>
      </c>
      <c r="AG121" s="12" t="e">
        <f>VLOOKUP(A121,'Données projet'!$A$61:$I$81,9,0)</f>
        <v>#N/A</v>
      </c>
      <c r="AH121" s="12">
        <f t="array" ref="AH121">INDEX(AG:AG,MIN(IF(ISNUMBER(AG121:AG317),ROW(AG121:AG317),"")))</f>
        <v>0</v>
      </c>
      <c r="AI121" s="13">
        <f>IF('Données projet'!$A$62&gt;35,AI120+AH121-AQ120,IF(A121&lt;'Données projet'!$A$62,$AF$205^A121,IF(A121='Données projet'!$A$62,'Données projet'!$B$62,AI120+AH121-AQ120)))</f>
        <v>0</v>
      </c>
      <c r="AJ121" s="13">
        <f>AI121*VLOOKUP('Données projet'!$B$10,Paramètres!$A$1:$I$89,3,0)*VLOOKUP('Données projet'!$B$10,Paramètres!$A$1:$I$89,5,0)</f>
        <v>0</v>
      </c>
      <c r="AK121" s="13" t="e">
        <f t="shared" si="89"/>
        <v>#NUM!</v>
      </c>
      <c r="AL121" s="20" t="e">
        <f t="shared" si="58"/>
        <v>#NUM!</v>
      </c>
      <c r="AM121" s="59" t="e">
        <f t="shared" si="59"/>
        <v>#NUM!</v>
      </c>
      <c r="AN121" s="59">
        <f ca="1">AVERAGE(OFFSET($AM$3,0,0,'Données projet'!$E$10+1,1))-AVERAGE(OFFSET($H$3,0,0,'Données projet'!$E$10+1,1))</f>
        <v>261.78489480911571</v>
      </c>
      <c r="AO121" s="59">
        <f t="shared" si="90"/>
        <v>297.50513563712764</v>
      </c>
      <c r="AP121" s="15">
        <f>IF(ISNA(VLOOKUP(A121,'Données projet'!$A$61:$I$81,3,0)),0,VLOOKUP(A121,'Données projet'!$A$61:$I$81,3,0))</f>
        <v>0</v>
      </c>
      <c r="AQ121" s="15">
        <f>IF(ISNA(VLOOKUP(A121,'Données projet'!$A$61:$I$81,4,0)),0,VLOOKUP(A121,'Données projet'!$A$61:$I$81,4,0))</f>
        <v>0</v>
      </c>
      <c r="AR121" s="16">
        <f>IF(ISNA(VLOOKUP(A121,'Données projet'!$A$61:$I$81,5,0)),0%,VLOOKUP(A121,'Données projet'!$A$61:$I$81,5,0)*VLOOKUP('Données projet'!$B$10,Paramètres!$A$1:$I$89,7,0))</f>
        <v>0</v>
      </c>
      <c r="AS121" s="16">
        <f>IF(ISNA(VLOOKUP(A121,'Données projet'!$A$61:$I$81,6,0)),0%,VLOOKUP(A121,'Données projet'!$A$61:$I$81,6,0)*VLOOKUP('Données projet'!$B$10,Paramètres!$A$1:$I$89,7,0))</f>
        <v>0</v>
      </c>
      <c r="AT121" s="16">
        <f>IF(ISNA(VLOOKUP(A121,'Données projet'!$A$61:$I$81,7,0)),0%,VLOOKUP(A121,'Données projet'!$A$61:$I$81,7,0))</f>
        <v>0</v>
      </c>
      <c r="AU121" s="21">
        <f>EXP(-LN(2)/35)*AU120+(1-EXP(-LN(2)/35))/(LN(2)/35)*AQ121*AR121*VLOOKUP('Données projet'!$B$10,Paramètres!$A$1:$I$89,3,0)*0.475*44/12</f>
        <v>1.4604882272888415</v>
      </c>
      <c r="AV121" s="21">
        <f>EXP(-LN(2)/25)*AV120+(1-EXP(-LN(2)/25))/(LN(2)/25)*Calculateur!AQ121*Calculateur!AS121*VLOOKUP('Données projet'!$B$10,Paramètres!$A$1:$I$89,3,0)*0.475*44/12</f>
        <v>2.4294575918968824</v>
      </c>
      <c r="AW121" s="21">
        <f>EXP(-LN(2)/2)*AW120+(1-EXP(-LN(2)/2))/(LN(2)/2)*AQ121*AT121*VLOOKUP('Données projet'!$B$10,Paramètres!$A$1:$I$89,3,0)*0.475*44/12</f>
        <v>1.3870471284981181E-12</v>
      </c>
      <c r="AX121" s="21">
        <f t="shared" si="60"/>
        <v>3.8899458191871106</v>
      </c>
      <c r="AY121" s="74">
        <f>('Scénario référence'!$F$8+'Scénario référence'!$F$9+'Scénario référence'!$B$17+'Scénario référence'!$B$9+'Scénario référence'!$B$10)*70+IF((45+25*(1-EXP(-0.0175*A121)))&lt;70,'Scénario référence'!$B$16*(45+25*(1-EXP(-0.0175*A121))),70*'Scénario référence'!$B$16)+IF((32+38*(1-EXP(-0.0175*A121)))&lt;70,'Scénario référence'!$B$18*(32+38*(1-EXP(-0.0175*A121))),70*'Scénario référence'!$B$18)</f>
        <v>70</v>
      </c>
      <c r="AZ121" s="12">
        <f>IF(A121&gt;30,10,('Scénario référence'!$B$16+'Scénario référence'!$B$17+'Scénario référence'!$B$18+'Scénario référence'!$B$9+'Scénario référence'!$B$10)*A121*10/30+('Scénario référence'!$F$8+'Scénario référence'!$F$9)*10)</f>
        <v>10</v>
      </c>
      <c r="BA121" s="12" t="e">
        <f>VLOOKUP(A121,'Données projet'!$A$87:$I$107,2,0)</f>
        <v>#N/A</v>
      </c>
      <c r="BB121" s="12" t="e">
        <f>VLOOKUP(A121,'Données projet'!$A$87:$I$107,9,0)</f>
        <v>#N/A</v>
      </c>
      <c r="BC121" s="12">
        <f t="array" ref="BC121">INDEX(BB:BB,MIN(IF(ISNUMBER(BB121:BB317),ROW(BB121:BB317),"")))</f>
        <v>0</v>
      </c>
      <c r="BD121" s="12">
        <f>IF('Données projet'!$A$88&gt;35,BD120+BC121-BL120,IF(A121&lt;'Données projet'!$A$88,$BA$205^A121,IF(A121='Données projet'!$A$88,'Données projet'!$B$88,BD120+BC121-BL120)))</f>
        <v>553.99999999999955</v>
      </c>
      <c r="BE121" s="13">
        <f>BD121*VLOOKUP('Données projet'!$B$11,Paramètres!$A$1:$I$89,3,0)*VLOOKUP('Données projet'!$B$11,Paramètres!$A$1:$I$89,5,0)</f>
        <v>331.29199999999975</v>
      </c>
      <c r="BF121" s="13">
        <f t="shared" si="91"/>
        <v>77.698110787752</v>
      </c>
      <c r="BG121" s="20">
        <f t="shared" si="61"/>
        <v>712.32444295533423</v>
      </c>
      <c r="BH121" s="59">
        <f t="shared" si="62"/>
        <v>1005.6577762886675</v>
      </c>
      <c r="BI121" s="59">
        <f ca="1">AVERAGE(OFFSET($BH$3,0,0,'Données projet'!$E$11+1,1))-AVERAGE(OFFSET($H$3,0,0,'Données projet'!$E$11+1,1))</f>
        <v>316.58509520829671</v>
      </c>
      <c r="BJ121" s="59">
        <f t="shared" si="92"/>
        <v>240.71332110643596</v>
      </c>
      <c r="BK121" s="15">
        <f>IF(ISNA(VLOOKUP(A121,'Données projet'!$A$87:$I$107,3,0)),0,VLOOKUP(A121,'Données projet'!$A$87:$I$107,3,0))</f>
        <v>0</v>
      </c>
      <c r="BL121" s="15">
        <f>IF(ISNA(VLOOKUP(A121,'Données projet'!$A$87:$I$107,4,0)),0,VLOOKUP(A121,'Données projet'!$A$87:$I$107,4,0))</f>
        <v>0</v>
      </c>
      <c r="BM121" s="16">
        <f>IF(ISNA(VLOOKUP(A121,'Données projet'!$A$87:$I$107,5,0)),0%,VLOOKUP(A121,'Données projet'!$A$87:$I$107,5,0)*VLOOKUP('Données projet'!$B$11,Paramètres!$A$1:$I$89,7,0))</f>
        <v>0</v>
      </c>
      <c r="BN121" s="16">
        <f>IF(ISNA(VLOOKUP(A121,'Données projet'!$A$87:$I$107,6,0)),0%,VLOOKUP(A121,'Données projet'!$A$87:$I$107,6,0)*VLOOKUP('Données projet'!$B$11,Paramètres!$A$1:$I$89,7,0))</f>
        <v>0</v>
      </c>
      <c r="BO121" s="16">
        <f>IF(ISNA(VLOOKUP(A121,'Données projet'!$A$87:$I$107,7,0)),0%,VLOOKUP(A121,'Données projet'!$A$87:$I$107,7,0))</f>
        <v>0</v>
      </c>
      <c r="BP121" s="21">
        <f>EXP(-LN(2)/35)*BP120+(1-EXP(-LN(2)/35))/(LN(2)/35)*BL121*BM121*VLOOKUP('Données projet'!$B$11,Paramètres!$A$1:$I$89,3,0)*0.475*44/12</f>
        <v>0.44363416576686737</v>
      </c>
      <c r="BQ121" s="21">
        <f>EXP(-LN(2)/25)*BQ120+(1-EXP(-LN(2)/25))/(LN(2)/25)*Calculateur!BL121*Calculateur!BN121*VLOOKUP('Données projet'!$B$11,Paramètres!$A$1:$I$89,3,0)*0.475*44/12</f>
        <v>1.330927755740797</v>
      </c>
      <c r="BR121" s="21">
        <f>EXP(-LN(2)/2)*BR120+(1-EXP(-LN(2)/2))/(LN(2)/2)*BL121*BO121*VLOOKUP('Données projet'!$B$11,Paramètres!$A$1:$I$89,3,0)*0.475*44/12</f>
        <v>1.2471072676669867E-12</v>
      </c>
      <c r="BS121" s="22">
        <f t="shared" si="63"/>
        <v>1.7745619215089115</v>
      </c>
      <c r="BT121" s="75">
        <f>('Scénario référence'!$F$8+'Scénario référence'!$F$9+'Scénario référence'!$B$17+'Scénario référence'!$B$9+'Scénario référence'!$B$10)*70+IF((45+25*(1-EXP(-0.0175*A121)))&lt;70,'Scénario référence'!$B$16*(45+25*(1-EXP(-0.0175*A121))),70*'Scénario référence'!$B$16)+IF((32+38*(1-EXP(-0.0175*A121)))&lt;70,'Scénario référence'!$B$18*(32+38*(1-EXP(-0.0175*A121))),70*'Scénario référence'!$B$18)</f>
        <v>70</v>
      </c>
      <c r="BU121" s="12">
        <f>IF(A121&gt;30,10,('Scénario référence'!$B$16+'Scénario référence'!$B$17+'Scénario référence'!$B$18+'Scénario référence'!$B$9+'Scénario référence'!$B$10)*A121*10/30+('Scénario référence'!$F$8+'Scénario référence'!$F$9)*10)</f>
        <v>10</v>
      </c>
      <c r="BV121" s="12" t="e">
        <f>VLOOKUP(A121,'Données projet'!$A$113:$I$133,2,0)</f>
        <v>#N/A</v>
      </c>
      <c r="BW121" s="12" t="e">
        <f>VLOOKUP(A121,'Données projet'!$A$113:$I$133,9,0)</f>
        <v>#N/A</v>
      </c>
      <c r="BX121" s="12">
        <f t="array" ref="BX121">INDEX(BW:BW,MIN(IF(ISNUMBER(BW121:BW317),ROW(BW121:BW317),"")))</f>
        <v>0</v>
      </c>
      <c r="BY121" s="12">
        <f>IF('Données projet'!$A$114&gt;35,BY120+BX121-CG120,IF(A121&lt;'Données projet'!$A$114,$BV$205^A121,IF(A121='Données projet'!$A$114,'Données projet'!$B$114,BY120+BX121-CG120)))</f>
        <v>333.99999999999977</v>
      </c>
      <c r="BZ121" s="13">
        <f>BY121*VLOOKUP('Données projet'!$B$12,Paramètres!$A$1:$I$89,3,0)*VLOOKUP('Données projet'!$B$12,Paramètres!$A$1:$I$89,5,0)</f>
        <v>191.04799999999986</v>
      </c>
      <c r="CA121" s="13">
        <f t="shared" si="93"/>
        <v>47.771576544305155</v>
      </c>
      <c r="CB121" s="20">
        <f t="shared" si="64"/>
        <v>415.94409581466454</v>
      </c>
      <c r="CC121" s="59">
        <f t="shared" si="65"/>
        <v>709.27742914799785</v>
      </c>
      <c r="CD121" s="59">
        <f ca="1">AVERAGE(OFFSET($CC$3,0,0,'Données projet'!$E$12+1,1))-AVERAGE(OFFSET($H$3,0,0,'Données projet'!$E$12+1,1))</f>
        <v>188.64374818906128</v>
      </c>
      <c r="CE121" s="59">
        <f t="shared" si="94"/>
        <v>211.95157880548652</v>
      </c>
      <c r="CF121" s="15">
        <f>IF(ISNA(VLOOKUP(A121,'Données projet'!$A$113:$I$133,3,0)),0,VLOOKUP(A121,'Données projet'!$A$113:$I$133,3,0))</f>
        <v>0</v>
      </c>
      <c r="CG121" s="15">
        <f>IF(ISNA(VLOOKUP(A121,'Données projet'!$A$113:$I$133,4,0)),0,VLOOKUP(A121,'Données projet'!$A$113:$I$133,4,0))</f>
        <v>0</v>
      </c>
      <c r="CH121" s="16">
        <f>IF(ISNA(VLOOKUP(A121,'Données projet'!$A$113:$I$133,5,0)),0%,VLOOKUP(A121,'Données projet'!$A$113:$I$133,5,0)*VLOOKUP('Données projet'!$B$12,Paramètres!$A$1:$I$89,7,0))</f>
        <v>0</v>
      </c>
      <c r="CI121" s="16">
        <f>IF(ISNA(VLOOKUP(A121,'Données projet'!$A$113:$I$133,6,0)),0%,VLOOKUP(A121,'Données projet'!$A$113:$I$133,6,0)*VLOOKUP('Données projet'!$B$12,Paramètres!$A$1:$I$89,7,0))</f>
        <v>0</v>
      </c>
      <c r="CJ121" s="16">
        <f>IF(ISNA(VLOOKUP(A121,'Données projet'!$A$113:$I$133,7,0)),0%,VLOOKUP(A121,'Données projet'!$A$113:$I$133,7,0))</f>
        <v>0</v>
      </c>
      <c r="CK121" s="21">
        <f>EXP(-LN(2)/35)*CK120+(1-EXP(-LN(2)/35))/(LN(2)/35)*CG121*CH121*VLOOKUP('Données projet'!$B$12,Paramètres!$A$1:$I$89,3,0)*0.475*44/12</f>
        <v>0.43032242411189059</v>
      </c>
      <c r="CL121" s="21">
        <f>EXP(-LN(2)/25)*CL120+(1-EXP(-LN(2)/25))/(LN(2)/25)*Calculateur!CG121*Calculateur!CI121*VLOOKUP('Données projet'!$B$12,Paramètres!$A$1:$I$89,3,0)*0.475*44/12</f>
        <v>1.2526993382536882</v>
      </c>
      <c r="CM121" s="21">
        <f>EXP(-LN(2)/2)*CM120+(1-EXP(-LN(2)/2))/(LN(2)/2)*CG121*CJ121*VLOOKUP('Données projet'!$B$12,Paramètres!$A$1:$I$89,3,0)*0.475*44/12</f>
        <v>1.2077258136137207E-12</v>
      </c>
      <c r="CN121" s="22">
        <f t="shared" si="66"/>
        <v>1.6830217623667865</v>
      </c>
      <c r="CO121" s="75">
        <f>('Scénario référence'!$F$8+'Scénario référence'!$F$9+'Scénario référence'!$B$17+'Scénario référence'!$B$9+'Scénario référence'!$B$10)*70+IF((45+25*(1-EXP(-0.0175*A121)))&lt;70,'Scénario référence'!$B$16*(45+25*(1-EXP(-0.0175*A121))),70*'Scénario référence'!$B$16)+IF((32+38*(1-EXP(-0.0175*A121)))&lt;70,'Scénario référence'!$B$18*(32+38*(1-EXP(-0.0175*A121))),70*'Scénario référence'!$B$18)</f>
        <v>70</v>
      </c>
      <c r="CP121" s="12">
        <f>IF(A121&gt;30,10,('Scénario référence'!$B$16+'Scénario référence'!$B$17+'Scénario référence'!$B$18+'Scénario référence'!$B$9+'Scénario référence'!$B$10)*A121*10/30+('Scénario référence'!$F$8+'Scénario référence'!$F$9)*10)</f>
        <v>10</v>
      </c>
      <c r="CQ121" s="12" t="e">
        <f>VLOOKUP(A121,'Données projet'!$A$139:$I$159,2,0)</f>
        <v>#N/A</v>
      </c>
      <c r="CR121" s="12" t="e">
        <f>VLOOKUP(A121,'Données projet'!$A$139:$I$159,9,0)</f>
        <v>#N/A</v>
      </c>
      <c r="CS121" s="12">
        <f t="array" ref="CS121">INDEX(CR:CR,MIN(IF(ISNUMBER(CR121:CR317),ROW(CR121:CR317),"")))</f>
        <v>0</v>
      </c>
      <c r="CT121" s="12">
        <f>IF('Données projet'!$A$140&gt;35,CT120+CS121-DB120,IF(A121&lt;'Données projet'!$A$140,$CQ$205^A121,IF(A121='Données projet'!$A$140,'Données projet'!$B$140,CT120+CS121-DB120)))</f>
        <v>0</v>
      </c>
      <c r="CU121" s="17" t="e">
        <f>CT121*VLOOKUP('Données projet'!$B$13,Paramètres!$A$1:$I$89,3,0)*VLOOKUP('Données projet'!$B$13,Paramètres!$A$1:$I$89,5,0)</f>
        <v>#N/A</v>
      </c>
      <c r="CV121" s="13" t="e">
        <f t="shared" si="95"/>
        <v>#N/A</v>
      </c>
      <c r="CW121" s="20" t="e">
        <f t="shared" si="67"/>
        <v>#N/A</v>
      </c>
      <c r="CX121" s="59" t="e">
        <f t="shared" si="68"/>
        <v>#N/A</v>
      </c>
      <c r="CY121" s="59" t="e">
        <f ca="1">AVERAGE(OFFSET($CX$3,0,0,'Données projet'!$E$13+1,1))-AVERAGE(OFFSET($H$3,0,0,'Données projet'!$E$13+1,1))</f>
        <v>#N/A</v>
      </c>
      <c r="CZ121" s="59" t="e">
        <f t="shared" si="96"/>
        <v>#N/A</v>
      </c>
      <c r="DA121" s="15">
        <f>IF(ISNA(VLOOKUP(A121,'Données projet'!$A$139:$I$159,3,0)),0,VLOOKUP(A121,'Données projet'!$A$139:$I$159,3,0))</f>
        <v>0</v>
      </c>
      <c r="DB121" s="15">
        <f>IF(ISNA(VLOOKUP(A121,'Données projet'!$A$139:$I$159,4,0)),0,VLOOKUP(A121,'Données projet'!$A$139:$I$159,4,0))</f>
        <v>0</v>
      </c>
      <c r="DC121" s="16">
        <f>IF(ISNA(VLOOKUP(A121,'Données projet'!$A$139:$I$159,5,0)),0%,VLOOKUP(A121,'Données projet'!$A$139:$I$159,5,0)*VLOOKUP('Données projet'!$B$13,Paramètres!$A$1:$I$89,7,0))</f>
        <v>0</v>
      </c>
      <c r="DD121" s="16">
        <f>IF(ISNA(VLOOKUP(A121,'Données projet'!$A$139:$I$159,6,0)),0%,VLOOKUP(A121,'Données projet'!$A$139:$I$159,6,0)*VLOOKUP('Données projet'!$B$13,Paramètres!$A$1:$I$89,7,0))</f>
        <v>0</v>
      </c>
      <c r="DE121" s="16">
        <f>IF(ISNA(VLOOKUP(A121,'Données projet'!$A$139:$I$159,7,0)),0%,VLOOKUP(A121,'Données projet'!$A$139:$I$159,7,0))</f>
        <v>0</v>
      </c>
      <c r="DF121" s="21" t="e">
        <f>EXP(-LN(2)/35)*DF120+(1-EXP(-LN(2)/35))/(LN(2)/35)*DB121*DC121*VLOOKUP('Données projet'!$B$13,Paramètres!$A$1:$I$89,3,0)*0.475*44/12</f>
        <v>#N/A</v>
      </c>
      <c r="DG121" s="21" t="e">
        <f>EXP(-LN(2)/25)*DG120+(1-EXP(-LN(2)/25))/(LN(2)/25)*Calculateur!DB121*Calculateur!DD121*VLOOKUP('Données projet'!$B$13,Paramètres!$A$1:$I$89,3,0)*0.475*44/12</f>
        <v>#N/A</v>
      </c>
      <c r="DH121" s="21" t="e">
        <f>EXP(-LN(2)/2)*DH120+(1-EXP(-LN(2)/2))/(LN(2)/2)*DB121*DE121*VLOOKUP('Données projet'!$B$13,Paramètres!$A$1:$I$89,3,0)*0.475*44/12</f>
        <v>#N/A</v>
      </c>
      <c r="DI121" s="22" t="e">
        <f t="shared" si="69"/>
        <v>#N/A</v>
      </c>
      <c r="DJ121" s="75">
        <f>('Scénario référence'!$F$8+'Scénario référence'!$F$9+'Scénario référence'!$B$17+'Scénario référence'!$B$9+'Scénario référence'!$B$10)*70+IF((45+25*(1-EXP(-0.0175*A121)))&lt;70,'Scénario référence'!$B$16*(45+25*(1-EXP(-0.0175*A121))),70*'Scénario référence'!$B$16)+IF((32+38*(1-EXP(-0.0175*A121)))&lt;70,'Scénario référence'!$B$18*(32+38*(1-EXP(-0.0175*A121))),70*'Scénario référence'!$B$18)</f>
        <v>70</v>
      </c>
      <c r="DK121" s="12">
        <f>IF(A121&gt;30,10,('Scénario référence'!$B$16+'Scénario référence'!$B$17+'Scénario référence'!$B$18+'Scénario référence'!$B$9+'Scénario référence'!$B$10)*A121*10/30+('Scénario référence'!$F$8+'Scénario référence'!$F$9)*10)</f>
        <v>10</v>
      </c>
      <c r="DL121" s="12" t="e">
        <f>VLOOKUP(A121,'Données projet'!$A$165:$I$185,2,0)</f>
        <v>#N/A</v>
      </c>
      <c r="DM121" s="12" t="e">
        <f>VLOOKUP(A121,'Données projet'!$A$165:$I$185,9,0)</f>
        <v>#N/A</v>
      </c>
      <c r="DN121" s="12">
        <f t="array" ref="DN121">INDEX(DM:DM,MIN(IF(ISNUMBER(DM121:DM317),ROW(DM121:DM317),"")))</f>
        <v>0</v>
      </c>
      <c r="DO121" s="12">
        <f>IF('Données projet'!$A$166&gt;35,DO120+DN121-DW120,IF(A121&lt;'Données projet'!$A$166,$DL$205^A121,IF(A121='Données projet'!$A$166,'Données projet'!$B$166,DO120+DN121-DW120)))</f>
        <v>268.00000000000017</v>
      </c>
      <c r="DP121" s="17">
        <f>DO121*VLOOKUP('Données projet'!$B$14,Paramètres!$A$1:$I$89,3,0)*VLOOKUP('Données projet'!$B$14,Paramètres!$A$1:$I$89,5,0)</f>
        <v>175.59360000000012</v>
      </c>
      <c r="DQ121" s="13">
        <f t="shared" si="97"/>
        <v>44.340433728638573</v>
      </c>
      <c r="DR121" s="20">
        <f t="shared" si="70"/>
        <v>383.05177541071242</v>
      </c>
      <c r="DS121" s="59">
        <f t="shared" si="71"/>
        <v>676.38510874404574</v>
      </c>
      <c r="DT121" s="59">
        <f ca="1">AVERAGE(OFFSET($DS$3,0,0,'Données projet'!$E$14+1,1))-AVERAGE(OFFSET($H$3,0,0,'Données projet'!$E$14+1,1))</f>
        <v>188.68915783955595</v>
      </c>
      <c r="DU121" s="59">
        <f t="shared" si="98"/>
        <v>240.82467772396944</v>
      </c>
      <c r="DV121" s="15">
        <f>IF(ISNA(VLOOKUP(A121,'Données projet'!$A$165:$I$185,3,0)),0,VLOOKUP(A121,'Données projet'!$A$165:$I$185,3,0))</f>
        <v>0</v>
      </c>
      <c r="DW121" s="15">
        <f>IF(ISNA(VLOOKUP(A121,'Données projet'!$A$165:$I$185,4,0)),0,VLOOKUP(A121,'Données projet'!$A$165:$I$185,4,0))</f>
        <v>0</v>
      </c>
      <c r="DX121" s="16">
        <f>IF(ISNA(VLOOKUP(A121,'Données projet'!$A$165:$I$185,5,0)),0%,VLOOKUP(A121,'Données projet'!$A$165:$I$185,5,0)*VLOOKUP('Données projet'!$B$14,Paramètres!$A$1:$I$89,7,0))</f>
        <v>0</v>
      </c>
      <c r="DY121" s="16">
        <f>IF(ISNA(VLOOKUP(A121,'Données projet'!$A$165:$I$185,6,0)),0%,VLOOKUP(A121,'Données projet'!$A$165:$I$185,6,0)*VLOOKUP('Données projet'!$B$14,Paramètres!$A$1:$I$89,7,0))</f>
        <v>0</v>
      </c>
      <c r="DZ121" s="16">
        <f>IF(ISNA(VLOOKUP(A121,'Données projet'!$A$165:$I$185,7,0)),0%,VLOOKUP(A121,'Données projet'!$A$165:$I$185,7,0))</f>
        <v>0</v>
      </c>
      <c r="EA121" s="21">
        <f>EXP(-LN(2)/35)*EA120+(1-EXP(-LN(2)/35))/(LN(2)/35)*DW121*DX121*VLOOKUP('Données projet'!$B$14,Paramètres!$A$1:$I$89,3,0)*0.475*44/12</f>
        <v>0.27257375769713593</v>
      </c>
      <c r="EB121" s="21">
        <f>EXP(-LN(2)/25)*EB120+(1-EXP(-LN(2)/25))/(LN(2)/25)*Calculateur!DW121*Calculateur!DY121*VLOOKUP('Données projet'!$B$14,Paramètres!$A$1:$I$89,3,0)*0.475*44/12</f>
        <v>0.70068689851703148</v>
      </c>
      <c r="EC121" s="21">
        <f>EXP(-LN(2)/2)*EC120+(1-EXP(-LN(2)/2))/(LN(2)/2)*DW121*DZ121*VLOOKUP('Données projet'!$B$14,Paramètres!$A$1:$I$89,3,0)*0.475*44/12</f>
        <v>7.9560368170672786E-13</v>
      </c>
      <c r="ED121" s="22">
        <f t="shared" si="72"/>
        <v>0.97326065621496305</v>
      </c>
      <c r="EE121" s="75">
        <f>('Scénario référence'!$F$8+'Scénario référence'!$F$9+'Scénario référence'!$B$17+'Scénario référence'!$B$9+'Scénario référence'!$B$10)*70+IF((45+25*(1-EXP(-0.0175*A121)))&lt;70,'Scénario référence'!$B$16*(45+25*(1-EXP(-0.0175*A121))),70*'Scénario référence'!$B$16)+IF((32+38*(1-EXP(-0.0175*A121)))&lt;70,'Scénario référence'!$B$18*(32+38*(1-EXP(-0.0175*A121))),70*'Scénario référence'!$B$18)</f>
        <v>70</v>
      </c>
      <c r="EF121" s="12">
        <f>IF(A121&gt;30,10,('Scénario référence'!$B$16+'Scénario référence'!$B$17+'Scénario référence'!$B$18+'Scénario référence'!$B$9+'Scénario référence'!$B$10)*A121*10/30+('Scénario référence'!$F$8+'Scénario référence'!$F$9)*10)</f>
        <v>10</v>
      </c>
      <c r="EG121" s="12" t="e">
        <f>VLOOKUP(A121,'Données projet'!$A$191:$I$211,2,0)</f>
        <v>#N/A</v>
      </c>
      <c r="EH121" s="12" t="e">
        <f>VLOOKUP(A121,'Données projet'!$A$191:$I$211,9,0)</f>
        <v>#N/A</v>
      </c>
      <c r="EI121" s="12">
        <f t="array" ref="EI121">INDEX(EH:EH,MIN(IF(ISNUMBER(EH121:EH317),ROW(EH121:EH317),"")))</f>
        <v>0</v>
      </c>
      <c r="EJ121" s="12">
        <f>IF('Données projet'!$A$192&gt;35,EJ120+EI121-ER120,IF(A121&lt;'Données projet'!$A$192,$EG$205^A121,IF(A121='Données projet'!$A$192,'Données projet'!$B$192,EJ120+EI121-ER120)))</f>
        <v>275.99999999999972</v>
      </c>
      <c r="EK121" s="17">
        <f>EJ121*VLOOKUP('Données projet'!$B$15,Paramètres!$A$1:$I$89,3,0)*VLOOKUP('Données projet'!$B$15,Paramètres!$A$1:$I$89,5,0)</f>
        <v>223.8911999999998</v>
      </c>
      <c r="EL121" s="13">
        <f t="shared" si="99"/>
        <v>54.95975389514858</v>
      </c>
      <c r="EM121" s="20">
        <f t="shared" si="73"/>
        <v>485.66541136738346</v>
      </c>
      <c r="EN121" s="59">
        <f t="shared" si="74"/>
        <v>778.99874470071677</v>
      </c>
      <c r="EO121" s="59">
        <f ca="1">AVERAGE(OFFSET($EN$3,0,0,'Données projet'!$E$15+1,1))-AVERAGE(OFFSET($H$3,0,0,'Données projet'!$E$15+1,1))</f>
        <v>205.5272583787887</v>
      </c>
      <c r="EP121" s="59">
        <f t="shared" si="100"/>
        <v>180.54762778843178</v>
      </c>
      <c r="EQ121" s="15">
        <f>IF(ISNA(VLOOKUP(A121,'Données projet'!$A$191:$I$211,3,0)),0,VLOOKUP(A121,'Données projet'!$A$191:$I$211,3,0))</f>
        <v>0</v>
      </c>
      <c r="ER121" s="15">
        <f>IF(ISNA(VLOOKUP(A121,'Données projet'!$A$191:$I$211,4,0)),0,VLOOKUP(A121,'Données projet'!$A$191:$I$211,4,0))</f>
        <v>0</v>
      </c>
      <c r="ES121" s="16">
        <f>IF(ISNA(VLOOKUP(A121,'Données projet'!$A$191:$I$211,5,0)),0%,VLOOKUP(A121,'Données projet'!$A$191:$I$211,5,0)*VLOOKUP('Données projet'!$B$15,Paramètres!$A$1:$I$89,7,0))</f>
        <v>0</v>
      </c>
      <c r="ET121" s="16">
        <f>IF(ISNA(VLOOKUP(A121,'Données projet'!$A$191:$I$211,6,0)),0%,VLOOKUP(A121,'Données projet'!$A$191:$I$211,6,0)*VLOOKUP('Données projet'!$B$15,Paramètres!$A$1:$I$89,7,0))</f>
        <v>0</v>
      </c>
      <c r="EU121" s="16">
        <f>IF(ISNA(VLOOKUP(A121,'Données projet'!$A$191:$I$211,7,0)),0%,VLOOKUP(A121,'Données projet'!$A$191:$I$211,7,0))</f>
        <v>0</v>
      </c>
      <c r="EV121" s="21">
        <f>EXP(-LN(2)/35)*EV120+(1-EXP(-LN(2)/35))/(LN(2)/35)*ER121*ES121*VLOOKUP('Données projet'!$B$15,Paramètres!$A$1:$I$89,3,0)*0.475*44/12</f>
        <v>0.17548558114596566</v>
      </c>
      <c r="EW121" s="21">
        <f>EXP(-LN(2)/25)*EW120+(1-EXP(-LN(2)/25))/(LN(2)/25)*Calculateur!ER121*Calculateur!ET121*VLOOKUP('Données projet'!$B$15,Paramètres!$A$1:$I$89,3,0)*0.475*44/12</f>
        <v>0.50591719674244184</v>
      </c>
      <c r="EX121" s="21">
        <f>EXP(-LN(2)/2)*EX120+(1-EXP(-LN(2)/2))/(LN(2)/2)*ER121*EU121*VLOOKUP('Données projet'!$B$15,Paramètres!$A$1:$I$89,3,0)*0.475*44/12</f>
        <v>5.1515397219531807E-13</v>
      </c>
      <c r="EY121" s="22">
        <f t="shared" si="75"/>
        <v>0.68140277788892267</v>
      </c>
      <c r="EZ121" s="75">
        <f>('Scénario référence'!$F$8+'Scénario référence'!$F$9+'Scénario référence'!$B$17+'Scénario référence'!$B$9+'Scénario référence'!$B$10)*70+IF((45+25*(1-EXP(-0.0175*A121)))&lt;70,'Scénario référence'!$B$16*(45+25*(1-EXP(-0.0175*A121))),70*'Scénario référence'!$B$16)+IF((32+38*(1-EXP(-0.0175*A121)))&lt;70,'Scénario référence'!$B$18*(32+38*(1-EXP(-0.0175*A121))),70*'Scénario référence'!$B$18)</f>
        <v>70</v>
      </c>
      <c r="FA121" s="12">
        <f>IF(A121&gt;30,10,('Scénario référence'!$B$16+'Scénario référence'!$B$17+'Scénario référence'!$B$18+'Scénario référence'!$B$9+'Scénario référence'!$B$10)*A121*10/30+('Scénario référence'!$F$8+'Scénario référence'!$F$9)*10)</f>
        <v>10</v>
      </c>
      <c r="FB121" s="12" t="e">
        <f>VLOOKUP(A121,'Données projet'!$A$217:$I$237,2,0)</f>
        <v>#N/A</v>
      </c>
      <c r="FC121" s="12" t="e">
        <f>VLOOKUP(A121,'Données projet'!$A$217:$I$237,9,0)</f>
        <v>#N/A</v>
      </c>
      <c r="FD121" s="12">
        <f t="array" ref="FD121">INDEX(FC:FC,MIN(IF(ISNUMBER(FC121:FC317),ROW(FC121:FC317),"")))</f>
        <v>7.4</v>
      </c>
      <c r="FE121" s="12">
        <f>IF('Données projet'!$A$218&gt;35,FE120+FD121-FM120,IF(A121&lt;'Données projet'!$A$218,$FB$205^A121,IF(A121='Données projet'!$A$218,'Données projet'!$B$218,FE120+FD121-FM120)))</f>
        <v>437.19999999999987</v>
      </c>
      <c r="FF121" s="17">
        <f>FE121*VLOOKUP('Données projet'!$B$16,Paramètres!$A$1:$I$89,3,0)*VLOOKUP('Données projet'!$B$16,Paramètres!$A$1:$I$89,5,0)</f>
        <v>375.11759999999992</v>
      </c>
      <c r="FG121" s="13">
        <f t="shared" si="101"/>
        <v>86.713440086205196</v>
      </c>
      <c r="FH121" s="20">
        <f t="shared" si="76"/>
        <v>804.35572815014041</v>
      </c>
      <c r="FI121" s="59">
        <f t="shared" si="77"/>
        <v>1097.6890614834738</v>
      </c>
      <c r="FJ121" s="59">
        <f ca="1">AVERAGE(OFFSET($FI$3,0,0,'Données projet'!$E$16+1,1))-AVERAGE(OFFSET($H$3,0,0,'Données projet'!$E$16+1,1))</f>
        <v>383.97627237444709</v>
      </c>
      <c r="FK121" s="59">
        <f t="shared" si="102"/>
        <v>203.35476578922339</v>
      </c>
      <c r="FL121" s="15">
        <f>IF(ISNA(VLOOKUP(A121,'Données projet'!$A$217:$I$237,3,0)),0,VLOOKUP(A121,'Données projet'!$A$217:$I$237,3,0))</f>
        <v>0</v>
      </c>
      <c r="FM121" s="15">
        <f>IF(ISNA(VLOOKUP(A121,'Données projet'!$A$217:$I$237,4,0)),0,VLOOKUP(A121,'Données projet'!$A$217:$I$237,4,0))</f>
        <v>0</v>
      </c>
      <c r="FN121" s="16">
        <f>IF(ISNA(VLOOKUP(A121,'Données projet'!$A$217:$I$237,5,0)),0%,VLOOKUP(A121,'Données projet'!$A$217:$I$237,5,0)*VLOOKUP('Données projet'!$B$16,Paramètres!$A$1:$I$89,7,0))</f>
        <v>0</v>
      </c>
      <c r="FO121" s="16">
        <f>IF(ISNA(VLOOKUP(A121,'Données projet'!$A$217:$I$237,6,0)),0%,VLOOKUP(A121,'Données projet'!$A$217:$I$237,6,0)*VLOOKUP('Données projet'!$B$16,Paramètres!$A$1:$I$89,7,0))</f>
        <v>0</v>
      </c>
      <c r="FP121" s="16">
        <f>IF(ISNA(VLOOKUP(A121,'Données projet'!$A$217:$I$237,7,0)),0%,VLOOKUP(A121,'Données projet'!$A$217:$I$237,7,0))</f>
        <v>0</v>
      </c>
      <c r="FQ121" s="21">
        <f>EXP(-LN(2)/35)*FQ120+(1-EXP(-LN(2)/35))/(LN(2)/35)*FM121*FN121*VLOOKUP('Données projet'!$B$16,Paramètres!$A$1:$I$89,3,0)*0.475*44/12</f>
        <v>0.90190068247988064</v>
      </c>
      <c r="FR121" s="21">
        <f>EXP(-LN(2)/25)*FR120+(1-EXP(-LN(2)/25))/(LN(2)/25)*Calculateur!FM121*Calculateur!FO121*VLOOKUP('Données projet'!$B$16,Paramètres!$A$1:$I$89,3,0)*0.475*44/12</f>
        <v>0.51355824620549473</v>
      </c>
      <c r="FS121" s="21">
        <f>EXP(-LN(2)/2)*FS120+(1-EXP(-LN(2)/2))/(LN(2)/2)*FM121*FP121*VLOOKUP('Données projet'!$B$16,Paramètres!$A$1:$I$89,3,0)*0.475*44/12</f>
        <v>9.4623212202065428E-13</v>
      </c>
      <c r="FT121" s="22">
        <f t="shared" si="78"/>
        <v>1.4154589286863215</v>
      </c>
      <c r="FU121" s="75">
        <f>('Scénario référence'!$F$8+'Scénario référence'!$F$9+'Scénario référence'!$B$17+'Scénario référence'!$B$9+'Scénario référence'!$B$10)*70+IF((45+25*(1-EXP(-0.0175*A121)))&lt;70,'Scénario référence'!$B$16*(45+25*(1-EXP(-0.0175*A121))),70*'Scénario référence'!$B$16)+IF((32+38*(1-EXP(-0.0175*A121)))&lt;70,'Scénario référence'!$B$18*(32+38*(1-EXP(-0.0175*A121))),70*'Scénario référence'!$B$18)</f>
        <v>70</v>
      </c>
      <c r="FV121" s="12">
        <f>IF(A121&gt;30,10,('Scénario référence'!$B$16+'Scénario référence'!$B$17+'Scénario référence'!$B$18+'Scénario référence'!$B$9+'Scénario référence'!$B$10)*A121*10/30+('Scénario référence'!$F$8+'Scénario référence'!$F$9)*10)</f>
        <v>10</v>
      </c>
      <c r="FW121" s="12" t="e">
        <f>VLOOKUP(A121,'Données projet'!$A$243:$I$263,2,0)</f>
        <v>#N/A</v>
      </c>
      <c r="FX121" s="12" t="e">
        <f>VLOOKUP(A121,'Données projet'!$A$243:$I$263,9,0)</f>
        <v>#N/A</v>
      </c>
      <c r="FY121" s="12">
        <f t="array" ref="FY121">INDEX(FX:FX,MIN(IF(ISNUMBER(FX121:FX317),ROW(FX121:FX317),"")))</f>
        <v>6.8461538461538511</v>
      </c>
      <c r="FZ121" s="12">
        <f>IF('Données projet'!$A$244&gt;35,FZ120+FY121-GH120,IF(A121&lt;'Données projet'!$A$244,$FW$205^A121,IF(A121='Données projet'!$A$244,'Données projet'!$B$244,FZ120+FY121-GH120)))</f>
        <v>350.49358974359006</v>
      </c>
      <c r="GA121" s="17">
        <f>FZ121*VLOOKUP('Données projet'!$B$17,Paramètres!$A$1:$I$89,3,0)*VLOOKUP('Données projet'!$B$17,Paramètres!$A$1:$I$89,5,0)</f>
        <v>377.27130000000034</v>
      </c>
      <c r="GB121" s="13">
        <f t="shared" si="103"/>
        <v>87.153199409520511</v>
      </c>
      <c r="GC121" s="20">
        <f t="shared" si="79"/>
        <v>808.87266980491552</v>
      </c>
      <c r="GD121" s="59">
        <f t="shared" si="80"/>
        <v>1102.2060031382489</v>
      </c>
      <c r="GE121" s="59">
        <f ca="1">AVERAGE(OFFSET($GD$3,0,0,'Données projet'!$E$17+1,1))-AVERAGE(OFFSET($H$3,0,0,'Données projet'!$E$17+1,1))</f>
        <v>286.77702855541287</v>
      </c>
      <c r="GF121" s="59">
        <f t="shared" si="104"/>
        <v>227.12211541860779</v>
      </c>
      <c r="GG121" s="15">
        <f>IF(ISNA(VLOOKUP(A121,'Données projet'!$A$243:$I$263,3,0)),0,VLOOKUP(A121,'Données projet'!$A$243:$I$263,3,0))</f>
        <v>0</v>
      </c>
      <c r="GH121" s="15">
        <f>IF(ISNA(VLOOKUP(A121,'Données projet'!$A$243:$I$263,4,0)),0,VLOOKUP(A121,'Données projet'!$A$243:$I$263,4,0))</f>
        <v>0</v>
      </c>
      <c r="GI121" s="16">
        <f>IF(ISNA(VLOOKUP(A121,'Données projet'!$A$243:$I$263,5,0)),0%,VLOOKUP(A121,'Données projet'!$A$243:$I$263,5,0)*VLOOKUP('Données projet'!$B$17,Paramètres!$A$1:$I$89,7,0))</f>
        <v>0</v>
      </c>
      <c r="GJ121" s="16">
        <f>IF(ISNA(VLOOKUP(A121,'Données projet'!$A$243:$I$263,6,0)),0%,VLOOKUP(A121,'Données projet'!$A$243:$I$263,6,0)*VLOOKUP('Données projet'!$B$17,Paramètres!$A$1:$I$89,7,0))</f>
        <v>0</v>
      </c>
      <c r="GK121" s="16">
        <f>IF(ISNA(VLOOKUP(A121,'Données projet'!$A$243:$I$263,7,0)),0%,VLOOKUP(A121,'Données projet'!$A$243:$I$263,7,0))</f>
        <v>0</v>
      </c>
      <c r="GL121" s="21">
        <f>EXP(-LN(2)/35)*GL120+(1-EXP(-LN(2)/35))/(LN(2)/35)*GH121*GI121*VLOOKUP('Données projet'!$B$17,Paramètres!$A$1:$I$89,3,0)*0.475*44/12</f>
        <v>0</v>
      </c>
      <c r="GM121" s="21">
        <f>EXP(-LN(2)/25)*GM120+(1-EXP(-LN(2)/25))/(LN(2)/25)*Calculateur!GH121*Calculateur!GJ121*VLOOKUP('Données projet'!$B$17,Paramètres!$A$1:$I$89,3,0)*0.475*44/12</f>
        <v>0</v>
      </c>
      <c r="GN121" s="21">
        <f>EXP(-LN(2)/2)*GN120+(1-EXP(-LN(2)/2))/(LN(2)/2)*GH121*GK121*VLOOKUP('Données projet'!$B$17,Paramètres!$A$1:$I$89,3,0)*0.475*44/12</f>
        <v>0</v>
      </c>
      <c r="GO121" s="21">
        <f t="shared" si="81"/>
        <v>0</v>
      </c>
      <c r="GP121" s="75">
        <f>('Scénario référence'!$F$8+'Scénario référence'!$F$9+'Scénario référence'!$B$17+'Scénario référence'!$B$9+'Scénario référence'!$B$10)*70+IF((45+25*(1-EXP(-0.0175*A121)))&lt;70,'Scénario référence'!$B$16*(45+25*(1-EXP(-0.0175*A121))),70*'Scénario référence'!$B$16)+IF((32+38*(1-EXP(-0.0175*A121)))&lt;70,'Scénario référence'!$B$18*(32+38*(1-EXP(-0.0175*A121))),70*'Scénario référence'!$B$18)</f>
        <v>70</v>
      </c>
      <c r="GQ121" s="12">
        <f>IF(A121&gt;30,10,('Scénario référence'!$B$16+'Scénario référence'!$B$17+'Scénario référence'!$B$18+'Scénario référence'!$B$9+'Scénario référence'!$B$10)*A121*10/30+('Scénario référence'!$F$8+'Scénario référence'!$F$9)*10)</f>
        <v>10</v>
      </c>
      <c r="GR121" s="12" t="e">
        <f>VLOOKUP(A121,'Données projet'!$A$269:$I$289,2,0)</f>
        <v>#N/A</v>
      </c>
      <c r="GS121" s="12" t="e">
        <f>VLOOKUP(A121,'Données projet'!$A$269:$I$289,9,0)</f>
        <v>#N/A</v>
      </c>
      <c r="GT121" s="12">
        <f t="array" ref="GT121">INDEX(GS:GS,MIN(IF(ISNUMBER(GS121:GS317),ROW(GS121:GS317),"")))</f>
        <v>6.8461538461538511</v>
      </c>
      <c r="GU121" s="12">
        <f>IF('Données projet'!$A$270&gt;35,GU120+GT121-HC120,IF(A121&lt;'Données projet'!$A$270,$GR$205^A121,IF(A121='Données projet'!$A$270,'Données projet'!$B$270,GU120+GT121-HC120)))</f>
        <v>350.49358974359006</v>
      </c>
      <c r="GV121" s="17">
        <f>GU121*VLOOKUP('Données projet'!$B$18,Paramètres!$A$1:$I$89,3,0)*VLOOKUP('Données projet'!$B$18,Paramètres!$A$1:$I$89,5,0)</f>
        <v>377.27130000000034</v>
      </c>
      <c r="GW121" s="13">
        <f t="shared" si="105"/>
        <v>87.153199409520511</v>
      </c>
      <c r="GX121" s="20">
        <f t="shared" si="82"/>
        <v>808.87266980491552</v>
      </c>
      <c r="GY121" s="59">
        <f t="shared" si="83"/>
        <v>1102.2060031382489</v>
      </c>
      <c r="GZ121" s="59">
        <f ca="1">AVERAGE(OFFSET($GY$3,0,0,'Données projet'!$E$18+1,1))-AVERAGE(OFFSET($H$3,0,0,'Données projet'!$E$18+1,1))</f>
        <v>286.77702855541287</v>
      </c>
      <c r="HA121" s="59">
        <f t="shared" si="106"/>
        <v>227.12211541860779</v>
      </c>
      <c r="HB121" s="15">
        <f>IF(ISNA(VLOOKUP(A121,'Données projet'!$A$269:$I$289,3,0)),0,VLOOKUP(A121,'Données projet'!$A$269:$I$289,3,0))</f>
        <v>0</v>
      </c>
      <c r="HC121" s="15">
        <f>IF(ISNA(VLOOKUP(A121,'Données projet'!$A$269:$I$289,4,0)),0,VLOOKUP(A121,'Données projet'!$A$269:$I$289,4,0))</f>
        <v>0</v>
      </c>
      <c r="HD121" s="16">
        <f>IF(ISNA(VLOOKUP(A121,'Données projet'!$A$269:$I$289,5,0)),0%,VLOOKUP(A121,'Données projet'!$A$269:$I$289,5,0)*VLOOKUP('Données projet'!$B$18,Paramètres!$A$1:$I$89,7,0))</f>
        <v>0</v>
      </c>
      <c r="HE121" s="16">
        <f>IF(ISNA(VLOOKUP(A121,'Données projet'!$A$269:$I$289,6,0)),0%,VLOOKUP(A121,'Données projet'!$A$269:$I$289,6,0)*VLOOKUP('Données projet'!$B$18,Paramètres!$A$1:$I$89,7,0))</f>
        <v>0</v>
      </c>
      <c r="HF121" s="16">
        <f>IF(ISNA(VLOOKUP(A121,'Données projet'!$A$269:$I$289,7,0)),0%,VLOOKUP(A121,'Données projet'!$A$269:$I$289,7,0))</f>
        <v>0</v>
      </c>
      <c r="HG121" s="21">
        <f>EXP(-LN(2)/35)*HG120+(1-EXP(-LN(2)/35))/(LN(2)/35)*HC121*HD121*VLOOKUP('Données projet'!$B$18,Paramètres!$A$1:$I$89,3,0)*0.475*44/12</f>
        <v>0</v>
      </c>
      <c r="HH121" s="21">
        <f>EXP(-LN(2)/25)*HH120+(1-EXP(-LN(2)/25))/(LN(2)/25)*Calculateur!HC121*Calculateur!HE121*VLOOKUP('Données projet'!$B$18,Paramètres!$A$1:$I$89,3,0)*0.475*44/12</f>
        <v>0</v>
      </c>
      <c r="HI121" s="21">
        <f>EXP(-LN(2)/2)*HI120+(1-EXP(-LN(2)/2))/(LN(2)/2)*HC121*HF121*VLOOKUP('Données projet'!$B$18,Paramètres!$A$1:$I$89,3,0)*0.475*44/12</f>
        <v>0</v>
      </c>
      <c r="HJ121" s="22">
        <f t="shared" si="84"/>
        <v>0</v>
      </c>
    </row>
    <row r="122" spans="1:218" x14ac:dyDescent="0.25">
      <c r="A122" s="10">
        <f t="shared" si="85"/>
        <v>119</v>
      </c>
      <c r="B122" s="73">
        <f>'Scénario référence'!$B$16*5+'Scénario référence'!$B$17*0+'Scénario référence'!$B$18*5</f>
        <v>0</v>
      </c>
      <c r="C122" s="19">
        <f>Calculateur!C121+'Scénario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105.81480000000019</v>
      </c>
      <c r="D122" s="11">
        <f t="shared" si="86"/>
        <v>28.342703760346538</v>
      </c>
      <c r="E12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22" s="11">
        <f>IF(OR('Scénario référence'!$F$8&gt;0,'Scénario référence'!$F$9&gt;0),('Scénario référence'!$F$8+'Scénario référence'!$F$9)*10,0)</f>
        <v>10</v>
      </c>
      <c r="G122" s="11">
        <f>'Scénario référence'!$B$8*B122*44/12+'Scénario référence'!$B$9*(C122+D122)/0.475*44/12+'Scénario référence'!$B$10*(C122+D122)/0.475*44/12+'Scénario référence'!$F$8*(C122+D122)/0.475*44/12+'Scénario référence'!$F$9*(C122+D122)/0.475*44/12</f>
        <v>1035.6017834132028</v>
      </c>
      <c r="H122" s="67">
        <f t="shared" si="56"/>
        <v>526.9909857159372</v>
      </c>
      <c r="I122" s="70">
        <f>('Scénario référence'!$F$8+'Scénario référence'!$F$9+'Scénario référence'!$B$17+'Scénario référence'!$B$9+'Scénario référence'!$B$10)*70+IF((45+25*(1-EXP(-0.0175*A122)))&lt;70,'Scénario référence'!$B$16*(45+25*(1-EXP(-0.0175*A122))),70*'Scénario référence'!$B$16)+IF((32+38*(1-EXP(-0.0175*A122)))&lt;70,'Scénario référence'!$B$18*(32+38*(1-EXP(-0.0175*A122))),70*'Scénario référence'!$B$18)</f>
        <v>70</v>
      </c>
      <c r="J122" s="13">
        <f>IF(A122&gt;30,10,('Scénario référence'!$B$16+'Scénario référence'!$B$17+'Scénario référence'!$B$18+'Scénario référence'!$B$9+'Scénario référence'!$B$10)*A122*10/30+('Scénario référence'!$F$8+'Scénario référence'!$F$9)*10)</f>
        <v>10</v>
      </c>
      <c r="K122" s="12" t="e">
        <f>VLOOKUP(A122,'Données projet'!$A$35:$I$55,2,0)</f>
        <v>#N/A</v>
      </c>
      <c r="L122" s="12" t="e">
        <f>VLOOKUP(A122,'Données projet'!$A$35:$I$55,9,0)</f>
        <v>#N/A</v>
      </c>
      <c r="M122" s="12">
        <f t="array" ref="M122">INDEX(L:L,MIN(IF(ISNUMBER(L122:L318),ROW(L122:L318),"")))</f>
        <v>0</v>
      </c>
      <c r="N122" s="13">
        <f>IF('Données projet'!$A$36&gt;35,N121+M122-V121,IF(A122&lt;'Données projet'!$A$36,$K$205^A122,IF(A122='Données projet'!$A$36,'Données projet'!$B$36,N121+M122-V121)))</f>
        <v>-2.2737367544323206E-13</v>
      </c>
      <c r="O122" s="13">
        <f>N122*VLOOKUP('Données projet'!$B$9,Paramètres!$A$1:$I$89,3,0)*VLOOKUP('Données projet'!$B$9,Paramètres!$A$1:$I$89,5,0)</f>
        <v>-1.2710188457276673E-13</v>
      </c>
      <c r="P122" s="13" t="e">
        <f t="shared" si="87"/>
        <v>#NUM!</v>
      </c>
      <c r="Q122" s="20" t="e">
        <f t="shared" si="107"/>
        <v>#NUM!</v>
      </c>
      <c r="R122" s="59" t="e">
        <f t="shared" si="55"/>
        <v>#NUM!</v>
      </c>
      <c r="S122" s="59">
        <f ca="1">AVERAGE(OFFSET($R$3,0,0,'Données projet'!$E$9+1,1))-AVERAGE(OFFSET($H$3,0,0,'Données projet'!$E$9+1,1))</f>
        <v>255.5374979188561</v>
      </c>
      <c r="T122" s="59">
        <f t="shared" si="88"/>
        <v>343.10418468620901</v>
      </c>
      <c r="U122" s="15">
        <f>IF(ISNA(VLOOKUP(A122,'Données projet'!$A$35:$I$55,3,0)),0,VLOOKUP(A122,'Données projet'!$A$35:$I$55,3,0))</f>
        <v>0</v>
      </c>
      <c r="V122" s="15">
        <f>IF(ISNA(VLOOKUP(A122,'Données projet'!$A$35:$I$55,4,0)),0,VLOOKUP(A122,'Données projet'!$A$35:$I$55,4,0))</f>
        <v>0</v>
      </c>
      <c r="W122" s="16">
        <f>IF(ISNA(VLOOKUP(A122,'Données projet'!$A$35:$I$55,5,0)),0%,VLOOKUP(A122,'Données projet'!$A$35:$I$55,5,0)*VLOOKUP('Données projet'!$B$9,Paramètres!$A$1:$I$89,7,0))</f>
        <v>0</v>
      </c>
      <c r="X122" s="16">
        <f>IF(ISNA(VLOOKUP(A122,'Données projet'!$A$35:$I$55,6,0)),0%,VLOOKUP(A122,'Données projet'!$A$35:$I$55,6,0)*VLOOKUP('Données projet'!$B$9,Paramètres!$A$1:$I$89,7,0))</f>
        <v>0</v>
      </c>
      <c r="Y122" s="16">
        <f>IF(ISNA(VLOOKUP(A122,'Données projet'!$A$35:$I$55,7,0)),0%,VLOOKUP(A122,'Données projet'!$A$35:$I$55,7,0))</f>
        <v>0</v>
      </c>
      <c r="Z122" s="21">
        <f>EXP(-LN(2)/35)*Z121+(1-EXP(-LN(2)/35))/(LN(2)/35)*V122*W122*VLOOKUP('Données projet'!$B$9,Paramètres!$A$1:$I$89,3,0)*0.475*44/12</f>
        <v>0.5302588744290031</v>
      </c>
      <c r="AA122" s="21">
        <f>EXP(-LN(2)/25)*AA121+(1-EXP(-LN(2)/25))/(LN(2)/25)*Calculateur!V122*Calculateur!X122*VLOOKUP('Données projet'!$B$9,Paramètres!$A$1:$I$89,3,0)*0.475*44/12</f>
        <v>1.3532347877067394</v>
      </c>
      <c r="AB122" s="21">
        <f>EXP(-LN(2)/2)*AB121+(1-EXP(-LN(2)/2))/(LN(2)/2)*V122*Y122*VLOOKUP('Données projet'!$B$9,Paramètres!$A$1:$I$89,3,0)*0.475*44/12</f>
        <v>6.803507878723172E-14</v>
      </c>
      <c r="AC122" s="22">
        <f t="shared" si="57"/>
        <v>1.8834936621358105</v>
      </c>
      <c r="AD122" s="13">
        <f>('Scénario référence'!$F$8+'Scénario référence'!$F$9+'Scénario référence'!$B$17+'Scénario référence'!$B$9+'Scénario référence'!$B$10)*70+IF((45+25*(1-EXP(-0.0175*A122)))&lt;70,'Scénario référence'!$B$16*(45+25*(1-EXP(-0.0175*A122))),70*'Scénario référence'!$B$16)+IF((32+38*(1-EXP(-0.0175*A122)))&lt;70,'Scénario référence'!$B$18*(32+38*(1-EXP(-0.0175*A122))),70*'Scénario référence'!$B$18)</f>
        <v>70</v>
      </c>
      <c r="AE122" s="13">
        <f>IF(A122&gt;30,10,('Scénario référence'!$B$16+'Scénario référence'!$B$17+'Scénario référence'!$B$18+'Scénario référence'!$B$9+'Scénario référence'!$B$10)*A122*10/30+('Scénario référence'!$F$8+'Scénario référence'!$F$9)*10)</f>
        <v>10</v>
      </c>
      <c r="AF122" s="12" t="e">
        <f>VLOOKUP(A122,'Données projet'!$A$61:$I$81,2,0)</f>
        <v>#N/A</v>
      </c>
      <c r="AG122" s="12" t="e">
        <f>VLOOKUP(A122,'Données projet'!$A$61:$I$81,9,0)</f>
        <v>#N/A</v>
      </c>
      <c r="AH122" s="12">
        <f t="array" ref="AH122">INDEX(AG:AG,MIN(IF(ISNUMBER(AG122:AG318),ROW(AG122:AG318),"")))</f>
        <v>0</v>
      </c>
      <c r="AI122" s="13">
        <f>IF('Données projet'!$A$62&gt;35,AI121+AH122-AQ121,IF(A122&lt;'Données projet'!$A$62,$AF$205^A122,IF(A122='Données projet'!$A$62,'Données projet'!$B$62,AI121+AH122-AQ121)))</f>
        <v>0</v>
      </c>
      <c r="AJ122" s="13">
        <f>AI122*VLOOKUP('Données projet'!$B$10,Paramètres!$A$1:$I$89,3,0)*VLOOKUP('Données projet'!$B$10,Paramètres!$A$1:$I$89,5,0)</f>
        <v>0</v>
      </c>
      <c r="AK122" s="13" t="e">
        <f t="shared" si="89"/>
        <v>#NUM!</v>
      </c>
      <c r="AL122" s="20" t="e">
        <f t="shared" si="58"/>
        <v>#NUM!</v>
      </c>
      <c r="AM122" s="59" t="e">
        <f t="shared" si="59"/>
        <v>#NUM!</v>
      </c>
      <c r="AN122" s="59">
        <f ca="1">AVERAGE(OFFSET($AM$3,0,0,'Données projet'!$E$10+1,1))-AVERAGE(OFFSET($H$3,0,0,'Données projet'!$E$10+1,1))</f>
        <v>261.78489480911571</v>
      </c>
      <c r="AO122" s="59">
        <f t="shared" si="90"/>
        <v>297.50513563712764</v>
      </c>
      <c r="AP122" s="15">
        <f>IF(ISNA(VLOOKUP(A122,'Données projet'!$A$61:$I$81,3,0)),0,VLOOKUP(A122,'Données projet'!$A$61:$I$81,3,0))</f>
        <v>0</v>
      </c>
      <c r="AQ122" s="15">
        <f>IF(ISNA(VLOOKUP(A122,'Données projet'!$A$61:$I$81,4,0)),0,VLOOKUP(A122,'Données projet'!$A$61:$I$81,4,0))</f>
        <v>0</v>
      </c>
      <c r="AR122" s="16">
        <f>IF(ISNA(VLOOKUP(A122,'Données projet'!$A$61:$I$81,5,0)),0%,VLOOKUP(A122,'Données projet'!$A$61:$I$81,5,0)*VLOOKUP('Données projet'!$B$10,Paramètres!$A$1:$I$89,7,0))</f>
        <v>0</v>
      </c>
      <c r="AS122" s="16">
        <f>IF(ISNA(VLOOKUP(A122,'Données projet'!$A$61:$I$81,6,0)),0%,VLOOKUP(A122,'Données projet'!$A$61:$I$81,6,0)*VLOOKUP('Données projet'!$B$10,Paramètres!$A$1:$I$89,7,0))</f>
        <v>0</v>
      </c>
      <c r="AT122" s="16">
        <f>IF(ISNA(VLOOKUP(A122,'Données projet'!$A$61:$I$81,7,0)),0%,VLOOKUP(A122,'Données projet'!$A$61:$I$81,7,0))</f>
        <v>0</v>
      </c>
      <c r="AU122" s="21">
        <f>EXP(-LN(2)/35)*AU121+(1-EXP(-LN(2)/35))/(LN(2)/35)*AQ122*AR122*VLOOKUP('Données projet'!$B$10,Paramètres!$A$1:$I$89,3,0)*0.475*44/12</f>
        <v>1.4318489439615658</v>
      </c>
      <c r="AV122" s="21">
        <f>EXP(-LN(2)/25)*AV121+(1-EXP(-LN(2)/25))/(LN(2)/25)*Calculateur!AQ122*Calculateur!AS122*VLOOKUP('Données projet'!$B$10,Paramètres!$A$1:$I$89,3,0)*0.475*44/12</f>
        <v>2.3630239462868401</v>
      </c>
      <c r="AW122" s="21">
        <f>EXP(-LN(2)/2)*AW121+(1-EXP(-LN(2)/2))/(LN(2)/2)*AQ122*AT122*VLOOKUP('Données projet'!$B$10,Paramètres!$A$1:$I$89,3,0)*0.475*44/12</f>
        <v>9.8079043038634786E-13</v>
      </c>
      <c r="AX122" s="21">
        <f t="shared" si="60"/>
        <v>3.7948728902493869</v>
      </c>
      <c r="AY122" s="74">
        <f>('Scénario référence'!$F$8+'Scénario référence'!$F$9+'Scénario référence'!$B$17+'Scénario référence'!$B$9+'Scénario référence'!$B$10)*70+IF((45+25*(1-EXP(-0.0175*A122)))&lt;70,'Scénario référence'!$B$16*(45+25*(1-EXP(-0.0175*A122))),70*'Scénario référence'!$B$16)+IF((32+38*(1-EXP(-0.0175*A122)))&lt;70,'Scénario référence'!$B$18*(32+38*(1-EXP(-0.0175*A122))),70*'Scénario référence'!$B$18)</f>
        <v>70</v>
      </c>
      <c r="AZ122" s="12">
        <f>IF(A122&gt;30,10,('Scénario référence'!$B$16+'Scénario référence'!$B$17+'Scénario référence'!$B$18+'Scénario référence'!$B$9+'Scénario référence'!$B$10)*A122*10/30+('Scénario référence'!$F$8+'Scénario référence'!$F$9)*10)</f>
        <v>10</v>
      </c>
      <c r="BA122" s="12" t="e">
        <f>VLOOKUP(A122,'Données projet'!$A$87:$I$107,2,0)</f>
        <v>#N/A</v>
      </c>
      <c r="BB122" s="12" t="e">
        <f>VLOOKUP(A122,'Données projet'!$A$87:$I$107,9,0)</f>
        <v>#N/A</v>
      </c>
      <c r="BC122" s="12">
        <f t="array" ref="BC122">INDEX(BB:BB,MIN(IF(ISNUMBER(BB122:BB318),ROW(BB122:BB318),"")))</f>
        <v>0</v>
      </c>
      <c r="BD122" s="12">
        <f>IF('Données projet'!$A$88&gt;35,BD121+BC122-BL121,IF(A122&lt;'Données projet'!$A$88,$BA$205^A122,IF(A122='Données projet'!$A$88,'Données projet'!$B$88,BD121+BC122-BL121)))</f>
        <v>553.99999999999955</v>
      </c>
      <c r="BE122" s="13">
        <f>BD122*VLOOKUP('Données projet'!$B$11,Paramètres!$A$1:$I$89,3,0)*VLOOKUP('Données projet'!$B$11,Paramètres!$A$1:$I$89,5,0)</f>
        <v>331.29199999999975</v>
      </c>
      <c r="BF122" s="13">
        <f t="shared" si="91"/>
        <v>77.698110787752</v>
      </c>
      <c r="BG122" s="20">
        <f t="shared" si="61"/>
        <v>712.32444295533423</v>
      </c>
      <c r="BH122" s="59">
        <f t="shared" si="62"/>
        <v>1005.6577762886675</v>
      </c>
      <c r="BI122" s="59">
        <f ca="1">AVERAGE(OFFSET($BH$3,0,0,'Données projet'!$E$11+1,1))-AVERAGE(OFFSET($H$3,0,0,'Données projet'!$E$11+1,1))</f>
        <v>316.58509520829671</v>
      </c>
      <c r="BJ122" s="59">
        <f t="shared" si="92"/>
        <v>240.71332110643596</v>
      </c>
      <c r="BK122" s="15">
        <f>IF(ISNA(VLOOKUP(A122,'Données projet'!$A$87:$I$107,3,0)),0,VLOOKUP(A122,'Données projet'!$A$87:$I$107,3,0))</f>
        <v>0</v>
      </c>
      <c r="BL122" s="15">
        <f>IF(ISNA(VLOOKUP(A122,'Données projet'!$A$87:$I$107,4,0)),0,VLOOKUP(A122,'Données projet'!$A$87:$I$107,4,0))</f>
        <v>0</v>
      </c>
      <c r="BM122" s="16">
        <f>IF(ISNA(VLOOKUP(A122,'Données projet'!$A$87:$I$107,5,0)),0%,VLOOKUP(A122,'Données projet'!$A$87:$I$107,5,0)*VLOOKUP('Données projet'!$B$11,Paramètres!$A$1:$I$89,7,0))</f>
        <v>0</v>
      </c>
      <c r="BN122" s="16">
        <f>IF(ISNA(VLOOKUP(A122,'Données projet'!$A$87:$I$107,6,0)),0%,VLOOKUP(A122,'Données projet'!$A$87:$I$107,6,0)*VLOOKUP('Données projet'!$B$11,Paramètres!$A$1:$I$89,7,0))</f>
        <v>0</v>
      </c>
      <c r="BO122" s="16">
        <f>IF(ISNA(VLOOKUP(A122,'Données projet'!$A$87:$I$107,7,0)),0%,VLOOKUP(A122,'Données projet'!$A$87:$I$107,7,0))</f>
        <v>0</v>
      </c>
      <c r="BP122" s="21">
        <f>EXP(-LN(2)/35)*BP121+(1-EXP(-LN(2)/35))/(LN(2)/35)*BL122*BM122*VLOOKUP('Données projet'!$B$11,Paramètres!$A$1:$I$89,3,0)*0.475*44/12</f>
        <v>0.43493477036630168</v>
      </c>
      <c r="BQ122" s="21">
        <f>EXP(-LN(2)/25)*BQ121+(1-EXP(-LN(2)/25))/(LN(2)/25)*Calculateur!BL122*Calculateur!BN122*VLOOKUP('Données projet'!$B$11,Paramètres!$A$1:$I$89,3,0)*0.475*44/12</f>
        <v>1.2945334662696162</v>
      </c>
      <c r="BR122" s="21">
        <f>EXP(-LN(2)/2)*BR121+(1-EXP(-LN(2)/2))/(LN(2)/2)*BL122*BO122*VLOOKUP('Données projet'!$B$11,Paramètres!$A$1:$I$89,3,0)*0.475*44/12</f>
        <v>8.8183800583435312E-13</v>
      </c>
      <c r="BS122" s="22">
        <f t="shared" si="63"/>
        <v>1.7294682366367995</v>
      </c>
      <c r="BT122" s="75">
        <f>('Scénario référence'!$F$8+'Scénario référence'!$F$9+'Scénario référence'!$B$17+'Scénario référence'!$B$9+'Scénario référence'!$B$10)*70+IF((45+25*(1-EXP(-0.0175*A122)))&lt;70,'Scénario référence'!$B$16*(45+25*(1-EXP(-0.0175*A122))),70*'Scénario référence'!$B$16)+IF((32+38*(1-EXP(-0.0175*A122)))&lt;70,'Scénario référence'!$B$18*(32+38*(1-EXP(-0.0175*A122))),70*'Scénario référence'!$B$18)</f>
        <v>70</v>
      </c>
      <c r="BU122" s="12">
        <f>IF(A122&gt;30,10,('Scénario référence'!$B$16+'Scénario référence'!$B$17+'Scénario référence'!$B$18+'Scénario référence'!$B$9+'Scénario référence'!$B$10)*A122*10/30+('Scénario référence'!$F$8+'Scénario référence'!$F$9)*10)</f>
        <v>10</v>
      </c>
      <c r="BV122" s="12" t="e">
        <f>VLOOKUP(A122,'Données projet'!$A$113:$I$133,2,0)</f>
        <v>#N/A</v>
      </c>
      <c r="BW122" s="12" t="e">
        <f>VLOOKUP(A122,'Données projet'!$A$113:$I$133,9,0)</f>
        <v>#N/A</v>
      </c>
      <c r="BX122" s="12">
        <f t="array" ref="BX122">INDEX(BW:BW,MIN(IF(ISNUMBER(BW122:BW318),ROW(BW122:BW318),"")))</f>
        <v>0</v>
      </c>
      <c r="BY122" s="12">
        <f>IF('Données projet'!$A$114&gt;35,BY121+BX122-CG121,IF(A122&lt;'Données projet'!$A$114,$BV$205^A122,IF(A122='Données projet'!$A$114,'Données projet'!$B$114,BY121+BX122-CG121)))</f>
        <v>333.99999999999977</v>
      </c>
      <c r="BZ122" s="13">
        <f>BY122*VLOOKUP('Données projet'!$B$12,Paramètres!$A$1:$I$89,3,0)*VLOOKUP('Données projet'!$B$12,Paramètres!$A$1:$I$89,5,0)</f>
        <v>191.04799999999986</v>
      </c>
      <c r="CA122" s="13">
        <f t="shared" si="93"/>
        <v>47.771576544305155</v>
      </c>
      <c r="CB122" s="20">
        <f t="shared" si="64"/>
        <v>415.94409581466454</v>
      </c>
      <c r="CC122" s="59">
        <f t="shared" si="65"/>
        <v>709.27742914799785</v>
      </c>
      <c r="CD122" s="59">
        <f ca="1">AVERAGE(OFFSET($CC$3,0,0,'Données projet'!$E$12+1,1))-AVERAGE(OFFSET($H$3,0,0,'Données projet'!$E$12+1,1))</f>
        <v>188.64374818906128</v>
      </c>
      <c r="CE122" s="59">
        <f t="shared" si="94"/>
        <v>211.95157880548652</v>
      </c>
      <c r="CF122" s="15">
        <f>IF(ISNA(VLOOKUP(A122,'Données projet'!$A$113:$I$133,3,0)),0,VLOOKUP(A122,'Données projet'!$A$113:$I$133,3,0))</f>
        <v>0</v>
      </c>
      <c r="CG122" s="15">
        <f>IF(ISNA(VLOOKUP(A122,'Données projet'!$A$113:$I$133,4,0)),0,VLOOKUP(A122,'Données projet'!$A$113:$I$133,4,0))</f>
        <v>0</v>
      </c>
      <c r="CH122" s="16">
        <f>IF(ISNA(VLOOKUP(A122,'Données projet'!$A$113:$I$133,5,0)),0%,VLOOKUP(A122,'Données projet'!$A$113:$I$133,5,0)*VLOOKUP('Données projet'!$B$12,Paramètres!$A$1:$I$89,7,0))</f>
        <v>0</v>
      </c>
      <c r="CI122" s="16">
        <f>IF(ISNA(VLOOKUP(A122,'Données projet'!$A$113:$I$133,6,0)),0%,VLOOKUP(A122,'Données projet'!$A$113:$I$133,6,0)*VLOOKUP('Données projet'!$B$12,Paramètres!$A$1:$I$89,7,0))</f>
        <v>0</v>
      </c>
      <c r="CJ122" s="16">
        <f>IF(ISNA(VLOOKUP(A122,'Données projet'!$A$113:$I$133,7,0)),0%,VLOOKUP(A122,'Données projet'!$A$113:$I$133,7,0))</f>
        <v>0</v>
      </c>
      <c r="CK122" s="21">
        <f>EXP(-LN(2)/35)*CK121+(1-EXP(-LN(2)/35))/(LN(2)/35)*CG122*CH122*VLOOKUP('Données projet'!$B$12,Paramètres!$A$1:$I$89,3,0)*0.475*44/12</f>
        <v>0.42188406384581828</v>
      </c>
      <c r="CL122" s="21">
        <f>EXP(-LN(2)/25)*CL121+(1-EXP(-LN(2)/25))/(LN(2)/25)*Calculateur!CG122*Calculateur!CI122*VLOOKUP('Données projet'!$B$12,Paramètres!$A$1:$I$89,3,0)*0.475*44/12</f>
        <v>1.218444208972546</v>
      </c>
      <c r="CM122" s="21">
        <f>EXP(-LN(2)/2)*CM121+(1-EXP(-LN(2)/2))/(LN(2)/2)*CG122*CJ122*VLOOKUP('Données projet'!$B$12,Paramètres!$A$1:$I$89,3,0)*0.475*44/12</f>
        <v>8.5399111262030229E-13</v>
      </c>
      <c r="CN122" s="22">
        <f t="shared" si="66"/>
        <v>1.6403282728192183</v>
      </c>
      <c r="CO122" s="75">
        <f>('Scénario référence'!$F$8+'Scénario référence'!$F$9+'Scénario référence'!$B$17+'Scénario référence'!$B$9+'Scénario référence'!$B$10)*70+IF((45+25*(1-EXP(-0.0175*A122)))&lt;70,'Scénario référence'!$B$16*(45+25*(1-EXP(-0.0175*A122))),70*'Scénario référence'!$B$16)+IF((32+38*(1-EXP(-0.0175*A122)))&lt;70,'Scénario référence'!$B$18*(32+38*(1-EXP(-0.0175*A122))),70*'Scénario référence'!$B$18)</f>
        <v>70</v>
      </c>
      <c r="CP122" s="12">
        <f>IF(A122&gt;30,10,('Scénario référence'!$B$16+'Scénario référence'!$B$17+'Scénario référence'!$B$18+'Scénario référence'!$B$9+'Scénario référence'!$B$10)*A122*10/30+('Scénario référence'!$F$8+'Scénario référence'!$F$9)*10)</f>
        <v>10</v>
      </c>
      <c r="CQ122" s="12" t="e">
        <f>VLOOKUP(A122,'Données projet'!$A$139:$I$159,2,0)</f>
        <v>#N/A</v>
      </c>
      <c r="CR122" s="12" t="e">
        <f>VLOOKUP(A122,'Données projet'!$A$139:$I$159,9,0)</f>
        <v>#N/A</v>
      </c>
      <c r="CS122" s="12">
        <f t="array" ref="CS122">INDEX(CR:CR,MIN(IF(ISNUMBER(CR122:CR318),ROW(CR122:CR318),"")))</f>
        <v>0</v>
      </c>
      <c r="CT122" s="12">
        <f>IF('Données projet'!$A$140&gt;35,CT121+CS122-DB121,IF(A122&lt;'Données projet'!$A$140,$CQ$205^A122,IF(A122='Données projet'!$A$140,'Données projet'!$B$140,CT121+CS122-DB121)))</f>
        <v>0</v>
      </c>
      <c r="CU122" s="17" t="e">
        <f>CT122*VLOOKUP('Données projet'!$B$13,Paramètres!$A$1:$I$89,3,0)*VLOOKUP('Données projet'!$B$13,Paramètres!$A$1:$I$89,5,0)</f>
        <v>#N/A</v>
      </c>
      <c r="CV122" s="13" t="e">
        <f t="shared" si="95"/>
        <v>#N/A</v>
      </c>
      <c r="CW122" s="20" t="e">
        <f t="shared" si="67"/>
        <v>#N/A</v>
      </c>
      <c r="CX122" s="59" t="e">
        <f t="shared" si="68"/>
        <v>#N/A</v>
      </c>
      <c r="CY122" s="59" t="e">
        <f ca="1">AVERAGE(OFFSET($CX$3,0,0,'Données projet'!$E$13+1,1))-AVERAGE(OFFSET($H$3,0,0,'Données projet'!$E$13+1,1))</f>
        <v>#N/A</v>
      </c>
      <c r="CZ122" s="59" t="e">
        <f t="shared" si="96"/>
        <v>#N/A</v>
      </c>
      <c r="DA122" s="15">
        <f>IF(ISNA(VLOOKUP(A122,'Données projet'!$A$139:$I$159,3,0)),0,VLOOKUP(A122,'Données projet'!$A$139:$I$159,3,0))</f>
        <v>0</v>
      </c>
      <c r="DB122" s="15">
        <f>IF(ISNA(VLOOKUP(A122,'Données projet'!$A$139:$I$159,4,0)),0,VLOOKUP(A122,'Données projet'!$A$139:$I$159,4,0))</f>
        <v>0</v>
      </c>
      <c r="DC122" s="16">
        <f>IF(ISNA(VLOOKUP(A122,'Données projet'!$A$139:$I$159,5,0)),0%,VLOOKUP(A122,'Données projet'!$A$139:$I$159,5,0)*VLOOKUP('Données projet'!$B$13,Paramètres!$A$1:$I$89,7,0))</f>
        <v>0</v>
      </c>
      <c r="DD122" s="16">
        <f>IF(ISNA(VLOOKUP(A122,'Données projet'!$A$139:$I$159,6,0)),0%,VLOOKUP(A122,'Données projet'!$A$139:$I$159,6,0)*VLOOKUP('Données projet'!$B$13,Paramètres!$A$1:$I$89,7,0))</f>
        <v>0</v>
      </c>
      <c r="DE122" s="16">
        <f>IF(ISNA(VLOOKUP(A122,'Données projet'!$A$139:$I$159,7,0)),0%,VLOOKUP(A122,'Données projet'!$A$139:$I$159,7,0))</f>
        <v>0</v>
      </c>
      <c r="DF122" s="21" t="e">
        <f>EXP(-LN(2)/35)*DF121+(1-EXP(-LN(2)/35))/(LN(2)/35)*DB122*DC122*VLOOKUP('Données projet'!$B$13,Paramètres!$A$1:$I$89,3,0)*0.475*44/12</f>
        <v>#N/A</v>
      </c>
      <c r="DG122" s="21" t="e">
        <f>EXP(-LN(2)/25)*DG121+(1-EXP(-LN(2)/25))/(LN(2)/25)*Calculateur!DB122*Calculateur!DD122*VLOOKUP('Données projet'!$B$13,Paramètres!$A$1:$I$89,3,0)*0.475*44/12</f>
        <v>#N/A</v>
      </c>
      <c r="DH122" s="21" t="e">
        <f>EXP(-LN(2)/2)*DH121+(1-EXP(-LN(2)/2))/(LN(2)/2)*DB122*DE122*VLOOKUP('Données projet'!$B$13,Paramètres!$A$1:$I$89,3,0)*0.475*44/12</f>
        <v>#N/A</v>
      </c>
      <c r="DI122" s="22" t="e">
        <f t="shared" si="69"/>
        <v>#N/A</v>
      </c>
      <c r="DJ122" s="75">
        <f>('Scénario référence'!$F$8+'Scénario référence'!$F$9+'Scénario référence'!$B$17+'Scénario référence'!$B$9+'Scénario référence'!$B$10)*70+IF((45+25*(1-EXP(-0.0175*A122)))&lt;70,'Scénario référence'!$B$16*(45+25*(1-EXP(-0.0175*A122))),70*'Scénario référence'!$B$16)+IF((32+38*(1-EXP(-0.0175*A122)))&lt;70,'Scénario référence'!$B$18*(32+38*(1-EXP(-0.0175*A122))),70*'Scénario référence'!$B$18)</f>
        <v>70</v>
      </c>
      <c r="DK122" s="12">
        <f>IF(A122&gt;30,10,('Scénario référence'!$B$16+'Scénario référence'!$B$17+'Scénario référence'!$B$18+'Scénario référence'!$B$9+'Scénario référence'!$B$10)*A122*10/30+('Scénario référence'!$F$8+'Scénario référence'!$F$9)*10)</f>
        <v>10</v>
      </c>
      <c r="DL122" s="12" t="e">
        <f>VLOOKUP(A122,'Données projet'!$A$165:$I$185,2,0)</f>
        <v>#N/A</v>
      </c>
      <c r="DM122" s="12" t="e">
        <f>VLOOKUP(A122,'Données projet'!$A$165:$I$185,9,0)</f>
        <v>#N/A</v>
      </c>
      <c r="DN122" s="12">
        <f t="array" ref="DN122">INDEX(DM:DM,MIN(IF(ISNUMBER(DM122:DM318),ROW(DM122:DM318),"")))</f>
        <v>0</v>
      </c>
      <c r="DO122" s="12">
        <f>IF('Données projet'!$A$166&gt;35,DO121+DN122-DW121,IF(A122&lt;'Données projet'!$A$166,$DL$205^A122,IF(A122='Données projet'!$A$166,'Données projet'!$B$166,DO121+DN122-DW121)))</f>
        <v>268.00000000000017</v>
      </c>
      <c r="DP122" s="17">
        <f>DO122*VLOOKUP('Données projet'!$B$14,Paramètres!$A$1:$I$89,3,0)*VLOOKUP('Données projet'!$B$14,Paramètres!$A$1:$I$89,5,0)</f>
        <v>175.59360000000012</v>
      </c>
      <c r="DQ122" s="13">
        <f t="shared" si="97"/>
        <v>44.340433728638573</v>
      </c>
      <c r="DR122" s="20">
        <f t="shared" si="70"/>
        <v>383.05177541071242</v>
      </c>
      <c r="DS122" s="59">
        <f t="shared" si="71"/>
        <v>676.38510874404574</v>
      </c>
      <c r="DT122" s="59">
        <f ca="1">AVERAGE(OFFSET($DS$3,0,0,'Données projet'!$E$14+1,1))-AVERAGE(OFFSET($H$3,0,0,'Données projet'!$E$14+1,1))</f>
        <v>188.68915783955595</v>
      </c>
      <c r="DU122" s="59">
        <f t="shared" si="98"/>
        <v>240.82467772396944</v>
      </c>
      <c r="DV122" s="15">
        <f>IF(ISNA(VLOOKUP(A122,'Données projet'!$A$165:$I$185,3,0)),0,VLOOKUP(A122,'Données projet'!$A$165:$I$185,3,0))</f>
        <v>0</v>
      </c>
      <c r="DW122" s="15">
        <f>IF(ISNA(VLOOKUP(A122,'Données projet'!$A$165:$I$185,4,0)),0,VLOOKUP(A122,'Données projet'!$A$165:$I$185,4,0))</f>
        <v>0</v>
      </c>
      <c r="DX122" s="16">
        <f>IF(ISNA(VLOOKUP(A122,'Données projet'!$A$165:$I$185,5,0)),0%,VLOOKUP(A122,'Données projet'!$A$165:$I$185,5,0)*VLOOKUP('Données projet'!$B$14,Paramètres!$A$1:$I$89,7,0))</f>
        <v>0</v>
      </c>
      <c r="DY122" s="16">
        <f>IF(ISNA(VLOOKUP(A122,'Données projet'!$A$165:$I$185,6,0)),0%,VLOOKUP(A122,'Données projet'!$A$165:$I$185,6,0)*VLOOKUP('Données projet'!$B$14,Paramètres!$A$1:$I$89,7,0))</f>
        <v>0</v>
      </c>
      <c r="DZ122" s="16">
        <f>IF(ISNA(VLOOKUP(A122,'Données projet'!$A$165:$I$185,7,0)),0%,VLOOKUP(A122,'Données projet'!$A$165:$I$185,7,0))</f>
        <v>0</v>
      </c>
      <c r="EA122" s="21">
        <f>EXP(-LN(2)/35)*EA121+(1-EXP(-LN(2)/35))/(LN(2)/35)*DW122*DX122*VLOOKUP('Données projet'!$B$14,Paramètres!$A$1:$I$89,3,0)*0.475*44/12</f>
        <v>0.26722875256227113</v>
      </c>
      <c r="EB122" s="21">
        <f>EXP(-LN(2)/25)*EB121+(1-EXP(-LN(2)/25))/(LN(2)/25)*Calculateur!DW122*Calculateur!DY122*VLOOKUP('Données projet'!$B$14,Paramètres!$A$1:$I$89,3,0)*0.475*44/12</f>
        <v>0.68152657842956066</v>
      </c>
      <c r="EC122" s="21">
        <f>EXP(-LN(2)/2)*EC121+(1-EXP(-LN(2)/2))/(LN(2)/2)*DW122*DZ122*VLOOKUP('Données projet'!$B$14,Paramètres!$A$1:$I$89,3,0)*0.475*44/12</f>
        <v>5.6257675847181082E-13</v>
      </c>
      <c r="ED122" s="22">
        <f t="shared" si="72"/>
        <v>0.94875533099239429</v>
      </c>
      <c r="EE122" s="75">
        <f>('Scénario référence'!$F$8+'Scénario référence'!$F$9+'Scénario référence'!$B$17+'Scénario référence'!$B$9+'Scénario référence'!$B$10)*70+IF((45+25*(1-EXP(-0.0175*A122)))&lt;70,'Scénario référence'!$B$16*(45+25*(1-EXP(-0.0175*A122))),70*'Scénario référence'!$B$16)+IF((32+38*(1-EXP(-0.0175*A122)))&lt;70,'Scénario référence'!$B$18*(32+38*(1-EXP(-0.0175*A122))),70*'Scénario référence'!$B$18)</f>
        <v>70</v>
      </c>
      <c r="EF122" s="12">
        <f>IF(A122&gt;30,10,('Scénario référence'!$B$16+'Scénario référence'!$B$17+'Scénario référence'!$B$18+'Scénario référence'!$B$9+'Scénario référence'!$B$10)*A122*10/30+('Scénario référence'!$F$8+'Scénario référence'!$F$9)*10)</f>
        <v>10</v>
      </c>
      <c r="EG122" s="12" t="e">
        <f>VLOOKUP(A122,'Données projet'!$A$191:$I$211,2,0)</f>
        <v>#N/A</v>
      </c>
      <c r="EH122" s="12" t="e">
        <f>VLOOKUP(A122,'Données projet'!$A$191:$I$211,9,0)</f>
        <v>#N/A</v>
      </c>
      <c r="EI122" s="12">
        <f t="array" ref="EI122">INDEX(EH:EH,MIN(IF(ISNUMBER(EH122:EH318),ROW(EH122:EH318),"")))</f>
        <v>0</v>
      </c>
      <c r="EJ122" s="12">
        <f>IF('Données projet'!$A$192&gt;35,EJ121+EI122-ER121,IF(A122&lt;'Données projet'!$A$192,$EG$205^A122,IF(A122='Données projet'!$A$192,'Données projet'!$B$192,EJ121+EI122-ER121)))</f>
        <v>275.99999999999972</v>
      </c>
      <c r="EK122" s="17">
        <f>EJ122*VLOOKUP('Données projet'!$B$15,Paramètres!$A$1:$I$89,3,0)*VLOOKUP('Données projet'!$B$15,Paramètres!$A$1:$I$89,5,0)</f>
        <v>223.8911999999998</v>
      </c>
      <c r="EL122" s="13">
        <f t="shared" si="99"/>
        <v>54.95975389514858</v>
      </c>
      <c r="EM122" s="20">
        <f t="shared" si="73"/>
        <v>485.66541136738346</v>
      </c>
      <c r="EN122" s="59">
        <f t="shared" si="74"/>
        <v>778.99874470071677</v>
      </c>
      <c r="EO122" s="59">
        <f ca="1">AVERAGE(OFFSET($EN$3,0,0,'Données projet'!$E$15+1,1))-AVERAGE(OFFSET($H$3,0,0,'Données projet'!$E$15+1,1))</f>
        <v>205.5272583787887</v>
      </c>
      <c r="EP122" s="59">
        <f t="shared" si="100"/>
        <v>180.54762778843178</v>
      </c>
      <c r="EQ122" s="15">
        <f>IF(ISNA(VLOOKUP(A122,'Données projet'!$A$191:$I$211,3,0)),0,VLOOKUP(A122,'Données projet'!$A$191:$I$211,3,0))</f>
        <v>0</v>
      </c>
      <c r="ER122" s="15">
        <f>IF(ISNA(VLOOKUP(A122,'Données projet'!$A$191:$I$211,4,0)),0,VLOOKUP(A122,'Données projet'!$A$191:$I$211,4,0))</f>
        <v>0</v>
      </c>
      <c r="ES122" s="16">
        <f>IF(ISNA(VLOOKUP(A122,'Données projet'!$A$191:$I$211,5,0)),0%,VLOOKUP(A122,'Données projet'!$A$191:$I$211,5,0)*VLOOKUP('Données projet'!$B$15,Paramètres!$A$1:$I$89,7,0))</f>
        <v>0</v>
      </c>
      <c r="ET122" s="16">
        <f>IF(ISNA(VLOOKUP(A122,'Données projet'!$A$191:$I$211,6,0)),0%,VLOOKUP(A122,'Données projet'!$A$191:$I$211,6,0)*VLOOKUP('Données projet'!$B$15,Paramètres!$A$1:$I$89,7,0))</f>
        <v>0</v>
      </c>
      <c r="EU122" s="16">
        <f>IF(ISNA(VLOOKUP(A122,'Données projet'!$A$191:$I$211,7,0)),0%,VLOOKUP(A122,'Données projet'!$A$191:$I$211,7,0))</f>
        <v>0</v>
      </c>
      <c r="EV122" s="21">
        <f>EXP(-LN(2)/35)*EV121+(1-EXP(-LN(2)/35))/(LN(2)/35)*ER122*ES122*VLOOKUP('Données projet'!$B$15,Paramètres!$A$1:$I$89,3,0)*0.475*44/12</f>
        <v>0.17204441593532888</v>
      </c>
      <c r="EW122" s="21">
        <f>EXP(-LN(2)/25)*EW121+(1-EXP(-LN(2)/25))/(LN(2)/25)*Calculateur!ER122*Calculateur!ET122*VLOOKUP('Données projet'!$B$15,Paramètres!$A$1:$I$89,3,0)*0.475*44/12</f>
        <v>0.49208286439249066</v>
      </c>
      <c r="EX122" s="21">
        <f>EXP(-LN(2)/2)*EX121+(1-EXP(-LN(2)/2))/(LN(2)/2)*ER122*EU122*VLOOKUP('Données projet'!$B$15,Paramètres!$A$1:$I$89,3,0)*0.475*44/12</f>
        <v>3.6426886709449557E-13</v>
      </c>
      <c r="EY122" s="22">
        <f t="shared" si="75"/>
        <v>0.6641272803281838</v>
      </c>
      <c r="EZ122" s="75">
        <f>('Scénario référence'!$F$8+'Scénario référence'!$F$9+'Scénario référence'!$B$17+'Scénario référence'!$B$9+'Scénario référence'!$B$10)*70+IF((45+25*(1-EXP(-0.0175*A122)))&lt;70,'Scénario référence'!$B$16*(45+25*(1-EXP(-0.0175*A122))),70*'Scénario référence'!$B$16)+IF((32+38*(1-EXP(-0.0175*A122)))&lt;70,'Scénario référence'!$B$18*(32+38*(1-EXP(-0.0175*A122))),70*'Scénario référence'!$B$18)</f>
        <v>70</v>
      </c>
      <c r="FA122" s="12">
        <f>IF(A122&gt;30,10,('Scénario référence'!$B$16+'Scénario référence'!$B$17+'Scénario référence'!$B$18+'Scénario référence'!$B$9+'Scénario référence'!$B$10)*A122*10/30+('Scénario référence'!$F$8+'Scénario référence'!$F$9)*10)</f>
        <v>10</v>
      </c>
      <c r="FB122" s="12" t="e">
        <f>VLOOKUP(A122,'Données projet'!$A$217:$I$237,2,0)</f>
        <v>#N/A</v>
      </c>
      <c r="FC122" s="12" t="e">
        <f>VLOOKUP(A122,'Données projet'!$A$217:$I$237,9,0)</f>
        <v>#N/A</v>
      </c>
      <c r="FD122" s="12">
        <f t="array" ref="FD122">INDEX(FC:FC,MIN(IF(ISNUMBER(FC122:FC318),ROW(FC122:FC318),"")))</f>
        <v>7.4</v>
      </c>
      <c r="FE122" s="12">
        <f>IF('Données projet'!$A$218&gt;35,FE121+FD122-FM121,IF(A122&lt;'Données projet'!$A$218,$FB$205^A122,IF(A122='Données projet'!$A$218,'Données projet'!$B$218,FE121+FD122-FM121)))</f>
        <v>444.59999999999985</v>
      </c>
      <c r="FF122" s="17">
        <f>FE122*VLOOKUP('Données projet'!$B$16,Paramètres!$A$1:$I$89,3,0)*VLOOKUP('Données projet'!$B$16,Paramètres!$A$1:$I$89,5,0)</f>
        <v>381.46679999999992</v>
      </c>
      <c r="FG122" s="13">
        <f t="shared" si="101"/>
        <v>88.009032314707028</v>
      </c>
      <c r="FH122" s="20">
        <f t="shared" si="76"/>
        <v>817.67040794811464</v>
      </c>
      <c r="FI122" s="59">
        <f t="shared" si="77"/>
        <v>1111.0037412814479</v>
      </c>
      <c r="FJ122" s="59">
        <f ca="1">AVERAGE(OFFSET($FI$3,0,0,'Données projet'!$E$16+1,1))-AVERAGE(OFFSET($H$3,0,0,'Données projet'!$E$16+1,1))</f>
        <v>383.97627237444709</v>
      </c>
      <c r="FK122" s="59">
        <f t="shared" si="102"/>
        <v>203.35476578922339</v>
      </c>
      <c r="FL122" s="15">
        <f>IF(ISNA(VLOOKUP(A122,'Données projet'!$A$217:$I$237,3,0)),0,VLOOKUP(A122,'Données projet'!$A$217:$I$237,3,0))</f>
        <v>0</v>
      </c>
      <c r="FM122" s="15">
        <f>IF(ISNA(VLOOKUP(A122,'Données projet'!$A$217:$I$237,4,0)),0,VLOOKUP(A122,'Données projet'!$A$217:$I$237,4,0))</f>
        <v>0</v>
      </c>
      <c r="FN122" s="16">
        <f>IF(ISNA(VLOOKUP(A122,'Données projet'!$A$217:$I$237,5,0)),0%,VLOOKUP(A122,'Données projet'!$A$217:$I$237,5,0)*VLOOKUP('Données projet'!$B$16,Paramètres!$A$1:$I$89,7,0))</f>
        <v>0</v>
      </c>
      <c r="FO122" s="16">
        <f>IF(ISNA(VLOOKUP(A122,'Données projet'!$A$217:$I$237,6,0)),0%,VLOOKUP(A122,'Données projet'!$A$217:$I$237,6,0)*VLOOKUP('Données projet'!$B$16,Paramètres!$A$1:$I$89,7,0))</f>
        <v>0</v>
      </c>
      <c r="FP122" s="16">
        <f>IF(ISNA(VLOOKUP(A122,'Données projet'!$A$217:$I$237,7,0)),0%,VLOOKUP(A122,'Données projet'!$A$217:$I$237,7,0))</f>
        <v>0</v>
      </c>
      <c r="FQ122" s="21">
        <f>EXP(-LN(2)/35)*FQ121+(1-EXP(-LN(2)/35))/(LN(2)/35)*FM122*FN122*VLOOKUP('Données projet'!$B$16,Paramètres!$A$1:$I$89,3,0)*0.475*44/12</f>
        <v>0.88421496020154811</v>
      </c>
      <c r="FR122" s="21">
        <f>EXP(-LN(2)/25)*FR121+(1-EXP(-LN(2)/25))/(LN(2)/25)*Calculateur!FM122*Calculateur!FO122*VLOOKUP('Données projet'!$B$16,Paramètres!$A$1:$I$89,3,0)*0.475*44/12</f>
        <v>0.49951496895615105</v>
      </c>
      <c r="FS122" s="21">
        <f>EXP(-LN(2)/2)*FS121+(1-EXP(-LN(2)/2))/(LN(2)/2)*FM122*FP122*VLOOKUP('Données projet'!$B$16,Paramètres!$A$1:$I$89,3,0)*0.475*44/12</f>
        <v>6.6908715005734133E-13</v>
      </c>
      <c r="FT122" s="22">
        <f t="shared" si="78"/>
        <v>1.3837299291583682</v>
      </c>
      <c r="FU122" s="75">
        <f>('Scénario référence'!$F$8+'Scénario référence'!$F$9+'Scénario référence'!$B$17+'Scénario référence'!$B$9+'Scénario référence'!$B$10)*70+IF((45+25*(1-EXP(-0.0175*A122)))&lt;70,'Scénario référence'!$B$16*(45+25*(1-EXP(-0.0175*A122))),70*'Scénario référence'!$B$16)+IF((32+38*(1-EXP(-0.0175*A122)))&lt;70,'Scénario référence'!$B$18*(32+38*(1-EXP(-0.0175*A122))),70*'Scénario référence'!$B$18)</f>
        <v>70</v>
      </c>
      <c r="FV122" s="12">
        <f>IF(A122&gt;30,10,('Scénario référence'!$B$16+'Scénario référence'!$B$17+'Scénario référence'!$B$18+'Scénario référence'!$B$9+'Scénario référence'!$B$10)*A122*10/30+('Scénario référence'!$F$8+'Scénario référence'!$F$9)*10)</f>
        <v>10</v>
      </c>
      <c r="FW122" s="12">
        <f>VLOOKUP(A122,'Données projet'!$A$243:$I$263,2,0)</f>
        <v>357.33974358974359</v>
      </c>
      <c r="FX122" s="12">
        <f>VLOOKUP(A122,'Données projet'!$A$243:$I$263,9,0)</f>
        <v>6.8461538461538511</v>
      </c>
      <c r="FY122" s="12">
        <f t="array" ref="FY122">INDEX(FX:FX,MIN(IF(ISNUMBER(FX122:FX318),ROW(FX122:FX318),"")))</f>
        <v>6.8461538461538511</v>
      </c>
      <c r="FZ122" s="12">
        <f>IF('Données projet'!$A$244&gt;35,FZ121+FY122-GH121,IF(A122&lt;'Données projet'!$A$244,$FW$205^A122,IF(A122='Données projet'!$A$244,'Données projet'!$B$244,FZ121+FY122-GH121)))</f>
        <v>357.33974358974393</v>
      </c>
      <c r="GA122" s="17">
        <f>FZ122*VLOOKUP('Données projet'!$B$17,Paramètres!$A$1:$I$89,3,0)*VLOOKUP('Données projet'!$B$17,Paramètres!$A$1:$I$89,5,0)</f>
        <v>384.64050000000037</v>
      </c>
      <c r="GB122" s="13">
        <f t="shared" si="103"/>
        <v>88.655701828527498</v>
      </c>
      <c r="GC122" s="20">
        <f t="shared" si="79"/>
        <v>824.32421818468595</v>
      </c>
      <c r="GD122" s="59">
        <f t="shared" si="80"/>
        <v>1117.6575515180193</v>
      </c>
      <c r="GE122" s="59">
        <f ca="1">AVERAGE(OFFSET($GD$3,0,0,'Données projet'!$E$17+1,1))-AVERAGE(OFFSET($H$3,0,0,'Données projet'!$E$17+1,1))</f>
        <v>286.77702855541287</v>
      </c>
      <c r="GF122" s="59">
        <f t="shared" si="104"/>
        <v>227.12211541860779</v>
      </c>
      <c r="GG122" s="15">
        <f>IF(ISNA(VLOOKUP(A122,'Données projet'!$A$243:$I$263,3,0)),0,VLOOKUP(A122,'Données projet'!$A$243:$I$263,3,0))</f>
        <v>11</v>
      </c>
      <c r="GH122" s="15">
        <f>IF(ISNA(VLOOKUP(A122,'Données projet'!$A$243:$I$263,4,0)),0,VLOOKUP(A122,'Données projet'!$A$243:$I$263,4,0))</f>
        <v>150.02564102564102</v>
      </c>
      <c r="GI122" s="16">
        <f>IF(ISNA(VLOOKUP(A122,'Données projet'!$A$243:$I$263,5,0)),0%,VLOOKUP(A122,'Données projet'!$A$243:$I$263,5,0)*VLOOKUP('Données projet'!$B$17,Paramètres!$A$1:$I$89,7,0))</f>
        <v>0</v>
      </c>
      <c r="GJ122" s="16">
        <f>IF(ISNA(VLOOKUP(A122,'Données projet'!$A$243:$I$263,6,0)),0%,VLOOKUP(A122,'Données projet'!$A$243:$I$263,6,0)*VLOOKUP('Données projet'!$B$17,Paramètres!$A$1:$I$89,7,0))</f>
        <v>0</v>
      </c>
      <c r="GK122" s="16">
        <f>IF(ISNA(VLOOKUP(A122,'Données projet'!$A$243:$I$263,7,0)),0%,VLOOKUP(A122,'Données projet'!$A$243:$I$263,7,0))</f>
        <v>0</v>
      </c>
      <c r="GL122" s="21">
        <f>EXP(-LN(2)/35)*GL121+(1-EXP(-LN(2)/35))/(LN(2)/35)*GH122*GI122*VLOOKUP('Données projet'!$B$17,Paramètres!$A$1:$I$89,3,0)*0.475*44/12</f>
        <v>0</v>
      </c>
      <c r="GM122" s="21">
        <f>EXP(-LN(2)/25)*GM121+(1-EXP(-LN(2)/25))/(LN(2)/25)*Calculateur!GH122*Calculateur!GJ122*VLOOKUP('Données projet'!$B$17,Paramètres!$A$1:$I$89,3,0)*0.475*44/12</f>
        <v>0</v>
      </c>
      <c r="GN122" s="21">
        <f>EXP(-LN(2)/2)*GN121+(1-EXP(-LN(2)/2))/(LN(2)/2)*GH122*GK122*VLOOKUP('Données projet'!$B$17,Paramètres!$A$1:$I$89,3,0)*0.475*44/12</f>
        <v>0</v>
      </c>
      <c r="GO122" s="21">
        <f t="shared" si="81"/>
        <v>0</v>
      </c>
      <c r="GP122" s="75">
        <f>('Scénario référence'!$F$8+'Scénario référence'!$F$9+'Scénario référence'!$B$17+'Scénario référence'!$B$9+'Scénario référence'!$B$10)*70+IF((45+25*(1-EXP(-0.0175*A122)))&lt;70,'Scénario référence'!$B$16*(45+25*(1-EXP(-0.0175*A122))),70*'Scénario référence'!$B$16)+IF((32+38*(1-EXP(-0.0175*A122)))&lt;70,'Scénario référence'!$B$18*(32+38*(1-EXP(-0.0175*A122))),70*'Scénario référence'!$B$18)</f>
        <v>70</v>
      </c>
      <c r="GQ122" s="12">
        <f>IF(A122&gt;30,10,('Scénario référence'!$B$16+'Scénario référence'!$B$17+'Scénario référence'!$B$18+'Scénario référence'!$B$9+'Scénario référence'!$B$10)*A122*10/30+('Scénario référence'!$F$8+'Scénario référence'!$F$9)*10)</f>
        <v>10</v>
      </c>
      <c r="GR122" s="12">
        <f>VLOOKUP(A122,'Données projet'!$A$269:$I$289,2,0)</f>
        <v>357.33974358974359</v>
      </c>
      <c r="GS122" s="12">
        <f>VLOOKUP(A122,'Données projet'!$A$269:$I$289,9,0)</f>
        <v>6.8461538461538511</v>
      </c>
      <c r="GT122" s="12">
        <f t="array" ref="GT122">INDEX(GS:GS,MIN(IF(ISNUMBER(GS122:GS318),ROW(GS122:GS318),"")))</f>
        <v>6.8461538461538511</v>
      </c>
      <c r="GU122" s="12">
        <f>IF('Données projet'!$A$270&gt;35,GU121+GT122-HC121,IF(A122&lt;'Données projet'!$A$270,$GR$205^A122,IF(A122='Données projet'!$A$270,'Données projet'!$B$270,GU121+GT122-HC121)))</f>
        <v>357.33974358974393</v>
      </c>
      <c r="GV122" s="17">
        <f>GU122*VLOOKUP('Données projet'!$B$18,Paramètres!$A$1:$I$89,3,0)*VLOOKUP('Données projet'!$B$18,Paramètres!$A$1:$I$89,5,0)</f>
        <v>384.64050000000037</v>
      </c>
      <c r="GW122" s="13">
        <f t="shared" si="105"/>
        <v>88.655701828527498</v>
      </c>
      <c r="GX122" s="20">
        <f t="shared" si="82"/>
        <v>824.32421818468595</v>
      </c>
      <c r="GY122" s="59">
        <f t="shared" si="83"/>
        <v>1117.6575515180193</v>
      </c>
      <c r="GZ122" s="59">
        <f ca="1">AVERAGE(OFFSET($GY$3,0,0,'Données projet'!$E$18+1,1))-AVERAGE(OFFSET($H$3,0,0,'Données projet'!$E$18+1,1))</f>
        <v>286.77702855541287</v>
      </c>
      <c r="HA122" s="59">
        <f t="shared" si="106"/>
        <v>227.12211541860779</v>
      </c>
      <c r="HB122" s="15">
        <f>IF(ISNA(VLOOKUP(A122,'Données projet'!$A$269:$I$289,3,0)),0,VLOOKUP(A122,'Données projet'!$A$269:$I$289,3,0))</f>
        <v>11</v>
      </c>
      <c r="HC122" s="15">
        <f>IF(ISNA(VLOOKUP(A122,'Données projet'!$A$269:$I$289,4,0)),0,VLOOKUP(A122,'Données projet'!$A$269:$I$289,4,0))</f>
        <v>150.02564102564102</v>
      </c>
      <c r="HD122" s="16">
        <f>IF(ISNA(VLOOKUP(A122,'Données projet'!$A$269:$I$289,5,0)),0%,VLOOKUP(A122,'Données projet'!$A$269:$I$289,5,0)*VLOOKUP('Données projet'!$B$18,Paramètres!$A$1:$I$89,7,0))</f>
        <v>0</v>
      </c>
      <c r="HE122" s="16">
        <f>IF(ISNA(VLOOKUP(A122,'Données projet'!$A$269:$I$289,6,0)),0%,VLOOKUP(A122,'Données projet'!$A$269:$I$289,6,0)*VLOOKUP('Données projet'!$B$18,Paramètres!$A$1:$I$89,7,0))</f>
        <v>0</v>
      </c>
      <c r="HF122" s="16">
        <f>IF(ISNA(VLOOKUP(A122,'Données projet'!$A$269:$I$289,7,0)),0%,VLOOKUP(A122,'Données projet'!$A$269:$I$289,7,0))</f>
        <v>0</v>
      </c>
      <c r="HG122" s="21">
        <f>EXP(-LN(2)/35)*HG121+(1-EXP(-LN(2)/35))/(LN(2)/35)*HC122*HD122*VLOOKUP('Données projet'!$B$18,Paramètres!$A$1:$I$89,3,0)*0.475*44/12</f>
        <v>0</v>
      </c>
      <c r="HH122" s="21">
        <f>EXP(-LN(2)/25)*HH121+(1-EXP(-LN(2)/25))/(LN(2)/25)*Calculateur!HC122*Calculateur!HE122*VLOOKUP('Données projet'!$B$18,Paramètres!$A$1:$I$89,3,0)*0.475*44/12</f>
        <v>0</v>
      </c>
      <c r="HI122" s="21">
        <f>EXP(-LN(2)/2)*HI121+(1-EXP(-LN(2)/2))/(LN(2)/2)*HC122*HF122*VLOOKUP('Données projet'!$B$18,Paramètres!$A$1:$I$89,3,0)*0.475*44/12</f>
        <v>0</v>
      </c>
      <c r="HJ122" s="22">
        <f t="shared" si="84"/>
        <v>0</v>
      </c>
    </row>
    <row r="123" spans="1:218" x14ac:dyDescent="0.25">
      <c r="A123" s="10">
        <f t="shared" si="85"/>
        <v>120</v>
      </c>
      <c r="B123" s="73">
        <f>'Scénario référence'!$B$16*5+'Scénario référence'!$B$17*0+'Scénario référence'!$B$18*5</f>
        <v>0</v>
      </c>
      <c r="C123" s="19">
        <f>Calculateur!C122+'Scénario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106.70400000000019</v>
      </c>
      <c r="D123" s="11">
        <f t="shared" si="86"/>
        <v>28.553051684335379</v>
      </c>
      <c r="E12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23" s="11">
        <f>IF(OR('Scénario référence'!$F$8&gt;0,'Scénario référence'!$F$9&gt;0),('Scénario référence'!$F$8+'Scénario référence'!$F$9)*10,0)</f>
        <v>10</v>
      </c>
      <c r="G123" s="11">
        <f>'Scénario référence'!$B$8*B123*44/12+'Scénario référence'!$B$9*(C123+D123)/0.475*44/12+'Scénario référence'!$B$10*(C123+D123)/0.475*44/12+'Scénario référence'!$F$8*(C123+D123)/0.475*44/12+'Scénario référence'!$F$9*(C123+D123)/0.475*44/12</f>
        <v>1044.0895217738187</v>
      </c>
      <c r="H123" s="67">
        <f t="shared" si="56"/>
        <v>528.90603168355119</v>
      </c>
      <c r="I123" s="70">
        <f>('Scénario référence'!$F$8+'Scénario référence'!$F$9+'Scénario référence'!$B$17+'Scénario référence'!$B$9+'Scénario référence'!$B$10)*70+IF((45+25*(1-EXP(-0.0175*A123)))&lt;70,'Scénario référence'!$B$16*(45+25*(1-EXP(-0.0175*A123))),70*'Scénario référence'!$B$16)+IF((32+38*(1-EXP(-0.0175*A123)))&lt;70,'Scénario référence'!$B$18*(32+38*(1-EXP(-0.0175*A123))),70*'Scénario référence'!$B$18)</f>
        <v>70</v>
      </c>
      <c r="J123" s="13">
        <f>IF(A123&gt;30,10,('Scénario référence'!$B$16+'Scénario référence'!$B$17+'Scénario référence'!$B$18+'Scénario référence'!$B$9+'Scénario référence'!$B$10)*A123*10/30+('Scénario référence'!$F$8+'Scénario référence'!$F$9)*10)</f>
        <v>10</v>
      </c>
      <c r="K123" s="12" t="e">
        <f>VLOOKUP(A123,'Données projet'!$A$35:$I$55,2,0)</f>
        <v>#N/A</v>
      </c>
      <c r="L123" s="12" t="e">
        <f>VLOOKUP(A123,'Données projet'!$A$35:$I$55,9,0)</f>
        <v>#N/A</v>
      </c>
      <c r="M123" s="12">
        <f t="array" ref="M123">INDEX(L:L,MIN(IF(ISNUMBER(L123:L319),ROW(L123:L319),"")))</f>
        <v>0</v>
      </c>
      <c r="N123" s="13">
        <f>IF('Données projet'!$A$36&gt;35,N122+M123-V122,IF(A123&lt;'Données projet'!$A$36,$K$205^A123,IF(A123='Données projet'!$A$36,'Données projet'!$B$36,N122+M123-V122)))</f>
        <v>-2.2737367544323206E-13</v>
      </c>
      <c r="O123" s="13">
        <f>N123*VLOOKUP('Données projet'!$B$9,Paramètres!$A$1:$I$89,3,0)*VLOOKUP('Données projet'!$B$9,Paramètres!$A$1:$I$89,5,0)</f>
        <v>-1.2710188457276673E-13</v>
      </c>
      <c r="P123" s="13" t="e">
        <f t="shared" si="87"/>
        <v>#NUM!</v>
      </c>
      <c r="Q123" s="20" t="e">
        <f t="shared" si="107"/>
        <v>#NUM!</v>
      </c>
      <c r="R123" s="59" t="e">
        <f t="shared" si="55"/>
        <v>#NUM!</v>
      </c>
      <c r="S123" s="59">
        <f ca="1">AVERAGE(OFFSET($R$3,0,0,'Données projet'!$E$9+1,1))-AVERAGE(OFFSET($H$3,0,0,'Données projet'!$E$9+1,1))</f>
        <v>255.5374979188561</v>
      </c>
      <c r="T123" s="59">
        <f t="shared" si="88"/>
        <v>343.10418468620901</v>
      </c>
      <c r="U123" s="15">
        <f>IF(ISNA(VLOOKUP(A123,'Données projet'!$A$35:$I$55,3,0)),0,VLOOKUP(A123,'Données projet'!$A$35:$I$55,3,0))</f>
        <v>0</v>
      </c>
      <c r="V123" s="15">
        <f>IF(ISNA(VLOOKUP(A123,'Données projet'!$A$35:$I$55,4,0)),0,VLOOKUP(A123,'Données projet'!$A$35:$I$55,4,0))</f>
        <v>0</v>
      </c>
      <c r="W123" s="16">
        <f>IF(ISNA(VLOOKUP(A123,'Données projet'!$A$35:$I$55,5,0)),0%,VLOOKUP(A123,'Données projet'!$A$35:$I$55,5,0)*VLOOKUP('Données projet'!$B$9,Paramètres!$A$1:$I$89,7,0))</f>
        <v>0</v>
      </c>
      <c r="X123" s="16">
        <f>IF(ISNA(VLOOKUP(A123,'Données projet'!$A$35:$I$55,6,0)),0%,VLOOKUP(A123,'Données projet'!$A$35:$I$55,6,0)*VLOOKUP('Données projet'!$B$9,Paramètres!$A$1:$I$89,7,0))</f>
        <v>0</v>
      </c>
      <c r="Y123" s="16">
        <f>IF(ISNA(VLOOKUP(A123,'Données projet'!$A$35:$I$55,7,0)),0%,VLOOKUP(A123,'Données projet'!$A$35:$I$55,7,0))</f>
        <v>0</v>
      </c>
      <c r="Z123" s="21">
        <f>EXP(-LN(2)/35)*Z122+(1-EXP(-LN(2)/35))/(LN(2)/35)*V123*W123*VLOOKUP('Données projet'!$B$9,Paramètres!$A$1:$I$89,3,0)*0.475*44/12</f>
        <v>0.51986082132742806</v>
      </c>
      <c r="AA123" s="21">
        <f>EXP(-LN(2)/25)*AA122+(1-EXP(-LN(2)/25))/(LN(2)/25)*Calculateur!V123*Calculateur!X123*VLOOKUP('Données projet'!$B$9,Paramètres!$A$1:$I$89,3,0)*0.475*44/12</f>
        <v>1.3162305112733741</v>
      </c>
      <c r="AB123" s="21">
        <f>EXP(-LN(2)/2)*AB122+(1-EXP(-LN(2)/2))/(LN(2)/2)*V123*Y123*VLOOKUP('Données projet'!$B$9,Paramètres!$A$1:$I$89,3,0)*0.475*44/12</f>
        <v>4.8108065569012582E-14</v>
      </c>
      <c r="AC123" s="22">
        <f t="shared" si="57"/>
        <v>1.8360913326008503</v>
      </c>
      <c r="AD123" s="13">
        <f>('Scénario référence'!$F$8+'Scénario référence'!$F$9+'Scénario référence'!$B$17+'Scénario référence'!$B$9+'Scénario référence'!$B$10)*70+IF((45+25*(1-EXP(-0.0175*A123)))&lt;70,'Scénario référence'!$B$16*(45+25*(1-EXP(-0.0175*A123))),70*'Scénario référence'!$B$16)+IF((32+38*(1-EXP(-0.0175*A123)))&lt;70,'Scénario référence'!$B$18*(32+38*(1-EXP(-0.0175*A123))),70*'Scénario référence'!$B$18)</f>
        <v>70</v>
      </c>
      <c r="AE123" s="13">
        <f>IF(A123&gt;30,10,('Scénario référence'!$B$16+'Scénario référence'!$B$17+'Scénario référence'!$B$18+'Scénario référence'!$B$9+'Scénario référence'!$B$10)*A123*10/30+('Scénario référence'!$F$8+'Scénario référence'!$F$9)*10)</f>
        <v>10</v>
      </c>
      <c r="AF123" s="12" t="e">
        <f>VLOOKUP(A123,'Données projet'!$A$61:$I$81,2,0)</f>
        <v>#N/A</v>
      </c>
      <c r="AG123" s="12" t="e">
        <f>VLOOKUP(A123,'Données projet'!$A$61:$I$81,9,0)</f>
        <v>#N/A</v>
      </c>
      <c r="AH123" s="12">
        <f t="array" ref="AH123">INDEX(AG:AG,MIN(IF(ISNUMBER(AG123:AG319),ROW(AG123:AG319),"")))</f>
        <v>0</v>
      </c>
      <c r="AI123" s="13">
        <f>IF('Données projet'!$A$62&gt;35,AI122+AH123-AQ122,IF(A123&lt;'Données projet'!$A$62,$AF$205^A123,IF(A123='Données projet'!$A$62,'Données projet'!$B$62,AI122+AH123-AQ122)))</f>
        <v>0</v>
      </c>
      <c r="AJ123" s="13">
        <f>AI123*VLOOKUP('Données projet'!$B$10,Paramètres!$A$1:$I$89,3,0)*VLOOKUP('Données projet'!$B$10,Paramètres!$A$1:$I$89,5,0)</f>
        <v>0</v>
      </c>
      <c r="AK123" s="13" t="e">
        <f t="shared" si="89"/>
        <v>#NUM!</v>
      </c>
      <c r="AL123" s="20" t="e">
        <f t="shared" si="58"/>
        <v>#NUM!</v>
      </c>
      <c r="AM123" s="59" t="e">
        <f t="shared" si="59"/>
        <v>#NUM!</v>
      </c>
      <c r="AN123" s="59">
        <f ca="1">AVERAGE(OFFSET($AM$3,0,0,'Données projet'!$E$10+1,1))-AVERAGE(OFFSET($H$3,0,0,'Données projet'!$E$10+1,1))</f>
        <v>261.78489480911571</v>
      </c>
      <c r="AO123" s="59">
        <f t="shared" si="90"/>
        <v>297.50513563712764</v>
      </c>
      <c r="AP123" s="15">
        <f>IF(ISNA(VLOOKUP(A123,'Données projet'!$A$61:$I$81,3,0)),0,VLOOKUP(A123,'Données projet'!$A$61:$I$81,3,0))</f>
        <v>0</v>
      </c>
      <c r="AQ123" s="15">
        <f>IF(ISNA(VLOOKUP(A123,'Données projet'!$A$61:$I$81,4,0)),0,VLOOKUP(A123,'Données projet'!$A$61:$I$81,4,0))</f>
        <v>0</v>
      </c>
      <c r="AR123" s="16">
        <f>IF(ISNA(VLOOKUP(A123,'Données projet'!$A$61:$I$81,5,0)),0%,VLOOKUP(A123,'Données projet'!$A$61:$I$81,5,0)*VLOOKUP('Données projet'!$B$10,Paramètres!$A$1:$I$89,7,0))</f>
        <v>0</v>
      </c>
      <c r="AS123" s="16">
        <f>IF(ISNA(VLOOKUP(A123,'Données projet'!$A$61:$I$81,6,0)),0%,VLOOKUP(A123,'Données projet'!$A$61:$I$81,6,0)*VLOOKUP('Données projet'!$B$10,Paramètres!$A$1:$I$89,7,0))</f>
        <v>0</v>
      </c>
      <c r="AT123" s="16">
        <f>IF(ISNA(VLOOKUP(A123,'Données projet'!$A$61:$I$81,7,0)),0%,VLOOKUP(A123,'Données projet'!$A$61:$I$81,7,0))</f>
        <v>0</v>
      </c>
      <c r="AU123" s="21">
        <f>EXP(-LN(2)/35)*AU122+(1-EXP(-LN(2)/35))/(LN(2)/35)*AQ123*AR123*VLOOKUP('Données projet'!$B$10,Paramètres!$A$1:$I$89,3,0)*0.475*44/12</f>
        <v>1.4037712595120999</v>
      </c>
      <c r="AV123" s="21">
        <f>EXP(-LN(2)/25)*AV122+(1-EXP(-LN(2)/25))/(LN(2)/25)*Calculateur!AQ123*Calculateur!AS123*VLOOKUP('Données projet'!$B$10,Paramètres!$A$1:$I$89,3,0)*0.475*44/12</f>
        <v>2.2984069322095979</v>
      </c>
      <c r="AW123" s="21">
        <f>EXP(-LN(2)/2)*AW122+(1-EXP(-LN(2)/2))/(LN(2)/2)*AQ123*AT123*VLOOKUP('Données projet'!$B$10,Paramètres!$A$1:$I$89,3,0)*0.475*44/12</f>
        <v>6.9352356424905906E-13</v>
      </c>
      <c r="AX123" s="21">
        <f t="shared" si="60"/>
        <v>3.7021781917223917</v>
      </c>
      <c r="AY123" s="74">
        <f>('Scénario référence'!$F$8+'Scénario référence'!$F$9+'Scénario référence'!$B$17+'Scénario référence'!$B$9+'Scénario référence'!$B$10)*70+IF((45+25*(1-EXP(-0.0175*A123)))&lt;70,'Scénario référence'!$B$16*(45+25*(1-EXP(-0.0175*A123))),70*'Scénario référence'!$B$16)+IF((32+38*(1-EXP(-0.0175*A123)))&lt;70,'Scénario référence'!$B$18*(32+38*(1-EXP(-0.0175*A123))),70*'Scénario référence'!$B$18)</f>
        <v>70</v>
      </c>
      <c r="AZ123" s="12">
        <f>IF(A123&gt;30,10,('Scénario référence'!$B$16+'Scénario référence'!$B$17+'Scénario référence'!$B$18+'Scénario référence'!$B$9+'Scénario référence'!$B$10)*A123*10/30+('Scénario référence'!$F$8+'Scénario référence'!$F$9)*10)</f>
        <v>10</v>
      </c>
      <c r="BA123" s="12" t="e">
        <f>VLOOKUP(A123,'Données projet'!$A$87:$I$107,2,0)</f>
        <v>#N/A</v>
      </c>
      <c r="BB123" s="12" t="e">
        <f>VLOOKUP(A123,'Données projet'!$A$87:$I$107,9,0)</f>
        <v>#N/A</v>
      </c>
      <c r="BC123" s="12">
        <f t="array" ref="BC123">INDEX(BB:BB,MIN(IF(ISNUMBER(BB123:BB319),ROW(BB123:BB319),"")))</f>
        <v>0</v>
      </c>
      <c r="BD123" s="12">
        <f>IF('Données projet'!$A$88&gt;35,BD122+BC123-BL122,IF(A123&lt;'Données projet'!$A$88,$BA$205^A123,IF(A123='Données projet'!$A$88,'Données projet'!$B$88,BD122+BC123-BL122)))</f>
        <v>553.99999999999955</v>
      </c>
      <c r="BE123" s="13">
        <f>BD123*VLOOKUP('Données projet'!$B$11,Paramètres!$A$1:$I$89,3,0)*VLOOKUP('Données projet'!$B$11,Paramètres!$A$1:$I$89,5,0)</f>
        <v>331.29199999999975</v>
      </c>
      <c r="BF123" s="13">
        <f t="shared" si="91"/>
        <v>77.698110787752</v>
      </c>
      <c r="BG123" s="20">
        <f t="shared" si="61"/>
        <v>712.32444295533423</v>
      </c>
      <c r="BH123" s="59">
        <f t="shared" si="62"/>
        <v>1005.6577762886675</v>
      </c>
      <c r="BI123" s="59">
        <f ca="1">AVERAGE(OFFSET($BH$3,0,0,'Données projet'!$E$11+1,1))-AVERAGE(OFFSET($H$3,0,0,'Données projet'!$E$11+1,1))</f>
        <v>316.58509520829671</v>
      </c>
      <c r="BJ123" s="59">
        <f t="shared" si="92"/>
        <v>240.71332110643596</v>
      </c>
      <c r="BK123" s="15">
        <f>IF(ISNA(VLOOKUP(A123,'Données projet'!$A$87:$I$107,3,0)),0,VLOOKUP(A123,'Données projet'!$A$87:$I$107,3,0))</f>
        <v>0</v>
      </c>
      <c r="BL123" s="15">
        <f>IF(ISNA(VLOOKUP(A123,'Données projet'!$A$87:$I$107,4,0)),0,VLOOKUP(A123,'Données projet'!$A$87:$I$107,4,0))</f>
        <v>0</v>
      </c>
      <c r="BM123" s="16">
        <f>IF(ISNA(VLOOKUP(A123,'Données projet'!$A$87:$I$107,5,0)),0%,VLOOKUP(A123,'Données projet'!$A$87:$I$107,5,0)*VLOOKUP('Données projet'!$B$11,Paramètres!$A$1:$I$89,7,0))</f>
        <v>0</v>
      </c>
      <c r="BN123" s="16">
        <f>IF(ISNA(VLOOKUP(A123,'Données projet'!$A$87:$I$107,6,0)),0%,VLOOKUP(A123,'Données projet'!$A$87:$I$107,6,0)*VLOOKUP('Données projet'!$B$11,Paramètres!$A$1:$I$89,7,0))</f>
        <v>0</v>
      </c>
      <c r="BO123" s="16">
        <f>IF(ISNA(VLOOKUP(A123,'Données projet'!$A$87:$I$107,7,0)),0%,VLOOKUP(A123,'Données projet'!$A$87:$I$107,7,0))</f>
        <v>0</v>
      </c>
      <c r="BP123" s="21">
        <f>EXP(-LN(2)/35)*BP122+(1-EXP(-LN(2)/35))/(LN(2)/35)*BL123*BM123*VLOOKUP('Données projet'!$B$11,Paramètres!$A$1:$I$89,3,0)*0.475*44/12</f>
        <v>0.42640596480343379</v>
      </c>
      <c r="BQ123" s="21">
        <f>EXP(-LN(2)/25)*BQ122+(1-EXP(-LN(2)/25))/(LN(2)/25)*Calculateur!BL123*Calculateur!BN123*VLOOKUP('Données projet'!$B$11,Paramètres!$A$1:$I$89,3,0)*0.475*44/12</f>
        <v>1.2591343805579172</v>
      </c>
      <c r="BR123" s="21">
        <f>EXP(-LN(2)/2)*BR122+(1-EXP(-LN(2)/2))/(LN(2)/2)*BL123*BO123*VLOOKUP('Données projet'!$B$11,Paramètres!$A$1:$I$89,3,0)*0.475*44/12</f>
        <v>6.2355363383349334E-13</v>
      </c>
      <c r="BS123" s="22">
        <f t="shared" si="63"/>
        <v>1.6855403453619744</v>
      </c>
      <c r="BT123" s="75">
        <f>('Scénario référence'!$F$8+'Scénario référence'!$F$9+'Scénario référence'!$B$17+'Scénario référence'!$B$9+'Scénario référence'!$B$10)*70+IF((45+25*(1-EXP(-0.0175*A123)))&lt;70,'Scénario référence'!$B$16*(45+25*(1-EXP(-0.0175*A123))),70*'Scénario référence'!$B$16)+IF((32+38*(1-EXP(-0.0175*A123)))&lt;70,'Scénario référence'!$B$18*(32+38*(1-EXP(-0.0175*A123))),70*'Scénario référence'!$B$18)</f>
        <v>70</v>
      </c>
      <c r="BU123" s="12">
        <f>IF(A123&gt;30,10,('Scénario référence'!$B$16+'Scénario référence'!$B$17+'Scénario référence'!$B$18+'Scénario référence'!$B$9+'Scénario référence'!$B$10)*A123*10/30+('Scénario référence'!$F$8+'Scénario référence'!$F$9)*10)</f>
        <v>10</v>
      </c>
      <c r="BV123" s="12" t="e">
        <f>VLOOKUP(A123,'Données projet'!$A$113:$I$133,2,0)</f>
        <v>#N/A</v>
      </c>
      <c r="BW123" s="12" t="e">
        <f>VLOOKUP(A123,'Données projet'!$A$113:$I$133,9,0)</f>
        <v>#N/A</v>
      </c>
      <c r="BX123" s="12">
        <f t="array" ref="BX123">INDEX(BW:BW,MIN(IF(ISNUMBER(BW123:BW319),ROW(BW123:BW319),"")))</f>
        <v>0</v>
      </c>
      <c r="BY123" s="12">
        <f>IF('Données projet'!$A$114&gt;35,BY122+BX123-CG122,IF(A123&lt;'Données projet'!$A$114,$BV$205^A123,IF(A123='Données projet'!$A$114,'Données projet'!$B$114,BY122+BX123-CG122)))</f>
        <v>333.99999999999977</v>
      </c>
      <c r="BZ123" s="13">
        <f>BY123*VLOOKUP('Données projet'!$B$12,Paramètres!$A$1:$I$89,3,0)*VLOOKUP('Données projet'!$B$12,Paramètres!$A$1:$I$89,5,0)</f>
        <v>191.04799999999986</v>
      </c>
      <c r="CA123" s="13">
        <f t="shared" si="93"/>
        <v>47.771576544305155</v>
      </c>
      <c r="CB123" s="20">
        <f t="shared" si="64"/>
        <v>415.94409581466454</v>
      </c>
      <c r="CC123" s="59">
        <f t="shared" si="65"/>
        <v>709.27742914799785</v>
      </c>
      <c r="CD123" s="59">
        <f ca="1">AVERAGE(OFFSET($CC$3,0,0,'Données projet'!$E$12+1,1))-AVERAGE(OFFSET($H$3,0,0,'Données projet'!$E$12+1,1))</f>
        <v>188.64374818906128</v>
      </c>
      <c r="CE123" s="59">
        <f t="shared" si="94"/>
        <v>211.95157880548652</v>
      </c>
      <c r="CF123" s="15">
        <f>IF(ISNA(VLOOKUP(A123,'Données projet'!$A$113:$I$133,3,0)),0,VLOOKUP(A123,'Données projet'!$A$113:$I$133,3,0))</f>
        <v>0</v>
      </c>
      <c r="CG123" s="15">
        <f>IF(ISNA(VLOOKUP(A123,'Données projet'!$A$113:$I$133,4,0)),0,VLOOKUP(A123,'Données projet'!$A$113:$I$133,4,0))</f>
        <v>0</v>
      </c>
      <c r="CH123" s="16">
        <f>IF(ISNA(VLOOKUP(A123,'Données projet'!$A$113:$I$133,5,0)),0%,VLOOKUP(A123,'Données projet'!$A$113:$I$133,5,0)*VLOOKUP('Données projet'!$B$12,Paramètres!$A$1:$I$89,7,0))</f>
        <v>0</v>
      </c>
      <c r="CI123" s="16">
        <f>IF(ISNA(VLOOKUP(A123,'Données projet'!$A$113:$I$133,6,0)),0%,VLOOKUP(A123,'Données projet'!$A$113:$I$133,6,0)*VLOOKUP('Données projet'!$B$12,Paramètres!$A$1:$I$89,7,0))</f>
        <v>0</v>
      </c>
      <c r="CJ123" s="16">
        <f>IF(ISNA(VLOOKUP(A123,'Données projet'!$A$113:$I$133,7,0)),0%,VLOOKUP(A123,'Données projet'!$A$113:$I$133,7,0))</f>
        <v>0</v>
      </c>
      <c r="CK123" s="21">
        <f>EXP(-LN(2)/35)*CK122+(1-EXP(-LN(2)/35))/(LN(2)/35)*CG123*CH123*VLOOKUP('Données projet'!$B$12,Paramètres!$A$1:$I$89,3,0)*0.475*44/12</f>
        <v>0.41361117467767211</v>
      </c>
      <c r="CL123" s="21">
        <f>EXP(-LN(2)/25)*CL122+(1-EXP(-LN(2)/25))/(LN(2)/25)*Calculateur!CG123*Calculateur!CI123*VLOOKUP('Données projet'!$B$12,Paramètres!$A$1:$I$89,3,0)*0.475*44/12</f>
        <v>1.1851257880029955</v>
      </c>
      <c r="CM123" s="21">
        <f>EXP(-LN(2)/2)*CM122+(1-EXP(-LN(2)/2))/(LN(2)/2)*CG123*CJ123*VLOOKUP('Données projet'!$B$12,Paramètres!$A$1:$I$89,3,0)*0.475*44/12</f>
        <v>6.0386290680686035E-13</v>
      </c>
      <c r="CN123" s="22">
        <f t="shared" si="66"/>
        <v>1.5987369626812715</v>
      </c>
      <c r="CO123" s="75">
        <f>('Scénario référence'!$F$8+'Scénario référence'!$F$9+'Scénario référence'!$B$17+'Scénario référence'!$B$9+'Scénario référence'!$B$10)*70+IF((45+25*(1-EXP(-0.0175*A123)))&lt;70,'Scénario référence'!$B$16*(45+25*(1-EXP(-0.0175*A123))),70*'Scénario référence'!$B$16)+IF((32+38*(1-EXP(-0.0175*A123)))&lt;70,'Scénario référence'!$B$18*(32+38*(1-EXP(-0.0175*A123))),70*'Scénario référence'!$B$18)</f>
        <v>70</v>
      </c>
      <c r="CP123" s="12">
        <f>IF(A123&gt;30,10,('Scénario référence'!$B$16+'Scénario référence'!$B$17+'Scénario référence'!$B$18+'Scénario référence'!$B$9+'Scénario référence'!$B$10)*A123*10/30+('Scénario référence'!$F$8+'Scénario référence'!$F$9)*10)</f>
        <v>10</v>
      </c>
      <c r="CQ123" s="12" t="e">
        <f>VLOOKUP(A123,'Données projet'!$A$139:$I$159,2,0)</f>
        <v>#N/A</v>
      </c>
      <c r="CR123" s="12" t="e">
        <f>VLOOKUP(A123,'Données projet'!$A$139:$I$159,9,0)</f>
        <v>#N/A</v>
      </c>
      <c r="CS123" s="12">
        <f t="array" ref="CS123">INDEX(CR:CR,MIN(IF(ISNUMBER(CR123:CR319),ROW(CR123:CR319),"")))</f>
        <v>0</v>
      </c>
      <c r="CT123" s="12">
        <f>IF('Données projet'!$A$140&gt;35,CT122+CS123-DB122,IF(A123&lt;'Données projet'!$A$140,$CQ$205^A123,IF(A123='Données projet'!$A$140,'Données projet'!$B$140,CT122+CS123-DB122)))</f>
        <v>0</v>
      </c>
      <c r="CU123" s="17" t="e">
        <f>CT123*VLOOKUP('Données projet'!$B$13,Paramètres!$A$1:$I$89,3,0)*VLOOKUP('Données projet'!$B$13,Paramètres!$A$1:$I$89,5,0)</f>
        <v>#N/A</v>
      </c>
      <c r="CV123" s="13" t="e">
        <f t="shared" si="95"/>
        <v>#N/A</v>
      </c>
      <c r="CW123" s="20" t="e">
        <f t="shared" si="67"/>
        <v>#N/A</v>
      </c>
      <c r="CX123" s="59" t="e">
        <f t="shared" si="68"/>
        <v>#N/A</v>
      </c>
      <c r="CY123" s="59" t="e">
        <f ca="1">AVERAGE(OFFSET($CX$3,0,0,'Données projet'!$E$13+1,1))-AVERAGE(OFFSET($H$3,0,0,'Données projet'!$E$13+1,1))</f>
        <v>#N/A</v>
      </c>
      <c r="CZ123" s="59" t="e">
        <f t="shared" si="96"/>
        <v>#N/A</v>
      </c>
      <c r="DA123" s="15">
        <f>IF(ISNA(VLOOKUP(A123,'Données projet'!$A$139:$I$159,3,0)),0,VLOOKUP(A123,'Données projet'!$A$139:$I$159,3,0))</f>
        <v>0</v>
      </c>
      <c r="DB123" s="15">
        <f>IF(ISNA(VLOOKUP(A123,'Données projet'!$A$139:$I$159,4,0)),0,VLOOKUP(A123,'Données projet'!$A$139:$I$159,4,0))</f>
        <v>0</v>
      </c>
      <c r="DC123" s="16">
        <f>IF(ISNA(VLOOKUP(A123,'Données projet'!$A$139:$I$159,5,0)),0%,VLOOKUP(A123,'Données projet'!$A$139:$I$159,5,0)*VLOOKUP('Données projet'!$B$13,Paramètres!$A$1:$I$89,7,0))</f>
        <v>0</v>
      </c>
      <c r="DD123" s="16">
        <f>IF(ISNA(VLOOKUP(A123,'Données projet'!$A$139:$I$159,6,0)),0%,VLOOKUP(A123,'Données projet'!$A$139:$I$159,6,0)*VLOOKUP('Données projet'!$B$13,Paramètres!$A$1:$I$89,7,0))</f>
        <v>0</v>
      </c>
      <c r="DE123" s="16">
        <f>IF(ISNA(VLOOKUP(A123,'Données projet'!$A$139:$I$159,7,0)),0%,VLOOKUP(A123,'Données projet'!$A$139:$I$159,7,0))</f>
        <v>0</v>
      </c>
      <c r="DF123" s="21" t="e">
        <f>EXP(-LN(2)/35)*DF122+(1-EXP(-LN(2)/35))/(LN(2)/35)*DB123*DC123*VLOOKUP('Données projet'!$B$13,Paramètres!$A$1:$I$89,3,0)*0.475*44/12</f>
        <v>#N/A</v>
      </c>
      <c r="DG123" s="21" t="e">
        <f>EXP(-LN(2)/25)*DG122+(1-EXP(-LN(2)/25))/(LN(2)/25)*Calculateur!DB123*Calculateur!DD123*VLOOKUP('Données projet'!$B$13,Paramètres!$A$1:$I$89,3,0)*0.475*44/12</f>
        <v>#N/A</v>
      </c>
      <c r="DH123" s="21" t="e">
        <f>EXP(-LN(2)/2)*DH122+(1-EXP(-LN(2)/2))/(LN(2)/2)*DB123*DE123*VLOOKUP('Données projet'!$B$13,Paramètres!$A$1:$I$89,3,0)*0.475*44/12</f>
        <v>#N/A</v>
      </c>
      <c r="DI123" s="22" t="e">
        <f t="shared" si="69"/>
        <v>#N/A</v>
      </c>
      <c r="DJ123" s="75">
        <f>('Scénario référence'!$F$8+'Scénario référence'!$F$9+'Scénario référence'!$B$17+'Scénario référence'!$B$9+'Scénario référence'!$B$10)*70+IF((45+25*(1-EXP(-0.0175*A123)))&lt;70,'Scénario référence'!$B$16*(45+25*(1-EXP(-0.0175*A123))),70*'Scénario référence'!$B$16)+IF((32+38*(1-EXP(-0.0175*A123)))&lt;70,'Scénario référence'!$B$18*(32+38*(1-EXP(-0.0175*A123))),70*'Scénario référence'!$B$18)</f>
        <v>70</v>
      </c>
      <c r="DK123" s="12">
        <f>IF(A123&gt;30,10,('Scénario référence'!$B$16+'Scénario référence'!$B$17+'Scénario référence'!$B$18+'Scénario référence'!$B$9+'Scénario référence'!$B$10)*A123*10/30+('Scénario référence'!$F$8+'Scénario référence'!$F$9)*10)</f>
        <v>10</v>
      </c>
      <c r="DL123" s="12" t="e">
        <f>VLOOKUP(A123,'Données projet'!$A$165:$I$185,2,0)</f>
        <v>#N/A</v>
      </c>
      <c r="DM123" s="12" t="e">
        <f>VLOOKUP(A123,'Données projet'!$A$165:$I$185,9,0)</f>
        <v>#N/A</v>
      </c>
      <c r="DN123" s="12">
        <f t="array" ref="DN123">INDEX(DM:DM,MIN(IF(ISNUMBER(DM123:DM319),ROW(DM123:DM319),"")))</f>
        <v>0</v>
      </c>
      <c r="DO123" s="12">
        <f>IF('Données projet'!$A$166&gt;35,DO122+DN123-DW122,IF(A123&lt;'Données projet'!$A$166,$DL$205^A123,IF(A123='Données projet'!$A$166,'Données projet'!$B$166,DO122+DN123-DW122)))</f>
        <v>268.00000000000017</v>
      </c>
      <c r="DP123" s="17">
        <f>DO123*VLOOKUP('Données projet'!$B$14,Paramètres!$A$1:$I$89,3,0)*VLOOKUP('Données projet'!$B$14,Paramètres!$A$1:$I$89,5,0)</f>
        <v>175.59360000000012</v>
      </c>
      <c r="DQ123" s="13">
        <f t="shared" si="97"/>
        <v>44.340433728638573</v>
      </c>
      <c r="DR123" s="20">
        <f t="shared" si="70"/>
        <v>383.05177541071242</v>
      </c>
      <c r="DS123" s="59">
        <f t="shared" si="71"/>
        <v>676.38510874404574</v>
      </c>
      <c r="DT123" s="59">
        <f ca="1">AVERAGE(OFFSET($DS$3,0,0,'Données projet'!$E$14+1,1))-AVERAGE(OFFSET($H$3,0,0,'Données projet'!$E$14+1,1))</f>
        <v>188.68915783955595</v>
      </c>
      <c r="DU123" s="59">
        <f t="shared" si="98"/>
        <v>240.82467772396944</v>
      </c>
      <c r="DV123" s="15">
        <f>IF(ISNA(VLOOKUP(A123,'Données projet'!$A$165:$I$185,3,0)),0,VLOOKUP(A123,'Données projet'!$A$165:$I$185,3,0))</f>
        <v>0</v>
      </c>
      <c r="DW123" s="15">
        <f>IF(ISNA(VLOOKUP(A123,'Données projet'!$A$165:$I$185,4,0)),0,VLOOKUP(A123,'Données projet'!$A$165:$I$185,4,0))</f>
        <v>0</v>
      </c>
      <c r="DX123" s="16">
        <f>IF(ISNA(VLOOKUP(A123,'Données projet'!$A$165:$I$185,5,0)),0%,VLOOKUP(A123,'Données projet'!$A$165:$I$185,5,0)*VLOOKUP('Données projet'!$B$14,Paramètres!$A$1:$I$89,7,0))</f>
        <v>0</v>
      </c>
      <c r="DY123" s="16">
        <f>IF(ISNA(VLOOKUP(A123,'Données projet'!$A$165:$I$185,6,0)),0%,VLOOKUP(A123,'Données projet'!$A$165:$I$185,6,0)*VLOOKUP('Données projet'!$B$14,Paramètres!$A$1:$I$89,7,0))</f>
        <v>0</v>
      </c>
      <c r="DZ123" s="16">
        <f>IF(ISNA(VLOOKUP(A123,'Données projet'!$A$165:$I$185,7,0)),0%,VLOOKUP(A123,'Données projet'!$A$165:$I$185,7,0))</f>
        <v>0</v>
      </c>
      <c r="EA123" s="21">
        <f>EXP(-LN(2)/35)*EA122+(1-EXP(-LN(2)/35))/(LN(2)/35)*DW123*DX123*VLOOKUP('Données projet'!$B$14,Paramètres!$A$1:$I$89,3,0)*0.475*44/12</f>
        <v>0.2619885597179698</v>
      </c>
      <c r="EB123" s="21">
        <f>EXP(-LN(2)/25)*EB122+(1-EXP(-LN(2)/25))/(LN(2)/25)*Calculateur!DW123*Calculateur!DY123*VLOOKUP('Données projet'!$B$14,Paramètres!$A$1:$I$89,3,0)*0.475*44/12</f>
        <v>0.66289019830247919</v>
      </c>
      <c r="EC123" s="21">
        <f>EXP(-LN(2)/2)*EC122+(1-EXP(-LN(2)/2))/(LN(2)/2)*DW123*DZ123*VLOOKUP('Données projet'!$B$14,Paramètres!$A$1:$I$89,3,0)*0.475*44/12</f>
        <v>3.9780184085336393E-13</v>
      </c>
      <c r="ED123" s="22">
        <f t="shared" si="72"/>
        <v>0.92487875802084674</v>
      </c>
      <c r="EE123" s="75">
        <f>('Scénario référence'!$F$8+'Scénario référence'!$F$9+'Scénario référence'!$B$17+'Scénario référence'!$B$9+'Scénario référence'!$B$10)*70+IF((45+25*(1-EXP(-0.0175*A123)))&lt;70,'Scénario référence'!$B$16*(45+25*(1-EXP(-0.0175*A123))),70*'Scénario référence'!$B$16)+IF((32+38*(1-EXP(-0.0175*A123)))&lt;70,'Scénario référence'!$B$18*(32+38*(1-EXP(-0.0175*A123))),70*'Scénario référence'!$B$18)</f>
        <v>70</v>
      </c>
      <c r="EF123" s="12">
        <f>IF(A123&gt;30,10,('Scénario référence'!$B$16+'Scénario référence'!$B$17+'Scénario référence'!$B$18+'Scénario référence'!$B$9+'Scénario référence'!$B$10)*A123*10/30+('Scénario référence'!$F$8+'Scénario référence'!$F$9)*10)</f>
        <v>10</v>
      </c>
      <c r="EG123" s="12" t="e">
        <f>VLOOKUP(A123,'Données projet'!$A$191:$I$211,2,0)</f>
        <v>#N/A</v>
      </c>
      <c r="EH123" s="12" t="e">
        <f>VLOOKUP(A123,'Données projet'!$A$191:$I$211,9,0)</f>
        <v>#N/A</v>
      </c>
      <c r="EI123" s="12">
        <f t="array" ref="EI123">INDEX(EH:EH,MIN(IF(ISNUMBER(EH123:EH319),ROW(EH123:EH319),"")))</f>
        <v>0</v>
      </c>
      <c r="EJ123" s="12">
        <f>IF('Données projet'!$A$192&gt;35,EJ122+EI123-ER122,IF(A123&lt;'Données projet'!$A$192,$EG$205^A123,IF(A123='Données projet'!$A$192,'Données projet'!$B$192,EJ122+EI123-ER122)))</f>
        <v>275.99999999999972</v>
      </c>
      <c r="EK123" s="17">
        <f>EJ123*VLOOKUP('Données projet'!$B$15,Paramètres!$A$1:$I$89,3,0)*VLOOKUP('Données projet'!$B$15,Paramètres!$A$1:$I$89,5,0)</f>
        <v>223.8911999999998</v>
      </c>
      <c r="EL123" s="13">
        <f t="shared" si="99"/>
        <v>54.95975389514858</v>
      </c>
      <c r="EM123" s="20">
        <f t="shared" si="73"/>
        <v>485.66541136738346</v>
      </c>
      <c r="EN123" s="59">
        <f t="shared" si="74"/>
        <v>778.99874470071677</v>
      </c>
      <c r="EO123" s="59">
        <f ca="1">AVERAGE(OFFSET($EN$3,0,0,'Données projet'!$E$15+1,1))-AVERAGE(OFFSET($H$3,0,0,'Données projet'!$E$15+1,1))</f>
        <v>205.5272583787887</v>
      </c>
      <c r="EP123" s="59">
        <f t="shared" si="100"/>
        <v>180.54762778843178</v>
      </c>
      <c r="EQ123" s="15">
        <f>IF(ISNA(VLOOKUP(A123,'Données projet'!$A$191:$I$211,3,0)),0,VLOOKUP(A123,'Données projet'!$A$191:$I$211,3,0))</f>
        <v>0</v>
      </c>
      <c r="ER123" s="15">
        <f>IF(ISNA(VLOOKUP(A123,'Données projet'!$A$191:$I$211,4,0)),0,VLOOKUP(A123,'Données projet'!$A$191:$I$211,4,0))</f>
        <v>0</v>
      </c>
      <c r="ES123" s="16">
        <f>IF(ISNA(VLOOKUP(A123,'Données projet'!$A$191:$I$211,5,0)),0%,VLOOKUP(A123,'Données projet'!$A$191:$I$211,5,0)*VLOOKUP('Données projet'!$B$15,Paramètres!$A$1:$I$89,7,0))</f>
        <v>0</v>
      </c>
      <c r="ET123" s="16">
        <f>IF(ISNA(VLOOKUP(A123,'Données projet'!$A$191:$I$211,6,0)),0%,VLOOKUP(A123,'Données projet'!$A$191:$I$211,6,0)*VLOOKUP('Données projet'!$B$15,Paramètres!$A$1:$I$89,7,0))</f>
        <v>0</v>
      </c>
      <c r="EU123" s="16">
        <f>IF(ISNA(VLOOKUP(A123,'Données projet'!$A$191:$I$211,7,0)),0%,VLOOKUP(A123,'Données projet'!$A$191:$I$211,7,0))</f>
        <v>0</v>
      </c>
      <c r="EV123" s="21">
        <f>EXP(-LN(2)/35)*EV122+(1-EXP(-LN(2)/35))/(LN(2)/35)*ER123*ES123*VLOOKUP('Données projet'!$B$15,Paramètres!$A$1:$I$89,3,0)*0.475*44/12</f>
        <v>0.16867072987556916</v>
      </c>
      <c r="EW123" s="21">
        <f>EXP(-LN(2)/25)*EW122+(1-EXP(-LN(2)/25))/(LN(2)/25)*Calculateur!ER123*Calculateur!ET123*VLOOKUP('Données projet'!$B$15,Paramètres!$A$1:$I$89,3,0)*0.475*44/12</f>
        <v>0.47862683258816485</v>
      </c>
      <c r="EX123" s="21">
        <f>EXP(-LN(2)/2)*EX122+(1-EXP(-LN(2)/2))/(LN(2)/2)*ER123*EU123*VLOOKUP('Données projet'!$B$15,Paramètres!$A$1:$I$89,3,0)*0.475*44/12</f>
        <v>2.5757698609765904E-13</v>
      </c>
      <c r="EY123" s="22">
        <f t="shared" si="75"/>
        <v>0.64729756246399162</v>
      </c>
      <c r="EZ123" s="75">
        <f>('Scénario référence'!$F$8+'Scénario référence'!$F$9+'Scénario référence'!$B$17+'Scénario référence'!$B$9+'Scénario référence'!$B$10)*70+IF((45+25*(1-EXP(-0.0175*A123)))&lt;70,'Scénario référence'!$B$16*(45+25*(1-EXP(-0.0175*A123))),70*'Scénario référence'!$B$16)+IF((32+38*(1-EXP(-0.0175*A123)))&lt;70,'Scénario référence'!$B$18*(32+38*(1-EXP(-0.0175*A123))),70*'Scénario référence'!$B$18)</f>
        <v>70</v>
      </c>
      <c r="FA123" s="12">
        <f>IF(A123&gt;30,10,('Scénario référence'!$B$16+'Scénario référence'!$B$17+'Scénario référence'!$B$18+'Scénario référence'!$B$9+'Scénario référence'!$B$10)*A123*10/30+('Scénario référence'!$F$8+'Scénario référence'!$F$9)*10)</f>
        <v>10</v>
      </c>
      <c r="FB123" s="12">
        <f>VLOOKUP(A123,'Données projet'!$A$217:$I$237,2,0)</f>
        <v>452</v>
      </c>
      <c r="FC123" s="12">
        <f>VLOOKUP(A123,'Données projet'!$A$217:$I$237,9,0)</f>
        <v>7.4</v>
      </c>
      <c r="FD123" s="12">
        <f t="array" ref="FD123">INDEX(FC:FC,MIN(IF(ISNUMBER(FC123:FC319),ROW(FC123:FC319),"")))</f>
        <v>7.4</v>
      </c>
      <c r="FE123" s="12">
        <f>IF('Données projet'!$A$218&gt;35,FE122+FD123-FM122,IF(A123&lt;'Données projet'!$A$218,$FB$205^A123,IF(A123='Données projet'!$A$218,'Données projet'!$B$218,FE122+FD123-FM122)))</f>
        <v>451.99999999999983</v>
      </c>
      <c r="FF123" s="17">
        <f>FE123*VLOOKUP('Données projet'!$B$16,Paramètres!$A$1:$I$89,3,0)*VLOOKUP('Données projet'!$B$16,Paramètres!$A$1:$I$89,5,0)</f>
        <v>387.81599999999992</v>
      </c>
      <c r="FG123" s="13">
        <f t="shared" si="101"/>
        <v>89.302116793739572</v>
      </c>
      <c r="FH123" s="20">
        <f t="shared" si="76"/>
        <v>830.98072008242946</v>
      </c>
      <c r="FI123" s="59">
        <f t="shared" si="77"/>
        <v>1124.3140534157628</v>
      </c>
      <c r="FJ123" s="59">
        <f ca="1">AVERAGE(OFFSET($FI$3,0,0,'Données projet'!$E$16+1,1))-AVERAGE(OFFSET($H$3,0,0,'Données projet'!$E$16+1,1))</f>
        <v>383.97627237444709</v>
      </c>
      <c r="FK123" s="59">
        <f t="shared" si="102"/>
        <v>203.35476578922339</v>
      </c>
      <c r="FL123" s="15">
        <f>IF(ISNA(VLOOKUP(A123,'Données projet'!$A$217:$I$237,3,0)),0,VLOOKUP(A123,'Données projet'!$A$217:$I$237,3,0))</f>
        <v>11</v>
      </c>
      <c r="FM123" s="15">
        <f>IF(ISNA(VLOOKUP(A123,'Données projet'!$A$217:$I$237,4,0)),0,VLOOKUP(A123,'Données projet'!$A$217:$I$237,4,0))</f>
        <v>60</v>
      </c>
      <c r="FN123" s="16">
        <f>IF(ISNA(VLOOKUP(A123,'Données projet'!$A$217:$I$237,5,0)),0%,VLOOKUP(A123,'Données projet'!$A$217:$I$237,5,0)*VLOOKUP('Données projet'!$B$16,Paramètres!$A$1:$I$89,7,0))</f>
        <v>0</v>
      </c>
      <c r="FO123" s="16">
        <f>IF(ISNA(VLOOKUP(A123,'Données projet'!$A$217:$I$237,6,0)),0%,VLOOKUP(A123,'Données projet'!$A$217:$I$237,6,0)*VLOOKUP('Données projet'!$B$16,Paramètres!$A$1:$I$89,7,0))</f>
        <v>0</v>
      </c>
      <c r="FP123" s="16">
        <f>IF(ISNA(VLOOKUP(A123,'Données projet'!$A$217:$I$237,7,0)),0%,VLOOKUP(A123,'Données projet'!$A$217:$I$237,7,0))</f>
        <v>0</v>
      </c>
      <c r="FQ123" s="21">
        <f>EXP(-LN(2)/35)*FQ122+(1-EXP(-LN(2)/35))/(LN(2)/35)*FM123*FN123*VLOOKUP('Données projet'!$B$16,Paramètres!$A$1:$I$89,3,0)*0.475*44/12</f>
        <v>0.8668760441498683</v>
      </c>
      <c r="FR123" s="21">
        <f>EXP(-LN(2)/25)*FR122+(1-EXP(-LN(2)/25))/(LN(2)/25)*Calculateur!FM123*Calculateur!FO123*VLOOKUP('Données projet'!$B$16,Paramètres!$A$1:$I$89,3,0)*0.475*44/12</f>
        <v>0.48585570586169452</v>
      </c>
      <c r="FS123" s="21">
        <f>EXP(-LN(2)/2)*FS122+(1-EXP(-LN(2)/2))/(LN(2)/2)*FM123*FP123*VLOOKUP('Données projet'!$B$16,Paramètres!$A$1:$I$89,3,0)*0.475*44/12</f>
        <v>4.7311606101032714E-13</v>
      </c>
      <c r="FT123" s="22">
        <f t="shared" si="78"/>
        <v>1.3527317500120359</v>
      </c>
      <c r="FU123" s="75">
        <f>('Scénario référence'!$F$8+'Scénario référence'!$F$9+'Scénario référence'!$B$17+'Scénario référence'!$B$9+'Scénario référence'!$B$10)*70+IF((45+25*(1-EXP(-0.0175*A123)))&lt;70,'Scénario référence'!$B$16*(45+25*(1-EXP(-0.0175*A123))),70*'Scénario référence'!$B$16)+IF((32+38*(1-EXP(-0.0175*A123)))&lt;70,'Scénario référence'!$B$18*(32+38*(1-EXP(-0.0175*A123))),70*'Scénario référence'!$B$18)</f>
        <v>70</v>
      </c>
      <c r="FV123" s="12">
        <f>IF(A123&gt;30,10,('Scénario référence'!$B$16+'Scénario référence'!$B$17+'Scénario référence'!$B$18+'Scénario référence'!$B$9+'Scénario référence'!$B$10)*A123*10/30+('Scénario référence'!$F$8+'Scénario référence'!$F$9)*10)</f>
        <v>10</v>
      </c>
      <c r="FW123" s="12" t="e">
        <f>VLOOKUP(A123,'Données projet'!$A$243:$I$263,2,0)</f>
        <v>#N/A</v>
      </c>
      <c r="FX123" s="12" t="e">
        <f>VLOOKUP(A123,'Données projet'!$A$243:$I$263,9,0)</f>
        <v>#N/A</v>
      </c>
      <c r="FY123" s="12">
        <f t="array" ref="FY123">INDEX(FX:FX,MIN(IF(ISNUMBER(FX123:FX319),ROW(FX123:FX319),"")))</f>
        <v>3.8301282051282044</v>
      </c>
      <c r="FZ123" s="12">
        <f>IF('Données projet'!$A$244&gt;35,FZ122+FY123-GH122,IF(A123&lt;'Données projet'!$A$244,$FW$205^A123,IF(A123='Données projet'!$A$244,'Données projet'!$B$244,FZ122+FY123-GH122)))</f>
        <v>211.14423076923114</v>
      </c>
      <c r="GA123" s="17">
        <f>FZ123*VLOOKUP('Données projet'!$B$17,Paramètres!$A$1:$I$89,3,0)*VLOOKUP('Données projet'!$B$17,Paramètres!$A$1:$I$89,5,0)</f>
        <v>227.27565000000041</v>
      </c>
      <c r="GB123" s="13">
        <f t="shared" si="103"/>
        <v>55.693205473285282</v>
      </c>
      <c r="GC123" s="20">
        <f t="shared" si="79"/>
        <v>492.83742328263929</v>
      </c>
      <c r="GD123" s="59">
        <f t="shared" si="80"/>
        <v>786.17075661597255</v>
      </c>
      <c r="GE123" s="59">
        <f ca="1">AVERAGE(OFFSET($GD$3,0,0,'Données projet'!$E$17+1,1))-AVERAGE(OFFSET($H$3,0,0,'Données projet'!$E$17+1,1))</f>
        <v>286.77702855541287</v>
      </c>
      <c r="GF123" s="59">
        <f t="shared" si="104"/>
        <v>227.12211541860779</v>
      </c>
      <c r="GG123" s="15">
        <f>IF(ISNA(VLOOKUP(A123,'Données projet'!$A$243:$I$263,3,0)),0,VLOOKUP(A123,'Données projet'!$A$243:$I$263,3,0))</f>
        <v>0</v>
      </c>
      <c r="GH123" s="15">
        <f>IF(ISNA(VLOOKUP(A123,'Données projet'!$A$243:$I$263,4,0)),0,VLOOKUP(A123,'Données projet'!$A$243:$I$263,4,0))</f>
        <v>0</v>
      </c>
      <c r="GI123" s="16">
        <f>IF(ISNA(VLOOKUP(A123,'Données projet'!$A$243:$I$263,5,0)),0%,VLOOKUP(A123,'Données projet'!$A$243:$I$263,5,0)*VLOOKUP('Données projet'!$B$17,Paramètres!$A$1:$I$89,7,0))</f>
        <v>0</v>
      </c>
      <c r="GJ123" s="16">
        <f>IF(ISNA(VLOOKUP(A123,'Données projet'!$A$243:$I$263,6,0)),0%,VLOOKUP(A123,'Données projet'!$A$243:$I$263,6,0)*VLOOKUP('Données projet'!$B$17,Paramètres!$A$1:$I$89,7,0))</f>
        <v>0</v>
      </c>
      <c r="GK123" s="16">
        <f>IF(ISNA(VLOOKUP(A123,'Données projet'!$A$243:$I$263,7,0)),0%,VLOOKUP(A123,'Données projet'!$A$243:$I$263,7,0))</f>
        <v>0</v>
      </c>
      <c r="GL123" s="21">
        <f>EXP(-LN(2)/35)*GL122+(1-EXP(-LN(2)/35))/(LN(2)/35)*GH123*GI123*VLOOKUP('Données projet'!$B$17,Paramètres!$A$1:$I$89,3,0)*0.475*44/12</f>
        <v>0</v>
      </c>
      <c r="GM123" s="21">
        <f>EXP(-LN(2)/25)*GM122+(1-EXP(-LN(2)/25))/(LN(2)/25)*Calculateur!GH123*Calculateur!GJ123*VLOOKUP('Données projet'!$B$17,Paramètres!$A$1:$I$89,3,0)*0.475*44/12</f>
        <v>0</v>
      </c>
      <c r="GN123" s="21">
        <f>EXP(-LN(2)/2)*GN122+(1-EXP(-LN(2)/2))/(LN(2)/2)*GH123*GK123*VLOOKUP('Données projet'!$B$17,Paramètres!$A$1:$I$89,3,0)*0.475*44/12</f>
        <v>0</v>
      </c>
      <c r="GO123" s="21">
        <f t="shared" si="81"/>
        <v>0</v>
      </c>
      <c r="GP123" s="75">
        <f>('Scénario référence'!$F$8+'Scénario référence'!$F$9+'Scénario référence'!$B$17+'Scénario référence'!$B$9+'Scénario référence'!$B$10)*70+IF((45+25*(1-EXP(-0.0175*A123)))&lt;70,'Scénario référence'!$B$16*(45+25*(1-EXP(-0.0175*A123))),70*'Scénario référence'!$B$16)+IF((32+38*(1-EXP(-0.0175*A123)))&lt;70,'Scénario référence'!$B$18*(32+38*(1-EXP(-0.0175*A123))),70*'Scénario référence'!$B$18)</f>
        <v>70</v>
      </c>
      <c r="GQ123" s="12">
        <f>IF(A123&gt;30,10,('Scénario référence'!$B$16+'Scénario référence'!$B$17+'Scénario référence'!$B$18+'Scénario référence'!$B$9+'Scénario référence'!$B$10)*A123*10/30+('Scénario référence'!$F$8+'Scénario référence'!$F$9)*10)</f>
        <v>10</v>
      </c>
      <c r="GR123" s="12" t="e">
        <f>VLOOKUP(A123,'Données projet'!$A$269:$I$289,2,0)</f>
        <v>#N/A</v>
      </c>
      <c r="GS123" s="12" t="e">
        <f>VLOOKUP(A123,'Données projet'!$A$269:$I$289,9,0)</f>
        <v>#N/A</v>
      </c>
      <c r="GT123" s="12">
        <f t="array" ref="GT123">INDEX(GS:GS,MIN(IF(ISNUMBER(GS123:GS319),ROW(GS123:GS319),"")))</f>
        <v>3.8301282051282044</v>
      </c>
      <c r="GU123" s="12">
        <f>IF('Données projet'!$A$270&gt;35,GU122+GT123-HC122,IF(A123&lt;'Données projet'!$A$270,$GR$205^A123,IF(A123='Données projet'!$A$270,'Données projet'!$B$270,GU122+GT123-HC122)))</f>
        <v>211.14423076923114</v>
      </c>
      <c r="GV123" s="17">
        <f>GU123*VLOOKUP('Données projet'!$B$18,Paramètres!$A$1:$I$89,3,0)*VLOOKUP('Données projet'!$B$18,Paramètres!$A$1:$I$89,5,0)</f>
        <v>227.27565000000041</v>
      </c>
      <c r="GW123" s="13">
        <f t="shared" si="105"/>
        <v>55.693205473285282</v>
      </c>
      <c r="GX123" s="20">
        <f t="shared" si="82"/>
        <v>492.83742328263929</v>
      </c>
      <c r="GY123" s="59">
        <f t="shared" si="83"/>
        <v>786.17075661597255</v>
      </c>
      <c r="GZ123" s="59">
        <f ca="1">AVERAGE(OFFSET($GY$3,0,0,'Données projet'!$E$18+1,1))-AVERAGE(OFFSET($H$3,0,0,'Données projet'!$E$18+1,1))</f>
        <v>286.77702855541287</v>
      </c>
      <c r="HA123" s="59">
        <f t="shared" si="106"/>
        <v>227.12211541860779</v>
      </c>
      <c r="HB123" s="15">
        <f>IF(ISNA(VLOOKUP(A123,'Données projet'!$A$269:$I$289,3,0)),0,VLOOKUP(A123,'Données projet'!$A$269:$I$289,3,0))</f>
        <v>0</v>
      </c>
      <c r="HC123" s="15">
        <f>IF(ISNA(VLOOKUP(A123,'Données projet'!$A$269:$I$289,4,0)),0,VLOOKUP(A123,'Données projet'!$A$269:$I$289,4,0))</f>
        <v>0</v>
      </c>
      <c r="HD123" s="16">
        <f>IF(ISNA(VLOOKUP(A123,'Données projet'!$A$269:$I$289,5,0)),0%,VLOOKUP(A123,'Données projet'!$A$269:$I$289,5,0)*VLOOKUP('Données projet'!$B$18,Paramètres!$A$1:$I$89,7,0))</f>
        <v>0</v>
      </c>
      <c r="HE123" s="16">
        <f>IF(ISNA(VLOOKUP(A123,'Données projet'!$A$269:$I$289,6,0)),0%,VLOOKUP(A123,'Données projet'!$A$269:$I$289,6,0)*VLOOKUP('Données projet'!$B$18,Paramètres!$A$1:$I$89,7,0))</f>
        <v>0</v>
      </c>
      <c r="HF123" s="16">
        <f>IF(ISNA(VLOOKUP(A123,'Données projet'!$A$269:$I$289,7,0)),0%,VLOOKUP(A123,'Données projet'!$A$269:$I$289,7,0))</f>
        <v>0</v>
      </c>
      <c r="HG123" s="21">
        <f>EXP(-LN(2)/35)*HG122+(1-EXP(-LN(2)/35))/(LN(2)/35)*HC123*HD123*VLOOKUP('Données projet'!$B$18,Paramètres!$A$1:$I$89,3,0)*0.475*44/12</f>
        <v>0</v>
      </c>
      <c r="HH123" s="21">
        <f>EXP(-LN(2)/25)*HH122+(1-EXP(-LN(2)/25))/(LN(2)/25)*Calculateur!HC123*Calculateur!HE123*VLOOKUP('Données projet'!$B$18,Paramètres!$A$1:$I$89,3,0)*0.475*44/12</f>
        <v>0</v>
      </c>
      <c r="HI123" s="21">
        <f>EXP(-LN(2)/2)*HI122+(1-EXP(-LN(2)/2))/(LN(2)/2)*HC123*HF123*VLOOKUP('Données projet'!$B$18,Paramètres!$A$1:$I$89,3,0)*0.475*44/12</f>
        <v>0</v>
      </c>
      <c r="HJ123" s="22">
        <f t="shared" si="84"/>
        <v>0</v>
      </c>
    </row>
    <row r="124" spans="1:218" x14ac:dyDescent="0.25">
      <c r="A124" s="10">
        <f t="shared" si="85"/>
        <v>121</v>
      </c>
      <c r="B124" s="73">
        <f>'Scénario référence'!$B$16*5+'Scénario référence'!$B$17*0+'Scénario référence'!$B$18*5</f>
        <v>0</v>
      </c>
      <c r="C124" s="19">
        <f>Calculateur!C123+'Scénario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107.59320000000019</v>
      </c>
      <c r="D124" s="11">
        <f t="shared" si="86"/>
        <v>28.763195667267546</v>
      </c>
      <c r="E12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24" s="11">
        <f>IF(OR('Scénario référence'!$F$8&gt;0,'Scénario référence'!$F$9&gt;0),('Scénario référence'!$F$8+'Scénario référence'!$F$9)*10,0)</f>
        <v>10</v>
      </c>
      <c r="G124" s="11">
        <f>'Scénario référence'!$B$8*B124*44/12+'Scénario référence'!$B$9*(C124+D124)/0.475*44/12+'Scénario référence'!$B$10*(C124+D124)/0.475*44/12+'Scénario référence'!$F$8*(C124+D124)/0.475*44/12+'Scénario référence'!$F$9*(C124+D124)/0.475*44/12</f>
        <v>1052.5756858525931</v>
      </c>
      <c r="H124" s="67">
        <f t="shared" si="56"/>
        <v>530.8207224538246</v>
      </c>
      <c r="I124" s="70">
        <f>('Scénario référence'!$F$8+'Scénario référence'!$F$9+'Scénario référence'!$B$17+'Scénario référence'!$B$9+'Scénario référence'!$B$10)*70+IF((45+25*(1-EXP(-0.0175*A124)))&lt;70,'Scénario référence'!$B$16*(45+25*(1-EXP(-0.0175*A124))),70*'Scénario référence'!$B$16)+IF((32+38*(1-EXP(-0.0175*A124)))&lt;70,'Scénario référence'!$B$18*(32+38*(1-EXP(-0.0175*A124))),70*'Scénario référence'!$B$18)</f>
        <v>70</v>
      </c>
      <c r="J124" s="13">
        <f>IF(A124&gt;30,10,('Scénario référence'!$B$16+'Scénario référence'!$B$17+'Scénario référence'!$B$18+'Scénario référence'!$B$9+'Scénario référence'!$B$10)*A124*10/30+('Scénario référence'!$F$8+'Scénario référence'!$F$9)*10)</f>
        <v>10</v>
      </c>
      <c r="K124" s="12" t="e">
        <f>VLOOKUP(A124,'Données projet'!$A$35:$I$55,2,0)</f>
        <v>#N/A</v>
      </c>
      <c r="L124" s="12" t="e">
        <f>VLOOKUP(A124,'Données projet'!$A$35:$I$55,9,0)</f>
        <v>#N/A</v>
      </c>
      <c r="M124" s="12">
        <f t="array" ref="M124">INDEX(L:L,MIN(IF(ISNUMBER(L124:L320),ROW(L124:L320),"")))</f>
        <v>0</v>
      </c>
      <c r="N124" s="13">
        <f>IF('Données projet'!$A$36&gt;35,N123+M124-V123,IF(A124&lt;'Données projet'!$A$36,$K$205^A124,IF(A124='Données projet'!$A$36,'Données projet'!$B$36,N123+M124-V123)))</f>
        <v>-2.2737367544323206E-13</v>
      </c>
      <c r="O124" s="13">
        <f>N124*VLOOKUP('Données projet'!$B$9,Paramètres!$A$1:$I$89,3,0)*VLOOKUP('Données projet'!$B$9,Paramètres!$A$1:$I$89,5,0)</f>
        <v>-1.2710188457276673E-13</v>
      </c>
      <c r="P124" s="13" t="e">
        <f t="shared" si="87"/>
        <v>#NUM!</v>
      </c>
      <c r="Q124" s="20" t="e">
        <f t="shared" si="107"/>
        <v>#NUM!</v>
      </c>
      <c r="R124" s="59" t="e">
        <f t="shared" si="55"/>
        <v>#NUM!</v>
      </c>
      <c r="S124" s="59">
        <f ca="1">AVERAGE(OFFSET($R$3,0,0,'Données projet'!$E$9+1,1))-AVERAGE(OFFSET($H$3,0,0,'Données projet'!$E$9+1,1))</f>
        <v>255.5374979188561</v>
      </c>
      <c r="T124" s="59">
        <f t="shared" si="88"/>
        <v>343.10418468620901</v>
      </c>
      <c r="U124" s="15">
        <f>IF(ISNA(VLOOKUP(A124,'Données projet'!$A$35:$I$55,3,0)),0,VLOOKUP(A124,'Données projet'!$A$35:$I$55,3,0))</f>
        <v>0</v>
      </c>
      <c r="V124" s="15">
        <f>IF(ISNA(VLOOKUP(A124,'Données projet'!$A$35:$I$55,4,0)),0,VLOOKUP(A124,'Données projet'!$A$35:$I$55,4,0))</f>
        <v>0</v>
      </c>
      <c r="W124" s="16">
        <f>IF(ISNA(VLOOKUP(A124,'Données projet'!$A$35:$I$55,5,0)),0%,VLOOKUP(A124,'Données projet'!$A$35:$I$55,5,0)*VLOOKUP('Données projet'!$B$9,Paramètres!$A$1:$I$89,7,0))</f>
        <v>0</v>
      </c>
      <c r="X124" s="16">
        <f>IF(ISNA(VLOOKUP(A124,'Données projet'!$A$35:$I$55,6,0)),0%,VLOOKUP(A124,'Données projet'!$A$35:$I$55,6,0)*VLOOKUP('Données projet'!$B$9,Paramètres!$A$1:$I$89,7,0))</f>
        <v>0</v>
      </c>
      <c r="Y124" s="16">
        <f>IF(ISNA(VLOOKUP(A124,'Données projet'!$A$35:$I$55,7,0)),0%,VLOOKUP(A124,'Données projet'!$A$35:$I$55,7,0))</f>
        <v>0</v>
      </c>
      <c r="Z124" s="21">
        <f>EXP(-LN(2)/35)*Z123+(1-EXP(-LN(2)/35))/(LN(2)/35)*V124*W124*VLOOKUP('Données projet'!$B$9,Paramètres!$A$1:$I$89,3,0)*0.475*44/12</f>
        <v>0.50966666770498881</v>
      </c>
      <c r="AA124" s="21">
        <f>EXP(-LN(2)/25)*AA123+(1-EXP(-LN(2)/25))/(LN(2)/25)*Calculateur!V124*Calculateur!X124*VLOOKUP('Données projet'!$B$9,Paramètres!$A$1:$I$89,3,0)*0.475*44/12</f>
        <v>1.2802381187250493</v>
      </c>
      <c r="AB124" s="21">
        <f>EXP(-LN(2)/2)*AB123+(1-EXP(-LN(2)/2))/(LN(2)/2)*V124*Y124*VLOOKUP('Données projet'!$B$9,Paramètres!$A$1:$I$89,3,0)*0.475*44/12</f>
        <v>3.401753939361586E-14</v>
      </c>
      <c r="AC124" s="22">
        <f t="shared" si="57"/>
        <v>1.7899047864300721</v>
      </c>
      <c r="AD124" s="13">
        <f>('Scénario référence'!$F$8+'Scénario référence'!$F$9+'Scénario référence'!$B$17+'Scénario référence'!$B$9+'Scénario référence'!$B$10)*70+IF((45+25*(1-EXP(-0.0175*A124)))&lt;70,'Scénario référence'!$B$16*(45+25*(1-EXP(-0.0175*A124))),70*'Scénario référence'!$B$16)+IF((32+38*(1-EXP(-0.0175*A124)))&lt;70,'Scénario référence'!$B$18*(32+38*(1-EXP(-0.0175*A124))),70*'Scénario référence'!$B$18)</f>
        <v>70</v>
      </c>
      <c r="AE124" s="13">
        <f>IF(A124&gt;30,10,('Scénario référence'!$B$16+'Scénario référence'!$B$17+'Scénario référence'!$B$18+'Scénario référence'!$B$9+'Scénario référence'!$B$10)*A124*10/30+('Scénario référence'!$F$8+'Scénario référence'!$F$9)*10)</f>
        <v>10</v>
      </c>
      <c r="AF124" s="12" t="e">
        <f>VLOOKUP(A124,'Données projet'!$A$61:$I$81,2,0)</f>
        <v>#N/A</v>
      </c>
      <c r="AG124" s="12" t="e">
        <f>VLOOKUP(A124,'Données projet'!$A$61:$I$81,9,0)</f>
        <v>#N/A</v>
      </c>
      <c r="AH124" s="12">
        <f t="array" ref="AH124">INDEX(AG:AG,MIN(IF(ISNUMBER(AG124:AG320),ROW(AG124:AG320),"")))</f>
        <v>0</v>
      </c>
      <c r="AI124" s="13">
        <f>IF('Données projet'!$A$62&gt;35,AI123+AH124-AQ123,IF(A124&lt;'Données projet'!$A$62,$AF$205^A124,IF(A124='Données projet'!$A$62,'Données projet'!$B$62,AI123+AH124-AQ123)))</f>
        <v>0</v>
      </c>
      <c r="AJ124" s="13">
        <f>AI124*VLOOKUP('Données projet'!$B$10,Paramètres!$A$1:$I$89,3,0)*VLOOKUP('Données projet'!$B$10,Paramètres!$A$1:$I$89,5,0)</f>
        <v>0</v>
      </c>
      <c r="AK124" s="13" t="e">
        <f t="shared" si="89"/>
        <v>#NUM!</v>
      </c>
      <c r="AL124" s="20" t="e">
        <f t="shared" si="58"/>
        <v>#NUM!</v>
      </c>
      <c r="AM124" s="59" t="e">
        <f t="shared" si="59"/>
        <v>#NUM!</v>
      </c>
      <c r="AN124" s="59">
        <f ca="1">AVERAGE(OFFSET($AM$3,0,0,'Données projet'!$E$10+1,1))-AVERAGE(OFFSET($H$3,0,0,'Données projet'!$E$10+1,1))</f>
        <v>261.78489480911571</v>
      </c>
      <c r="AO124" s="59">
        <f t="shared" si="90"/>
        <v>297.50513563712764</v>
      </c>
      <c r="AP124" s="15">
        <f>IF(ISNA(VLOOKUP(A124,'Données projet'!$A$61:$I$81,3,0)),0,VLOOKUP(A124,'Données projet'!$A$61:$I$81,3,0))</f>
        <v>0</v>
      </c>
      <c r="AQ124" s="15">
        <f>IF(ISNA(VLOOKUP(A124,'Données projet'!$A$61:$I$81,4,0)),0,VLOOKUP(A124,'Données projet'!$A$61:$I$81,4,0))</f>
        <v>0</v>
      </c>
      <c r="AR124" s="16">
        <f>IF(ISNA(VLOOKUP(A124,'Données projet'!$A$61:$I$81,5,0)),0%,VLOOKUP(A124,'Données projet'!$A$61:$I$81,5,0)*VLOOKUP('Données projet'!$B$10,Paramètres!$A$1:$I$89,7,0))</f>
        <v>0</v>
      </c>
      <c r="AS124" s="16">
        <f>IF(ISNA(VLOOKUP(A124,'Données projet'!$A$61:$I$81,6,0)),0%,VLOOKUP(A124,'Données projet'!$A$61:$I$81,6,0)*VLOOKUP('Données projet'!$B$10,Paramètres!$A$1:$I$89,7,0))</f>
        <v>0</v>
      </c>
      <c r="AT124" s="16">
        <f>IF(ISNA(VLOOKUP(A124,'Données projet'!$A$61:$I$81,7,0)),0%,VLOOKUP(A124,'Données projet'!$A$61:$I$81,7,0))</f>
        <v>0</v>
      </c>
      <c r="AU124" s="21">
        <f>EXP(-LN(2)/35)*AU123+(1-EXP(-LN(2)/35))/(LN(2)/35)*AQ124*AR124*VLOOKUP('Données projet'!$B$10,Paramètres!$A$1:$I$89,3,0)*0.475*44/12</f>
        <v>1.3762441613289917</v>
      </c>
      <c r="AV124" s="21">
        <f>EXP(-LN(2)/25)*AV123+(1-EXP(-LN(2)/25))/(LN(2)/25)*Calculateur!AQ124*Calculateur!AS124*VLOOKUP('Données projet'!$B$10,Paramètres!$A$1:$I$89,3,0)*0.475*44/12</f>
        <v>2.2355568737803591</v>
      </c>
      <c r="AW124" s="21">
        <f>EXP(-LN(2)/2)*AW123+(1-EXP(-LN(2)/2))/(LN(2)/2)*AQ124*AT124*VLOOKUP('Données projet'!$B$10,Paramètres!$A$1:$I$89,3,0)*0.475*44/12</f>
        <v>4.9039521519317393E-13</v>
      </c>
      <c r="AX124" s="21">
        <f t="shared" si="60"/>
        <v>3.6118010351098411</v>
      </c>
      <c r="AY124" s="74">
        <f>('Scénario référence'!$F$8+'Scénario référence'!$F$9+'Scénario référence'!$B$17+'Scénario référence'!$B$9+'Scénario référence'!$B$10)*70+IF((45+25*(1-EXP(-0.0175*A124)))&lt;70,'Scénario référence'!$B$16*(45+25*(1-EXP(-0.0175*A124))),70*'Scénario référence'!$B$16)+IF((32+38*(1-EXP(-0.0175*A124)))&lt;70,'Scénario référence'!$B$18*(32+38*(1-EXP(-0.0175*A124))),70*'Scénario référence'!$B$18)</f>
        <v>70</v>
      </c>
      <c r="AZ124" s="12">
        <f>IF(A124&gt;30,10,('Scénario référence'!$B$16+'Scénario référence'!$B$17+'Scénario référence'!$B$18+'Scénario référence'!$B$9+'Scénario référence'!$B$10)*A124*10/30+('Scénario référence'!$F$8+'Scénario référence'!$F$9)*10)</f>
        <v>10</v>
      </c>
      <c r="BA124" s="12" t="e">
        <f>VLOOKUP(A124,'Données projet'!$A$87:$I$107,2,0)</f>
        <v>#N/A</v>
      </c>
      <c r="BB124" s="12" t="e">
        <f>VLOOKUP(A124,'Données projet'!$A$87:$I$107,9,0)</f>
        <v>#N/A</v>
      </c>
      <c r="BC124" s="12">
        <f t="array" ref="BC124">INDEX(BB:BB,MIN(IF(ISNUMBER(BB124:BB320),ROW(BB124:BB320),"")))</f>
        <v>0</v>
      </c>
      <c r="BD124" s="12">
        <f>IF('Données projet'!$A$88&gt;35,BD123+BC124-BL123,IF(A124&lt;'Données projet'!$A$88,$BA$205^A124,IF(A124='Données projet'!$A$88,'Données projet'!$B$88,BD123+BC124-BL123)))</f>
        <v>553.99999999999955</v>
      </c>
      <c r="BE124" s="13">
        <f>BD124*VLOOKUP('Données projet'!$B$11,Paramètres!$A$1:$I$89,3,0)*VLOOKUP('Données projet'!$B$11,Paramètres!$A$1:$I$89,5,0)</f>
        <v>331.29199999999975</v>
      </c>
      <c r="BF124" s="13">
        <f t="shared" si="91"/>
        <v>77.698110787752</v>
      </c>
      <c r="BG124" s="20">
        <f t="shared" si="61"/>
        <v>712.32444295533423</v>
      </c>
      <c r="BH124" s="59">
        <f t="shared" si="62"/>
        <v>1005.6577762886675</v>
      </c>
      <c r="BI124" s="59">
        <f ca="1">AVERAGE(OFFSET($BH$3,0,0,'Données projet'!$E$11+1,1))-AVERAGE(OFFSET($H$3,0,0,'Données projet'!$E$11+1,1))</f>
        <v>316.58509520829671</v>
      </c>
      <c r="BJ124" s="59">
        <f t="shared" si="92"/>
        <v>240.71332110643596</v>
      </c>
      <c r="BK124" s="15">
        <f>IF(ISNA(VLOOKUP(A124,'Données projet'!$A$87:$I$107,3,0)),0,VLOOKUP(A124,'Données projet'!$A$87:$I$107,3,0))</f>
        <v>0</v>
      </c>
      <c r="BL124" s="15">
        <f>IF(ISNA(VLOOKUP(A124,'Données projet'!$A$87:$I$107,4,0)),0,VLOOKUP(A124,'Données projet'!$A$87:$I$107,4,0))</f>
        <v>0</v>
      </c>
      <c r="BM124" s="16">
        <f>IF(ISNA(VLOOKUP(A124,'Données projet'!$A$87:$I$107,5,0)),0%,VLOOKUP(A124,'Données projet'!$A$87:$I$107,5,0)*VLOOKUP('Données projet'!$B$11,Paramètres!$A$1:$I$89,7,0))</f>
        <v>0</v>
      </c>
      <c r="BN124" s="16">
        <f>IF(ISNA(VLOOKUP(A124,'Données projet'!$A$87:$I$107,6,0)),0%,VLOOKUP(A124,'Données projet'!$A$87:$I$107,6,0)*VLOOKUP('Données projet'!$B$11,Paramètres!$A$1:$I$89,7,0))</f>
        <v>0</v>
      </c>
      <c r="BO124" s="16">
        <f>IF(ISNA(VLOOKUP(A124,'Données projet'!$A$87:$I$107,7,0)),0%,VLOOKUP(A124,'Données projet'!$A$87:$I$107,7,0))</f>
        <v>0</v>
      </c>
      <c r="BP124" s="21">
        <f>EXP(-LN(2)/35)*BP123+(1-EXP(-LN(2)/35))/(LN(2)/35)*BL124*BM124*VLOOKUP('Données projet'!$B$11,Paramètres!$A$1:$I$89,3,0)*0.475*44/12</f>
        <v>0.418044403915596</v>
      </c>
      <c r="BQ124" s="21">
        <f>EXP(-LN(2)/25)*BQ123+(1-EXP(-LN(2)/25))/(LN(2)/25)*Calculateur!BL124*Calculateur!BN124*VLOOKUP('Données projet'!$B$11,Paramètres!$A$1:$I$89,3,0)*0.475*44/12</f>
        <v>1.2247032847065615</v>
      </c>
      <c r="BR124" s="21">
        <f>EXP(-LN(2)/2)*BR123+(1-EXP(-LN(2)/2))/(LN(2)/2)*BL124*BO124*VLOOKUP('Données projet'!$B$11,Paramètres!$A$1:$I$89,3,0)*0.475*44/12</f>
        <v>4.4091900291717656E-13</v>
      </c>
      <c r="BS124" s="22">
        <f t="shared" si="63"/>
        <v>1.6427476886225985</v>
      </c>
      <c r="BT124" s="75">
        <f>('Scénario référence'!$F$8+'Scénario référence'!$F$9+'Scénario référence'!$B$17+'Scénario référence'!$B$9+'Scénario référence'!$B$10)*70+IF((45+25*(1-EXP(-0.0175*A124)))&lt;70,'Scénario référence'!$B$16*(45+25*(1-EXP(-0.0175*A124))),70*'Scénario référence'!$B$16)+IF((32+38*(1-EXP(-0.0175*A124)))&lt;70,'Scénario référence'!$B$18*(32+38*(1-EXP(-0.0175*A124))),70*'Scénario référence'!$B$18)</f>
        <v>70</v>
      </c>
      <c r="BU124" s="12">
        <f>IF(A124&gt;30,10,('Scénario référence'!$B$16+'Scénario référence'!$B$17+'Scénario référence'!$B$18+'Scénario référence'!$B$9+'Scénario référence'!$B$10)*A124*10/30+('Scénario référence'!$F$8+'Scénario référence'!$F$9)*10)</f>
        <v>10</v>
      </c>
      <c r="BV124" s="12" t="e">
        <f>VLOOKUP(A124,'Données projet'!$A$113:$I$133,2,0)</f>
        <v>#N/A</v>
      </c>
      <c r="BW124" s="12" t="e">
        <f>VLOOKUP(A124,'Données projet'!$A$113:$I$133,9,0)</f>
        <v>#N/A</v>
      </c>
      <c r="BX124" s="12">
        <f t="array" ref="BX124">INDEX(BW:BW,MIN(IF(ISNUMBER(BW124:BW320),ROW(BW124:BW320),"")))</f>
        <v>0</v>
      </c>
      <c r="BY124" s="12">
        <f>IF('Données projet'!$A$114&gt;35,BY123+BX124-CG123,IF(A124&lt;'Données projet'!$A$114,$BV$205^A124,IF(A124='Données projet'!$A$114,'Données projet'!$B$114,BY123+BX124-CG123)))</f>
        <v>333.99999999999977</v>
      </c>
      <c r="BZ124" s="13">
        <f>BY124*VLOOKUP('Données projet'!$B$12,Paramètres!$A$1:$I$89,3,0)*VLOOKUP('Données projet'!$B$12,Paramètres!$A$1:$I$89,5,0)</f>
        <v>191.04799999999986</v>
      </c>
      <c r="CA124" s="13">
        <f t="shared" si="93"/>
        <v>47.771576544305155</v>
      </c>
      <c r="CB124" s="20">
        <f t="shared" si="64"/>
        <v>415.94409581466454</v>
      </c>
      <c r="CC124" s="59">
        <f t="shared" si="65"/>
        <v>709.27742914799785</v>
      </c>
      <c r="CD124" s="59">
        <f ca="1">AVERAGE(OFFSET($CC$3,0,0,'Données projet'!$E$12+1,1))-AVERAGE(OFFSET($H$3,0,0,'Données projet'!$E$12+1,1))</f>
        <v>188.64374818906128</v>
      </c>
      <c r="CE124" s="59">
        <f t="shared" si="94"/>
        <v>211.95157880548652</v>
      </c>
      <c r="CF124" s="15">
        <f>IF(ISNA(VLOOKUP(A124,'Données projet'!$A$113:$I$133,3,0)),0,VLOOKUP(A124,'Données projet'!$A$113:$I$133,3,0))</f>
        <v>0</v>
      </c>
      <c r="CG124" s="15">
        <f>IF(ISNA(VLOOKUP(A124,'Données projet'!$A$113:$I$133,4,0)),0,VLOOKUP(A124,'Données projet'!$A$113:$I$133,4,0))</f>
        <v>0</v>
      </c>
      <c r="CH124" s="16">
        <f>IF(ISNA(VLOOKUP(A124,'Données projet'!$A$113:$I$133,5,0)),0%,VLOOKUP(A124,'Données projet'!$A$113:$I$133,5,0)*VLOOKUP('Données projet'!$B$12,Paramètres!$A$1:$I$89,7,0))</f>
        <v>0</v>
      </c>
      <c r="CI124" s="16">
        <f>IF(ISNA(VLOOKUP(A124,'Données projet'!$A$113:$I$133,6,0)),0%,VLOOKUP(A124,'Données projet'!$A$113:$I$133,6,0)*VLOOKUP('Données projet'!$B$12,Paramètres!$A$1:$I$89,7,0))</f>
        <v>0</v>
      </c>
      <c r="CJ124" s="16">
        <f>IF(ISNA(VLOOKUP(A124,'Données projet'!$A$113:$I$133,7,0)),0%,VLOOKUP(A124,'Données projet'!$A$113:$I$133,7,0))</f>
        <v>0</v>
      </c>
      <c r="CK124" s="21">
        <f>EXP(-LN(2)/35)*CK123+(1-EXP(-LN(2)/35))/(LN(2)/35)*CG124*CH124*VLOOKUP('Données projet'!$B$12,Paramètres!$A$1:$I$89,3,0)*0.475*44/12</f>
        <v>0.40550051182014912</v>
      </c>
      <c r="CL124" s="21">
        <f>EXP(-LN(2)/25)*CL123+(1-EXP(-LN(2)/25))/(LN(2)/25)*Calculateur!CG124*Calculateur!CI124*VLOOKUP('Données projet'!$B$12,Paramètres!$A$1:$I$89,3,0)*0.475*44/12</f>
        <v>1.1527184610069972</v>
      </c>
      <c r="CM124" s="21">
        <f>EXP(-LN(2)/2)*CM123+(1-EXP(-LN(2)/2))/(LN(2)/2)*CG124*CJ124*VLOOKUP('Données projet'!$B$12,Paramètres!$A$1:$I$89,3,0)*0.475*44/12</f>
        <v>4.2699555631015114E-13</v>
      </c>
      <c r="CN124" s="22">
        <f t="shared" si="66"/>
        <v>1.5582189728275733</v>
      </c>
      <c r="CO124" s="75">
        <f>('Scénario référence'!$F$8+'Scénario référence'!$F$9+'Scénario référence'!$B$17+'Scénario référence'!$B$9+'Scénario référence'!$B$10)*70+IF((45+25*(1-EXP(-0.0175*A124)))&lt;70,'Scénario référence'!$B$16*(45+25*(1-EXP(-0.0175*A124))),70*'Scénario référence'!$B$16)+IF((32+38*(1-EXP(-0.0175*A124)))&lt;70,'Scénario référence'!$B$18*(32+38*(1-EXP(-0.0175*A124))),70*'Scénario référence'!$B$18)</f>
        <v>70</v>
      </c>
      <c r="CP124" s="12">
        <f>IF(A124&gt;30,10,('Scénario référence'!$B$16+'Scénario référence'!$B$17+'Scénario référence'!$B$18+'Scénario référence'!$B$9+'Scénario référence'!$B$10)*A124*10/30+('Scénario référence'!$F$8+'Scénario référence'!$F$9)*10)</f>
        <v>10</v>
      </c>
      <c r="CQ124" s="12" t="e">
        <f>VLOOKUP(A124,'Données projet'!$A$139:$I$159,2,0)</f>
        <v>#N/A</v>
      </c>
      <c r="CR124" s="12" t="e">
        <f>VLOOKUP(A124,'Données projet'!$A$139:$I$159,9,0)</f>
        <v>#N/A</v>
      </c>
      <c r="CS124" s="12">
        <f t="array" ref="CS124">INDEX(CR:CR,MIN(IF(ISNUMBER(CR124:CR320),ROW(CR124:CR320),"")))</f>
        <v>0</v>
      </c>
      <c r="CT124" s="12">
        <f>IF('Données projet'!$A$140&gt;35,CT123+CS124-DB123,IF(A124&lt;'Données projet'!$A$140,$CQ$205^A124,IF(A124='Données projet'!$A$140,'Données projet'!$B$140,CT123+CS124-DB123)))</f>
        <v>0</v>
      </c>
      <c r="CU124" s="17" t="e">
        <f>CT124*VLOOKUP('Données projet'!$B$13,Paramètres!$A$1:$I$89,3,0)*VLOOKUP('Données projet'!$B$13,Paramètres!$A$1:$I$89,5,0)</f>
        <v>#N/A</v>
      </c>
      <c r="CV124" s="13" t="e">
        <f t="shared" si="95"/>
        <v>#N/A</v>
      </c>
      <c r="CW124" s="20" t="e">
        <f t="shared" si="67"/>
        <v>#N/A</v>
      </c>
      <c r="CX124" s="59" t="e">
        <f t="shared" si="68"/>
        <v>#N/A</v>
      </c>
      <c r="CY124" s="59" t="e">
        <f ca="1">AVERAGE(OFFSET($CX$3,0,0,'Données projet'!$E$13+1,1))-AVERAGE(OFFSET($H$3,0,0,'Données projet'!$E$13+1,1))</f>
        <v>#N/A</v>
      </c>
      <c r="CZ124" s="59" t="e">
        <f t="shared" si="96"/>
        <v>#N/A</v>
      </c>
      <c r="DA124" s="15">
        <f>IF(ISNA(VLOOKUP(A124,'Données projet'!$A$139:$I$159,3,0)),0,VLOOKUP(A124,'Données projet'!$A$139:$I$159,3,0))</f>
        <v>0</v>
      </c>
      <c r="DB124" s="15">
        <f>IF(ISNA(VLOOKUP(A124,'Données projet'!$A$139:$I$159,4,0)),0,VLOOKUP(A124,'Données projet'!$A$139:$I$159,4,0))</f>
        <v>0</v>
      </c>
      <c r="DC124" s="16">
        <f>IF(ISNA(VLOOKUP(A124,'Données projet'!$A$139:$I$159,5,0)),0%,VLOOKUP(A124,'Données projet'!$A$139:$I$159,5,0)*VLOOKUP('Données projet'!$B$13,Paramètres!$A$1:$I$89,7,0))</f>
        <v>0</v>
      </c>
      <c r="DD124" s="16">
        <f>IF(ISNA(VLOOKUP(A124,'Données projet'!$A$139:$I$159,6,0)),0%,VLOOKUP(A124,'Données projet'!$A$139:$I$159,6,0)*VLOOKUP('Données projet'!$B$13,Paramètres!$A$1:$I$89,7,0))</f>
        <v>0</v>
      </c>
      <c r="DE124" s="16">
        <f>IF(ISNA(VLOOKUP(A124,'Données projet'!$A$139:$I$159,7,0)),0%,VLOOKUP(A124,'Données projet'!$A$139:$I$159,7,0))</f>
        <v>0</v>
      </c>
      <c r="DF124" s="21" t="e">
        <f>EXP(-LN(2)/35)*DF123+(1-EXP(-LN(2)/35))/(LN(2)/35)*DB124*DC124*VLOOKUP('Données projet'!$B$13,Paramètres!$A$1:$I$89,3,0)*0.475*44/12</f>
        <v>#N/A</v>
      </c>
      <c r="DG124" s="21" t="e">
        <f>EXP(-LN(2)/25)*DG123+(1-EXP(-LN(2)/25))/(LN(2)/25)*Calculateur!DB124*Calculateur!DD124*VLOOKUP('Données projet'!$B$13,Paramètres!$A$1:$I$89,3,0)*0.475*44/12</f>
        <v>#N/A</v>
      </c>
      <c r="DH124" s="21" t="e">
        <f>EXP(-LN(2)/2)*DH123+(1-EXP(-LN(2)/2))/(LN(2)/2)*DB124*DE124*VLOOKUP('Données projet'!$B$13,Paramètres!$A$1:$I$89,3,0)*0.475*44/12</f>
        <v>#N/A</v>
      </c>
      <c r="DI124" s="22" t="e">
        <f t="shared" si="69"/>
        <v>#N/A</v>
      </c>
      <c r="DJ124" s="75">
        <f>('Scénario référence'!$F$8+'Scénario référence'!$F$9+'Scénario référence'!$B$17+'Scénario référence'!$B$9+'Scénario référence'!$B$10)*70+IF((45+25*(1-EXP(-0.0175*A124)))&lt;70,'Scénario référence'!$B$16*(45+25*(1-EXP(-0.0175*A124))),70*'Scénario référence'!$B$16)+IF((32+38*(1-EXP(-0.0175*A124)))&lt;70,'Scénario référence'!$B$18*(32+38*(1-EXP(-0.0175*A124))),70*'Scénario référence'!$B$18)</f>
        <v>70</v>
      </c>
      <c r="DK124" s="12">
        <f>IF(A124&gt;30,10,('Scénario référence'!$B$16+'Scénario référence'!$B$17+'Scénario référence'!$B$18+'Scénario référence'!$B$9+'Scénario référence'!$B$10)*A124*10/30+('Scénario référence'!$F$8+'Scénario référence'!$F$9)*10)</f>
        <v>10</v>
      </c>
      <c r="DL124" s="12" t="e">
        <f>VLOOKUP(A124,'Données projet'!$A$165:$I$185,2,0)</f>
        <v>#N/A</v>
      </c>
      <c r="DM124" s="12" t="e">
        <f>VLOOKUP(A124,'Données projet'!$A$165:$I$185,9,0)</f>
        <v>#N/A</v>
      </c>
      <c r="DN124" s="12">
        <f t="array" ref="DN124">INDEX(DM:DM,MIN(IF(ISNUMBER(DM124:DM320),ROW(DM124:DM320),"")))</f>
        <v>0</v>
      </c>
      <c r="DO124" s="12">
        <f>IF('Données projet'!$A$166&gt;35,DO123+DN124-DW123,IF(A124&lt;'Données projet'!$A$166,$DL$205^A124,IF(A124='Données projet'!$A$166,'Données projet'!$B$166,DO123+DN124-DW123)))</f>
        <v>268.00000000000017</v>
      </c>
      <c r="DP124" s="17">
        <f>DO124*VLOOKUP('Données projet'!$B$14,Paramètres!$A$1:$I$89,3,0)*VLOOKUP('Données projet'!$B$14,Paramètres!$A$1:$I$89,5,0)</f>
        <v>175.59360000000012</v>
      </c>
      <c r="DQ124" s="13">
        <f t="shared" si="97"/>
        <v>44.340433728638573</v>
      </c>
      <c r="DR124" s="20">
        <f t="shared" si="70"/>
        <v>383.05177541071242</v>
      </c>
      <c r="DS124" s="59">
        <f t="shared" si="71"/>
        <v>676.38510874404574</v>
      </c>
      <c r="DT124" s="59">
        <f ca="1">AVERAGE(OFFSET($DS$3,0,0,'Données projet'!$E$14+1,1))-AVERAGE(OFFSET($H$3,0,0,'Données projet'!$E$14+1,1))</f>
        <v>188.68915783955595</v>
      </c>
      <c r="DU124" s="59">
        <f t="shared" si="98"/>
        <v>240.82467772396944</v>
      </c>
      <c r="DV124" s="15">
        <f>IF(ISNA(VLOOKUP(A124,'Données projet'!$A$165:$I$185,3,0)),0,VLOOKUP(A124,'Données projet'!$A$165:$I$185,3,0))</f>
        <v>0</v>
      </c>
      <c r="DW124" s="15">
        <f>IF(ISNA(VLOOKUP(A124,'Données projet'!$A$165:$I$185,4,0)),0,VLOOKUP(A124,'Données projet'!$A$165:$I$185,4,0))</f>
        <v>0</v>
      </c>
      <c r="DX124" s="16">
        <f>IF(ISNA(VLOOKUP(A124,'Données projet'!$A$165:$I$185,5,0)),0%,VLOOKUP(A124,'Données projet'!$A$165:$I$185,5,0)*VLOOKUP('Données projet'!$B$14,Paramètres!$A$1:$I$89,7,0))</f>
        <v>0</v>
      </c>
      <c r="DY124" s="16">
        <f>IF(ISNA(VLOOKUP(A124,'Données projet'!$A$165:$I$185,6,0)),0%,VLOOKUP(A124,'Données projet'!$A$165:$I$185,6,0)*VLOOKUP('Données projet'!$B$14,Paramètres!$A$1:$I$89,7,0))</f>
        <v>0</v>
      </c>
      <c r="DZ124" s="16">
        <f>IF(ISNA(VLOOKUP(A124,'Données projet'!$A$165:$I$185,7,0)),0%,VLOOKUP(A124,'Données projet'!$A$165:$I$185,7,0))</f>
        <v>0</v>
      </c>
      <c r="EA124" s="21">
        <f>EXP(-LN(2)/35)*EA123+(1-EXP(-LN(2)/35))/(LN(2)/35)*DW124*DX124*VLOOKUP('Données projet'!$B$14,Paramètres!$A$1:$I$89,3,0)*0.475*44/12</f>
        <v>0.25685112385914316</v>
      </c>
      <c r="EB124" s="21">
        <f>EXP(-LN(2)/25)*EB123+(1-EXP(-LN(2)/25))/(LN(2)/25)*Calculateur!DW124*Calculateur!DY124*VLOOKUP('Données projet'!$B$14,Paramètres!$A$1:$I$89,3,0)*0.475*44/12</f>
        <v>0.64476343097001743</v>
      </c>
      <c r="EC124" s="21">
        <f>EXP(-LN(2)/2)*EC123+(1-EXP(-LN(2)/2))/(LN(2)/2)*DW124*DZ124*VLOOKUP('Données projet'!$B$14,Paramètres!$A$1:$I$89,3,0)*0.475*44/12</f>
        <v>2.8128837923590541E-13</v>
      </c>
      <c r="ED124" s="22">
        <f t="shared" si="72"/>
        <v>0.90161455482944186</v>
      </c>
      <c r="EE124" s="75">
        <f>('Scénario référence'!$F$8+'Scénario référence'!$F$9+'Scénario référence'!$B$17+'Scénario référence'!$B$9+'Scénario référence'!$B$10)*70+IF((45+25*(1-EXP(-0.0175*A124)))&lt;70,'Scénario référence'!$B$16*(45+25*(1-EXP(-0.0175*A124))),70*'Scénario référence'!$B$16)+IF((32+38*(1-EXP(-0.0175*A124)))&lt;70,'Scénario référence'!$B$18*(32+38*(1-EXP(-0.0175*A124))),70*'Scénario référence'!$B$18)</f>
        <v>70</v>
      </c>
      <c r="EF124" s="12">
        <f>IF(A124&gt;30,10,('Scénario référence'!$B$16+'Scénario référence'!$B$17+'Scénario référence'!$B$18+'Scénario référence'!$B$9+'Scénario référence'!$B$10)*A124*10/30+('Scénario référence'!$F$8+'Scénario référence'!$F$9)*10)</f>
        <v>10</v>
      </c>
      <c r="EG124" s="12" t="e">
        <f>VLOOKUP(A124,'Données projet'!$A$191:$I$211,2,0)</f>
        <v>#N/A</v>
      </c>
      <c r="EH124" s="12" t="e">
        <f>VLOOKUP(A124,'Données projet'!$A$191:$I$211,9,0)</f>
        <v>#N/A</v>
      </c>
      <c r="EI124" s="12">
        <f t="array" ref="EI124">INDEX(EH:EH,MIN(IF(ISNUMBER(EH124:EH320),ROW(EH124:EH320),"")))</f>
        <v>0</v>
      </c>
      <c r="EJ124" s="12">
        <f>IF('Données projet'!$A$192&gt;35,EJ123+EI124-ER123,IF(A124&lt;'Données projet'!$A$192,$EG$205^A124,IF(A124='Données projet'!$A$192,'Données projet'!$B$192,EJ123+EI124-ER123)))</f>
        <v>275.99999999999972</v>
      </c>
      <c r="EK124" s="17">
        <f>EJ124*VLOOKUP('Données projet'!$B$15,Paramètres!$A$1:$I$89,3,0)*VLOOKUP('Données projet'!$B$15,Paramètres!$A$1:$I$89,5,0)</f>
        <v>223.8911999999998</v>
      </c>
      <c r="EL124" s="13">
        <f t="shared" si="99"/>
        <v>54.95975389514858</v>
      </c>
      <c r="EM124" s="20">
        <f t="shared" si="73"/>
        <v>485.66541136738346</v>
      </c>
      <c r="EN124" s="59">
        <f t="shared" si="74"/>
        <v>778.99874470071677</v>
      </c>
      <c r="EO124" s="59">
        <f ca="1">AVERAGE(OFFSET($EN$3,0,0,'Données projet'!$E$15+1,1))-AVERAGE(OFFSET($H$3,0,0,'Données projet'!$E$15+1,1))</f>
        <v>205.5272583787887</v>
      </c>
      <c r="EP124" s="59">
        <f t="shared" si="100"/>
        <v>180.54762778843178</v>
      </c>
      <c r="EQ124" s="15">
        <f>IF(ISNA(VLOOKUP(A124,'Données projet'!$A$191:$I$211,3,0)),0,VLOOKUP(A124,'Données projet'!$A$191:$I$211,3,0))</f>
        <v>0</v>
      </c>
      <c r="ER124" s="15">
        <f>IF(ISNA(VLOOKUP(A124,'Données projet'!$A$191:$I$211,4,0)),0,VLOOKUP(A124,'Données projet'!$A$191:$I$211,4,0))</f>
        <v>0</v>
      </c>
      <c r="ES124" s="16">
        <f>IF(ISNA(VLOOKUP(A124,'Données projet'!$A$191:$I$211,5,0)),0%,VLOOKUP(A124,'Données projet'!$A$191:$I$211,5,0)*VLOOKUP('Données projet'!$B$15,Paramètres!$A$1:$I$89,7,0))</f>
        <v>0</v>
      </c>
      <c r="ET124" s="16">
        <f>IF(ISNA(VLOOKUP(A124,'Données projet'!$A$191:$I$211,6,0)),0%,VLOOKUP(A124,'Données projet'!$A$191:$I$211,6,0)*VLOOKUP('Données projet'!$B$15,Paramètres!$A$1:$I$89,7,0))</f>
        <v>0</v>
      </c>
      <c r="EU124" s="16">
        <f>IF(ISNA(VLOOKUP(A124,'Données projet'!$A$191:$I$211,7,0)),0%,VLOOKUP(A124,'Données projet'!$A$191:$I$211,7,0))</f>
        <v>0</v>
      </c>
      <c r="EV124" s="21">
        <f>EXP(-LN(2)/35)*EV123+(1-EXP(-LN(2)/35))/(LN(2)/35)*ER124*ES124*VLOOKUP('Données projet'!$B$15,Paramètres!$A$1:$I$89,3,0)*0.475*44/12</f>
        <v>0.16536319974169603</v>
      </c>
      <c r="EW124" s="21">
        <f>EXP(-LN(2)/25)*EW123+(1-EXP(-LN(2)/25))/(LN(2)/25)*Calculateur!ER124*Calculateur!ET124*VLOOKUP('Données projet'!$B$15,Paramètres!$A$1:$I$89,3,0)*0.475*44/12</f>
        <v>0.4655387566811503</v>
      </c>
      <c r="EX124" s="21">
        <f>EXP(-LN(2)/2)*EX123+(1-EXP(-LN(2)/2))/(LN(2)/2)*ER124*EU124*VLOOKUP('Données projet'!$B$15,Paramètres!$A$1:$I$89,3,0)*0.475*44/12</f>
        <v>1.8213443354724779E-13</v>
      </c>
      <c r="EY124" s="22">
        <f t="shared" si="75"/>
        <v>0.63090195642302849</v>
      </c>
      <c r="EZ124" s="75">
        <f>('Scénario référence'!$F$8+'Scénario référence'!$F$9+'Scénario référence'!$B$17+'Scénario référence'!$B$9+'Scénario référence'!$B$10)*70+IF((45+25*(1-EXP(-0.0175*A124)))&lt;70,'Scénario référence'!$B$16*(45+25*(1-EXP(-0.0175*A124))),70*'Scénario référence'!$B$16)+IF((32+38*(1-EXP(-0.0175*A124)))&lt;70,'Scénario référence'!$B$18*(32+38*(1-EXP(-0.0175*A124))),70*'Scénario référence'!$B$18)</f>
        <v>70</v>
      </c>
      <c r="FA124" s="12">
        <f>IF(A124&gt;30,10,('Scénario référence'!$B$16+'Scénario référence'!$B$17+'Scénario référence'!$B$18+'Scénario référence'!$B$9+'Scénario référence'!$B$10)*A124*10/30+('Scénario référence'!$F$8+'Scénario référence'!$F$9)*10)</f>
        <v>10</v>
      </c>
      <c r="FB124" s="12" t="e">
        <f>VLOOKUP(A124,'Données projet'!$A$217:$I$237,2,0)</f>
        <v>#N/A</v>
      </c>
      <c r="FC124" s="12" t="e">
        <f>VLOOKUP(A124,'Données projet'!$A$217:$I$237,9,0)</f>
        <v>#N/A</v>
      </c>
      <c r="FD124" s="12">
        <f t="array" ref="FD124">INDEX(FC:FC,MIN(IF(ISNUMBER(FC124:FC320),ROW(FC124:FC320),"")))</f>
        <v>6.3</v>
      </c>
      <c r="FE124" s="12">
        <f>IF('Données projet'!$A$218&gt;35,FE123+FD124-FM123,IF(A124&lt;'Données projet'!$A$218,$FB$205^A124,IF(A124='Données projet'!$A$218,'Données projet'!$B$218,FE123+FD124-FM123)))</f>
        <v>398.29999999999984</v>
      </c>
      <c r="FF124" s="17">
        <f>FE124*VLOOKUP('Données projet'!$B$16,Paramètres!$A$1:$I$89,3,0)*VLOOKUP('Données projet'!$B$16,Paramètres!$A$1:$I$89,5,0)</f>
        <v>341.74139999999994</v>
      </c>
      <c r="FG124" s="13">
        <f t="shared" si="101"/>
        <v>79.859623644156429</v>
      </c>
      <c r="FH124" s="20">
        <f t="shared" si="76"/>
        <v>734.28844951357223</v>
      </c>
      <c r="FI124" s="59">
        <f t="shared" si="77"/>
        <v>1027.6217828469055</v>
      </c>
      <c r="FJ124" s="59">
        <f ca="1">AVERAGE(OFFSET($FI$3,0,0,'Données projet'!$E$16+1,1))-AVERAGE(OFFSET($H$3,0,0,'Données projet'!$E$16+1,1))</f>
        <v>383.97627237444709</v>
      </c>
      <c r="FK124" s="59">
        <f t="shared" si="102"/>
        <v>203.35476578922339</v>
      </c>
      <c r="FL124" s="15">
        <f>IF(ISNA(VLOOKUP(A124,'Données projet'!$A$217:$I$237,3,0)),0,VLOOKUP(A124,'Données projet'!$A$217:$I$237,3,0))</f>
        <v>0</v>
      </c>
      <c r="FM124" s="15">
        <f>IF(ISNA(VLOOKUP(A124,'Données projet'!$A$217:$I$237,4,0)),0,VLOOKUP(A124,'Données projet'!$A$217:$I$237,4,0))</f>
        <v>0</v>
      </c>
      <c r="FN124" s="16">
        <f>IF(ISNA(VLOOKUP(A124,'Données projet'!$A$217:$I$237,5,0)),0%,VLOOKUP(A124,'Données projet'!$A$217:$I$237,5,0)*VLOOKUP('Données projet'!$B$16,Paramètres!$A$1:$I$89,7,0))</f>
        <v>0</v>
      </c>
      <c r="FO124" s="16">
        <f>IF(ISNA(VLOOKUP(A124,'Données projet'!$A$217:$I$237,6,0)),0%,VLOOKUP(A124,'Données projet'!$A$217:$I$237,6,0)*VLOOKUP('Données projet'!$B$16,Paramètres!$A$1:$I$89,7,0))</f>
        <v>0</v>
      </c>
      <c r="FP124" s="16">
        <f>IF(ISNA(VLOOKUP(A124,'Données projet'!$A$217:$I$237,7,0)),0%,VLOOKUP(A124,'Données projet'!$A$217:$I$237,7,0))</f>
        <v>0</v>
      </c>
      <c r="FQ124" s="21">
        <f>EXP(-LN(2)/35)*FQ123+(1-EXP(-LN(2)/35))/(LN(2)/35)*FM124*FN124*VLOOKUP('Données projet'!$B$16,Paramètres!$A$1:$I$89,3,0)*0.475*44/12</f>
        <v>0.84987713366626738</v>
      </c>
      <c r="FR124" s="21">
        <f>EXP(-LN(2)/25)*FR123+(1-EXP(-LN(2)/25))/(LN(2)/25)*Calculateur!FM124*Calculateur!FO124*VLOOKUP('Données projet'!$B$16,Paramètres!$A$1:$I$89,3,0)*0.475*44/12</f>
        <v>0.47256995603486535</v>
      </c>
      <c r="FS124" s="21">
        <f>EXP(-LN(2)/2)*FS123+(1-EXP(-LN(2)/2))/(LN(2)/2)*FM124*FP124*VLOOKUP('Données projet'!$B$16,Paramètres!$A$1:$I$89,3,0)*0.475*44/12</f>
        <v>3.3454357502867066E-13</v>
      </c>
      <c r="FT124" s="22">
        <f t="shared" si="78"/>
        <v>1.3224470897014673</v>
      </c>
      <c r="FU124" s="75">
        <f>('Scénario référence'!$F$8+'Scénario référence'!$F$9+'Scénario référence'!$B$17+'Scénario référence'!$B$9+'Scénario référence'!$B$10)*70+IF((45+25*(1-EXP(-0.0175*A124)))&lt;70,'Scénario référence'!$B$16*(45+25*(1-EXP(-0.0175*A124))),70*'Scénario référence'!$B$16)+IF((32+38*(1-EXP(-0.0175*A124)))&lt;70,'Scénario référence'!$B$18*(32+38*(1-EXP(-0.0175*A124))),70*'Scénario référence'!$B$18)</f>
        <v>70</v>
      </c>
      <c r="FV124" s="12">
        <f>IF(A124&gt;30,10,('Scénario référence'!$B$16+'Scénario référence'!$B$17+'Scénario référence'!$B$18+'Scénario référence'!$B$9+'Scénario référence'!$B$10)*A124*10/30+('Scénario référence'!$F$8+'Scénario référence'!$F$9)*10)</f>
        <v>10</v>
      </c>
      <c r="FW124" s="12" t="e">
        <f>VLOOKUP(A124,'Données projet'!$A$243:$I$263,2,0)</f>
        <v>#N/A</v>
      </c>
      <c r="FX124" s="12" t="e">
        <f>VLOOKUP(A124,'Données projet'!$A$243:$I$263,9,0)</f>
        <v>#N/A</v>
      </c>
      <c r="FY124" s="12">
        <f t="array" ref="FY124">INDEX(FX:FX,MIN(IF(ISNUMBER(FX124:FX320),ROW(FX124:FX320),"")))</f>
        <v>3.8301282051282044</v>
      </c>
      <c r="FZ124" s="12">
        <f>IF('Données projet'!$A$244&gt;35,FZ123+FY124-GH123,IF(A124&lt;'Données projet'!$A$244,$FW$205^A124,IF(A124='Données projet'!$A$244,'Données projet'!$B$244,FZ123+FY124-GH123)))</f>
        <v>214.97435897435935</v>
      </c>
      <c r="GA124" s="17">
        <f>FZ124*VLOOKUP('Données projet'!$B$17,Paramètres!$A$1:$I$89,3,0)*VLOOKUP('Données projet'!$B$17,Paramètres!$A$1:$I$89,5,0)</f>
        <v>231.39840000000041</v>
      </c>
      <c r="GB124" s="13">
        <f t="shared" si="103"/>
        <v>56.584941552747608</v>
      </c>
      <c r="GC124" s="20">
        <f t="shared" si="79"/>
        <v>501.57098653770277</v>
      </c>
      <c r="GD124" s="59">
        <f t="shared" si="80"/>
        <v>794.90431987103602</v>
      </c>
      <c r="GE124" s="59">
        <f ca="1">AVERAGE(OFFSET($GD$3,0,0,'Données projet'!$E$17+1,1))-AVERAGE(OFFSET($H$3,0,0,'Données projet'!$E$17+1,1))</f>
        <v>286.77702855541287</v>
      </c>
      <c r="GF124" s="59">
        <f t="shared" si="104"/>
        <v>227.12211541860779</v>
      </c>
      <c r="GG124" s="15">
        <f>IF(ISNA(VLOOKUP(A124,'Données projet'!$A$243:$I$263,3,0)),0,VLOOKUP(A124,'Données projet'!$A$243:$I$263,3,0))</f>
        <v>0</v>
      </c>
      <c r="GH124" s="15">
        <f>IF(ISNA(VLOOKUP(A124,'Données projet'!$A$243:$I$263,4,0)),0,VLOOKUP(A124,'Données projet'!$A$243:$I$263,4,0))</f>
        <v>0</v>
      </c>
      <c r="GI124" s="16">
        <f>IF(ISNA(VLOOKUP(A124,'Données projet'!$A$243:$I$263,5,0)),0%,VLOOKUP(A124,'Données projet'!$A$243:$I$263,5,0)*VLOOKUP('Données projet'!$B$17,Paramètres!$A$1:$I$89,7,0))</f>
        <v>0</v>
      </c>
      <c r="GJ124" s="16">
        <f>IF(ISNA(VLOOKUP(A124,'Données projet'!$A$243:$I$263,6,0)),0%,VLOOKUP(A124,'Données projet'!$A$243:$I$263,6,0)*VLOOKUP('Données projet'!$B$17,Paramètres!$A$1:$I$89,7,0))</f>
        <v>0</v>
      </c>
      <c r="GK124" s="16">
        <f>IF(ISNA(VLOOKUP(A124,'Données projet'!$A$243:$I$263,7,0)),0%,VLOOKUP(A124,'Données projet'!$A$243:$I$263,7,0))</f>
        <v>0</v>
      </c>
      <c r="GL124" s="21">
        <f>EXP(-LN(2)/35)*GL123+(1-EXP(-LN(2)/35))/(LN(2)/35)*GH124*GI124*VLOOKUP('Données projet'!$B$17,Paramètres!$A$1:$I$89,3,0)*0.475*44/12</f>
        <v>0</v>
      </c>
      <c r="GM124" s="21">
        <f>EXP(-LN(2)/25)*GM123+(1-EXP(-LN(2)/25))/(LN(2)/25)*Calculateur!GH124*Calculateur!GJ124*VLOOKUP('Données projet'!$B$17,Paramètres!$A$1:$I$89,3,0)*0.475*44/12</f>
        <v>0</v>
      </c>
      <c r="GN124" s="21">
        <f>EXP(-LN(2)/2)*GN123+(1-EXP(-LN(2)/2))/(LN(2)/2)*GH124*GK124*VLOOKUP('Données projet'!$B$17,Paramètres!$A$1:$I$89,3,0)*0.475*44/12</f>
        <v>0</v>
      </c>
      <c r="GO124" s="21">
        <f t="shared" si="81"/>
        <v>0</v>
      </c>
      <c r="GP124" s="75">
        <f>('Scénario référence'!$F$8+'Scénario référence'!$F$9+'Scénario référence'!$B$17+'Scénario référence'!$B$9+'Scénario référence'!$B$10)*70+IF((45+25*(1-EXP(-0.0175*A124)))&lt;70,'Scénario référence'!$B$16*(45+25*(1-EXP(-0.0175*A124))),70*'Scénario référence'!$B$16)+IF((32+38*(1-EXP(-0.0175*A124)))&lt;70,'Scénario référence'!$B$18*(32+38*(1-EXP(-0.0175*A124))),70*'Scénario référence'!$B$18)</f>
        <v>70</v>
      </c>
      <c r="GQ124" s="12">
        <f>IF(A124&gt;30,10,('Scénario référence'!$B$16+'Scénario référence'!$B$17+'Scénario référence'!$B$18+'Scénario référence'!$B$9+'Scénario référence'!$B$10)*A124*10/30+('Scénario référence'!$F$8+'Scénario référence'!$F$9)*10)</f>
        <v>10</v>
      </c>
      <c r="GR124" s="12" t="e">
        <f>VLOOKUP(A124,'Données projet'!$A$269:$I$289,2,0)</f>
        <v>#N/A</v>
      </c>
      <c r="GS124" s="12" t="e">
        <f>VLOOKUP(A124,'Données projet'!$A$269:$I$289,9,0)</f>
        <v>#N/A</v>
      </c>
      <c r="GT124" s="12">
        <f t="array" ref="GT124">INDEX(GS:GS,MIN(IF(ISNUMBER(GS124:GS320),ROW(GS124:GS320),"")))</f>
        <v>3.8301282051282044</v>
      </c>
      <c r="GU124" s="12">
        <f>IF('Données projet'!$A$270&gt;35,GU123+GT124-HC123,IF(A124&lt;'Données projet'!$A$270,$GR$205^A124,IF(A124='Données projet'!$A$270,'Données projet'!$B$270,GU123+GT124-HC123)))</f>
        <v>214.97435897435935</v>
      </c>
      <c r="GV124" s="17">
        <f>GU124*VLOOKUP('Données projet'!$B$18,Paramètres!$A$1:$I$89,3,0)*VLOOKUP('Données projet'!$B$18,Paramètres!$A$1:$I$89,5,0)</f>
        <v>231.39840000000041</v>
      </c>
      <c r="GW124" s="13">
        <f t="shared" si="105"/>
        <v>56.584941552747608</v>
      </c>
      <c r="GX124" s="20">
        <f t="shared" si="82"/>
        <v>501.57098653770277</v>
      </c>
      <c r="GY124" s="59">
        <f t="shared" si="83"/>
        <v>794.90431987103602</v>
      </c>
      <c r="GZ124" s="59">
        <f ca="1">AVERAGE(OFFSET($GY$3,0,0,'Données projet'!$E$18+1,1))-AVERAGE(OFFSET($H$3,0,0,'Données projet'!$E$18+1,1))</f>
        <v>286.77702855541287</v>
      </c>
      <c r="HA124" s="59">
        <f t="shared" si="106"/>
        <v>227.12211541860779</v>
      </c>
      <c r="HB124" s="15">
        <f>IF(ISNA(VLOOKUP(A124,'Données projet'!$A$269:$I$289,3,0)),0,VLOOKUP(A124,'Données projet'!$A$269:$I$289,3,0))</f>
        <v>0</v>
      </c>
      <c r="HC124" s="15">
        <f>IF(ISNA(VLOOKUP(A124,'Données projet'!$A$269:$I$289,4,0)),0,VLOOKUP(A124,'Données projet'!$A$269:$I$289,4,0))</f>
        <v>0</v>
      </c>
      <c r="HD124" s="16">
        <f>IF(ISNA(VLOOKUP(A124,'Données projet'!$A$269:$I$289,5,0)),0%,VLOOKUP(A124,'Données projet'!$A$269:$I$289,5,0)*VLOOKUP('Données projet'!$B$18,Paramètres!$A$1:$I$89,7,0))</f>
        <v>0</v>
      </c>
      <c r="HE124" s="16">
        <f>IF(ISNA(VLOOKUP(A124,'Données projet'!$A$269:$I$289,6,0)),0%,VLOOKUP(A124,'Données projet'!$A$269:$I$289,6,0)*VLOOKUP('Données projet'!$B$18,Paramètres!$A$1:$I$89,7,0))</f>
        <v>0</v>
      </c>
      <c r="HF124" s="16">
        <f>IF(ISNA(VLOOKUP(A124,'Données projet'!$A$269:$I$289,7,0)),0%,VLOOKUP(A124,'Données projet'!$A$269:$I$289,7,0))</f>
        <v>0</v>
      </c>
      <c r="HG124" s="21">
        <f>EXP(-LN(2)/35)*HG123+(1-EXP(-LN(2)/35))/(LN(2)/35)*HC124*HD124*VLOOKUP('Données projet'!$B$18,Paramètres!$A$1:$I$89,3,0)*0.475*44/12</f>
        <v>0</v>
      </c>
      <c r="HH124" s="21">
        <f>EXP(-LN(2)/25)*HH123+(1-EXP(-LN(2)/25))/(LN(2)/25)*Calculateur!HC124*Calculateur!HE124*VLOOKUP('Données projet'!$B$18,Paramètres!$A$1:$I$89,3,0)*0.475*44/12</f>
        <v>0</v>
      </c>
      <c r="HI124" s="21">
        <f>EXP(-LN(2)/2)*HI123+(1-EXP(-LN(2)/2))/(LN(2)/2)*HC124*HF124*VLOOKUP('Données projet'!$B$18,Paramètres!$A$1:$I$89,3,0)*0.475*44/12</f>
        <v>0</v>
      </c>
      <c r="HJ124" s="22">
        <f t="shared" si="84"/>
        <v>0</v>
      </c>
    </row>
    <row r="125" spans="1:218" x14ac:dyDescent="0.25">
      <c r="A125" s="10">
        <f t="shared" si="85"/>
        <v>122</v>
      </c>
      <c r="B125" s="73">
        <f>'Scénario référence'!$B$16*5+'Scénario référence'!$B$17*0+'Scénario référence'!$B$18*5</f>
        <v>0</v>
      </c>
      <c r="C125" s="19">
        <f>Calculateur!C124+'Scénario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108.4824000000002</v>
      </c>
      <c r="D125" s="11">
        <f t="shared" si="86"/>
        <v>28.973137589932421</v>
      </c>
      <c r="E12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25" s="11">
        <f>IF(OR('Scénario référence'!$F$8&gt;0,'Scénario référence'!$F$9&gt;0),('Scénario référence'!$F$8+'Scénario référence'!$F$9)*10,0)</f>
        <v>10</v>
      </c>
      <c r="G125" s="11">
        <f>'Scénario référence'!$B$8*B125*44/12+'Scénario référence'!$B$9*(C125+D125)/0.475*44/12+'Scénario référence'!$B$10*(C125+D125)/0.475*44/12+'Scénario référence'!$F$8*(C125+D125)/0.475*44/12+'Scénario référence'!$F$9*(C125+D125)/0.475*44/12</f>
        <v>1061.060290167901</v>
      </c>
      <c r="H125" s="67">
        <f t="shared" si="56"/>
        <v>532.73506130246597</v>
      </c>
      <c r="I125" s="70">
        <f>('Scénario référence'!$F$8+'Scénario référence'!$F$9+'Scénario référence'!$B$17+'Scénario référence'!$B$9+'Scénario référence'!$B$10)*70+IF((45+25*(1-EXP(-0.0175*A125)))&lt;70,'Scénario référence'!$B$16*(45+25*(1-EXP(-0.0175*A125))),70*'Scénario référence'!$B$16)+IF((32+38*(1-EXP(-0.0175*A125)))&lt;70,'Scénario référence'!$B$18*(32+38*(1-EXP(-0.0175*A125))),70*'Scénario référence'!$B$18)</f>
        <v>70</v>
      </c>
      <c r="J125" s="13">
        <f>IF(A125&gt;30,10,('Scénario référence'!$B$16+'Scénario référence'!$B$17+'Scénario référence'!$B$18+'Scénario référence'!$B$9+'Scénario référence'!$B$10)*A125*10/30+('Scénario référence'!$F$8+'Scénario référence'!$F$9)*10)</f>
        <v>10</v>
      </c>
      <c r="K125" s="12" t="e">
        <f>VLOOKUP(A125,'Données projet'!$A$35:$I$55,2,0)</f>
        <v>#N/A</v>
      </c>
      <c r="L125" s="12" t="e">
        <f>VLOOKUP(A125,'Données projet'!$A$35:$I$55,9,0)</f>
        <v>#N/A</v>
      </c>
      <c r="M125" s="12">
        <f t="array" ref="M125">INDEX(L:L,MIN(IF(ISNUMBER(L125:L321),ROW(L125:L321),"")))</f>
        <v>0</v>
      </c>
      <c r="N125" s="13">
        <f>IF('Données projet'!$A$36&gt;35,N124+M125-V124,IF(A125&lt;'Données projet'!$A$36,$K$205^A125,IF(A125='Données projet'!$A$36,'Données projet'!$B$36,N124+M125-V124)))</f>
        <v>-2.2737367544323206E-13</v>
      </c>
      <c r="O125" s="13">
        <f>N125*VLOOKUP('Données projet'!$B$9,Paramètres!$A$1:$I$89,3,0)*VLOOKUP('Données projet'!$B$9,Paramètres!$A$1:$I$89,5,0)</f>
        <v>-1.2710188457276673E-13</v>
      </c>
      <c r="P125" s="13" t="e">
        <f t="shared" si="87"/>
        <v>#NUM!</v>
      </c>
      <c r="Q125" s="20" t="e">
        <f t="shared" si="107"/>
        <v>#NUM!</v>
      </c>
      <c r="R125" s="59" t="e">
        <f t="shared" si="55"/>
        <v>#NUM!</v>
      </c>
      <c r="S125" s="59">
        <f ca="1">AVERAGE(OFFSET($R$3,0,0,'Données projet'!$E$9+1,1))-AVERAGE(OFFSET($H$3,0,0,'Données projet'!$E$9+1,1))</f>
        <v>255.5374979188561</v>
      </c>
      <c r="T125" s="59">
        <f t="shared" si="88"/>
        <v>343.10418468620901</v>
      </c>
      <c r="U125" s="15">
        <f>IF(ISNA(VLOOKUP(A125,'Données projet'!$A$35:$I$55,3,0)),0,VLOOKUP(A125,'Données projet'!$A$35:$I$55,3,0))</f>
        <v>0</v>
      </c>
      <c r="V125" s="15">
        <f>IF(ISNA(VLOOKUP(A125,'Données projet'!$A$35:$I$55,4,0)),0,VLOOKUP(A125,'Données projet'!$A$35:$I$55,4,0))</f>
        <v>0</v>
      </c>
      <c r="W125" s="16">
        <f>IF(ISNA(VLOOKUP(A125,'Données projet'!$A$35:$I$55,5,0)),0%,VLOOKUP(A125,'Données projet'!$A$35:$I$55,5,0)*VLOOKUP('Données projet'!$B$9,Paramètres!$A$1:$I$89,7,0))</f>
        <v>0</v>
      </c>
      <c r="X125" s="16">
        <f>IF(ISNA(VLOOKUP(A125,'Données projet'!$A$35:$I$55,6,0)),0%,VLOOKUP(A125,'Données projet'!$A$35:$I$55,6,0)*VLOOKUP('Données projet'!$B$9,Paramètres!$A$1:$I$89,7,0))</f>
        <v>0</v>
      </c>
      <c r="Y125" s="16">
        <f>IF(ISNA(VLOOKUP(A125,'Données projet'!$A$35:$I$55,7,0)),0%,VLOOKUP(A125,'Données projet'!$A$35:$I$55,7,0))</f>
        <v>0</v>
      </c>
      <c r="Z125" s="21">
        <f>EXP(-LN(2)/35)*Z124+(1-EXP(-LN(2)/35))/(LN(2)/35)*V125*W125*VLOOKUP('Données projet'!$B$9,Paramètres!$A$1:$I$89,3,0)*0.475*44/12</f>
        <v>0.4996724152172658</v>
      </c>
      <c r="AA125" s="21">
        <f>EXP(-LN(2)/25)*AA124+(1-EXP(-LN(2)/25))/(LN(2)/25)*Calculateur!V125*Calculateur!X125*VLOOKUP('Données projet'!$B$9,Paramètres!$A$1:$I$89,3,0)*0.475*44/12</f>
        <v>1.2452299400437161</v>
      </c>
      <c r="AB125" s="21">
        <f>EXP(-LN(2)/2)*AB124+(1-EXP(-LN(2)/2))/(LN(2)/2)*V125*Y125*VLOOKUP('Données projet'!$B$9,Paramètres!$A$1:$I$89,3,0)*0.475*44/12</f>
        <v>2.4054032784506291E-14</v>
      </c>
      <c r="AC125" s="22">
        <f t="shared" si="57"/>
        <v>1.7449023552610059</v>
      </c>
      <c r="AD125" s="13">
        <f>('Scénario référence'!$F$8+'Scénario référence'!$F$9+'Scénario référence'!$B$17+'Scénario référence'!$B$9+'Scénario référence'!$B$10)*70+IF((45+25*(1-EXP(-0.0175*A125)))&lt;70,'Scénario référence'!$B$16*(45+25*(1-EXP(-0.0175*A125))),70*'Scénario référence'!$B$16)+IF((32+38*(1-EXP(-0.0175*A125)))&lt;70,'Scénario référence'!$B$18*(32+38*(1-EXP(-0.0175*A125))),70*'Scénario référence'!$B$18)</f>
        <v>70</v>
      </c>
      <c r="AE125" s="13">
        <f>IF(A125&gt;30,10,('Scénario référence'!$B$16+'Scénario référence'!$B$17+'Scénario référence'!$B$18+'Scénario référence'!$B$9+'Scénario référence'!$B$10)*A125*10/30+('Scénario référence'!$F$8+'Scénario référence'!$F$9)*10)</f>
        <v>10</v>
      </c>
      <c r="AF125" s="12" t="e">
        <f>VLOOKUP(A125,'Données projet'!$A$61:$I$81,2,0)</f>
        <v>#N/A</v>
      </c>
      <c r="AG125" s="12" t="e">
        <f>VLOOKUP(A125,'Données projet'!$A$61:$I$81,9,0)</f>
        <v>#N/A</v>
      </c>
      <c r="AH125" s="12">
        <f t="array" ref="AH125">INDEX(AG:AG,MIN(IF(ISNUMBER(AG125:AG321),ROW(AG125:AG321),"")))</f>
        <v>0</v>
      </c>
      <c r="AI125" s="13">
        <f>IF('Données projet'!$A$62&gt;35,AI124+AH125-AQ124,IF(A125&lt;'Données projet'!$A$62,$AF$205^A125,IF(A125='Données projet'!$A$62,'Données projet'!$B$62,AI124+AH125-AQ124)))</f>
        <v>0</v>
      </c>
      <c r="AJ125" s="13">
        <f>AI125*VLOOKUP('Données projet'!$B$10,Paramètres!$A$1:$I$89,3,0)*VLOOKUP('Données projet'!$B$10,Paramètres!$A$1:$I$89,5,0)</f>
        <v>0</v>
      </c>
      <c r="AK125" s="13" t="e">
        <f t="shared" si="89"/>
        <v>#NUM!</v>
      </c>
      <c r="AL125" s="20" t="e">
        <f t="shared" si="58"/>
        <v>#NUM!</v>
      </c>
      <c r="AM125" s="59" t="e">
        <f t="shared" si="59"/>
        <v>#NUM!</v>
      </c>
      <c r="AN125" s="59">
        <f ca="1">AVERAGE(OFFSET($AM$3,0,0,'Données projet'!$E$10+1,1))-AVERAGE(OFFSET($H$3,0,0,'Données projet'!$E$10+1,1))</f>
        <v>261.78489480911571</v>
      </c>
      <c r="AO125" s="59">
        <f t="shared" si="90"/>
        <v>297.50513563712764</v>
      </c>
      <c r="AP125" s="15">
        <f>IF(ISNA(VLOOKUP(A125,'Données projet'!$A$61:$I$81,3,0)),0,VLOOKUP(A125,'Données projet'!$A$61:$I$81,3,0))</f>
        <v>0</v>
      </c>
      <c r="AQ125" s="15">
        <f>IF(ISNA(VLOOKUP(A125,'Données projet'!$A$61:$I$81,4,0)),0,VLOOKUP(A125,'Données projet'!$A$61:$I$81,4,0))</f>
        <v>0</v>
      </c>
      <c r="AR125" s="16">
        <f>IF(ISNA(VLOOKUP(A125,'Données projet'!$A$61:$I$81,5,0)),0%,VLOOKUP(A125,'Données projet'!$A$61:$I$81,5,0)*VLOOKUP('Données projet'!$B$10,Paramètres!$A$1:$I$89,7,0))</f>
        <v>0</v>
      </c>
      <c r="AS125" s="16">
        <f>IF(ISNA(VLOOKUP(A125,'Données projet'!$A$61:$I$81,6,0)),0%,VLOOKUP(A125,'Données projet'!$A$61:$I$81,6,0)*VLOOKUP('Données projet'!$B$10,Paramètres!$A$1:$I$89,7,0))</f>
        <v>0</v>
      </c>
      <c r="AT125" s="16">
        <f>IF(ISNA(VLOOKUP(A125,'Données projet'!$A$61:$I$81,7,0)),0%,VLOOKUP(A125,'Données projet'!$A$61:$I$81,7,0))</f>
        <v>0</v>
      </c>
      <c r="AU125" s="21">
        <f>EXP(-LN(2)/35)*AU124+(1-EXP(-LN(2)/35))/(LN(2)/35)*AQ125*AR125*VLOOKUP('Données projet'!$B$10,Paramètres!$A$1:$I$89,3,0)*0.475*44/12</f>
        <v>1.3492568527513822</v>
      </c>
      <c r="AV125" s="21">
        <f>EXP(-LN(2)/25)*AV124+(1-EXP(-LN(2)/25))/(LN(2)/25)*Calculateur!AQ125*Calculateur!AS125*VLOOKUP('Données projet'!$B$10,Paramètres!$A$1:$I$89,3,0)*0.475*44/12</f>
        <v>2.1744254535040084</v>
      </c>
      <c r="AW125" s="21">
        <f>EXP(-LN(2)/2)*AW124+(1-EXP(-LN(2)/2))/(LN(2)/2)*AQ125*AT125*VLOOKUP('Données projet'!$B$10,Paramètres!$A$1:$I$89,3,0)*0.475*44/12</f>
        <v>3.4676178212452953E-13</v>
      </c>
      <c r="AX125" s="21">
        <f t="shared" si="60"/>
        <v>3.5236823062557376</v>
      </c>
      <c r="AY125" s="74">
        <f>('Scénario référence'!$F$8+'Scénario référence'!$F$9+'Scénario référence'!$B$17+'Scénario référence'!$B$9+'Scénario référence'!$B$10)*70+IF((45+25*(1-EXP(-0.0175*A125)))&lt;70,'Scénario référence'!$B$16*(45+25*(1-EXP(-0.0175*A125))),70*'Scénario référence'!$B$16)+IF((32+38*(1-EXP(-0.0175*A125)))&lt;70,'Scénario référence'!$B$18*(32+38*(1-EXP(-0.0175*A125))),70*'Scénario référence'!$B$18)</f>
        <v>70</v>
      </c>
      <c r="AZ125" s="12">
        <f>IF(A125&gt;30,10,('Scénario référence'!$B$16+'Scénario référence'!$B$17+'Scénario référence'!$B$18+'Scénario référence'!$B$9+'Scénario référence'!$B$10)*A125*10/30+('Scénario référence'!$F$8+'Scénario référence'!$F$9)*10)</f>
        <v>10</v>
      </c>
      <c r="BA125" s="12" t="e">
        <f>VLOOKUP(A125,'Données projet'!$A$87:$I$107,2,0)</f>
        <v>#N/A</v>
      </c>
      <c r="BB125" s="12" t="e">
        <f>VLOOKUP(A125,'Données projet'!$A$87:$I$107,9,0)</f>
        <v>#N/A</v>
      </c>
      <c r="BC125" s="12">
        <f t="array" ref="BC125">INDEX(BB:BB,MIN(IF(ISNUMBER(BB125:BB321),ROW(BB125:BB321),"")))</f>
        <v>0</v>
      </c>
      <c r="BD125" s="12">
        <f>IF('Données projet'!$A$88&gt;35,BD124+BC125-BL124,IF(A125&lt;'Données projet'!$A$88,$BA$205^A125,IF(A125='Données projet'!$A$88,'Données projet'!$B$88,BD124+BC125-BL124)))</f>
        <v>553.99999999999955</v>
      </c>
      <c r="BE125" s="13">
        <f>BD125*VLOOKUP('Données projet'!$B$11,Paramètres!$A$1:$I$89,3,0)*VLOOKUP('Données projet'!$B$11,Paramètres!$A$1:$I$89,5,0)</f>
        <v>331.29199999999975</v>
      </c>
      <c r="BF125" s="13">
        <f t="shared" si="91"/>
        <v>77.698110787752</v>
      </c>
      <c r="BG125" s="20">
        <f t="shared" si="61"/>
        <v>712.32444295533423</v>
      </c>
      <c r="BH125" s="59">
        <f t="shared" si="62"/>
        <v>1005.6577762886675</v>
      </c>
      <c r="BI125" s="59">
        <f ca="1">AVERAGE(OFFSET($BH$3,0,0,'Données projet'!$E$11+1,1))-AVERAGE(OFFSET($H$3,0,0,'Données projet'!$E$11+1,1))</f>
        <v>316.58509520829671</v>
      </c>
      <c r="BJ125" s="59">
        <f t="shared" si="92"/>
        <v>240.71332110643596</v>
      </c>
      <c r="BK125" s="15">
        <f>IF(ISNA(VLOOKUP(A125,'Données projet'!$A$87:$I$107,3,0)),0,VLOOKUP(A125,'Données projet'!$A$87:$I$107,3,0))</f>
        <v>0</v>
      </c>
      <c r="BL125" s="15">
        <f>IF(ISNA(VLOOKUP(A125,'Données projet'!$A$87:$I$107,4,0)),0,VLOOKUP(A125,'Données projet'!$A$87:$I$107,4,0))</f>
        <v>0</v>
      </c>
      <c r="BM125" s="16">
        <f>IF(ISNA(VLOOKUP(A125,'Données projet'!$A$87:$I$107,5,0)),0%,VLOOKUP(A125,'Données projet'!$A$87:$I$107,5,0)*VLOOKUP('Données projet'!$B$11,Paramètres!$A$1:$I$89,7,0))</f>
        <v>0</v>
      </c>
      <c r="BN125" s="16">
        <f>IF(ISNA(VLOOKUP(A125,'Données projet'!$A$87:$I$107,6,0)),0%,VLOOKUP(A125,'Données projet'!$A$87:$I$107,6,0)*VLOOKUP('Données projet'!$B$11,Paramètres!$A$1:$I$89,7,0))</f>
        <v>0</v>
      </c>
      <c r="BO125" s="16">
        <f>IF(ISNA(VLOOKUP(A125,'Données projet'!$A$87:$I$107,7,0)),0%,VLOOKUP(A125,'Données projet'!$A$87:$I$107,7,0))</f>
        <v>0</v>
      </c>
      <c r="BP125" s="21">
        <f>EXP(-LN(2)/35)*BP124+(1-EXP(-LN(2)/35))/(LN(2)/35)*BL125*BM125*VLOOKUP('Données projet'!$B$11,Paramètres!$A$1:$I$89,3,0)*0.475*44/12</f>
        <v>0.4098468081367202</v>
      </c>
      <c r="BQ125" s="21">
        <f>EXP(-LN(2)/25)*BQ124+(1-EXP(-LN(2)/25))/(LN(2)/25)*Calculateur!BL125*Calculateur!BN125*VLOOKUP('Données projet'!$B$11,Paramètres!$A$1:$I$89,3,0)*0.475*44/12</f>
        <v>1.1912137089819139</v>
      </c>
      <c r="BR125" s="21">
        <f>EXP(-LN(2)/2)*BR124+(1-EXP(-LN(2)/2))/(LN(2)/2)*BL125*BO125*VLOOKUP('Données projet'!$B$11,Paramètres!$A$1:$I$89,3,0)*0.475*44/12</f>
        <v>3.1177681691674667E-13</v>
      </c>
      <c r="BS125" s="22">
        <f t="shared" si="63"/>
        <v>1.6010605171189458</v>
      </c>
      <c r="BT125" s="75">
        <f>('Scénario référence'!$F$8+'Scénario référence'!$F$9+'Scénario référence'!$B$17+'Scénario référence'!$B$9+'Scénario référence'!$B$10)*70+IF((45+25*(1-EXP(-0.0175*A125)))&lt;70,'Scénario référence'!$B$16*(45+25*(1-EXP(-0.0175*A125))),70*'Scénario référence'!$B$16)+IF((32+38*(1-EXP(-0.0175*A125)))&lt;70,'Scénario référence'!$B$18*(32+38*(1-EXP(-0.0175*A125))),70*'Scénario référence'!$B$18)</f>
        <v>70</v>
      </c>
      <c r="BU125" s="12">
        <f>IF(A125&gt;30,10,('Scénario référence'!$B$16+'Scénario référence'!$B$17+'Scénario référence'!$B$18+'Scénario référence'!$B$9+'Scénario référence'!$B$10)*A125*10/30+('Scénario référence'!$F$8+'Scénario référence'!$F$9)*10)</f>
        <v>10</v>
      </c>
      <c r="BV125" s="12" t="e">
        <f>VLOOKUP(A125,'Données projet'!$A$113:$I$133,2,0)</f>
        <v>#N/A</v>
      </c>
      <c r="BW125" s="12" t="e">
        <f>VLOOKUP(A125,'Données projet'!$A$113:$I$133,9,0)</f>
        <v>#N/A</v>
      </c>
      <c r="BX125" s="12">
        <f t="array" ref="BX125">INDEX(BW:BW,MIN(IF(ISNUMBER(BW125:BW321),ROW(BW125:BW321),"")))</f>
        <v>0</v>
      </c>
      <c r="BY125" s="12">
        <f>IF('Données projet'!$A$114&gt;35,BY124+BX125-CG124,IF(A125&lt;'Données projet'!$A$114,$BV$205^A125,IF(A125='Données projet'!$A$114,'Données projet'!$B$114,BY124+BX125-CG124)))</f>
        <v>333.99999999999977</v>
      </c>
      <c r="BZ125" s="13">
        <f>BY125*VLOOKUP('Données projet'!$B$12,Paramètres!$A$1:$I$89,3,0)*VLOOKUP('Données projet'!$B$12,Paramètres!$A$1:$I$89,5,0)</f>
        <v>191.04799999999986</v>
      </c>
      <c r="CA125" s="13">
        <f t="shared" si="93"/>
        <v>47.771576544305155</v>
      </c>
      <c r="CB125" s="20">
        <f t="shared" si="64"/>
        <v>415.94409581466454</v>
      </c>
      <c r="CC125" s="59">
        <f t="shared" si="65"/>
        <v>709.27742914799785</v>
      </c>
      <c r="CD125" s="59">
        <f ca="1">AVERAGE(OFFSET($CC$3,0,0,'Données projet'!$E$12+1,1))-AVERAGE(OFFSET($H$3,0,0,'Données projet'!$E$12+1,1))</f>
        <v>188.64374818906128</v>
      </c>
      <c r="CE125" s="59">
        <f t="shared" si="94"/>
        <v>211.95157880548652</v>
      </c>
      <c r="CF125" s="15">
        <f>IF(ISNA(VLOOKUP(A125,'Données projet'!$A$113:$I$133,3,0)),0,VLOOKUP(A125,'Données projet'!$A$113:$I$133,3,0))</f>
        <v>0</v>
      </c>
      <c r="CG125" s="15">
        <f>IF(ISNA(VLOOKUP(A125,'Données projet'!$A$113:$I$133,4,0)),0,VLOOKUP(A125,'Données projet'!$A$113:$I$133,4,0))</f>
        <v>0</v>
      </c>
      <c r="CH125" s="16">
        <f>IF(ISNA(VLOOKUP(A125,'Données projet'!$A$113:$I$133,5,0)),0%,VLOOKUP(A125,'Données projet'!$A$113:$I$133,5,0)*VLOOKUP('Données projet'!$B$12,Paramètres!$A$1:$I$89,7,0))</f>
        <v>0</v>
      </c>
      <c r="CI125" s="16">
        <f>IF(ISNA(VLOOKUP(A125,'Données projet'!$A$113:$I$133,6,0)),0%,VLOOKUP(A125,'Données projet'!$A$113:$I$133,6,0)*VLOOKUP('Données projet'!$B$12,Paramètres!$A$1:$I$89,7,0))</f>
        <v>0</v>
      </c>
      <c r="CJ125" s="16">
        <f>IF(ISNA(VLOOKUP(A125,'Données projet'!$A$113:$I$133,7,0)),0%,VLOOKUP(A125,'Données projet'!$A$113:$I$133,7,0))</f>
        <v>0</v>
      </c>
      <c r="CK125" s="21">
        <f>EXP(-LN(2)/35)*CK124+(1-EXP(-LN(2)/35))/(LN(2)/35)*CG125*CH125*VLOOKUP('Données projet'!$B$12,Paramètres!$A$1:$I$89,3,0)*0.475*44/12</f>
        <v>0.39754889411424632</v>
      </c>
      <c r="CL125" s="21">
        <f>EXP(-LN(2)/25)*CL124+(1-EXP(-LN(2)/25))/(LN(2)/25)*Calculateur!CG125*Calculateur!CI125*VLOOKUP('Données projet'!$B$12,Paramètres!$A$1:$I$89,3,0)*0.475*44/12</f>
        <v>1.1211973140719316</v>
      </c>
      <c r="CM125" s="21">
        <f>EXP(-LN(2)/2)*CM124+(1-EXP(-LN(2)/2))/(LN(2)/2)*CG125*CJ125*VLOOKUP('Données projet'!$B$12,Paramètres!$A$1:$I$89,3,0)*0.475*44/12</f>
        <v>3.0193145340343017E-13</v>
      </c>
      <c r="CN125" s="22">
        <f t="shared" si="66"/>
        <v>1.5187462081864798</v>
      </c>
      <c r="CO125" s="75">
        <f>('Scénario référence'!$F$8+'Scénario référence'!$F$9+'Scénario référence'!$B$17+'Scénario référence'!$B$9+'Scénario référence'!$B$10)*70+IF((45+25*(1-EXP(-0.0175*A125)))&lt;70,'Scénario référence'!$B$16*(45+25*(1-EXP(-0.0175*A125))),70*'Scénario référence'!$B$16)+IF((32+38*(1-EXP(-0.0175*A125)))&lt;70,'Scénario référence'!$B$18*(32+38*(1-EXP(-0.0175*A125))),70*'Scénario référence'!$B$18)</f>
        <v>70</v>
      </c>
      <c r="CP125" s="12">
        <f>IF(A125&gt;30,10,('Scénario référence'!$B$16+'Scénario référence'!$B$17+'Scénario référence'!$B$18+'Scénario référence'!$B$9+'Scénario référence'!$B$10)*A125*10/30+('Scénario référence'!$F$8+'Scénario référence'!$F$9)*10)</f>
        <v>10</v>
      </c>
      <c r="CQ125" s="12" t="e">
        <f>VLOOKUP(A125,'Données projet'!$A$139:$I$159,2,0)</f>
        <v>#N/A</v>
      </c>
      <c r="CR125" s="12" t="e">
        <f>VLOOKUP(A125,'Données projet'!$A$139:$I$159,9,0)</f>
        <v>#N/A</v>
      </c>
      <c r="CS125" s="12">
        <f t="array" ref="CS125">INDEX(CR:CR,MIN(IF(ISNUMBER(CR125:CR321),ROW(CR125:CR321),"")))</f>
        <v>0</v>
      </c>
      <c r="CT125" s="12">
        <f>IF('Données projet'!$A$140&gt;35,CT124+CS125-DB124,IF(A125&lt;'Données projet'!$A$140,$CQ$205^A125,IF(A125='Données projet'!$A$140,'Données projet'!$B$140,CT124+CS125-DB124)))</f>
        <v>0</v>
      </c>
      <c r="CU125" s="17" t="e">
        <f>CT125*VLOOKUP('Données projet'!$B$13,Paramètres!$A$1:$I$89,3,0)*VLOOKUP('Données projet'!$B$13,Paramètres!$A$1:$I$89,5,0)</f>
        <v>#N/A</v>
      </c>
      <c r="CV125" s="13" t="e">
        <f t="shared" si="95"/>
        <v>#N/A</v>
      </c>
      <c r="CW125" s="20" t="e">
        <f t="shared" si="67"/>
        <v>#N/A</v>
      </c>
      <c r="CX125" s="59" t="e">
        <f t="shared" si="68"/>
        <v>#N/A</v>
      </c>
      <c r="CY125" s="59" t="e">
        <f ca="1">AVERAGE(OFFSET($CX$3,0,0,'Données projet'!$E$13+1,1))-AVERAGE(OFFSET($H$3,0,0,'Données projet'!$E$13+1,1))</f>
        <v>#N/A</v>
      </c>
      <c r="CZ125" s="59" t="e">
        <f t="shared" si="96"/>
        <v>#N/A</v>
      </c>
      <c r="DA125" s="15">
        <f>IF(ISNA(VLOOKUP(A125,'Données projet'!$A$139:$I$159,3,0)),0,VLOOKUP(A125,'Données projet'!$A$139:$I$159,3,0))</f>
        <v>0</v>
      </c>
      <c r="DB125" s="15">
        <f>IF(ISNA(VLOOKUP(A125,'Données projet'!$A$139:$I$159,4,0)),0,VLOOKUP(A125,'Données projet'!$A$139:$I$159,4,0))</f>
        <v>0</v>
      </c>
      <c r="DC125" s="16">
        <f>IF(ISNA(VLOOKUP(A125,'Données projet'!$A$139:$I$159,5,0)),0%,VLOOKUP(A125,'Données projet'!$A$139:$I$159,5,0)*VLOOKUP('Données projet'!$B$13,Paramètres!$A$1:$I$89,7,0))</f>
        <v>0</v>
      </c>
      <c r="DD125" s="16">
        <f>IF(ISNA(VLOOKUP(A125,'Données projet'!$A$139:$I$159,6,0)),0%,VLOOKUP(A125,'Données projet'!$A$139:$I$159,6,0)*VLOOKUP('Données projet'!$B$13,Paramètres!$A$1:$I$89,7,0))</f>
        <v>0</v>
      </c>
      <c r="DE125" s="16">
        <f>IF(ISNA(VLOOKUP(A125,'Données projet'!$A$139:$I$159,7,0)),0%,VLOOKUP(A125,'Données projet'!$A$139:$I$159,7,0))</f>
        <v>0</v>
      </c>
      <c r="DF125" s="21" t="e">
        <f>EXP(-LN(2)/35)*DF124+(1-EXP(-LN(2)/35))/(LN(2)/35)*DB125*DC125*VLOOKUP('Données projet'!$B$13,Paramètres!$A$1:$I$89,3,0)*0.475*44/12</f>
        <v>#N/A</v>
      </c>
      <c r="DG125" s="21" t="e">
        <f>EXP(-LN(2)/25)*DG124+(1-EXP(-LN(2)/25))/(LN(2)/25)*Calculateur!DB125*Calculateur!DD125*VLOOKUP('Données projet'!$B$13,Paramètres!$A$1:$I$89,3,0)*0.475*44/12</f>
        <v>#N/A</v>
      </c>
      <c r="DH125" s="21" t="e">
        <f>EXP(-LN(2)/2)*DH124+(1-EXP(-LN(2)/2))/(LN(2)/2)*DB125*DE125*VLOOKUP('Données projet'!$B$13,Paramètres!$A$1:$I$89,3,0)*0.475*44/12</f>
        <v>#N/A</v>
      </c>
      <c r="DI125" s="22" t="e">
        <f t="shared" si="69"/>
        <v>#N/A</v>
      </c>
      <c r="DJ125" s="75">
        <f>('Scénario référence'!$F$8+'Scénario référence'!$F$9+'Scénario référence'!$B$17+'Scénario référence'!$B$9+'Scénario référence'!$B$10)*70+IF((45+25*(1-EXP(-0.0175*A125)))&lt;70,'Scénario référence'!$B$16*(45+25*(1-EXP(-0.0175*A125))),70*'Scénario référence'!$B$16)+IF((32+38*(1-EXP(-0.0175*A125)))&lt;70,'Scénario référence'!$B$18*(32+38*(1-EXP(-0.0175*A125))),70*'Scénario référence'!$B$18)</f>
        <v>70</v>
      </c>
      <c r="DK125" s="12">
        <f>IF(A125&gt;30,10,('Scénario référence'!$B$16+'Scénario référence'!$B$17+'Scénario référence'!$B$18+'Scénario référence'!$B$9+'Scénario référence'!$B$10)*A125*10/30+('Scénario référence'!$F$8+'Scénario référence'!$F$9)*10)</f>
        <v>10</v>
      </c>
      <c r="DL125" s="12" t="e">
        <f>VLOOKUP(A125,'Données projet'!$A$165:$I$185,2,0)</f>
        <v>#N/A</v>
      </c>
      <c r="DM125" s="12" t="e">
        <f>VLOOKUP(A125,'Données projet'!$A$165:$I$185,9,0)</f>
        <v>#N/A</v>
      </c>
      <c r="DN125" s="12">
        <f t="array" ref="DN125">INDEX(DM:DM,MIN(IF(ISNUMBER(DM125:DM321),ROW(DM125:DM321),"")))</f>
        <v>0</v>
      </c>
      <c r="DO125" s="12">
        <f>IF('Données projet'!$A$166&gt;35,DO124+DN125-DW124,IF(A125&lt;'Données projet'!$A$166,$DL$205^A125,IF(A125='Données projet'!$A$166,'Données projet'!$B$166,DO124+DN125-DW124)))</f>
        <v>268.00000000000017</v>
      </c>
      <c r="DP125" s="17">
        <f>DO125*VLOOKUP('Données projet'!$B$14,Paramètres!$A$1:$I$89,3,0)*VLOOKUP('Données projet'!$B$14,Paramètres!$A$1:$I$89,5,0)</f>
        <v>175.59360000000012</v>
      </c>
      <c r="DQ125" s="13">
        <f t="shared" si="97"/>
        <v>44.340433728638573</v>
      </c>
      <c r="DR125" s="20">
        <f t="shared" si="70"/>
        <v>383.05177541071242</v>
      </c>
      <c r="DS125" s="59">
        <f t="shared" si="71"/>
        <v>676.38510874404574</v>
      </c>
      <c r="DT125" s="59">
        <f ca="1">AVERAGE(OFFSET($DS$3,0,0,'Données projet'!$E$14+1,1))-AVERAGE(OFFSET($H$3,0,0,'Données projet'!$E$14+1,1))</f>
        <v>188.68915783955595</v>
      </c>
      <c r="DU125" s="59">
        <f t="shared" si="98"/>
        <v>240.82467772396944</v>
      </c>
      <c r="DV125" s="15">
        <f>IF(ISNA(VLOOKUP(A125,'Données projet'!$A$165:$I$185,3,0)),0,VLOOKUP(A125,'Données projet'!$A$165:$I$185,3,0))</f>
        <v>0</v>
      </c>
      <c r="DW125" s="15">
        <f>IF(ISNA(VLOOKUP(A125,'Données projet'!$A$165:$I$185,4,0)),0,VLOOKUP(A125,'Données projet'!$A$165:$I$185,4,0))</f>
        <v>0</v>
      </c>
      <c r="DX125" s="16">
        <f>IF(ISNA(VLOOKUP(A125,'Données projet'!$A$165:$I$185,5,0)),0%,VLOOKUP(A125,'Données projet'!$A$165:$I$185,5,0)*VLOOKUP('Données projet'!$B$14,Paramètres!$A$1:$I$89,7,0))</f>
        <v>0</v>
      </c>
      <c r="DY125" s="16">
        <f>IF(ISNA(VLOOKUP(A125,'Données projet'!$A$165:$I$185,6,0)),0%,VLOOKUP(A125,'Données projet'!$A$165:$I$185,6,0)*VLOOKUP('Données projet'!$B$14,Paramètres!$A$1:$I$89,7,0))</f>
        <v>0</v>
      </c>
      <c r="DZ125" s="16">
        <f>IF(ISNA(VLOOKUP(A125,'Données projet'!$A$165:$I$185,7,0)),0%,VLOOKUP(A125,'Données projet'!$A$165:$I$185,7,0))</f>
        <v>0</v>
      </c>
      <c r="EA125" s="21">
        <f>EXP(-LN(2)/35)*EA124+(1-EXP(-LN(2)/35))/(LN(2)/35)*DW125*DX125*VLOOKUP('Données projet'!$B$14,Paramètres!$A$1:$I$89,3,0)*0.475*44/12</f>
        <v>0.25181442998398168</v>
      </c>
      <c r="EB125" s="21">
        <f>EXP(-LN(2)/25)*EB124+(1-EXP(-LN(2)/25))/(LN(2)/25)*Calculateur!DW125*Calculateur!DY125*VLOOKUP('Données projet'!$B$14,Paramètres!$A$1:$I$89,3,0)*0.475*44/12</f>
        <v>0.62713234104350712</v>
      </c>
      <c r="EC125" s="21">
        <f>EXP(-LN(2)/2)*EC124+(1-EXP(-LN(2)/2))/(LN(2)/2)*DW125*DZ125*VLOOKUP('Données projet'!$B$14,Paramètres!$A$1:$I$89,3,0)*0.475*44/12</f>
        <v>1.9890092042668197E-13</v>
      </c>
      <c r="ED125" s="22">
        <f t="shared" si="72"/>
        <v>0.8789467710276877</v>
      </c>
      <c r="EE125" s="75">
        <f>('Scénario référence'!$F$8+'Scénario référence'!$F$9+'Scénario référence'!$B$17+'Scénario référence'!$B$9+'Scénario référence'!$B$10)*70+IF((45+25*(1-EXP(-0.0175*A125)))&lt;70,'Scénario référence'!$B$16*(45+25*(1-EXP(-0.0175*A125))),70*'Scénario référence'!$B$16)+IF((32+38*(1-EXP(-0.0175*A125)))&lt;70,'Scénario référence'!$B$18*(32+38*(1-EXP(-0.0175*A125))),70*'Scénario référence'!$B$18)</f>
        <v>70</v>
      </c>
      <c r="EF125" s="12">
        <f>IF(A125&gt;30,10,('Scénario référence'!$B$16+'Scénario référence'!$B$17+'Scénario référence'!$B$18+'Scénario référence'!$B$9+'Scénario référence'!$B$10)*A125*10/30+('Scénario référence'!$F$8+'Scénario référence'!$F$9)*10)</f>
        <v>10</v>
      </c>
      <c r="EG125" s="12" t="e">
        <f>VLOOKUP(A125,'Données projet'!$A$191:$I$211,2,0)</f>
        <v>#N/A</v>
      </c>
      <c r="EH125" s="12" t="e">
        <f>VLOOKUP(A125,'Données projet'!$A$191:$I$211,9,0)</f>
        <v>#N/A</v>
      </c>
      <c r="EI125" s="12">
        <f t="array" ref="EI125">INDEX(EH:EH,MIN(IF(ISNUMBER(EH125:EH321),ROW(EH125:EH321),"")))</f>
        <v>0</v>
      </c>
      <c r="EJ125" s="12">
        <f>IF('Données projet'!$A$192&gt;35,EJ124+EI125-ER124,IF(A125&lt;'Données projet'!$A$192,$EG$205^A125,IF(A125='Données projet'!$A$192,'Données projet'!$B$192,EJ124+EI125-ER124)))</f>
        <v>275.99999999999972</v>
      </c>
      <c r="EK125" s="17">
        <f>EJ125*VLOOKUP('Données projet'!$B$15,Paramètres!$A$1:$I$89,3,0)*VLOOKUP('Données projet'!$B$15,Paramètres!$A$1:$I$89,5,0)</f>
        <v>223.8911999999998</v>
      </c>
      <c r="EL125" s="13">
        <f t="shared" si="99"/>
        <v>54.95975389514858</v>
      </c>
      <c r="EM125" s="20">
        <f t="shared" si="73"/>
        <v>485.66541136738346</v>
      </c>
      <c r="EN125" s="59">
        <f t="shared" si="74"/>
        <v>778.99874470071677</v>
      </c>
      <c r="EO125" s="59">
        <f ca="1">AVERAGE(OFFSET($EN$3,0,0,'Données projet'!$E$15+1,1))-AVERAGE(OFFSET($H$3,0,0,'Données projet'!$E$15+1,1))</f>
        <v>205.5272583787887</v>
      </c>
      <c r="EP125" s="59">
        <f t="shared" si="100"/>
        <v>180.54762778843178</v>
      </c>
      <c r="EQ125" s="15">
        <f>IF(ISNA(VLOOKUP(A125,'Données projet'!$A$191:$I$211,3,0)),0,VLOOKUP(A125,'Données projet'!$A$191:$I$211,3,0))</f>
        <v>0</v>
      </c>
      <c r="ER125" s="15">
        <f>IF(ISNA(VLOOKUP(A125,'Données projet'!$A$191:$I$211,4,0)),0,VLOOKUP(A125,'Données projet'!$A$191:$I$211,4,0))</f>
        <v>0</v>
      </c>
      <c r="ES125" s="16">
        <f>IF(ISNA(VLOOKUP(A125,'Données projet'!$A$191:$I$211,5,0)),0%,VLOOKUP(A125,'Données projet'!$A$191:$I$211,5,0)*VLOOKUP('Données projet'!$B$15,Paramètres!$A$1:$I$89,7,0))</f>
        <v>0</v>
      </c>
      <c r="ET125" s="16">
        <f>IF(ISNA(VLOOKUP(A125,'Données projet'!$A$191:$I$211,6,0)),0%,VLOOKUP(A125,'Données projet'!$A$191:$I$211,6,0)*VLOOKUP('Données projet'!$B$15,Paramètres!$A$1:$I$89,7,0))</f>
        <v>0</v>
      </c>
      <c r="EU125" s="16">
        <f>IF(ISNA(VLOOKUP(A125,'Données projet'!$A$191:$I$211,7,0)),0%,VLOOKUP(A125,'Données projet'!$A$191:$I$211,7,0))</f>
        <v>0</v>
      </c>
      <c r="EV125" s="21">
        <f>EXP(-LN(2)/35)*EV124+(1-EXP(-LN(2)/35))/(LN(2)/35)*ER125*ES125*VLOOKUP('Données projet'!$B$15,Paramètres!$A$1:$I$89,3,0)*0.475*44/12</f>
        <v>0.16212052825635395</v>
      </c>
      <c r="EW125" s="21">
        <f>EXP(-LN(2)/25)*EW124+(1-EXP(-LN(2)/25))/(LN(2)/25)*Calculateur!ER125*Calculateur!ET125*VLOOKUP('Données projet'!$B$15,Paramètres!$A$1:$I$89,3,0)*0.475*44/12</f>
        <v>0.45280857489808501</v>
      </c>
      <c r="EX125" s="21">
        <f>EXP(-LN(2)/2)*EX124+(1-EXP(-LN(2)/2))/(LN(2)/2)*ER125*EU125*VLOOKUP('Données projet'!$B$15,Paramètres!$A$1:$I$89,3,0)*0.475*44/12</f>
        <v>1.2878849304882952E-13</v>
      </c>
      <c r="EY125" s="22">
        <f t="shared" si="75"/>
        <v>0.61492910315456772</v>
      </c>
      <c r="EZ125" s="75">
        <f>('Scénario référence'!$F$8+'Scénario référence'!$F$9+'Scénario référence'!$B$17+'Scénario référence'!$B$9+'Scénario référence'!$B$10)*70+IF((45+25*(1-EXP(-0.0175*A125)))&lt;70,'Scénario référence'!$B$16*(45+25*(1-EXP(-0.0175*A125))),70*'Scénario référence'!$B$16)+IF((32+38*(1-EXP(-0.0175*A125)))&lt;70,'Scénario référence'!$B$18*(32+38*(1-EXP(-0.0175*A125))),70*'Scénario référence'!$B$18)</f>
        <v>70</v>
      </c>
      <c r="FA125" s="12">
        <f>IF(A125&gt;30,10,('Scénario référence'!$B$16+'Scénario référence'!$B$17+'Scénario référence'!$B$18+'Scénario référence'!$B$9+'Scénario référence'!$B$10)*A125*10/30+('Scénario référence'!$F$8+'Scénario référence'!$F$9)*10)</f>
        <v>10</v>
      </c>
      <c r="FB125" s="12" t="e">
        <f>VLOOKUP(A125,'Données projet'!$A$217:$I$237,2,0)</f>
        <v>#N/A</v>
      </c>
      <c r="FC125" s="12" t="e">
        <f>VLOOKUP(A125,'Données projet'!$A$217:$I$237,9,0)</f>
        <v>#N/A</v>
      </c>
      <c r="FD125" s="12">
        <f t="array" ref="FD125">INDEX(FC:FC,MIN(IF(ISNUMBER(FC125:FC321),ROW(FC125:FC321),"")))</f>
        <v>6.3</v>
      </c>
      <c r="FE125" s="12">
        <f>IF('Données projet'!$A$218&gt;35,FE124+FD125-FM124,IF(A125&lt;'Données projet'!$A$218,$FB$205^A125,IF(A125='Données projet'!$A$218,'Données projet'!$B$218,FE124+FD125-FM124)))</f>
        <v>404.59999999999985</v>
      </c>
      <c r="FF125" s="17">
        <f>FE125*VLOOKUP('Données projet'!$B$16,Paramètres!$A$1:$I$89,3,0)*VLOOKUP('Données projet'!$B$16,Paramètres!$A$1:$I$89,5,0)</f>
        <v>347.14679999999993</v>
      </c>
      <c r="FG125" s="13">
        <f t="shared" si="101"/>
        <v>80.974728137922909</v>
      </c>
      <c r="FH125" s="20">
        <f t="shared" si="76"/>
        <v>745.64499484021553</v>
      </c>
      <c r="FI125" s="59">
        <f t="shared" si="77"/>
        <v>1038.9783281735488</v>
      </c>
      <c r="FJ125" s="59">
        <f ca="1">AVERAGE(OFFSET($FI$3,0,0,'Données projet'!$E$16+1,1))-AVERAGE(OFFSET($H$3,0,0,'Données projet'!$E$16+1,1))</f>
        <v>383.97627237444709</v>
      </c>
      <c r="FK125" s="59">
        <f t="shared" si="102"/>
        <v>203.35476578922339</v>
      </c>
      <c r="FL125" s="15">
        <f>IF(ISNA(VLOOKUP(A125,'Données projet'!$A$217:$I$237,3,0)),0,VLOOKUP(A125,'Données projet'!$A$217:$I$237,3,0))</f>
        <v>0</v>
      </c>
      <c r="FM125" s="15">
        <f>IF(ISNA(VLOOKUP(A125,'Données projet'!$A$217:$I$237,4,0)),0,VLOOKUP(A125,'Données projet'!$A$217:$I$237,4,0))</f>
        <v>0</v>
      </c>
      <c r="FN125" s="16">
        <f>IF(ISNA(VLOOKUP(A125,'Données projet'!$A$217:$I$237,5,0)),0%,VLOOKUP(A125,'Données projet'!$A$217:$I$237,5,0)*VLOOKUP('Données projet'!$B$16,Paramètres!$A$1:$I$89,7,0))</f>
        <v>0</v>
      </c>
      <c r="FO125" s="16">
        <f>IF(ISNA(VLOOKUP(A125,'Données projet'!$A$217:$I$237,6,0)),0%,VLOOKUP(A125,'Données projet'!$A$217:$I$237,6,0)*VLOOKUP('Données projet'!$B$16,Paramètres!$A$1:$I$89,7,0))</f>
        <v>0</v>
      </c>
      <c r="FP125" s="16">
        <f>IF(ISNA(VLOOKUP(A125,'Données projet'!$A$217:$I$237,7,0)),0%,VLOOKUP(A125,'Données projet'!$A$217:$I$237,7,0))</f>
        <v>0</v>
      </c>
      <c r="FQ125" s="21">
        <f>EXP(-LN(2)/35)*FQ124+(1-EXP(-LN(2)/35))/(LN(2)/35)*FM125*FN125*VLOOKUP('Données projet'!$B$16,Paramètres!$A$1:$I$89,3,0)*0.475*44/12</f>
        <v>0.83321156144893826</v>
      </c>
      <c r="FR125" s="21">
        <f>EXP(-LN(2)/25)*FR124+(1-EXP(-LN(2)/25))/(LN(2)/25)*Calculateur!FM125*Calculateur!FO125*VLOOKUP('Données projet'!$B$16,Paramètres!$A$1:$I$89,3,0)*0.475*44/12</f>
        <v>0.45964750573571805</v>
      </c>
      <c r="FS125" s="21">
        <f>EXP(-LN(2)/2)*FS124+(1-EXP(-LN(2)/2))/(LN(2)/2)*FM125*FP125*VLOOKUP('Données projet'!$B$16,Paramètres!$A$1:$I$89,3,0)*0.475*44/12</f>
        <v>2.3655803050516357E-13</v>
      </c>
      <c r="FT125" s="22">
        <f t="shared" si="78"/>
        <v>1.2928590671848927</v>
      </c>
      <c r="FU125" s="75">
        <f>('Scénario référence'!$F$8+'Scénario référence'!$F$9+'Scénario référence'!$B$17+'Scénario référence'!$B$9+'Scénario référence'!$B$10)*70+IF((45+25*(1-EXP(-0.0175*A125)))&lt;70,'Scénario référence'!$B$16*(45+25*(1-EXP(-0.0175*A125))),70*'Scénario référence'!$B$16)+IF((32+38*(1-EXP(-0.0175*A125)))&lt;70,'Scénario référence'!$B$18*(32+38*(1-EXP(-0.0175*A125))),70*'Scénario référence'!$B$18)</f>
        <v>70</v>
      </c>
      <c r="FV125" s="12">
        <f>IF(A125&gt;30,10,('Scénario référence'!$B$16+'Scénario référence'!$B$17+'Scénario référence'!$B$18+'Scénario référence'!$B$9+'Scénario référence'!$B$10)*A125*10/30+('Scénario référence'!$F$8+'Scénario référence'!$F$9)*10)</f>
        <v>10</v>
      </c>
      <c r="FW125" s="12" t="e">
        <f>VLOOKUP(A125,'Données projet'!$A$243:$I$263,2,0)</f>
        <v>#N/A</v>
      </c>
      <c r="FX125" s="12" t="e">
        <f>VLOOKUP(A125,'Données projet'!$A$243:$I$263,9,0)</f>
        <v>#N/A</v>
      </c>
      <c r="FY125" s="12">
        <f t="array" ref="FY125">INDEX(FX:FX,MIN(IF(ISNUMBER(FX125:FX321),ROW(FX125:FX321),"")))</f>
        <v>3.8301282051282044</v>
      </c>
      <c r="FZ125" s="12">
        <f>IF('Données projet'!$A$244&gt;35,FZ124+FY125-GH124,IF(A125&lt;'Données projet'!$A$244,$FW$205^A125,IF(A125='Données projet'!$A$244,'Données projet'!$B$244,FZ124+FY125-GH124)))</f>
        <v>218.80448717948755</v>
      </c>
      <c r="GA125" s="17">
        <f>FZ125*VLOOKUP('Données projet'!$B$17,Paramètres!$A$1:$I$89,3,0)*VLOOKUP('Données projet'!$B$17,Paramètres!$A$1:$I$89,5,0)</f>
        <v>235.5211500000004</v>
      </c>
      <c r="GB125" s="13">
        <f t="shared" si="103"/>
        <v>57.47483010857345</v>
      </c>
      <c r="GC125" s="20">
        <f t="shared" si="79"/>
        <v>510.30133202243286</v>
      </c>
      <c r="GD125" s="59">
        <f t="shared" si="80"/>
        <v>803.63466535576617</v>
      </c>
      <c r="GE125" s="59">
        <f ca="1">AVERAGE(OFFSET($GD$3,0,0,'Données projet'!$E$17+1,1))-AVERAGE(OFFSET($H$3,0,0,'Données projet'!$E$17+1,1))</f>
        <v>286.77702855541287</v>
      </c>
      <c r="GF125" s="59">
        <f t="shared" si="104"/>
        <v>227.12211541860779</v>
      </c>
      <c r="GG125" s="15">
        <f>IF(ISNA(VLOOKUP(A125,'Données projet'!$A$243:$I$263,3,0)),0,VLOOKUP(A125,'Données projet'!$A$243:$I$263,3,0))</f>
        <v>0</v>
      </c>
      <c r="GH125" s="15">
        <f>IF(ISNA(VLOOKUP(A125,'Données projet'!$A$243:$I$263,4,0)),0,VLOOKUP(A125,'Données projet'!$A$243:$I$263,4,0))</f>
        <v>0</v>
      </c>
      <c r="GI125" s="16">
        <f>IF(ISNA(VLOOKUP(A125,'Données projet'!$A$243:$I$263,5,0)),0%,VLOOKUP(A125,'Données projet'!$A$243:$I$263,5,0)*VLOOKUP('Données projet'!$B$17,Paramètres!$A$1:$I$89,7,0))</f>
        <v>0</v>
      </c>
      <c r="GJ125" s="16">
        <f>IF(ISNA(VLOOKUP(A125,'Données projet'!$A$243:$I$263,6,0)),0%,VLOOKUP(A125,'Données projet'!$A$243:$I$263,6,0)*VLOOKUP('Données projet'!$B$17,Paramètres!$A$1:$I$89,7,0))</f>
        <v>0</v>
      </c>
      <c r="GK125" s="16">
        <f>IF(ISNA(VLOOKUP(A125,'Données projet'!$A$243:$I$263,7,0)),0%,VLOOKUP(A125,'Données projet'!$A$243:$I$263,7,0))</f>
        <v>0</v>
      </c>
      <c r="GL125" s="21">
        <f>EXP(-LN(2)/35)*GL124+(1-EXP(-LN(2)/35))/(LN(2)/35)*GH125*GI125*VLOOKUP('Données projet'!$B$17,Paramètres!$A$1:$I$89,3,0)*0.475*44/12</f>
        <v>0</v>
      </c>
      <c r="GM125" s="21">
        <f>EXP(-LN(2)/25)*GM124+(1-EXP(-LN(2)/25))/(LN(2)/25)*Calculateur!GH125*Calculateur!GJ125*VLOOKUP('Données projet'!$B$17,Paramètres!$A$1:$I$89,3,0)*0.475*44/12</f>
        <v>0</v>
      </c>
      <c r="GN125" s="21">
        <f>EXP(-LN(2)/2)*GN124+(1-EXP(-LN(2)/2))/(LN(2)/2)*GH125*GK125*VLOOKUP('Données projet'!$B$17,Paramètres!$A$1:$I$89,3,0)*0.475*44/12</f>
        <v>0</v>
      </c>
      <c r="GO125" s="21">
        <f t="shared" si="81"/>
        <v>0</v>
      </c>
      <c r="GP125" s="75">
        <f>('Scénario référence'!$F$8+'Scénario référence'!$F$9+'Scénario référence'!$B$17+'Scénario référence'!$B$9+'Scénario référence'!$B$10)*70+IF((45+25*(1-EXP(-0.0175*A125)))&lt;70,'Scénario référence'!$B$16*(45+25*(1-EXP(-0.0175*A125))),70*'Scénario référence'!$B$16)+IF((32+38*(1-EXP(-0.0175*A125)))&lt;70,'Scénario référence'!$B$18*(32+38*(1-EXP(-0.0175*A125))),70*'Scénario référence'!$B$18)</f>
        <v>70</v>
      </c>
      <c r="GQ125" s="12">
        <f>IF(A125&gt;30,10,('Scénario référence'!$B$16+'Scénario référence'!$B$17+'Scénario référence'!$B$18+'Scénario référence'!$B$9+'Scénario référence'!$B$10)*A125*10/30+('Scénario référence'!$F$8+'Scénario référence'!$F$9)*10)</f>
        <v>10</v>
      </c>
      <c r="GR125" s="12" t="e">
        <f>VLOOKUP(A125,'Données projet'!$A$269:$I$289,2,0)</f>
        <v>#N/A</v>
      </c>
      <c r="GS125" s="12" t="e">
        <f>VLOOKUP(A125,'Données projet'!$A$269:$I$289,9,0)</f>
        <v>#N/A</v>
      </c>
      <c r="GT125" s="12">
        <f t="array" ref="GT125">INDEX(GS:GS,MIN(IF(ISNUMBER(GS125:GS321),ROW(GS125:GS321),"")))</f>
        <v>3.8301282051282044</v>
      </c>
      <c r="GU125" s="12">
        <f>IF('Données projet'!$A$270&gt;35,GU124+GT125-HC124,IF(A125&lt;'Données projet'!$A$270,$GR$205^A125,IF(A125='Données projet'!$A$270,'Données projet'!$B$270,GU124+GT125-HC124)))</f>
        <v>218.80448717948755</v>
      </c>
      <c r="GV125" s="17">
        <f>GU125*VLOOKUP('Données projet'!$B$18,Paramètres!$A$1:$I$89,3,0)*VLOOKUP('Données projet'!$B$18,Paramètres!$A$1:$I$89,5,0)</f>
        <v>235.5211500000004</v>
      </c>
      <c r="GW125" s="13">
        <f t="shared" si="105"/>
        <v>57.47483010857345</v>
      </c>
      <c r="GX125" s="20">
        <f t="shared" si="82"/>
        <v>510.30133202243286</v>
      </c>
      <c r="GY125" s="59">
        <f t="shared" si="83"/>
        <v>803.63466535576617</v>
      </c>
      <c r="GZ125" s="59">
        <f ca="1">AVERAGE(OFFSET($GY$3,0,0,'Données projet'!$E$18+1,1))-AVERAGE(OFFSET($H$3,0,0,'Données projet'!$E$18+1,1))</f>
        <v>286.77702855541287</v>
      </c>
      <c r="HA125" s="59">
        <f t="shared" si="106"/>
        <v>227.12211541860779</v>
      </c>
      <c r="HB125" s="15">
        <f>IF(ISNA(VLOOKUP(A125,'Données projet'!$A$269:$I$289,3,0)),0,VLOOKUP(A125,'Données projet'!$A$269:$I$289,3,0))</f>
        <v>0</v>
      </c>
      <c r="HC125" s="15">
        <f>IF(ISNA(VLOOKUP(A125,'Données projet'!$A$269:$I$289,4,0)),0,VLOOKUP(A125,'Données projet'!$A$269:$I$289,4,0))</f>
        <v>0</v>
      </c>
      <c r="HD125" s="16">
        <f>IF(ISNA(VLOOKUP(A125,'Données projet'!$A$269:$I$289,5,0)),0%,VLOOKUP(A125,'Données projet'!$A$269:$I$289,5,0)*VLOOKUP('Données projet'!$B$18,Paramètres!$A$1:$I$89,7,0))</f>
        <v>0</v>
      </c>
      <c r="HE125" s="16">
        <f>IF(ISNA(VLOOKUP(A125,'Données projet'!$A$269:$I$289,6,0)),0%,VLOOKUP(A125,'Données projet'!$A$269:$I$289,6,0)*VLOOKUP('Données projet'!$B$18,Paramètres!$A$1:$I$89,7,0))</f>
        <v>0</v>
      </c>
      <c r="HF125" s="16">
        <f>IF(ISNA(VLOOKUP(A125,'Données projet'!$A$269:$I$289,7,0)),0%,VLOOKUP(A125,'Données projet'!$A$269:$I$289,7,0))</f>
        <v>0</v>
      </c>
      <c r="HG125" s="21">
        <f>EXP(-LN(2)/35)*HG124+(1-EXP(-LN(2)/35))/(LN(2)/35)*HC125*HD125*VLOOKUP('Données projet'!$B$18,Paramètres!$A$1:$I$89,3,0)*0.475*44/12</f>
        <v>0</v>
      </c>
      <c r="HH125" s="21">
        <f>EXP(-LN(2)/25)*HH124+(1-EXP(-LN(2)/25))/(LN(2)/25)*Calculateur!HC125*Calculateur!HE125*VLOOKUP('Données projet'!$B$18,Paramètres!$A$1:$I$89,3,0)*0.475*44/12</f>
        <v>0</v>
      </c>
      <c r="HI125" s="21">
        <f>EXP(-LN(2)/2)*HI124+(1-EXP(-LN(2)/2))/(LN(2)/2)*HC125*HF125*VLOOKUP('Données projet'!$B$18,Paramètres!$A$1:$I$89,3,0)*0.475*44/12</f>
        <v>0</v>
      </c>
      <c r="HJ125" s="22">
        <f t="shared" si="84"/>
        <v>0</v>
      </c>
    </row>
    <row r="126" spans="1:218" x14ac:dyDescent="0.25">
      <c r="A126" s="10">
        <f t="shared" si="85"/>
        <v>123</v>
      </c>
      <c r="B126" s="73">
        <f>'Scénario référence'!$B$16*5+'Scénario référence'!$B$17*0+'Scénario référence'!$B$18*5</f>
        <v>0</v>
      </c>
      <c r="C126" s="19">
        <f>Calculateur!C125+'Scénario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109.3716000000002</v>
      </c>
      <c r="D126" s="11">
        <f t="shared" si="86"/>
        <v>29.182879300506769</v>
      </c>
      <c r="E12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26" s="11">
        <f>IF(OR('Scénario référence'!$F$8&gt;0,'Scénario référence'!$F$9&gt;0),('Scénario référence'!$F$8+'Scénario référence'!$F$9)*10,0)</f>
        <v>10</v>
      </c>
      <c r="G126" s="11">
        <f>'Scénario référence'!$B$8*B126*44/12+'Scénario référence'!$B$9*(C126+D126)/0.475*44/12+'Scénario référence'!$B$10*(C126+D126)/0.475*44/12+'Scénario référence'!$F$8*(C126+D126)/0.475*44/12+'Scénario référence'!$F$9*(C126+D126)/0.475*44/12</f>
        <v>1069.5433489863697</v>
      </c>
      <c r="H126" s="67">
        <f t="shared" si="56"/>
        <v>534.64905144838292</v>
      </c>
      <c r="I126" s="70">
        <f>('Scénario référence'!$F$8+'Scénario référence'!$F$9+'Scénario référence'!$B$17+'Scénario référence'!$B$9+'Scénario référence'!$B$10)*70+IF((45+25*(1-EXP(-0.0175*A126)))&lt;70,'Scénario référence'!$B$16*(45+25*(1-EXP(-0.0175*A126))),70*'Scénario référence'!$B$16)+IF((32+38*(1-EXP(-0.0175*A126)))&lt;70,'Scénario référence'!$B$18*(32+38*(1-EXP(-0.0175*A126))),70*'Scénario référence'!$B$18)</f>
        <v>70</v>
      </c>
      <c r="J126" s="13">
        <f>IF(A126&gt;30,10,('Scénario référence'!$B$16+'Scénario référence'!$B$17+'Scénario référence'!$B$18+'Scénario référence'!$B$9+'Scénario référence'!$B$10)*A126*10/30+('Scénario référence'!$F$8+'Scénario référence'!$F$9)*10)</f>
        <v>10</v>
      </c>
      <c r="K126" s="12" t="e">
        <f>VLOOKUP(A126,'Données projet'!$A$35:$I$55,2,0)</f>
        <v>#N/A</v>
      </c>
      <c r="L126" s="12" t="e">
        <f>VLOOKUP(A126,'Données projet'!$A$35:$I$55,9,0)</f>
        <v>#N/A</v>
      </c>
      <c r="M126" s="12">
        <f t="array" ref="M126">INDEX(L:L,MIN(IF(ISNUMBER(L126:L322),ROW(L126:L322),"")))</f>
        <v>0</v>
      </c>
      <c r="N126" s="13">
        <f>IF('Données projet'!$A$36&gt;35,N125+M126-V125,IF(A126&lt;'Données projet'!$A$36,$K$205^A126,IF(A126='Données projet'!$A$36,'Données projet'!$B$36,N125+M126-V125)))</f>
        <v>-2.2737367544323206E-13</v>
      </c>
      <c r="O126" s="13">
        <f>N126*VLOOKUP('Données projet'!$B$9,Paramètres!$A$1:$I$89,3,0)*VLOOKUP('Données projet'!$B$9,Paramètres!$A$1:$I$89,5,0)</f>
        <v>-1.2710188457276673E-13</v>
      </c>
      <c r="P126" s="13" t="e">
        <f t="shared" si="87"/>
        <v>#NUM!</v>
      </c>
      <c r="Q126" s="20" t="e">
        <f t="shared" si="107"/>
        <v>#NUM!</v>
      </c>
      <c r="R126" s="59" t="e">
        <f t="shared" si="55"/>
        <v>#NUM!</v>
      </c>
      <c r="S126" s="59">
        <f ca="1">AVERAGE(OFFSET($R$3,0,0,'Données projet'!$E$9+1,1))-AVERAGE(OFFSET($H$3,0,0,'Données projet'!$E$9+1,1))</f>
        <v>255.5374979188561</v>
      </c>
      <c r="T126" s="59">
        <f t="shared" si="88"/>
        <v>343.10418468620901</v>
      </c>
      <c r="U126" s="15">
        <f>IF(ISNA(VLOOKUP(A126,'Données projet'!$A$35:$I$55,3,0)),0,VLOOKUP(A126,'Données projet'!$A$35:$I$55,3,0))</f>
        <v>0</v>
      </c>
      <c r="V126" s="15">
        <f>IF(ISNA(VLOOKUP(A126,'Données projet'!$A$35:$I$55,4,0)),0,VLOOKUP(A126,'Données projet'!$A$35:$I$55,4,0))</f>
        <v>0</v>
      </c>
      <c r="W126" s="16">
        <f>IF(ISNA(VLOOKUP(A126,'Données projet'!$A$35:$I$55,5,0)),0%,VLOOKUP(A126,'Données projet'!$A$35:$I$55,5,0)*VLOOKUP('Données projet'!$B$9,Paramètres!$A$1:$I$89,7,0))</f>
        <v>0</v>
      </c>
      <c r="X126" s="16">
        <f>IF(ISNA(VLOOKUP(A126,'Données projet'!$A$35:$I$55,6,0)),0%,VLOOKUP(A126,'Données projet'!$A$35:$I$55,6,0)*VLOOKUP('Données projet'!$B$9,Paramètres!$A$1:$I$89,7,0))</f>
        <v>0</v>
      </c>
      <c r="Y126" s="16">
        <f>IF(ISNA(VLOOKUP(A126,'Données projet'!$A$35:$I$55,7,0)),0%,VLOOKUP(A126,'Données projet'!$A$35:$I$55,7,0))</f>
        <v>0</v>
      </c>
      <c r="Z126" s="21">
        <f>EXP(-LN(2)/35)*Z125+(1-EXP(-LN(2)/35))/(LN(2)/35)*V126*W126*VLOOKUP('Données projet'!$B$9,Paramètres!$A$1:$I$89,3,0)*0.475*44/12</f>
        <v>0.48987414392493495</v>
      </c>
      <c r="AA126" s="21">
        <f>EXP(-LN(2)/25)*AA125+(1-EXP(-LN(2)/25))/(LN(2)/25)*Calculateur!V126*Calculateur!X126*VLOOKUP('Données projet'!$B$9,Paramètres!$A$1:$I$89,3,0)*0.475*44/12</f>
        <v>1.2111790618494243</v>
      </c>
      <c r="AB126" s="21">
        <f>EXP(-LN(2)/2)*AB125+(1-EXP(-LN(2)/2))/(LN(2)/2)*V126*Y126*VLOOKUP('Données projet'!$B$9,Paramètres!$A$1:$I$89,3,0)*0.475*44/12</f>
        <v>1.700876969680793E-14</v>
      </c>
      <c r="AC126" s="22">
        <f t="shared" si="57"/>
        <v>1.7010532057743764</v>
      </c>
      <c r="AD126" s="13">
        <f>('Scénario référence'!$F$8+'Scénario référence'!$F$9+'Scénario référence'!$B$17+'Scénario référence'!$B$9+'Scénario référence'!$B$10)*70+IF((45+25*(1-EXP(-0.0175*A126)))&lt;70,'Scénario référence'!$B$16*(45+25*(1-EXP(-0.0175*A126))),70*'Scénario référence'!$B$16)+IF((32+38*(1-EXP(-0.0175*A126)))&lt;70,'Scénario référence'!$B$18*(32+38*(1-EXP(-0.0175*A126))),70*'Scénario référence'!$B$18)</f>
        <v>70</v>
      </c>
      <c r="AE126" s="13">
        <f>IF(A126&gt;30,10,('Scénario référence'!$B$16+'Scénario référence'!$B$17+'Scénario référence'!$B$18+'Scénario référence'!$B$9+'Scénario référence'!$B$10)*A126*10/30+('Scénario référence'!$F$8+'Scénario référence'!$F$9)*10)</f>
        <v>10</v>
      </c>
      <c r="AF126" s="12" t="e">
        <f>VLOOKUP(A126,'Données projet'!$A$61:$I$81,2,0)</f>
        <v>#N/A</v>
      </c>
      <c r="AG126" s="12" t="e">
        <f>VLOOKUP(A126,'Données projet'!$A$61:$I$81,9,0)</f>
        <v>#N/A</v>
      </c>
      <c r="AH126" s="12">
        <f t="array" ref="AH126">INDEX(AG:AG,MIN(IF(ISNUMBER(AG126:AG322),ROW(AG126:AG322),"")))</f>
        <v>0</v>
      </c>
      <c r="AI126" s="13">
        <f>IF('Données projet'!$A$62&gt;35,AI125+AH126-AQ125,IF(A126&lt;'Données projet'!$A$62,$AF$205^A126,IF(A126='Données projet'!$A$62,'Données projet'!$B$62,AI125+AH126-AQ125)))</f>
        <v>0</v>
      </c>
      <c r="AJ126" s="13">
        <f>AI126*VLOOKUP('Données projet'!$B$10,Paramètres!$A$1:$I$89,3,0)*VLOOKUP('Données projet'!$B$10,Paramètres!$A$1:$I$89,5,0)</f>
        <v>0</v>
      </c>
      <c r="AK126" s="13" t="e">
        <f t="shared" si="89"/>
        <v>#NUM!</v>
      </c>
      <c r="AL126" s="20" t="e">
        <f t="shared" si="58"/>
        <v>#NUM!</v>
      </c>
      <c r="AM126" s="59" t="e">
        <f t="shared" si="59"/>
        <v>#NUM!</v>
      </c>
      <c r="AN126" s="59">
        <f ca="1">AVERAGE(OFFSET($AM$3,0,0,'Données projet'!$E$10+1,1))-AVERAGE(OFFSET($H$3,0,0,'Données projet'!$E$10+1,1))</f>
        <v>261.78489480911571</v>
      </c>
      <c r="AO126" s="59">
        <f t="shared" si="90"/>
        <v>297.50513563712764</v>
      </c>
      <c r="AP126" s="15">
        <f>IF(ISNA(VLOOKUP(A126,'Données projet'!$A$61:$I$81,3,0)),0,VLOOKUP(A126,'Données projet'!$A$61:$I$81,3,0))</f>
        <v>0</v>
      </c>
      <c r="AQ126" s="15">
        <f>IF(ISNA(VLOOKUP(A126,'Données projet'!$A$61:$I$81,4,0)),0,VLOOKUP(A126,'Données projet'!$A$61:$I$81,4,0))</f>
        <v>0</v>
      </c>
      <c r="AR126" s="16">
        <f>IF(ISNA(VLOOKUP(A126,'Données projet'!$A$61:$I$81,5,0)),0%,VLOOKUP(A126,'Données projet'!$A$61:$I$81,5,0)*VLOOKUP('Données projet'!$B$10,Paramètres!$A$1:$I$89,7,0))</f>
        <v>0</v>
      </c>
      <c r="AS126" s="16">
        <f>IF(ISNA(VLOOKUP(A126,'Données projet'!$A$61:$I$81,6,0)),0%,VLOOKUP(A126,'Données projet'!$A$61:$I$81,6,0)*VLOOKUP('Données projet'!$B$10,Paramètres!$A$1:$I$89,7,0))</f>
        <v>0</v>
      </c>
      <c r="AT126" s="16">
        <f>IF(ISNA(VLOOKUP(A126,'Données projet'!$A$61:$I$81,7,0)),0%,VLOOKUP(A126,'Données projet'!$A$61:$I$81,7,0))</f>
        <v>0</v>
      </c>
      <c r="AU126" s="21">
        <f>EXP(-LN(2)/35)*AU125+(1-EXP(-LN(2)/35))/(LN(2)/35)*AQ126*AR126*VLOOKUP('Données projet'!$B$10,Paramètres!$A$1:$I$89,3,0)*0.475*44/12</f>
        <v>1.3227987488343467</v>
      </c>
      <c r="AV126" s="21">
        <f>EXP(-LN(2)/25)*AV125+(1-EXP(-LN(2)/25))/(LN(2)/25)*Calculateur!AQ126*Calculateur!AS126*VLOOKUP('Données projet'!$B$10,Paramètres!$A$1:$I$89,3,0)*0.475*44/12</f>
        <v>2.1149656751298762</v>
      </c>
      <c r="AW126" s="21">
        <f>EXP(-LN(2)/2)*AW125+(1-EXP(-LN(2)/2))/(LN(2)/2)*AQ126*AT126*VLOOKUP('Données projet'!$B$10,Paramètres!$A$1:$I$89,3,0)*0.475*44/12</f>
        <v>2.4519760759658697E-13</v>
      </c>
      <c r="AX126" s="21">
        <f t="shared" si="60"/>
        <v>3.437764423964468</v>
      </c>
      <c r="AY126" s="74">
        <f>('Scénario référence'!$F$8+'Scénario référence'!$F$9+'Scénario référence'!$B$17+'Scénario référence'!$B$9+'Scénario référence'!$B$10)*70+IF((45+25*(1-EXP(-0.0175*A126)))&lt;70,'Scénario référence'!$B$16*(45+25*(1-EXP(-0.0175*A126))),70*'Scénario référence'!$B$16)+IF((32+38*(1-EXP(-0.0175*A126)))&lt;70,'Scénario référence'!$B$18*(32+38*(1-EXP(-0.0175*A126))),70*'Scénario référence'!$B$18)</f>
        <v>70</v>
      </c>
      <c r="AZ126" s="12">
        <f>IF(A126&gt;30,10,('Scénario référence'!$B$16+'Scénario référence'!$B$17+'Scénario référence'!$B$18+'Scénario référence'!$B$9+'Scénario référence'!$B$10)*A126*10/30+('Scénario référence'!$F$8+'Scénario référence'!$F$9)*10)</f>
        <v>10</v>
      </c>
      <c r="BA126" s="12" t="e">
        <f>VLOOKUP(A126,'Données projet'!$A$87:$I$107,2,0)</f>
        <v>#N/A</v>
      </c>
      <c r="BB126" s="12" t="e">
        <f>VLOOKUP(A126,'Données projet'!$A$87:$I$107,9,0)</f>
        <v>#N/A</v>
      </c>
      <c r="BC126" s="12">
        <f t="array" ref="BC126">INDEX(BB:BB,MIN(IF(ISNUMBER(BB126:BB322),ROW(BB126:BB322),"")))</f>
        <v>0</v>
      </c>
      <c r="BD126" s="12">
        <f>IF('Données projet'!$A$88&gt;35,BD125+BC126-BL125,IF(A126&lt;'Données projet'!$A$88,$BA$205^A126,IF(A126='Données projet'!$A$88,'Données projet'!$B$88,BD125+BC126-BL125)))</f>
        <v>553.99999999999955</v>
      </c>
      <c r="BE126" s="13">
        <f>BD126*VLOOKUP('Données projet'!$B$11,Paramètres!$A$1:$I$89,3,0)*VLOOKUP('Données projet'!$B$11,Paramètres!$A$1:$I$89,5,0)</f>
        <v>331.29199999999975</v>
      </c>
      <c r="BF126" s="13">
        <f t="shared" si="91"/>
        <v>77.698110787752</v>
      </c>
      <c r="BG126" s="20">
        <f t="shared" si="61"/>
        <v>712.32444295533423</v>
      </c>
      <c r="BH126" s="59">
        <f t="shared" si="62"/>
        <v>1005.6577762886675</v>
      </c>
      <c r="BI126" s="59">
        <f ca="1">AVERAGE(OFFSET($BH$3,0,0,'Données projet'!$E$11+1,1))-AVERAGE(OFFSET($H$3,0,0,'Données projet'!$E$11+1,1))</f>
        <v>316.58509520829671</v>
      </c>
      <c r="BJ126" s="59">
        <f t="shared" si="92"/>
        <v>240.71332110643596</v>
      </c>
      <c r="BK126" s="15">
        <f>IF(ISNA(VLOOKUP(A126,'Données projet'!$A$87:$I$107,3,0)),0,VLOOKUP(A126,'Données projet'!$A$87:$I$107,3,0))</f>
        <v>0</v>
      </c>
      <c r="BL126" s="15">
        <f>IF(ISNA(VLOOKUP(A126,'Données projet'!$A$87:$I$107,4,0)),0,VLOOKUP(A126,'Données projet'!$A$87:$I$107,4,0))</f>
        <v>0</v>
      </c>
      <c r="BM126" s="16">
        <f>IF(ISNA(VLOOKUP(A126,'Données projet'!$A$87:$I$107,5,0)),0%,VLOOKUP(A126,'Données projet'!$A$87:$I$107,5,0)*VLOOKUP('Données projet'!$B$11,Paramètres!$A$1:$I$89,7,0))</f>
        <v>0</v>
      </c>
      <c r="BN126" s="16">
        <f>IF(ISNA(VLOOKUP(A126,'Données projet'!$A$87:$I$107,6,0)),0%,VLOOKUP(A126,'Données projet'!$A$87:$I$107,6,0)*VLOOKUP('Données projet'!$B$11,Paramètres!$A$1:$I$89,7,0))</f>
        <v>0</v>
      </c>
      <c r="BO126" s="16">
        <f>IF(ISNA(VLOOKUP(A126,'Données projet'!$A$87:$I$107,7,0)),0%,VLOOKUP(A126,'Données projet'!$A$87:$I$107,7,0))</f>
        <v>0</v>
      </c>
      <c r="BP126" s="21">
        <f>EXP(-LN(2)/35)*BP125+(1-EXP(-LN(2)/35))/(LN(2)/35)*BL126*BM126*VLOOKUP('Données projet'!$B$11,Paramètres!$A$1:$I$89,3,0)*0.475*44/12</f>
        <v>0.40180996221102844</v>
      </c>
      <c r="BQ126" s="21">
        <f>EXP(-LN(2)/25)*BQ125+(1-EXP(-LN(2)/25))/(LN(2)/25)*Calculateur!BL126*Calculateur!BN126*VLOOKUP('Données projet'!$B$11,Paramètres!$A$1:$I$89,3,0)*0.475*44/12</f>
        <v>1.1586399074665972</v>
      </c>
      <c r="BR126" s="21">
        <f>EXP(-LN(2)/2)*BR125+(1-EXP(-LN(2)/2))/(LN(2)/2)*BL126*BO126*VLOOKUP('Données projet'!$B$11,Paramètres!$A$1:$I$89,3,0)*0.475*44/12</f>
        <v>2.2045950145858828E-13</v>
      </c>
      <c r="BS126" s="22">
        <f t="shared" si="63"/>
        <v>1.5604498696778462</v>
      </c>
      <c r="BT126" s="75">
        <f>('Scénario référence'!$F$8+'Scénario référence'!$F$9+'Scénario référence'!$B$17+'Scénario référence'!$B$9+'Scénario référence'!$B$10)*70+IF((45+25*(1-EXP(-0.0175*A126)))&lt;70,'Scénario référence'!$B$16*(45+25*(1-EXP(-0.0175*A126))),70*'Scénario référence'!$B$16)+IF((32+38*(1-EXP(-0.0175*A126)))&lt;70,'Scénario référence'!$B$18*(32+38*(1-EXP(-0.0175*A126))),70*'Scénario référence'!$B$18)</f>
        <v>70</v>
      </c>
      <c r="BU126" s="12">
        <f>IF(A126&gt;30,10,('Scénario référence'!$B$16+'Scénario référence'!$B$17+'Scénario référence'!$B$18+'Scénario référence'!$B$9+'Scénario référence'!$B$10)*A126*10/30+('Scénario référence'!$F$8+'Scénario référence'!$F$9)*10)</f>
        <v>10</v>
      </c>
      <c r="BV126" s="12" t="e">
        <f>VLOOKUP(A126,'Données projet'!$A$113:$I$133,2,0)</f>
        <v>#N/A</v>
      </c>
      <c r="BW126" s="12" t="e">
        <f>VLOOKUP(A126,'Données projet'!$A$113:$I$133,9,0)</f>
        <v>#N/A</v>
      </c>
      <c r="BX126" s="12">
        <f t="array" ref="BX126">INDEX(BW:BW,MIN(IF(ISNUMBER(BW126:BW322),ROW(BW126:BW322),"")))</f>
        <v>0</v>
      </c>
      <c r="BY126" s="12">
        <f>IF('Données projet'!$A$114&gt;35,BY125+BX126-CG125,IF(A126&lt;'Données projet'!$A$114,$BV$205^A126,IF(A126='Données projet'!$A$114,'Données projet'!$B$114,BY125+BX126-CG125)))</f>
        <v>333.99999999999977</v>
      </c>
      <c r="BZ126" s="13">
        <f>BY126*VLOOKUP('Données projet'!$B$12,Paramètres!$A$1:$I$89,3,0)*VLOOKUP('Données projet'!$B$12,Paramètres!$A$1:$I$89,5,0)</f>
        <v>191.04799999999986</v>
      </c>
      <c r="CA126" s="13">
        <f t="shared" si="93"/>
        <v>47.771576544305155</v>
      </c>
      <c r="CB126" s="20">
        <f t="shared" si="64"/>
        <v>415.94409581466454</v>
      </c>
      <c r="CC126" s="59">
        <f t="shared" si="65"/>
        <v>709.27742914799785</v>
      </c>
      <c r="CD126" s="59">
        <f ca="1">AVERAGE(OFFSET($CC$3,0,0,'Données projet'!$E$12+1,1))-AVERAGE(OFFSET($H$3,0,0,'Données projet'!$E$12+1,1))</f>
        <v>188.64374818906128</v>
      </c>
      <c r="CE126" s="59">
        <f t="shared" si="94"/>
        <v>211.95157880548652</v>
      </c>
      <c r="CF126" s="15">
        <f>IF(ISNA(VLOOKUP(A126,'Données projet'!$A$113:$I$133,3,0)),0,VLOOKUP(A126,'Données projet'!$A$113:$I$133,3,0))</f>
        <v>0</v>
      </c>
      <c r="CG126" s="15">
        <f>IF(ISNA(VLOOKUP(A126,'Données projet'!$A$113:$I$133,4,0)),0,VLOOKUP(A126,'Données projet'!$A$113:$I$133,4,0))</f>
        <v>0</v>
      </c>
      <c r="CH126" s="16">
        <f>IF(ISNA(VLOOKUP(A126,'Données projet'!$A$113:$I$133,5,0)),0%,VLOOKUP(A126,'Données projet'!$A$113:$I$133,5,0)*VLOOKUP('Données projet'!$B$12,Paramètres!$A$1:$I$89,7,0))</f>
        <v>0</v>
      </c>
      <c r="CI126" s="16">
        <f>IF(ISNA(VLOOKUP(A126,'Données projet'!$A$113:$I$133,6,0)),0%,VLOOKUP(A126,'Données projet'!$A$113:$I$133,6,0)*VLOOKUP('Données projet'!$B$12,Paramètres!$A$1:$I$89,7,0))</f>
        <v>0</v>
      </c>
      <c r="CJ126" s="16">
        <f>IF(ISNA(VLOOKUP(A126,'Données projet'!$A$113:$I$133,7,0)),0%,VLOOKUP(A126,'Données projet'!$A$113:$I$133,7,0))</f>
        <v>0</v>
      </c>
      <c r="CK126" s="21">
        <f>EXP(-LN(2)/35)*CK125+(1-EXP(-LN(2)/35))/(LN(2)/35)*CG126*CH126*VLOOKUP('Données projet'!$B$12,Paramètres!$A$1:$I$89,3,0)*0.475*44/12</f>
        <v>0.38975320278154835</v>
      </c>
      <c r="CL126" s="21">
        <f>EXP(-LN(2)/25)*CL125+(1-EXP(-LN(2)/25))/(LN(2)/25)*Calculateur!CG126*Calculateur!CI126*VLOOKUP('Données projet'!$B$12,Paramètres!$A$1:$I$89,3,0)*0.475*44/12</f>
        <v>1.0905381145574304</v>
      </c>
      <c r="CM126" s="21">
        <f>EXP(-LN(2)/2)*CM125+(1-EXP(-LN(2)/2))/(LN(2)/2)*CG126*CJ126*VLOOKUP('Données projet'!$B$12,Paramètres!$A$1:$I$89,3,0)*0.475*44/12</f>
        <v>2.1349777815507557E-13</v>
      </c>
      <c r="CN126" s="22">
        <f t="shared" si="66"/>
        <v>1.4802913173391925</v>
      </c>
      <c r="CO126" s="75">
        <f>('Scénario référence'!$F$8+'Scénario référence'!$F$9+'Scénario référence'!$B$17+'Scénario référence'!$B$9+'Scénario référence'!$B$10)*70+IF((45+25*(1-EXP(-0.0175*A126)))&lt;70,'Scénario référence'!$B$16*(45+25*(1-EXP(-0.0175*A126))),70*'Scénario référence'!$B$16)+IF((32+38*(1-EXP(-0.0175*A126)))&lt;70,'Scénario référence'!$B$18*(32+38*(1-EXP(-0.0175*A126))),70*'Scénario référence'!$B$18)</f>
        <v>70</v>
      </c>
      <c r="CP126" s="12">
        <f>IF(A126&gt;30,10,('Scénario référence'!$B$16+'Scénario référence'!$B$17+'Scénario référence'!$B$18+'Scénario référence'!$B$9+'Scénario référence'!$B$10)*A126*10/30+('Scénario référence'!$F$8+'Scénario référence'!$F$9)*10)</f>
        <v>10</v>
      </c>
      <c r="CQ126" s="12" t="e">
        <f>VLOOKUP(A126,'Données projet'!$A$139:$I$159,2,0)</f>
        <v>#N/A</v>
      </c>
      <c r="CR126" s="12" t="e">
        <f>VLOOKUP(A126,'Données projet'!$A$139:$I$159,9,0)</f>
        <v>#N/A</v>
      </c>
      <c r="CS126" s="12">
        <f t="array" ref="CS126">INDEX(CR:CR,MIN(IF(ISNUMBER(CR126:CR322),ROW(CR126:CR322),"")))</f>
        <v>0</v>
      </c>
      <c r="CT126" s="12">
        <f>IF('Données projet'!$A$140&gt;35,CT125+CS126-DB125,IF(A126&lt;'Données projet'!$A$140,$CQ$205^A126,IF(A126='Données projet'!$A$140,'Données projet'!$B$140,CT125+CS126-DB125)))</f>
        <v>0</v>
      </c>
      <c r="CU126" s="17" t="e">
        <f>CT126*VLOOKUP('Données projet'!$B$13,Paramètres!$A$1:$I$89,3,0)*VLOOKUP('Données projet'!$B$13,Paramètres!$A$1:$I$89,5,0)</f>
        <v>#N/A</v>
      </c>
      <c r="CV126" s="13" t="e">
        <f t="shared" si="95"/>
        <v>#N/A</v>
      </c>
      <c r="CW126" s="20" t="e">
        <f t="shared" si="67"/>
        <v>#N/A</v>
      </c>
      <c r="CX126" s="59" t="e">
        <f t="shared" si="68"/>
        <v>#N/A</v>
      </c>
      <c r="CY126" s="59" t="e">
        <f ca="1">AVERAGE(OFFSET($CX$3,0,0,'Données projet'!$E$13+1,1))-AVERAGE(OFFSET($H$3,0,0,'Données projet'!$E$13+1,1))</f>
        <v>#N/A</v>
      </c>
      <c r="CZ126" s="59" t="e">
        <f t="shared" si="96"/>
        <v>#N/A</v>
      </c>
      <c r="DA126" s="15">
        <f>IF(ISNA(VLOOKUP(A126,'Données projet'!$A$139:$I$159,3,0)),0,VLOOKUP(A126,'Données projet'!$A$139:$I$159,3,0))</f>
        <v>0</v>
      </c>
      <c r="DB126" s="15">
        <f>IF(ISNA(VLOOKUP(A126,'Données projet'!$A$139:$I$159,4,0)),0,VLOOKUP(A126,'Données projet'!$A$139:$I$159,4,0))</f>
        <v>0</v>
      </c>
      <c r="DC126" s="16">
        <f>IF(ISNA(VLOOKUP(A126,'Données projet'!$A$139:$I$159,5,0)),0%,VLOOKUP(A126,'Données projet'!$A$139:$I$159,5,0)*VLOOKUP('Données projet'!$B$13,Paramètres!$A$1:$I$89,7,0))</f>
        <v>0</v>
      </c>
      <c r="DD126" s="16">
        <f>IF(ISNA(VLOOKUP(A126,'Données projet'!$A$139:$I$159,6,0)),0%,VLOOKUP(A126,'Données projet'!$A$139:$I$159,6,0)*VLOOKUP('Données projet'!$B$13,Paramètres!$A$1:$I$89,7,0))</f>
        <v>0</v>
      </c>
      <c r="DE126" s="16">
        <f>IF(ISNA(VLOOKUP(A126,'Données projet'!$A$139:$I$159,7,0)),0%,VLOOKUP(A126,'Données projet'!$A$139:$I$159,7,0))</f>
        <v>0</v>
      </c>
      <c r="DF126" s="21" t="e">
        <f>EXP(-LN(2)/35)*DF125+(1-EXP(-LN(2)/35))/(LN(2)/35)*DB126*DC126*VLOOKUP('Données projet'!$B$13,Paramètres!$A$1:$I$89,3,0)*0.475*44/12</f>
        <v>#N/A</v>
      </c>
      <c r="DG126" s="21" t="e">
        <f>EXP(-LN(2)/25)*DG125+(1-EXP(-LN(2)/25))/(LN(2)/25)*Calculateur!DB126*Calculateur!DD126*VLOOKUP('Données projet'!$B$13,Paramètres!$A$1:$I$89,3,0)*0.475*44/12</f>
        <v>#N/A</v>
      </c>
      <c r="DH126" s="21" t="e">
        <f>EXP(-LN(2)/2)*DH125+(1-EXP(-LN(2)/2))/(LN(2)/2)*DB126*DE126*VLOOKUP('Données projet'!$B$13,Paramètres!$A$1:$I$89,3,0)*0.475*44/12</f>
        <v>#N/A</v>
      </c>
      <c r="DI126" s="22" t="e">
        <f t="shared" si="69"/>
        <v>#N/A</v>
      </c>
      <c r="DJ126" s="75">
        <f>('Scénario référence'!$F$8+'Scénario référence'!$F$9+'Scénario référence'!$B$17+'Scénario référence'!$B$9+'Scénario référence'!$B$10)*70+IF((45+25*(1-EXP(-0.0175*A126)))&lt;70,'Scénario référence'!$B$16*(45+25*(1-EXP(-0.0175*A126))),70*'Scénario référence'!$B$16)+IF((32+38*(1-EXP(-0.0175*A126)))&lt;70,'Scénario référence'!$B$18*(32+38*(1-EXP(-0.0175*A126))),70*'Scénario référence'!$B$18)</f>
        <v>70</v>
      </c>
      <c r="DK126" s="12">
        <f>IF(A126&gt;30,10,('Scénario référence'!$B$16+'Scénario référence'!$B$17+'Scénario référence'!$B$18+'Scénario référence'!$B$9+'Scénario référence'!$B$10)*A126*10/30+('Scénario référence'!$F$8+'Scénario référence'!$F$9)*10)</f>
        <v>10</v>
      </c>
      <c r="DL126" s="12" t="e">
        <f>VLOOKUP(A126,'Données projet'!$A$165:$I$185,2,0)</f>
        <v>#N/A</v>
      </c>
      <c r="DM126" s="12" t="e">
        <f>VLOOKUP(A126,'Données projet'!$A$165:$I$185,9,0)</f>
        <v>#N/A</v>
      </c>
      <c r="DN126" s="12">
        <f t="array" ref="DN126">INDEX(DM:DM,MIN(IF(ISNUMBER(DM126:DM322),ROW(DM126:DM322),"")))</f>
        <v>0</v>
      </c>
      <c r="DO126" s="12">
        <f>IF('Données projet'!$A$166&gt;35,DO125+DN126-DW125,IF(A126&lt;'Données projet'!$A$166,$DL$205^A126,IF(A126='Données projet'!$A$166,'Données projet'!$B$166,DO125+DN126-DW125)))</f>
        <v>268.00000000000017</v>
      </c>
      <c r="DP126" s="17">
        <f>DO126*VLOOKUP('Données projet'!$B$14,Paramètres!$A$1:$I$89,3,0)*VLOOKUP('Données projet'!$B$14,Paramètres!$A$1:$I$89,5,0)</f>
        <v>175.59360000000012</v>
      </c>
      <c r="DQ126" s="13">
        <f t="shared" si="97"/>
        <v>44.340433728638573</v>
      </c>
      <c r="DR126" s="20">
        <f t="shared" si="70"/>
        <v>383.05177541071242</v>
      </c>
      <c r="DS126" s="59">
        <f t="shared" si="71"/>
        <v>676.38510874404574</v>
      </c>
      <c r="DT126" s="59">
        <f ca="1">AVERAGE(OFFSET($DS$3,0,0,'Données projet'!$E$14+1,1))-AVERAGE(OFFSET($H$3,0,0,'Données projet'!$E$14+1,1))</f>
        <v>188.68915783955595</v>
      </c>
      <c r="DU126" s="59">
        <f t="shared" si="98"/>
        <v>240.82467772396944</v>
      </c>
      <c r="DV126" s="15">
        <f>IF(ISNA(VLOOKUP(A126,'Données projet'!$A$165:$I$185,3,0)),0,VLOOKUP(A126,'Données projet'!$A$165:$I$185,3,0))</f>
        <v>0</v>
      </c>
      <c r="DW126" s="15">
        <f>IF(ISNA(VLOOKUP(A126,'Données projet'!$A$165:$I$185,4,0)),0,VLOOKUP(A126,'Données projet'!$A$165:$I$185,4,0))</f>
        <v>0</v>
      </c>
      <c r="DX126" s="16">
        <f>IF(ISNA(VLOOKUP(A126,'Données projet'!$A$165:$I$185,5,0)),0%,VLOOKUP(A126,'Données projet'!$A$165:$I$185,5,0)*VLOOKUP('Données projet'!$B$14,Paramètres!$A$1:$I$89,7,0))</f>
        <v>0</v>
      </c>
      <c r="DY126" s="16">
        <f>IF(ISNA(VLOOKUP(A126,'Données projet'!$A$165:$I$185,6,0)),0%,VLOOKUP(A126,'Données projet'!$A$165:$I$185,6,0)*VLOOKUP('Données projet'!$B$14,Paramètres!$A$1:$I$89,7,0))</f>
        <v>0</v>
      </c>
      <c r="DZ126" s="16">
        <f>IF(ISNA(VLOOKUP(A126,'Données projet'!$A$165:$I$185,7,0)),0%,VLOOKUP(A126,'Données projet'!$A$165:$I$185,7,0))</f>
        <v>0</v>
      </c>
      <c r="EA126" s="21">
        <f>EXP(-LN(2)/35)*EA125+(1-EXP(-LN(2)/35))/(LN(2)/35)*DW126*DX126*VLOOKUP('Données projet'!$B$14,Paramètres!$A$1:$I$89,3,0)*0.475*44/12</f>
        <v>0.24687650260363217</v>
      </c>
      <c r="EB126" s="21">
        <f>EXP(-LN(2)/25)*EB125+(1-EXP(-LN(2)/25))/(LN(2)/25)*Calculateur!DW126*Calculateur!DY126*VLOOKUP('Données projet'!$B$14,Paramètres!$A$1:$I$89,3,0)*0.475*44/12</f>
        <v>0.60998337419821591</v>
      </c>
      <c r="EC126" s="21">
        <f>EXP(-LN(2)/2)*EC125+(1-EXP(-LN(2)/2))/(LN(2)/2)*DW126*DZ126*VLOOKUP('Données projet'!$B$14,Paramètres!$A$1:$I$89,3,0)*0.475*44/12</f>
        <v>1.406441896179527E-13</v>
      </c>
      <c r="ED126" s="22">
        <f t="shared" si="72"/>
        <v>0.85685987680198872</v>
      </c>
      <c r="EE126" s="75">
        <f>('Scénario référence'!$F$8+'Scénario référence'!$F$9+'Scénario référence'!$B$17+'Scénario référence'!$B$9+'Scénario référence'!$B$10)*70+IF((45+25*(1-EXP(-0.0175*A126)))&lt;70,'Scénario référence'!$B$16*(45+25*(1-EXP(-0.0175*A126))),70*'Scénario référence'!$B$16)+IF((32+38*(1-EXP(-0.0175*A126)))&lt;70,'Scénario référence'!$B$18*(32+38*(1-EXP(-0.0175*A126))),70*'Scénario référence'!$B$18)</f>
        <v>70</v>
      </c>
      <c r="EF126" s="12">
        <f>IF(A126&gt;30,10,('Scénario référence'!$B$16+'Scénario référence'!$B$17+'Scénario référence'!$B$18+'Scénario référence'!$B$9+'Scénario référence'!$B$10)*A126*10/30+('Scénario référence'!$F$8+'Scénario référence'!$F$9)*10)</f>
        <v>10</v>
      </c>
      <c r="EG126" s="12" t="e">
        <f>VLOOKUP(A126,'Données projet'!$A$191:$I$211,2,0)</f>
        <v>#N/A</v>
      </c>
      <c r="EH126" s="12" t="e">
        <f>VLOOKUP(A126,'Données projet'!$A$191:$I$211,9,0)</f>
        <v>#N/A</v>
      </c>
      <c r="EI126" s="12">
        <f t="array" ref="EI126">INDEX(EH:EH,MIN(IF(ISNUMBER(EH126:EH322),ROW(EH126:EH322),"")))</f>
        <v>0</v>
      </c>
      <c r="EJ126" s="12">
        <f>IF('Données projet'!$A$192&gt;35,EJ125+EI126-ER125,IF(A126&lt;'Données projet'!$A$192,$EG$205^A126,IF(A126='Données projet'!$A$192,'Données projet'!$B$192,EJ125+EI126-ER125)))</f>
        <v>275.99999999999972</v>
      </c>
      <c r="EK126" s="17">
        <f>EJ126*VLOOKUP('Données projet'!$B$15,Paramètres!$A$1:$I$89,3,0)*VLOOKUP('Données projet'!$B$15,Paramètres!$A$1:$I$89,5,0)</f>
        <v>223.8911999999998</v>
      </c>
      <c r="EL126" s="13">
        <f t="shared" si="99"/>
        <v>54.95975389514858</v>
      </c>
      <c r="EM126" s="20">
        <f t="shared" si="73"/>
        <v>485.66541136738346</v>
      </c>
      <c r="EN126" s="59">
        <f t="shared" si="74"/>
        <v>778.99874470071677</v>
      </c>
      <c r="EO126" s="59">
        <f ca="1">AVERAGE(OFFSET($EN$3,0,0,'Données projet'!$E$15+1,1))-AVERAGE(OFFSET($H$3,0,0,'Données projet'!$E$15+1,1))</f>
        <v>205.5272583787887</v>
      </c>
      <c r="EP126" s="59">
        <f t="shared" si="100"/>
        <v>180.54762778843178</v>
      </c>
      <c r="EQ126" s="15">
        <f>IF(ISNA(VLOOKUP(A126,'Données projet'!$A$191:$I$211,3,0)),0,VLOOKUP(A126,'Données projet'!$A$191:$I$211,3,0))</f>
        <v>0</v>
      </c>
      <c r="ER126" s="15">
        <f>IF(ISNA(VLOOKUP(A126,'Données projet'!$A$191:$I$211,4,0)),0,VLOOKUP(A126,'Données projet'!$A$191:$I$211,4,0))</f>
        <v>0</v>
      </c>
      <c r="ES126" s="16">
        <f>IF(ISNA(VLOOKUP(A126,'Données projet'!$A$191:$I$211,5,0)),0%,VLOOKUP(A126,'Données projet'!$A$191:$I$211,5,0)*VLOOKUP('Données projet'!$B$15,Paramètres!$A$1:$I$89,7,0))</f>
        <v>0</v>
      </c>
      <c r="ET126" s="16">
        <f>IF(ISNA(VLOOKUP(A126,'Données projet'!$A$191:$I$211,6,0)),0%,VLOOKUP(A126,'Données projet'!$A$191:$I$211,6,0)*VLOOKUP('Données projet'!$B$15,Paramètres!$A$1:$I$89,7,0))</f>
        <v>0</v>
      </c>
      <c r="EU126" s="16">
        <f>IF(ISNA(VLOOKUP(A126,'Données projet'!$A$191:$I$211,7,0)),0%,VLOOKUP(A126,'Données projet'!$A$191:$I$211,7,0))</f>
        <v>0</v>
      </c>
      <c r="EV126" s="21">
        <f>EXP(-LN(2)/35)*EV125+(1-EXP(-LN(2)/35))/(LN(2)/35)*ER126*ES126*VLOOKUP('Données projet'!$B$15,Paramètres!$A$1:$I$89,3,0)*0.475*44/12</f>
        <v>0.15894144358100512</v>
      </c>
      <c r="EW126" s="21">
        <f>EXP(-LN(2)/25)*EW125+(1-EXP(-LN(2)/25))/(LN(2)/25)*Calculateur!ER126*Calculateur!ET126*VLOOKUP('Données projet'!$B$15,Paramètres!$A$1:$I$89,3,0)*0.475*44/12</f>
        <v>0.44042650060532884</v>
      </c>
      <c r="EX126" s="21">
        <f>EXP(-LN(2)/2)*EX125+(1-EXP(-LN(2)/2))/(LN(2)/2)*ER126*EU126*VLOOKUP('Données projet'!$B$15,Paramètres!$A$1:$I$89,3,0)*0.475*44/12</f>
        <v>9.1067216773623893E-14</v>
      </c>
      <c r="EY126" s="22">
        <f t="shared" si="75"/>
        <v>0.59936794418642503</v>
      </c>
      <c r="EZ126" s="75">
        <f>('Scénario référence'!$F$8+'Scénario référence'!$F$9+'Scénario référence'!$B$17+'Scénario référence'!$B$9+'Scénario référence'!$B$10)*70+IF((45+25*(1-EXP(-0.0175*A126)))&lt;70,'Scénario référence'!$B$16*(45+25*(1-EXP(-0.0175*A126))),70*'Scénario référence'!$B$16)+IF((32+38*(1-EXP(-0.0175*A126)))&lt;70,'Scénario référence'!$B$18*(32+38*(1-EXP(-0.0175*A126))),70*'Scénario référence'!$B$18)</f>
        <v>70</v>
      </c>
      <c r="FA126" s="12">
        <f>IF(A126&gt;30,10,('Scénario référence'!$B$16+'Scénario référence'!$B$17+'Scénario référence'!$B$18+'Scénario référence'!$B$9+'Scénario référence'!$B$10)*A126*10/30+('Scénario référence'!$F$8+'Scénario référence'!$F$9)*10)</f>
        <v>10</v>
      </c>
      <c r="FB126" s="12" t="e">
        <f>VLOOKUP(A126,'Données projet'!$A$217:$I$237,2,0)</f>
        <v>#N/A</v>
      </c>
      <c r="FC126" s="12" t="e">
        <f>VLOOKUP(A126,'Données projet'!$A$217:$I$237,9,0)</f>
        <v>#N/A</v>
      </c>
      <c r="FD126" s="12">
        <f t="array" ref="FD126">INDEX(FC:FC,MIN(IF(ISNUMBER(FC126:FC322),ROW(FC126:FC322),"")))</f>
        <v>6.3</v>
      </c>
      <c r="FE126" s="12">
        <f>IF('Données projet'!$A$218&gt;35,FE125+FD126-FM125,IF(A126&lt;'Données projet'!$A$218,$FB$205^A126,IF(A126='Données projet'!$A$218,'Données projet'!$B$218,FE125+FD126-FM125)))</f>
        <v>410.89999999999986</v>
      </c>
      <c r="FF126" s="17">
        <f>FE126*VLOOKUP('Données projet'!$B$16,Paramètres!$A$1:$I$89,3,0)*VLOOKUP('Données projet'!$B$16,Paramètres!$A$1:$I$89,5,0)</f>
        <v>352.55219999999991</v>
      </c>
      <c r="FG126" s="13">
        <f t="shared" si="101"/>
        <v>82.087813297203169</v>
      </c>
      <c r="FH126" s="20">
        <f t="shared" si="76"/>
        <v>756.99802315929537</v>
      </c>
      <c r="FI126" s="59">
        <f t="shared" si="77"/>
        <v>1050.3313564926286</v>
      </c>
      <c r="FJ126" s="59">
        <f ca="1">AVERAGE(OFFSET($FI$3,0,0,'Données projet'!$E$16+1,1))-AVERAGE(OFFSET($H$3,0,0,'Données projet'!$E$16+1,1))</f>
        <v>383.97627237444709</v>
      </c>
      <c r="FK126" s="59">
        <f t="shared" si="102"/>
        <v>203.35476578922339</v>
      </c>
      <c r="FL126" s="15">
        <f>IF(ISNA(VLOOKUP(A126,'Données projet'!$A$217:$I$237,3,0)),0,VLOOKUP(A126,'Données projet'!$A$217:$I$237,3,0))</f>
        <v>0</v>
      </c>
      <c r="FM126" s="15">
        <f>IF(ISNA(VLOOKUP(A126,'Données projet'!$A$217:$I$237,4,0)),0,VLOOKUP(A126,'Données projet'!$A$217:$I$237,4,0))</f>
        <v>0</v>
      </c>
      <c r="FN126" s="16">
        <f>IF(ISNA(VLOOKUP(A126,'Données projet'!$A$217:$I$237,5,0)),0%,VLOOKUP(A126,'Données projet'!$A$217:$I$237,5,0)*VLOOKUP('Données projet'!$B$16,Paramètres!$A$1:$I$89,7,0))</f>
        <v>0</v>
      </c>
      <c r="FO126" s="16">
        <f>IF(ISNA(VLOOKUP(A126,'Données projet'!$A$217:$I$237,6,0)),0%,VLOOKUP(A126,'Données projet'!$A$217:$I$237,6,0)*VLOOKUP('Données projet'!$B$16,Paramètres!$A$1:$I$89,7,0))</f>
        <v>0</v>
      </c>
      <c r="FP126" s="16">
        <f>IF(ISNA(VLOOKUP(A126,'Données projet'!$A$217:$I$237,7,0)),0%,VLOOKUP(A126,'Données projet'!$A$217:$I$237,7,0))</f>
        <v>0</v>
      </c>
      <c r="FQ126" s="21">
        <f>EXP(-LN(2)/35)*FQ125+(1-EXP(-LN(2)/35))/(LN(2)/35)*FM126*FN126*VLOOKUP('Données projet'!$B$16,Paramètres!$A$1:$I$89,3,0)*0.475*44/12</f>
        <v>0.81687279093779563</v>
      </c>
      <c r="FR126" s="21">
        <f>EXP(-LN(2)/25)*FR125+(1-EXP(-LN(2)/25))/(LN(2)/25)*Calculateur!FM126*Calculateur!FO126*VLOOKUP('Données projet'!$B$16,Paramètres!$A$1:$I$89,3,0)*0.475*44/12</f>
        <v>0.44707842051956304</v>
      </c>
      <c r="FS126" s="21">
        <f>EXP(-LN(2)/2)*FS125+(1-EXP(-LN(2)/2))/(LN(2)/2)*FM126*FP126*VLOOKUP('Données projet'!$B$16,Paramètres!$A$1:$I$89,3,0)*0.475*44/12</f>
        <v>1.6727178751433533E-13</v>
      </c>
      <c r="FT126" s="22">
        <f t="shared" si="78"/>
        <v>1.263951211457526</v>
      </c>
      <c r="FU126" s="75">
        <f>('Scénario référence'!$F$8+'Scénario référence'!$F$9+'Scénario référence'!$B$17+'Scénario référence'!$B$9+'Scénario référence'!$B$10)*70+IF((45+25*(1-EXP(-0.0175*A126)))&lt;70,'Scénario référence'!$B$16*(45+25*(1-EXP(-0.0175*A126))),70*'Scénario référence'!$B$16)+IF((32+38*(1-EXP(-0.0175*A126)))&lt;70,'Scénario référence'!$B$18*(32+38*(1-EXP(-0.0175*A126))),70*'Scénario référence'!$B$18)</f>
        <v>70</v>
      </c>
      <c r="FV126" s="12">
        <f>IF(A126&gt;30,10,('Scénario référence'!$B$16+'Scénario référence'!$B$17+'Scénario référence'!$B$18+'Scénario référence'!$B$9+'Scénario référence'!$B$10)*A126*10/30+('Scénario référence'!$F$8+'Scénario référence'!$F$9)*10)</f>
        <v>10</v>
      </c>
      <c r="FW126" s="12">
        <f>VLOOKUP(A126,'Données projet'!$A$243:$I$263,2,0)</f>
        <v>222.63461538461539</v>
      </c>
      <c r="FX126" s="12">
        <f>VLOOKUP(A126,'Données projet'!$A$243:$I$263,9,0)</f>
        <v>3.8301282051282044</v>
      </c>
      <c r="FY126" s="12">
        <f t="array" ref="FY126">INDEX(FX:FX,MIN(IF(ISNUMBER(FX126:FX322),ROW(FX126:FX322),"")))</f>
        <v>3.8301282051282044</v>
      </c>
      <c r="FZ126" s="12">
        <f>IF('Données projet'!$A$244&gt;35,FZ125+FY126-GH125,IF(A126&lt;'Données projet'!$A$244,$FW$205^A126,IF(A126='Données projet'!$A$244,'Données projet'!$B$244,FZ125+FY126-GH125)))</f>
        <v>222.63461538461576</v>
      </c>
      <c r="GA126" s="17">
        <f>FZ126*VLOOKUP('Données projet'!$B$17,Paramètres!$A$1:$I$89,3,0)*VLOOKUP('Données projet'!$B$17,Paramètres!$A$1:$I$89,5,0)</f>
        <v>239.6439000000004</v>
      </c>
      <c r="GB126" s="13">
        <f t="shared" si="103"/>
        <v>58.362907212682551</v>
      </c>
      <c r="GC126" s="20">
        <f t="shared" si="79"/>
        <v>519.02852256208939</v>
      </c>
      <c r="GD126" s="59">
        <f t="shared" si="80"/>
        <v>812.36185589542265</v>
      </c>
      <c r="GE126" s="59">
        <f ca="1">AVERAGE(OFFSET($GD$3,0,0,'Données projet'!$E$17+1,1))-AVERAGE(OFFSET($H$3,0,0,'Données projet'!$E$17+1,1))</f>
        <v>286.77702855541287</v>
      </c>
      <c r="GF126" s="59">
        <f t="shared" si="104"/>
        <v>227.12211541860779</v>
      </c>
      <c r="GG126" s="15">
        <f>IF(ISNA(VLOOKUP(A126,'Données projet'!$A$243:$I$263,3,0)),0,VLOOKUP(A126,'Données projet'!$A$243:$I$263,3,0))</f>
        <v>12</v>
      </c>
      <c r="GH126" s="15">
        <f>IF(ISNA(VLOOKUP(A126,'Données projet'!$A$243:$I$263,4,0)),0,VLOOKUP(A126,'Données projet'!$A$243:$I$263,4,0))</f>
        <v>77.17307692307692</v>
      </c>
      <c r="GI126" s="16">
        <f>IF(ISNA(VLOOKUP(A126,'Données projet'!$A$243:$I$263,5,0)),0%,VLOOKUP(A126,'Données projet'!$A$243:$I$263,5,0)*VLOOKUP('Données projet'!$B$17,Paramètres!$A$1:$I$89,7,0))</f>
        <v>0</v>
      </c>
      <c r="GJ126" s="16">
        <f>IF(ISNA(VLOOKUP(A126,'Données projet'!$A$243:$I$263,6,0)),0%,VLOOKUP(A126,'Données projet'!$A$243:$I$263,6,0)*VLOOKUP('Données projet'!$B$17,Paramètres!$A$1:$I$89,7,0))</f>
        <v>0</v>
      </c>
      <c r="GK126" s="16">
        <f>IF(ISNA(VLOOKUP(A126,'Données projet'!$A$243:$I$263,7,0)),0%,VLOOKUP(A126,'Données projet'!$A$243:$I$263,7,0))</f>
        <v>0</v>
      </c>
      <c r="GL126" s="21">
        <f>EXP(-LN(2)/35)*GL125+(1-EXP(-LN(2)/35))/(LN(2)/35)*GH126*GI126*VLOOKUP('Données projet'!$B$17,Paramètres!$A$1:$I$89,3,0)*0.475*44/12</f>
        <v>0</v>
      </c>
      <c r="GM126" s="21">
        <f>EXP(-LN(2)/25)*GM125+(1-EXP(-LN(2)/25))/(LN(2)/25)*Calculateur!GH126*Calculateur!GJ126*VLOOKUP('Données projet'!$B$17,Paramètres!$A$1:$I$89,3,0)*0.475*44/12</f>
        <v>0</v>
      </c>
      <c r="GN126" s="21">
        <f>EXP(-LN(2)/2)*GN125+(1-EXP(-LN(2)/2))/(LN(2)/2)*GH126*GK126*VLOOKUP('Données projet'!$B$17,Paramètres!$A$1:$I$89,3,0)*0.475*44/12</f>
        <v>0</v>
      </c>
      <c r="GO126" s="21">
        <f t="shared" si="81"/>
        <v>0</v>
      </c>
      <c r="GP126" s="75">
        <f>('Scénario référence'!$F$8+'Scénario référence'!$F$9+'Scénario référence'!$B$17+'Scénario référence'!$B$9+'Scénario référence'!$B$10)*70+IF((45+25*(1-EXP(-0.0175*A126)))&lt;70,'Scénario référence'!$B$16*(45+25*(1-EXP(-0.0175*A126))),70*'Scénario référence'!$B$16)+IF((32+38*(1-EXP(-0.0175*A126)))&lt;70,'Scénario référence'!$B$18*(32+38*(1-EXP(-0.0175*A126))),70*'Scénario référence'!$B$18)</f>
        <v>70</v>
      </c>
      <c r="GQ126" s="12">
        <f>IF(A126&gt;30,10,('Scénario référence'!$B$16+'Scénario référence'!$B$17+'Scénario référence'!$B$18+'Scénario référence'!$B$9+'Scénario référence'!$B$10)*A126*10/30+('Scénario référence'!$F$8+'Scénario référence'!$F$9)*10)</f>
        <v>10</v>
      </c>
      <c r="GR126" s="12">
        <f>VLOOKUP(A126,'Données projet'!$A$269:$I$289,2,0)</f>
        <v>222.63461538461539</v>
      </c>
      <c r="GS126" s="12">
        <f>VLOOKUP(A126,'Données projet'!$A$269:$I$289,9,0)</f>
        <v>3.8301282051282044</v>
      </c>
      <c r="GT126" s="12">
        <f t="array" ref="GT126">INDEX(GS:GS,MIN(IF(ISNUMBER(GS126:GS322),ROW(GS126:GS322),"")))</f>
        <v>3.8301282051282044</v>
      </c>
      <c r="GU126" s="12">
        <f>IF('Données projet'!$A$270&gt;35,GU125+GT126-HC125,IF(A126&lt;'Données projet'!$A$270,$GR$205^A126,IF(A126='Données projet'!$A$270,'Données projet'!$B$270,GU125+GT126-HC125)))</f>
        <v>222.63461538461576</v>
      </c>
      <c r="GV126" s="17">
        <f>GU126*VLOOKUP('Données projet'!$B$18,Paramètres!$A$1:$I$89,3,0)*VLOOKUP('Données projet'!$B$18,Paramètres!$A$1:$I$89,5,0)</f>
        <v>239.6439000000004</v>
      </c>
      <c r="GW126" s="13">
        <f t="shared" si="105"/>
        <v>58.362907212682551</v>
      </c>
      <c r="GX126" s="20">
        <f t="shared" si="82"/>
        <v>519.02852256208939</v>
      </c>
      <c r="GY126" s="59">
        <f t="shared" si="83"/>
        <v>812.36185589542265</v>
      </c>
      <c r="GZ126" s="59">
        <f ca="1">AVERAGE(OFFSET($GY$3,0,0,'Données projet'!$E$18+1,1))-AVERAGE(OFFSET($H$3,0,0,'Données projet'!$E$18+1,1))</f>
        <v>286.77702855541287</v>
      </c>
      <c r="HA126" s="59">
        <f t="shared" si="106"/>
        <v>227.12211541860779</v>
      </c>
      <c r="HB126" s="15">
        <f>IF(ISNA(VLOOKUP(A126,'Données projet'!$A$269:$I$289,3,0)),0,VLOOKUP(A126,'Données projet'!$A$269:$I$289,3,0))</f>
        <v>12</v>
      </c>
      <c r="HC126" s="15">
        <f>IF(ISNA(VLOOKUP(A126,'Données projet'!$A$269:$I$289,4,0)),0,VLOOKUP(A126,'Données projet'!$A$269:$I$289,4,0))</f>
        <v>77.17307692307692</v>
      </c>
      <c r="HD126" s="16">
        <f>IF(ISNA(VLOOKUP(A126,'Données projet'!$A$269:$I$289,5,0)),0%,VLOOKUP(A126,'Données projet'!$A$269:$I$289,5,0)*VLOOKUP('Données projet'!$B$18,Paramètres!$A$1:$I$89,7,0))</f>
        <v>0</v>
      </c>
      <c r="HE126" s="16">
        <f>IF(ISNA(VLOOKUP(A126,'Données projet'!$A$269:$I$289,6,0)),0%,VLOOKUP(A126,'Données projet'!$A$269:$I$289,6,0)*VLOOKUP('Données projet'!$B$18,Paramètres!$A$1:$I$89,7,0))</f>
        <v>0</v>
      </c>
      <c r="HF126" s="16">
        <f>IF(ISNA(VLOOKUP(A126,'Données projet'!$A$269:$I$289,7,0)),0%,VLOOKUP(A126,'Données projet'!$A$269:$I$289,7,0))</f>
        <v>0</v>
      </c>
      <c r="HG126" s="21">
        <f>EXP(-LN(2)/35)*HG125+(1-EXP(-LN(2)/35))/(LN(2)/35)*HC126*HD126*VLOOKUP('Données projet'!$B$18,Paramètres!$A$1:$I$89,3,0)*0.475*44/12</f>
        <v>0</v>
      </c>
      <c r="HH126" s="21">
        <f>EXP(-LN(2)/25)*HH125+(1-EXP(-LN(2)/25))/(LN(2)/25)*Calculateur!HC126*Calculateur!HE126*VLOOKUP('Données projet'!$B$18,Paramètres!$A$1:$I$89,3,0)*0.475*44/12</f>
        <v>0</v>
      </c>
      <c r="HI126" s="21">
        <f>EXP(-LN(2)/2)*HI125+(1-EXP(-LN(2)/2))/(LN(2)/2)*HC126*HF126*VLOOKUP('Données projet'!$B$18,Paramètres!$A$1:$I$89,3,0)*0.475*44/12</f>
        <v>0</v>
      </c>
      <c r="HJ126" s="22">
        <f t="shared" si="84"/>
        <v>0</v>
      </c>
    </row>
    <row r="127" spans="1:218" x14ac:dyDescent="0.25">
      <c r="A127" s="10">
        <f t="shared" si="85"/>
        <v>124</v>
      </c>
      <c r="B127" s="73">
        <f>'Scénario référence'!$B$16*5+'Scénario référence'!$B$17*0+'Scénario référence'!$B$18*5</f>
        <v>0</v>
      </c>
      <c r="C127" s="19">
        <f>Calculateur!C126+'Scénario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110.2608000000002</v>
      </c>
      <c r="D127" s="11">
        <f t="shared" si="86"/>
        <v>29.392422615380852</v>
      </c>
      <c r="E12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27" s="11">
        <f>IF(OR('Scénario référence'!$F$8&gt;0,'Scénario référence'!$F$9&gt;0),('Scénario référence'!$F$8+'Scénario référence'!$F$9)*10,0)</f>
        <v>10</v>
      </c>
      <c r="G127" s="11">
        <f>'Scénario référence'!$B$8*B127*44/12+'Scénario référence'!$B$9*(C127+D127)/0.475*44/12+'Scénario référence'!$B$10*(C127+D127)/0.475*44/12+'Scénario référence'!$F$8*(C127+D127)/0.475*44/12+'Scénario référence'!$F$9*(C127+D127)/0.475*44/12</f>
        <v>1078.0248763292573</v>
      </c>
      <c r="H127" s="67">
        <f t="shared" si="56"/>
        <v>536.56269605512193</v>
      </c>
      <c r="I127" s="70">
        <f>('Scénario référence'!$F$8+'Scénario référence'!$F$9+'Scénario référence'!$B$17+'Scénario référence'!$B$9+'Scénario référence'!$B$10)*70+IF((45+25*(1-EXP(-0.0175*A127)))&lt;70,'Scénario référence'!$B$16*(45+25*(1-EXP(-0.0175*A127))),70*'Scénario référence'!$B$16)+IF((32+38*(1-EXP(-0.0175*A127)))&lt;70,'Scénario référence'!$B$18*(32+38*(1-EXP(-0.0175*A127))),70*'Scénario référence'!$B$18)</f>
        <v>70</v>
      </c>
      <c r="J127" s="13">
        <f>IF(A127&gt;30,10,('Scénario référence'!$B$16+'Scénario référence'!$B$17+'Scénario référence'!$B$18+'Scénario référence'!$B$9+'Scénario référence'!$B$10)*A127*10/30+('Scénario référence'!$F$8+'Scénario référence'!$F$9)*10)</f>
        <v>10</v>
      </c>
      <c r="K127" s="12" t="e">
        <f>VLOOKUP(A127,'Données projet'!$A$35:$I$55,2,0)</f>
        <v>#N/A</v>
      </c>
      <c r="L127" s="12" t="e">
        <f>VLOOKUP(A127,'Données projet'!$A$35:$I$55,9,0)</f>
        <v>#N/A</v>
      </c>
      <c r="M127" s="12">
        <f t="array" ref="M127">INDEX(L:L,MIN(IF(ISNUMBER(L127:L323),ROW(L127:L323),"")))</f>
        <v>0</v>
      </c>
      <c r="N127" s="13">
        <f>IF('Données projet'!$A$36&gt;35,N126+M127-V126,IF(A127&lt;'Données projet'!$A$36,$K$205^A127,IF(A127='Données projet'!$A$36,'Données projet'!$B$36,N126+M127-V126)))</f>
        <v>-2.2737367544323206E-13</v>
      </c>
      <c r="O127" s="13">
        <f>N127*VLOOKUP('Données projet'!$B$9,Paramètres!$A$1:$I$89,3,0)*VLOOKUP('Données projet'!$B$9,Paramètres!$A$1:$I$89,5,0)</f>
        <v>-1.2710188457276673E-13</v>
      </c>
      <c r="P127" s="13" t="e">
        <f t="shared" si="87"/>
        <v>#NUM!</v>
      </c>
      <c r="Q127" s="20" t="e">
        <f t="shared" si="107"/>
        <v>#NUM!</v>
      </c>
      <c r="R127" s="59" t="e">
        <f t="shared" si="55"/>
        <v>#NUM!</v>
      </c>
      <c r="S127" s="59">
        <f ca="1">AVERAGE(OFFSET($R$3,0,0,'Données projet'!$E$9+1,1))-AVERAGE(OFFSET($H$3,0,0,'Données projet'!$E$9+1,1))</f>
        <v>255.5374979188561</v>
      </c>
      <c r="T127" s="59">
        <f t="shared" si="88"/>
        <v>343.10418468620901</v>
      </c>
      <c r="U127" s="15">
        <f>IF(ISNA(VLOOKUP(A127,'Données projet'!$A$35:$I$55,3,0)),0,VLOOKUP(A127,'Données projet'!$A$35:$I$55,3,0))</f>
        <v>0</v>
      </c>
      <c r="V127" s="15">
        <f>IF(ISNA(VLOOKUP(A127,'Données projet'!$A$35:$I$55,4,0)),0,VLOOKUP(A127,'Données projet'!$A$35:$I$55,4,0))</f>
        <v>0</v>
      </c>
      <c r="W127" s="16">
        <f>IF(ISNA(VLOOKUP(A127,'Données projet'!$A$35:$I$55,5,0)),0%,VLOOKUP(A127,'Données projet'!$A$35:$I$55,5,0)*VLOOKUP('Données projet'!$B$9,Paramètres!$A$1:$I$89,7,0))</f>
        <v>0</v>
      </c>
      <c r="X127" s="16">
        <f>IF(ISNA(VLOOKUP(A127,'Données projet'!$A$35:$I$55,6,0)),0%,VLOOKUP(A127,'Données projet'!$A$35:$I$55,6,0)*VLOOKUP('Données projet'!$B$9,Paramètres!$A$1:$I$89,7,0))</f>
        <v>0</v>
      </c>
      <c r="Y127" s="16">
        <f>IF(ISNA(VLOOKUP(A127,'Données projet'!$A$35:$I$55,7,0)),0%,VLOOKUP(A127,'Données projet'!$A$35:$I$55,7,0))</f>
        <v>0</v>
      </c>
      <c r="Z127" s="21">
        <f>EXP(-LN(2)/35)*Z126+(1-EXP(-LN(2)/35))/(LN(2)/35)*V127*W127*VLOOKUP('Données projet'!$B$9,Paramètres!$A$1:$I$89,3,0)*0.475*44/12</f>
        <v>0.48026801075629133</v>
      </c>
      <c r="AA127" s="21">
        <f>EXP(-LN(2)/25)*AA126+(1-EXP(-LN(2)/25))/(LN(2)/25)*Calculateur!V127*Calculateur!X127*VLOOKUP('Données projet'!$B$9,Paramètres!$A$1:$I$89,3,0)*0.475*44/12</f>
        <v>1.1780593067100131</v>
      </c>
      <c r="AB127" s="21">
        <f>EXP(-LN(2)/2)*AB126+(1-EXP(-LN(2)/2))/(LN(2)/2)*V127*Y127*VLOOKUP('Données projet'!$B$9,Paramètres!$A$1:$I$89,3,0)*0.475*44/12</f>
        <v>1.2027016392253146E-14</v>
      </c>
      <c r="AC127" s="22">
        <f t="shared" si="57"/>
        <v>1.6583273174663165</v>
      </c>
      <c r="AD127" s="13">
        <f>('Scénario référence'!$F$8+'Scénario référence'!$F$9+'Scénario référence'!$B$17+'Scénario référence'!$B$9+'Scénario référence'!$B$10)*70+IF((45+25*(1-EXP(-0.0175*A127)))&lt;70,'Scénario référence'!$B$16*(45+25*(1-EXP(-0.0175*A127))),70*'Scénario référence'!$B$16)+IF((32+38*(1-EXP(-0.0175*A127)))&lt;70,'Scénario référence'!$B$18*(32+38*(1-EXP(-0.0175*A127))),70*'Scénario référence'!$B$18)</f>
        <v>70</v>
      </c>
      <c r="AE127" s="13">
        <f>IF(A127&gt;30,10,('Scénario référence'!$B$16+'Scénario référence'!$B$17+'Scénario référence'!$B$18+'Scénario référence'!$B$9+'Scénario référence'!$B$10)*A127*10/30+('Scénario référence'!$F$8+'Scénario référence'!$F$9)*10)</f>
        <v>10</v>
      </c>
      <c r="AF127" s="12" t="e">
        <f>VLOOKUP(A127,'Données projet'!$A$61:$I$81,2,0)</f>
        <v>#N/A</v>
      </c>
      <c r="AG127" s="12" t="e">
        <f>VLOOKUP(A127,'Données projet'!$A$61:$I$81,9,0)</f>
        <v>#N/A</v>
      </c>
      <c r="AH127" s="12">
        <f t="array" ref="AH127">INDEX(AG:AG,MIN(IF(ISNUMBER(AG127:AG323),ROW(AG127:AG323),"")))</f>
        <v>0</v>
      </c>
      <c r="AI127" s="13">
        <f>IF('Données projet'!$A$62&gt;35,AI126+AH127-AQ126,IF(A127&lt;'Données projet'!$A$62,$AF$205^A127,IF(A127='Données projet'!$A$62,'Données projet'!$B$62,AI126+AH127-AQ126)))</f>
        <v>0</v>
      </c>
      <c r="AJ127" s="13">
        <f>AI127*VLOOKUP('Données projet'!$B$10,Paramètres!$A$1:$I$89,3,0)*VLOOKUP('Données projet'!$B$10,Paramètres!$A$1:$I$89,5,0)</f>
        <v>0</v>
      </c>
      <c r="AK127" s="13" t="e">
        <f t="shared" si="89"/>
        <v>#NUM!</v>
      </c>
      <c r="AL127" s="20" t="e">
        <f t="shared" si="58"/>
        <v>#NUM!</v>
      </c>
      <c r="AM127" s="59" t="e">
        <f t="shared" si="59"/>
        <v>#NUM!</v>
      </c>
      <c r="AN127" s="59">
        <f ca="1">AVERAGE(OFFSET($AM$3,0,0,'Données projet'!$E$10+1,1))-AVERAGE(OFFSET($H$3,0,0,'Données projet'!$E$10+1,1))</f>
        <v>261.78489480911571</v>
      </c>
      <c r="AO127" s="59">
        <f t="shared" si="90"/>
        <v>297.50513563712764</v>
      </c>
      <c r="AP127" s="15">
        <f>IF(ISNA(VLOOKUP(A127,'Données projet'!$A$61:$I$81,3,0)),0,VLOOKUP(A127,'Données projet'!$A$61:$I$81,3,0))</f>
        <v>0</v>
      </c>
      <c r="AQ127" s="15">
        <f>IF(ISNA(VLOOKUP(A127,'Données projet'!$A$61:$I$81,4,0)),0,VLOOKUP(A127,'Données projet'!$A$61:$I$81,4,0))</f>
        <v>0</v>
      </c>
      <c r="AR127" s="16">
        <f>IF(ISNA(VLOOKUP(A127,'Données projet'!$A$61:$I$81,5,0)),0%,VLOOKUP(A127,'Données projet'!$A$61:$I$81,5,0)*VLOOKUP('Données projet'!$B$10,Paramètres!$A$1:$I$89,7,0))</f>
        <v>0</v>
      </c>
      <c r="AS127" s="16">
        <f>IF(ISNA(VLOOKUP(A127,'Données projet'!$A$61:$I$81,6,0)),0%,VLOOKUP(A127,'Données projet'!$A$61:$I$81,6,0)*VLOOKUP('Données projet'!$B$10,Paramètres!$A$1:$I$89,7,0))</f>
        <v>0</v>
      </c>
      <c r="AT127" s="16">
        <f>IF(ISNA(VLOOKUP(A127,'Données projet'!$A$61:$I$81,7,0)),0%,VLOOKUP(A127,'Données projet'!$A$61:$I$81,7,0))</f>
        <v>0</v>
      </c>
      <c r="AU127" s="21">
        <f>EXP(-LN(2)/35)*AU126+(1-EXP(-LN(2)/35))/(LN(2)/35)*AQ127*AR127*VLOOKUP('Données projet'!$B$10,Paramètres!$A$1:$I$89,3,0)*0.475*44/12</f>
        <v>1.2968594721972744</v>
      </c>
      <c r="AV127" s="21">
        <f>EXP(-LN(2)/25)*AV126+(1-EXP(-LN(2)/25))/(LN(2)/25)*Calculateur!AQ127*Calculateur!AS127*VLOOKUP('Données projet'!$B$10,Paramètres!$A$1:$I$89,3,0)*0.475*44/12</f>
        <v>2.0571318275222388</v>
      </c>
      <c r="AW127" s="21">
        <f>EXP(-LN(2)/2)*AW126+(1-EXP(-LN(2)/2))/(LN(2)/2)*AQ127*AT127*VLOOKUP('Données projet'!$B$10,Paramètres!$A$1:$I$89,3,0)*0.475*44/12</f>
        <v>1.7338089106226477E-13</v>
      </c>
      <c r="AX127" s="21">
        <f t="shared" si="60"/>
        <v>3.3539912997196861</v>
      </c>
      <c r="AY127" s="74">
        <f>('Scénario référence'!$F$8+'Scénario référence'!$F$9+'Scénario référence'!$B$17+'Scénario référence'!$B$9+'Scénario référence'!$B$10)*70+IF((45+25*(1-EXP(-0.0175*A127)))&lt;70,'Scénario référence'!$B$16*(45+25*(1-EXP(-0.0175*A127))),70*'Scénario référence'!$B$16)+IF((32+38*(1-EXP(-0.0175*A127)))&lt;70,'Scénario référence'!$B$18*(32+38*(1-EXP(-0.0175*A127))),70*'Scénario référence'!$B$18)</f>
        <v>70</v>
      </c>
      <c r="AZ127" s="12">
        <f>IF(A127&gt;30,10,('Scénario référence'!$B$16+'Scénario référence'!$B$17+'Scénario référence'!$B$18+'Scénario référence'!$B$9+'Scénario référence'!$B$10)*A127*10/30+('Scénario référence'!$F$8+'Scénario référence'!$F$9)*10)</f>
        <v>10</v>
      </c>
      <c r="BA127" s="12" t="e">
        <f>VLOOKUP(A127,'Données projet'!$A$87:$I$107,2,0)</f>
        <v>#N/A</v>
      </c>
      <c r="BB127" s="12" t="e">
        <f>VLOOKUP(A127,'Données projet'!$A$87:$I$107,9,0)</f>
        <v>#N/A</v>
      </c>
      <c r="BC127" s="12">
        <f t="array" ref="BC127">INDEX(BB:BB,MIN(IF(ISNUMBER(BB127:BB323),ROW(BB127:BB323),"")))</f>
        <v>0</v>
      </c>
      <c r="BD127" s="12">
        <f>IF('Données projet'!$A$88&gt;35,BD126+BC127-BL126,IF(A127&lt;'Données projet'!$A$88,$BA$205^A127,IF(A127='Données projet'!$A$88,'Données projet'!$B$88,BD126+BC127-BL126)))</f>
        <v>553.99999999999955</v>
      </c>
      <c r="BE127" s="13">
        <f>BD127*VLOOKUP('Données projet'!$B$11,Paramètres!$A$1:$I$89,3,0)*VLOOKUP('Données projet'!$B$11,Paramètres!$A$1:$I$89,5,0)</f>
        <v>331.29199999999975</v>
      </c>
      <c r="BF127" s="13">
        <f t="shared" si="91"/>
        <v>77.698110787752</v>
      </c>
      <c r="BG127" s="20">
        <f t="shared" si="61"/>
        <v>712.32444295533423</v>
      </c>
      <c r="BH127" s="59">
        <f t="shared" si="62"/>
        <v>1005.6577762886675</v>
      </c>
      <c r="BI127" s="59">
        <f ca="1">AVERAGE(OFFSET($BH$3,0,0,'Données projet'!$E$11+1,1))-AVERAGE(OFFSET($H$3,0,0,'Données projet'!$E$11+1,1))</f>
        <v>316.58509520829671</v>
      </c>
      <c r="BJ127" s="59">
        <f t="shared" si="92"/>
        <v>240.71332110643596</v>
      </c>
      <c r="BK127" s="15">
        <f>IF(ISNA(VLOOKUP(A127,'Données projet'!$A$87:$I$107,3,0)),0,VLOOKUP(A127,'Données projet'!$A$87:$I$107,3,0))</f>
        <v>0</v>
      </c>
      <c r="BL127" s="15">
        <f>IF(ISNA(VLOOKUP(A127,'Données projet'!$A$87:$I$107,4,0)),0,VLOOKUP(A127,'Données projet'!$A$87:$I$107,4,0))</f>
        <v>0</v>
      </c>
      <c r="BM127" s="16">
        <f>IF(ISNA(VLOOKUP(A127,'Données projet'!$A$87:$I$107,5,0)),0%,VLOOKUP(A127,'Données projet'!$A$87:$I$107,5,0)*VLOOKUP('Données projet'!$B$11,Paramètres!$A$1:$I$89,7,0))</f>
        <v>0</v>
      </c>
      <c r="BN127" s="16">
        <f>IF(ISNA(VLOOKUP(A127,'Données projet'!$A$87:$I$107,6,0)),0%,VLOOKUP(A127,'Données projet'!$A$87:$I$107,6,0)*VLOOKUP('Données projet'!$B$11,Paramètres!$A$1:$I$89,7,0))</f>
        <v>0</v>
      </c>
      <c r="BO127" s="16">
        <f>IF(ISNA(VLOOKUP(A127,'Données projet'!$A$87:$I$107,7,0)),0%,VLOOKUP(A127,'Données projet'!$A$87:$I$107,7,0))</f>
        <v>0</v>
      </c>
      <c r="BP127" s="21">
        <f>EXP(-LN(2)/35)*BP126+(1-EXP(-LN(2)/35))/(LN(2)/35)*BL127*BM127*VLOOKUP('Données projet'!$B$11,Paramètres!$A$1:$I$89,3,0)*0.475*44/12</f>
        <v>0.39393071393194751</v>
      </c>
      <c r="BQ127" s="21">
        <f>EXP(-LN(2)/25)*BQ126+(1-EXP(-LN(2)/25))/(LN(2)/25)*Calculateur!BL127*Calculateur!BN127*VLOOKUP('Données projet'!$B$11,Paramètres!$A$1:$I$89,3,0)*0.475*44/12</f>
        <v>1.1269568382666983</v>
      </c>
      <c r="BR127" s="21">
        <f>EXP(-LN(2)/2)*BR126+(1-EXP(-LN(2)/2))/(LN(2)/2)*BL127*BO127*VLOOKUP('Données projet'!$B$11,Paramètres!$A$1:$I$89,3,0)*0.475*44/12</f>
        <v>1.5588840845837334E-13</v>
      </c>
      <c r="BS127" s="22">
        <f t="shared" si="63"/>
        <v>1.5208875521988017</v>
      </c>
      <c r="BT127" s="75">
        <f>('Scénario référence'!$F$8+'Scénario référence'!$F$9+'Scénario référence'!$B$17+'Scénario référence'!$B$9+'Scénario référence'!$B$10)*70+IF((45+25*(1-EXP(-0.0175*A127)))&lt;70,'Scénario référence'!$B$16*(45+25*(1-EXP(-0.0175*A127))),70*'Scénario référence'!$B$16)+IF((32+38*(1-EXP(-0.0175*A127)))&lt;70,'Scénario référence'!$B$18*(32+38*(1-EXP(-0.0175*A127))),70*'Scénario référence'!$B$18)</f>
        <v>70</v>
      </c>
      <c r="BU127" s="12">
        <f>IF(A127&gt;30,10,('Scénario référence'!$B$16+'Scénario référence'!$B$17+'Scénario référence'!$B$18+'Scénario référence'!$B$9+'Scénario référence'!$B$10)*A127*10/30+('Scénario référence'!$F$8+'Scénario référence'!$F$9)*10)</f>
        <v>10</v>
      </c>
      <c r="BV127" s="12" t="e">
        <f>VLOOKUP(A127,'Données projet'!$A$113:$I$133,2,0)</f>
        <v>#N/A</v>
      </c>
      <c r="BW127" s="12" t="e">
        <f>VLOOKUP(A127,'Données projet'!$A$113:$I$133,9,0)</f>
        <v>#N/A</v>
      </c>
      <c r="BX127" s="12">
        <f t="array" ref="BX127">INDEX(BW:BW,MIN(IF(ISNUMBER(BW127:BW323),ROW(BW127:BW323),"")))</f>
        <v>0</v>
      </c>
      <c r="BY127" s="12">
        <f>IF('Données projet'!$A$114&gt;35,BY126+BX127-CG126,IF(A127&lt;'Données projet'!$A$114,$BV$205^A127,IF(A127='Données projet'!$A$114,'Données projet'!$B$114,BY126+BX127-CG126)))</f>
        <v>333.99999999999977</v>
      </c>
      <c r="BZ127" s="13">
        <f>BY127*VLOOKUP('Données projet'!$B$12,Paramètres!$A$1:$I$89,3,0)*VLOOKUP('Données projet'!$B$12,Paramètres!$A$1:$I$89,5,0)</f>
        <v>191.04799999999986</v>
      </c>
      <c r="CA127" s="13">
        <f t="shared" si="93"/>
        <v>47.771576544305155</v>
      </c>
      <c r="CB127" s="20">
        <f t="shared" si="64"/>
        <v>415.94409581466454</v>
      </c>
      <c r="CC127" s="59">
        <f t="shared" si="65"/>
        <v>709.27742914799785</v>
      </c>
      <c r="CD127" s="59">
        <f ca="1">AVERAGE(OFFSET($CC$3,0,0,'Données projet'!$E$12+1,1))-AVERAGE(OFFSET($H$3,0,0,'Données projet'!$E$12+1,1))</f>
        <v>188.64374818906128</v>
      </c>
      <c r="CE127" s="59">
        <f t="shared" si="94"/>
        <v>211.95157880548652</v>
      </c>
      <c r="CF127" s="15">
        <f>IF(ISNA(VLOOKUP(A127,'Données projet'!$A$113:$I$133,3,0)),0,VLOOKUP(A127,'Données projet'!$A$113:$I$133,3,0))</f>
        <v>0</v>
      </c>
      <c r="CG127" s="15">
        <f>IF(ISNA(VLOOKUP(A127,'Données projet'!$A$113:$I$133,4,0)),0,VLOOKUP(A127,'Données projet'!$A$113:$I$133,4,0))</f>
        <v>0</v>
      </c>
      <c r="CH127" s="16">
        <f>IF(ISNA(VLOOKUP(A127,'Données projet'!$A$113:$I$133,5,0)),0%,VLOOKUP(A127,'Données projet'!$A$113:$I$133,5,0)*VLOOKUP('Données projet'!$B$12,Paramètres!$A$1:$I$89,7,0))</f>
        <v>0</v>
      </c>
      <c r="CI127" s="16">
        <f>IF(ISNA(VLOOKUP(A127,'Données projet'!$A$113:$I$133,6,0)),0%,VLOOKUP(A127,'Données projet'!$A$113:$I$133,6,0)*VLOOKUP('Données projet'!$B$12,Paramètres!$A$1:$I$89,7,0))</f>
        <v>0</v>
      </c>
      <c r="CJ127" s="16">
        <f>IF(ISNA(VLOOKUP(A127,'Données projet'!$A$113:$I$133,7,0)),0%,VLOOKUP(A127,'Données projet'!$A$113:$I$133,7,0))</f>
        <v>0</v>
      </c>
      <c r="CK127" s="21">
        <f>EXP(-LN(2)/35)*CK126+(1-EXP(-LN(2)/35))/(LN(2)/35)*CG127*CH127*VLOOKUP('Données projet'!$B$12,Paramètres!$A$1:$I$89,3,0)*0.475*44/12</f>
        <v>0.38211038020098237</v>
      </c>
      <c r="CL127" s="21">
        <f>EXP(-LN(2)/25)*CL126+(1-EXP(-LN(2)/25))/(LN(2)/25)*Calculateur!CG127*Calculateur!CI127*VLOOKUP('Données projet'!$B$12,Paramètres!$A$1:$I$89,3,0)*0.475*44/12</f>
        <v>1.0607172924659505</v>
      </c>
      <c r="CM127" s="21">
        <f>EXP(-LN(2)/2)*CM126+(1-EXP(-LN(2)/2))/(LN(2)/2)*CG127*CJ127*VLOOKUP('Données projet'!$B$12,Paramètres!$A$1:$I$89,3,0)*0.475*44/12</f>
        <v>1.5096572670171509E-13</v>
      </c>
      <c r="CN127" s="22">
        <f t="shared" si="66"/>
        <v>1.4428276726670839</v>
      </c>
      <c r="CO127" s="75">
        <f>('Scénario référence'!$F$8+'Scénario référence'!$F$9+'Scénario référence'!$B$17+'Scénario référence'!$B$9+'Scénario référence'!$B$10)*70+IF((45+25*(1-EXP(-0.0175*A127)))&lt;70,'Scénario référence'!$B$16*(45+25*(1-EXP(-0.0175*A127))),70*'Scénario référence'!$B$16)+IF((32+38*(1-EXP(-0.0175*A127)))&lt;70,'Scénario référence'!$B$18*(32+38*(1-EXP(-0.0175*A127))),70*'Scénario référence'!$B$18)</f>
        <v>70</v>
      </c>
      <c r="CP127" s="12">
        <f>IF(A127&gt;30,10,('Scénario référence'!$B$16+'Scénario référence'!$B$17+'Scénario référence'!$B$18+'Scénario référence'!$B$9+'Scénario référence'!$B$10)*A127*10/30+('Scénario référence'!$F$8+'Scénario référence'!$F$9)*10)</f>
        <v>10</v>
      </c>
      <c r="CQ127" s="12" t="e">
        <f>VLOOKUP(A127,'Données projet'!$A$139:$I$159,2,0)</f>
        <v>#N/A</v>
      </c>
      <c r="CR127" s="12" t="e">
        <f>VLOOKUP(A127,'Données projet'!$A$139:$I$159,9,0)</f>
        <v>#N/A</v>
      </c>
      <c r="CS127" s="12">
        <f t="array" ref="CS127">INDEX(CR:CR,MIN(IF(ISNUMBER(CR127:CR323),ROW(CR127:CR323),"")))</f>
        <v>0</v>
      </c>
      <c r="CT127" s="12">
        <f>IF('Données projet'!$A$140&gt;35,CT126+CS127-DB126,IF(A127&lt;'Données projet'!$A$140,$CQ$205^A127,IF(A127='Données projet'!$A$140,'Données projet'!$B$140,CT126+CS127-DB126)))</f>
        <v>0</v>
      </c>
      <c r="CU127" s="17" t="e">
        <f>CT127*VLOOKUP('Données projet'!$B$13,Paramètres!$A$1:$I$89,3,0)*VLOOKUP('Données projet'!$B$13,Paramètres!$A$1:$I$89,5,0)</f>
        <v>#N/A</v>
      </c>
      <c r="CV127" s="13" t="e">
        <f t="shared" si="95"/>
        <v>#N/A</v>
      </c>
      <c r="CW127" s="20" t="e">
        <f t="shared" si="67"/>
        <v>#N/A</v>
      </c>
      <c r="CX127" s="59" t="e">
        <f t="shared" si="68"/>
        <v>#N/A</v>
      </c>
      <c r="CY127" s="59" t="e">
        <f ca="1">AVERAGE(OFFSET($CX$3,0,0,'Données projet'!$E$13+1,1))-AVERAGE(OFFSET($H$3,0,0,'Données projet'!$E$13+1,1))</f>
        <v>#N/A</v>
      </c>
      <c r="CZ127" s="59" t="e">
        <f t="shared" si="96"/>
        <v>#N/A</v>
      </c>
      <c r="DA127" s="15">
        <f>IF(ISNA(VLOOKUP(A127,'Données projet'!$A$139:$I$159,3,0)),0,VLOOKUP(A127,'Données projet'!$A$139:$I$159,3,0))</f>
        <v>0</v>
      </c>
      <c r="DB127" s="15">
        <f>IF(ISNA(VLOOKUP(A127,'Données projet'!$A$139:$I$159,4,0)),0,VLOOKUP(A127,'Données projet'!$A$139:$I$159,4,0))</f>
        <v>0</v>
      </c>
      <c r="DC127" s="16">
        <f>IF(ISNA(VLOOKUP(A127,'Données projet'!$A$139:$I$159,5,0)),0%,VLOOKUP(A127,'Données projet'!$A$139:$I$159,5,0)*VLOOKUP('Données projet'!$B$13,Paramètres!$A$1:$I$89,7,0))</f>
        <v>0</v>
      </c>
      <c r="DD127" s="16">
        <f>IF(ISNA(VLOOKUP(A127,'Données projet'!$A$139:$I$159,6,0)),0%,VLOOKUP(A127,'Données projet'!$A$139:$I$159,6,0)*VLOOKUP('Données projet'!$B$13,Paramètres!$A$1:$I$89,7,0))</f>
        <v>0</v>
      </c>
      <c r="DE127" s="16">
        <f>IF(ISNA(VLOOKUP(A127,'Données projet'!$A$139:$I$159,7,0)),0%,VLOOKUP(A127,'Données projet'!$A$139:$I$159,7,0))</f>
        <v>0</v>
      </c>
      <c r="DF127" s="21" t="e">
        <f>EXP(-LN(2)/35)*DF126+(1-EXP(-LN(2)/35))/(LN(2)/35)*DB127*DC127*VLOOKUP('Données projet'!$B$13,Paramètres!$A$1:$I$89,3,0)*0.475*44/12</f>
        <v>#N/A</v>
      </c>
      <c r="DG127" s="21" t="e">
        <f>EXP(-LN(2)/25)*DG126+(1-EXP(-LN(2)/25))/(LN(2)/25)*Calculateur!DB127*Calculateur!DD127*VLOOKUP('Données projet'!$B$13,Paramètres!$A$1:$I$89,3,0)*0.475*44/12</f>
        <v>#N/A</v>
      </c>
      <c r="DH127" s="21" t="e">
        <f>EXP(-LN(2)/2)*DH126+(1-EXP(-LN(2)/2))/(LN(2)/2)*DB127*DE127*VLOOKUP('Données projet'!$B$13,Paramètres!$A$1:$I$89,3,0)*0.475*44/12</f>
        <v>#N/A</v>
      </c>
      <c r="DI127" s="22" t="e">
        <f t="shared" si="69"/>
        <v>#N/A</v>
      </c>
      <c r="DJ127" s="75">
        <f>('Scénario référence'!$F$8+'Scénario référence'!$F$9+'Scénario référence'!$B$17+'Scénario référence'!$B$9+'Scénario référence'!$B$10)*70+IF((45+25*(1-EXP(-0.0175*A127)))&lt;70,'Scénario référence'!$B$16*(45+25*(1-EXP(-0.0175*A127))),70*'Scénario référence'!$B$16)+IF((32+38*(1-EXP(-0.0175*A127)))&lt;70,'Scénario référence'!$B$18*(32+38*(1-EXP(-0.0175*A127))),70*'Scénario référence'!$B$18)</f>
        <v>70</v>
      </c>
      <c r="DK127" s="12">
        <f>IF(A127&gt;30,10,('Scénario référence'!$B$16+'Scénario référence'!$B$17+'Scénario référence'!$B$18+'Scénario référence'!$B$9+'Scénario référence'!$B$10)*A127*10/30+('Scénario référence'!$F$8+'Scénario référence'!$F$9)*10)</f>
        <v>10</v>
      </c>
      <c r="DL127" s="12" t="e">
        <f>VLOOKUP(A127,'Données projet'!$A$165:$I$185,2,0)</f>
        <v>#N/A</v>
      </c>
      <c r="DM127" s="12" t="e">
        <f>VLOOKUP(A127,'Données projet'!$A$165:$I$185,9,0)</f>
        <v>#N/A</v>
      </c>
      <c r="DN127" s="12">
        <f t="array" ref="DN127">INDEX(DM:DM,MIN(IF(ISNUMBER(DM127:DM323),ROW(DM127:DM323),"")))</f>
        <v>0</v>
      </c>
      <c r="DO127" s="12">
        <f>IF('Données projet'!$A$166&gt;35,DO126+DN127-DW126,IF(A127&lt;'Données projet'!$A$166,$DL$205^A127,IF(A127='Données projet'!$A$166,'Données projet'!$B$166,DO126+DN127-DW126)))</f>
        <v>268.00000000000017</v>
      </c>
      <c r="DP127" s="17">
        <f>DO127*VLOOKUP('Données projet'!$B$14,Paramètres!$A$1:$I$89,3,0)*VLOOKUP('Données projet'!$B$14,Paramètres!$A$1:$I$89,5,0)</f>
        <v>175.59360000000012</v>
      </c>
      <c r="DQ127" s="13">
        <f t="shared" si="97"/>
        <v>44.340433728638573</v>
      </c>
      <c r="DR127" s="20">
        <f t="shared" si="70"/>
        <v>383.05177541071242</v>
      </c>
      <c r="DS127" s="59">
        <f t="shared" si="71"/>
        <v>676.38510874404574</v>
      </c>
      <c r="DT127" s="59">
        <f ca="1">AVERAGE(OFFSET($DS$3,0,0,'Données projet'!$E$14+1,1))-AVERAGE(OFFSET($H$3,0,0,'Données projet'!$E$14+1,1))</f>
        <v>188.68915783955595</v>
      </c>
      <c r="DU127" s="59">
        <f t="shared" si="98"/>
        <v>240.82467772396944</v>
      </c>
      <c r="DV127" s="15">
        <f>IF(ISNA(VLOOKUP(A127,'Données projet'!$A$165:$I$185,3,0)),0,VLOOKUP(A127,'Données projet'!$A$165:$I$185,3,0))</f>
        <v>0</v>
      </c>
      <c r="DW127" s="15">
        <f>IF(ISNA(VLOOKUP(A127,'Données projet'!$A$165:$I$185,4,0)),0,VLOOKUP(A127,'Données projet'!$A$165:$I$185,4,0))</f>
        <v>0</v>
      </c>
      <c r="DX127" s="16">
        <f>IF(ISNA(VLOOKUP(A127,'Données projet'!$A$165:$I$185,5,0)),0%,VLOOKUP(A127,'Données projet'!$A$165:$I$185,5,0)*VLOOKUP('Données projet'!$B$14,Paramètres!$A$1:$I$89,7,0))</f>
        <v>0</v>
      </c>
      <c r="DY127" s="16">
        <f>IF(ISNA(VLOOKUP(A127,'Données projet'!$A$165:$I$185,6,0)),0%,VLOOKUP(A127,'Données projet'!$A$165:$I$185,6,0)*VLOOKUP('Données projet'!$B$14,Paramètres!$A$1:$I$89,7,0))</f>
        <v>0</v>
      </c>
      <c r="DZ127" s="16">
        <f>IF(ISNA(VLOOKUP(A127,'Données projet'!$A$165:$I$185,7,0)),0%,VLOOKUP(A127,'Données projet'!$A$165:$I$185,7,0))</f>
        <v>0</v>
      </c>
      <c r="EA127" s="21">
        <f>EXP(-LN(2)/35)*EA126+(1-EXP(-LN(2)/35))/(LN(2)/35)*DW127*DX127*VLOOKUP('Données projet'!$B$14,Paramètres!$A$1:$I$89,3,0)*0.475*44/12</f>
        <v>0.24203540496737302</v>
      </c>
      <c r="EB127" s="21">
        <f>EXP(-LN(2)/25)*EB126+(1-EXP(-LN(2)/25))/(LN(2)/25)*Calculateur!DW127*Calculateur!DY127*VLOOKUP('Données projet'!$B$14,Paramètres!$A$1:$I$89,3,0)*0.475*44/12</f>
        <v>0.59330334675313423</v>
      </c>
      <c r="EC127" s="21">
        <f>EXP(-LN(2)/2)*EC126+(1-EXP(-LN(2)/2))/(LN(2)/2)*DW127*DZ127*VLOOKUP('Données projet'!$B$14,Paramètres!$A$1:$I$89,3,0)*0.475*44/12</f>
        <v>9.9450460213340983E-14</v>
      </c>
      <c r="ED127" s="22">
        <f t="shared" si="72"/>
        <v>0.83533875172060679</v>
      </c>
      <c r="EE127" s="75">
        <f>('Scénario référence'!$F$8+'Scénario référence'!$F$9+'Scénario référence'!$B$17+'Scénario référence'!$B$9+'Scénario référence'!$B$10)*70+IF((45+25*(1-EXP(-0.0175*A127)))&lt;70,'Scénario référence'!$B$16*(45+25*(1-EXP(-0.0175*A127))),70*'Scénario référence'!$B$16)+IF((32+38*(1-EXP(-0.0175*A127)))&lt;70,'Scénario référence'!$B$18*(32+38*(1-EXP(-0.0175*A127))),70*'Scénario référence'!$B$18)</f>
        <v>70</v>
      </c>
      <c r="EF127" s="12">
        <f>IF(A127&gt;30,10,('Scénario référence'!$B$16+'Scénario référence'!$B$17+'Scénario référence'!$B$18+'Scénario référence'!$B$9+'Scénario référence'!$B$10)*A127*10/30+('Scénario référence'!$F$8+'Scénario référence'!$F$9)*10)</f>
        <v>10</v>
      </c>
      <c r="EG127" s="12" t="e">
        <f>VLOOKUP(A127,'Données projet'!$A$191:$I$211,2,0)</f>
        <v>#N/A</v>
      </c>
      <c r="EH127" s="12" t="e">
        <f>VLOOKUP(A127,'Données projet'!$A$191:$I$211,9,0)</f>
        <v>#N/A</v>
      </c>
      <c r="EI127" s="12">
        <f t="array" ref="EI127">INDEX(EH:EH,MIN(IF(ISNUMBER(EH127:EH323),ROW(EH127:EH323),"")))</f>
        <v>0</v>
      </c>
      <c r="EJ127" s="12">
        <f>IF('Données projet'!$A$192&gt;35,EJ126+EI127-ER126,IF(A127&lt;'Données projet'!$A$192,$EG$205^A127,IF(A127='Données projet'!$A$192,'Données projet'!$B$192,EJ126+EI127-ER126)))</f>
        <v>275.99999999999972</v>
      </c>
      <c r="EK127" s="17">
        <f>EJ127*VLOOKUP('Données projet'!$B$15,Paramètres!$A$1:$I$89,3,0)*VLOOKUP('Données projet'!$B$15,Paramètres!$A$1:$I$89,5,0)</f>
        <v>223.8911999999998</v>
      </c>
      <c r="EL127" s="13">
        <f t="shared" si="99"/>
        <v>54.95975389514858</v>
      </c>
      <c r="EM127" s="20">
        <f t="shared" si="73"/>
        <v>485.66541136738346</v>
      </c>
      <c r="EN127" s="59">
        <f t="shared" si="74"/>
        <v>778.99874470071677</v>
      </c>
      <c r="EO127" s="59">
        <f ca="1">AVERAGE(OFFSET($EN$3,0,0,'Données projet'!$E$15+1,1))-AVERAGE(OFFSET($H$3,0,0,'Données projet'!$E$15+1,1))</f>
        <v>205.5272583787887</v>
      </c>
      <c r="EP127" s="59">
        <f t="shared" si="100"/>
        <v>180.54762778843178</v>
      </c>
      <c r="EQ127" s="15">
        <f>IF(ISNA(VLOOKUP(A127,'Données projet'!$A$191:$I$211,3,0)),0,VLOOKUP(A127,'Données projet'!$A$191:$I$211,3,0))</f>
        <v>0</v>
      </c>
      <c r="ER127" s="15">
        <f>IF(ISNA(VLOOKUP(A127,'Données projet'!$A$191:$I$211,4,0)),0,VLOOKUP(A127,'Données projet'!$A$191:$I$211,4,0))</f>
        <v>0</v>
      </c>
      <c r="ES127" s="16">
        <f>IF(ISNA(VLOOKUP(A127,'Données projet'!$A$191:$I$211,5,0)),0%,VLOOKUP(A127,'Données projet'!$A$191:$I$211,5,0)*VLOOKUP('Données projet'!$B$15,Paramètres!$A$1:$I$89,7,0))</f>
        <v>0</v>
      </c>
      <c r="ET127" s="16">
        <f>IF(ISNA(VLOOKUP(A127,'Données projet'!$A$191:$I$211,6,0)),0%,VLOOKUP(A127,'Données projet'!$A$191:$I$211,6,0)*VLOOKUP('Données projet'!$B$15,Paramètres!$A$1:$I$89,7,0))</f>
        <v>0</v>
      </c>
      <c r="EU127" s="16">
        <f>IF(ISNA(VLOOKUP(A127,'Données projet'!$A$191:$I$211,7,0)),0%,VLOOKUP(A127,'Données projet'!$A$191:$I$211,7,0))</f>
        <v>0</v>
      </c>
      <c r="EV127" s="21">
        <f>EXP(-LN(2)/35)*EV126+(1-EXP(-LN(2)/35))/(LN(2)/35)*ER127*ES127*VLOOKUP('Données projet'!$B$15,Paramètres!$A$1:$I$89,3,0)*0.475*44/12</f>
        <v>0.15582469881708971</v>
      </c>
      <c r="EW127" s="21">
        <f>EXP(-LN(2)/25)*EW126+(1-EXP(-LN(2)/25))/(LN(2)/25)*Calculateur!ER127*Calculateur!ET127*VLOOKUP('Données projet'!$B$15,Paramètres!$A$1:$I$89,3,0)*0.475*44/12</f>
        <v>0.42838301478525309</v>
      </c>
      <c r="EX127" s="21">
        <f>EXP(-LN(2)/2)*EX126+(1-EXP(-LN(2)/2))/(LN(2)/2)*ER127*EU127*VLOOKUP('Données projet'!$B$15,Paramètres!$A$1:$I$89,3,0)*0.475*44/12</f>
        <v>6.4394246524414759E-14</v>
      </c>
      <c r="EY127" s="22">
        <f t="shared" si="75"/>
        <v>0.5842077136024072</v>
      </c>
      <c r="EZ127" s="75">
        <f>('Scénario référence'!$F$8+'Scénario référence'!$F$9+'Scénario référence'!$B$17+'Scénario référence'!$B$9+'Scénario référence'!$B$10)*70+IF((45+25*(1-EXP(-0.0175*A127)))&lt;70,'Scénario référence'!$B$16*(45+25*(1-EXP(-0.0175*A127))),70*'Scénario référence'!$B$16)+IF((32+38*(1-EXP(-0.0175*A127)))&lt;70,'Scénario référence'!$B$18*(32+38*(1-EXP(-0.0175*A127))),70*'Scénario référence'!$B$18)</f>
        <v>70</v>
      </c>
      <c r="FA127" s="12">
        <f>IF(A127&gt;30,10,('Scénario référence'!$B$16+'Scénario référence'!$B$17+'Scénario référence'!$B$18+'Scénario référence'!$B$9+'Scénario référence'!$B$10)*A127*10/30+('Scénario référence'!$F$8+'Scénario référence'!$F$9)*10)</f>
        <v>10</v>
      </c>
      <c r="FB127" s="12" t="e">
        <f>VLOOKUP(A127,'Données projet'!$A$217:$I$237,2,0)</f>
        <v>#N/A</v>
      </c>
      <c r="FC127" s="12" t="e">
        <f>VLOOKUP(A127,'Données projet'!$A$217:$I$237,9,0)</f>
        <v>#N/A</v>
      </c>
      <c r="FD127" s="12">
        <f t="array" ref="FD127">INDEX(FC:FC,MIN(IF(ISNUMBER(FC127:FC323),ROW(FC127:FC323),"")))</f>
        <v>6.3</v>
      </c>
      <c r="FE127" s="12">
        <f>IF('Données projet'!$A$218&gt;35,FE126+FD127-FM126,IF(A127&lt;'Données projet'!$A$218,$FB$205^A127,IF(A127='Données projet'!$A$218,'Données projet'!$B$218,FE126+FD127-FM126)))</f>
        <v>417.19999999999987</v>
      </c>
      <c r="FF127" s="17">
        <f>FE127*VLOOKUP('Données projet'!$B$16,Paramètres!$A$1:$I$89,3,0)*VLOOKUP('Données projet'!$B$16,Paramètres!$A$1:$I$89,5,0)</f>
        <v>357.95759999999996</v>
      </c>
      <c r="FG127" s="13">
        <f t="shared" si="101"/>
        <v>83.198913658573943</v>
      </c>
      <c r="FH127" s="20">
        <f t="shared" si="76"/>
        <v>768.34759462201612</v>
      </c>
      <c r="FI127" s="59">
        <f t="shared" si="77"/>
        <v>1061.6809279553495</v>
      </c>
      <c r="FJ127" s="59">
        <f ca="1">AVERAGE(OFFSET($FI$3,0,0,'Données projet'!$E$16+1,1))-AVERAGE(OFFSET($H$3,0,0,'Données projet'!$E$16+1,1))</f>
        <v>383.97627237444709</v>
      </c>
      <c r="FK127" s="59">
        <f t="shared" si="102"/>
        <v>203.35476578922339</v>
      </c>
      <c r="FL127" s="15">
        <f>IF(ISNA(VLOOKUP(A127,'Données projet'!$A$217:$I$237,3,0)),0,VLOOKUP(A127,'Données projet'!$A$217:$I$237,3,0))</f>
        <v>0</v>
      </c>
      <c r="FM127" s="15">
        <f>IF(ISNA(VLOOKUP(A127,'Données projet'!$A$217:$I$237,4,0)),0,VLOOKUP(A127,'Données projet'!$A$217:$I$237,4,0))</f>
        <v>0</v>
      </c>
      <c r="FN127" s="16">
        <f>IF(ISNA(VLOOKUP(A127,'Données projet'!$A$217:$I$237,5,0)),0%,VLOOKUP(A127,'Données projet'!$A$217:$I$237,5,0)*VLOOKUP('Données projet'!$B$16,Paramètres!$A$1:$I$89,7,0))</f>
        <v>0</v>
      </c>
      <c r="FO127" s="16">
        <f>IF(ISNA(VLOOKUP(A127,'Données projet'!$A$217:$I$237,6,0)),0%,VLOOKUP(A127,'Données projet'!$A$217:$I$237,6,0)*VLOOKUP('Données projet'!$B$16,Paramètres!$A$1:$I$89,7,0))</f>
        <v>0</v>
      </c>
      <c r="FP127" s="16">
        <f>IF(ISNA(VLOOKUP(A127,'Données projet'!$A$217:$I$237,7,0)),0%,VLOOKUP(A127,'Données projet'!$A$217:$I$237,7,0))</f>
        <v>0</v>
      </c>
      <c r="FQ127" s="21">
        <f>EXP(-LN(2)/35)*FQ126+(1-EXP(-LN(2)/35))/(LN(2)/35)*FM127*FN127*VLOOKUP('Données projet'!$B$16,Paramètres!$A$1:$I$89,3,0)*0.475*44/12</f>
        <v>0.80085441375071054</v>
      </c>
      <c r="FR127" s="21">
        <f>EXP(-LN(2)/25)*FR126+(1-EXP(-LN(2)/25))/(LN(2)/25)*Calculateur!FM127*Calculateur!FO127*VLOOKUP('Données projet'!$B$16,Paramètres!$A$1:$I$89,3,0)*0.475*44/12</f>
        <v>0.43485303759962324</v>
      </c>
      <c r="FS127" s="21">
        <f>EXP(-LN(2)/2)*FS126+(1-EXP(-LN(2)/2))/(LN(2)/2)*FM127*FP127*VLOOKUP('Données projet'!$B$16,Paramètres!$A$1:$I$89,3,0)*0.475*44/12</f>
        <v>1.1827901525258178E-13</v>
      </c>
      <c r="FT127" s="22">
        <f t="shared" si="78"/>
        <v>1.235707451350452</v>
      </c>
      <c r="FU127" s="75">
        <f>('Scénario référence'!$F$8+'Scénario référence'!$F$9+'Scénario référence'!$B$17+'Scénario référence'!$B$9+'Scénario référence'!$B$10)*70+IF((45+25*(1-EXP(-0.0175*A127)))&lt;70,'Scénario référence'!$B$16*(45+25*(1-EXP(-0.0175*A127))),70*'Scénario référence'!$B$16)+IF((32+38*(1-EXP(-0.0175*A127)))&lt;70,'Scénario référence'!$B$18*(32+38*(1-EXP(-0.0175*A127))),70*'Scénario référence'!$B$18)</f>
        <v>70</v>
      </c>
      <c r="FV127" s="12">
        <f>IF(A127&gt;30,10,('Scénario référence'!$B$16+'Scénario référence'!$B$17+'Scénario référence'!$B$18+'Scénario référence'!$B$9+'Scénario référence'!$B$10)*A127*10/30+('Scénario référence'!$F$8+'Scénario référence'!$F$9)*10)</f>
        <v>10</v>
      </c>
      <c r="FW127" s="12" t="e">
        <f>VLOOKUP(A127,'Données projet'!$A$243:$I$263,2,0)</f>
        <v>#N/A</v>
      </c>
      <c r="FX127" s="12" t="e">
        <f>VLOOKUP(A127,'Données projet'!$A$243:$I$263,9,0)</f>
        <v>#N/A</v>
      </c>
      <c r="FY127" s="12">
        <f t="array" ref="FY127">INDEX(FX:FX,MIN(IF(ISNUMBER(FX127:FX323),ROW(FX127:FX323),"")))</f>
        <v>2.3349358974358978</v>
      </c>
      <c r="FZ127" s="12">
        <f>IF('Données projet'!$A$244&gt;35,FZ126+FY127-GH126,IF(A127&lt;'Données projet'!$A$244,$FW$205^A127,IF(A127='Données projet'!$A$244,'Données projet'!$B$244,FZ126+FY127-GH126)))</f>
        <v>147.79647435897476</v>
      </c>
      <c r="GA127" s="17">
        <f>FZ127*VLOOKUP('Données projet'!$B$17,Paramètres!$A$1:$I$89,3,0)*VLOOKUP('Données projet'!$B$17,Paramètres!$A$1:$I$89,5,0)</f>
        <v>159.08812500000042</v>
      </c>
      <c r="GB127" s="13">
        <f t="shared" si="103"/>
        <v>40.636771088383405</v>
      </c>
      <c r="GC127" s="20">
        <f t="shared" si="79"/>
        <v>347.85419402060182</v>
      </c>
      <c r="GD127" s="59">
        <f t="shared" si="80"/>
        <v>641.18752735393514</v>
      </c>
      <c r="GE127" s="59">
        <f ca="1">AVERAGE(OFFSET($GD$3,0,0,'Données projet'!$E$17+1,1))-AVERAGE(OFFSET($H$3,0,0,'Données projet'!$E$17+1,1))</f>
        <v>286.77702855541287</v>
      </c>
      <c r="GF127" s="59">
        <f t="shared" si="104"/>
        <v>227.12211541860779</v>
      </c>
      <c r="GG127" s="15">
        <f>IF(ISNA(VLOOKUP(A127,'Données projet'!$A$243:$I$263,3,0)),0,VLOOKUP(A127,'Données projet'!$A$243:$I$263,3,0))</f>
        <v>0</v>
      </c>
      <c r="GH127" s="15">
        <f>IF(ISNA(VLOOKUP(A127,'Données projet'!$A$243:$I$263,4,0)),0,VLOOKUP(A127,'Données projet'!$A$243:$I$263,4,0))</f>
        <v>0</v>
      </c>
      <c r="GI127" s="16">
        <f>IF(ISNA(VLOOKUP(A127,'Données projet'!$A$243:$I$263,5,0)),0%,VLOOKUP(A127,'Données projet'!$A$243:$I$263,5,0)*VLOOKUP('Données projet'!$B$17,Paramètres!$A$1:$I$89,7,0))</f>
        <v>0</v>
      </c>
      <c r="GJ127" s="16">
        <f>IF(ISNA(VLOOKUP(A127,'Données projet'!$A$243:$I$263,6,0)),0%,VLOOKUP(A127,'Données projet'!$A$243:$I$263,6,0)*VLOOKUP('Données projet'!$B$17,Paramètres!$A$1:$I$89,7,0))</f>
        <v>0</v>
      </c>
      <c r="GK127" s="16">
        <f>IF(ISNA(VLOOKUP(A127,'Données projet'!$A$243:$I$263,7,0)),0%,VLOOKUP(A127,'Données projet'!$A$243:$I$263,7,0))</f>
        <v>0</v>
      </c>
      <c r="GL127" s="21">
        <f>EXP(-LN(2)/35)*GL126+(1-EXP(-LN(2)/35))/(LN(2)/35)*GH127*GI127*VLOOKUP('Données projet'!$B$17,Paramètres!$A$1:$I$89,3,0)*0.475*44/12</f>
        <v>0</v>
      </c>
      <c r="GM127" s="21">
        <f>EXP(-LN(2)/25)*GM126+(1-EXP(-LN(2)/25))/(LN(2)/25)*Calculateur!GH127*Calculateur!GJ127*VLOOKUP('Données projet'!$B$17,Paramètres!$A$1:$I$89,3,0)*0.475*44/12</f>
        <v>0</v>
      </c>
      <c r="GN127" s="21">
        <f>EXP(-LN(2)/2)*GN126+(1-EXP(-LN(2)/2))/(LN(2)/2)*GH127*GK127*VLOOKUP('Données projet'!$B$17,Paramètres!$A$1:$I$89,3,0)*0.475*44/12</f>
        <v>0</v>
      </c>
      <c r="GO127" s="21">
        <f t="shared" si="81"/>
        <v>0</v>
      </c>
      <c r="GP127" s="75">
        <f>('Scénario référence'!$F$8+'Scénario référence'!$F$9+'Scénario référence'!$B$17+'Scénario référence'!$B$9+'Scénario référence'!$B$10)*70+IF((45+25*(1-EXP(-0.0175*A127)))&lt;70,'Scénario référence'!$B$16*(45+25*(1-EXP(-0.0175*A127))),70*'Scénario référence'!$B$16)+IF((32+38*(1-EXP(-0.0175*A127)))&lt;70,'Scénario référence'!$B$18*(32+38*(1-EXP(-0.0175*A127))),70*'Scénario référence'!$B$18)</f>
        <v>70</v>
      </c>
      <c r="GQ127" s="12">
        <f>IF(A127&gt;30,10,('Scénario référence'!$B$16+'Scénario référence'!$B$17+'Scénario référence'!$B$18+'Scénario référence'!$B$9+'Scénario référence'!$B$10)*A127*10/30+('Scénario référence'!$F$8+'Scénario référence'!$F$9)*10)</f>
        <v>10</v>
      </c>
      <c r="GR127" s="12" t="e">
        <f>VLOOKUP(A127,'Données projet'!$A$269:$I$289,2,0)</f>
        <v>#N/A</v>
      </c>
      <c r="GS127" s="12" t="e">
        <f>VLOOKUP(A127,'Données projet'!$A$269:$I$289,9,0)</f>
        <v>#N/A</v>
      </c>
      <c r="GT127" s="12">
        <f t="array" ref="GT127">INDEX(GS:GS,MIN(IF(ISNUMBER(GS127:GS323),ROW(GS127:GS323),"")))</f>
        <v>2.3349358974358978</v>
      </c>
      <c r="GU127" s="12">
        <f>IF('Données projet'!$A$270&gt;35,GU126+GT127-HC126,IF(A127&lt;'Données projet'!$A$270,$GR$205^A127,IF(A127='Données projet'!$A$270,'Données projet'!$B$270,GU126+GT127-HC126)))</f>
        <v>147.79647435897476</v>
      </c>
      <c r="GV127" s="17">
        <f>GU127*VLOOKUP('Données projet'!$B$18,Paramètres!$A$1:$I$89,3,0)*VLOOKUP('Données projet'!$B$18,Paramètres!$A$1:$I$89,5,0)</f>
        <v>159.08812500000042</v>
      </c>
      <c r="GW127" s="13">
        <f t="shared" si="105"/>
        <v>40.636771088383405</v>
      </c>
      <c r="GX127" s="20">
        <f t="shared" si="82"/>
        <v>347.85419402060182</v>
      </c>
      <c r="GY127" s="59">
        <f t="shared" si="83"/>
        <v>641.18752735393514</v>
      </c>
      <c r="GZ127" s="59">
        <f ca="1">AVERAGE(OFFSET($GY$3,0,0,'Données projet'!$E$18+1,1))-AVERAGE(OFFSET($H$3,0,0,'Données projet'!$E$18+1,1))</f>
        <v>286.77702855541287</v>
      </c>
      <c r="HA127" s="59">
        <f t="shared" si="106"/>
        <v>227.12211541860779</v>
      </c>
      <c r="HB127" s="15">
        <f>IF(ISNA(VLOOKUP(A127,'Données projet'!$A$269:$I$289,3,0)),0,VLOOKUP(A127,'Données projet'!$A$269:$I$289,3,0))</f>
        <v>0</v>
      </c>
      <c r="HC127" s="15">
        <f>IF(ISNA(VLOOKUP(A127,'Données projet'!$A$269:$I$289,4,0)),0,VLOOKUP(A127,'Données projet'!$A$269:$I$289,4,0))</f>
        <v>0</v>
      </c>
      <c r="HD127" s="16">
        <f>IF(ISNA(VLOOKUP(A127,'Données projet'!$A$269:$I$289,5,0)),0%,VLOOKUP(A127,'Données projet'!$A$269:$I$289,5,0)*VLOOKUP('Données projet'!$B$18,Paramètres!$A$1:$I$89,7,0))</f>
        <v>0</v>
      </c>
      <c r="HE127" s="16">
        <f>IF(ISNA(VLOOKUP(A127,'Données projet'!$A$269:$I$289,6,0)),0%,VLOOKUP(A127,'Données projet'!$A$269:$I$289,6,0)*VLOOKUP('Données projet'!$B$18,Paramètres!$A$1:$I$89,7,0))</f>
        <v>0</v>
      </c>
      <c r="HF127" s="16">
        <f>IF(ISNA(VLOOKUP(A127,'Données projet'!$A$269:$I$289,7,0)),0%,VLOOKUP(A127,'Données projet'!$A$269:$I$289,7,0))</f>
        <v>0</v>
      </c>
      <c r="HG127" s="21">
        <f>EXP(-LN(2)/35)*HG126+(1-EXP(-LN(2)/35))/(LN(2)/35)*HC127*HD127*VLOOKUP('Données projet'!$B$18,Paramètres!$A$1:$I$89,3,0)*0.475*44/12</f>
        <v>0</v>
      </c>
      <c r="HH127" s="21">
        <f>EXP(-LN(2)/25)*HH126+(1-EXP(-LN(2)/25))/(LN(2)/25)*Calculateur!HC127*Calculateur!HE127*VLOOKUP('Données projet'!$B$18,Paramètres!$A$1:$I$89,3,0)*0.475*44/12</f>
        <v>0</v>
      </c>
      <c r="HI127" s="21">
        <f>EXP(-LN(2)/2)*HI126+(1-EXP(-LN(2)/2))/(LN(2)/2)*HC127*HF127*VLOOKUP('Données projet'!$B$18,Paramètres!$A$1:$I$89,3,0)*0.475*44/12</f>
        <v>0</v>
      </c>
      <c r="HJ127" s="22">
        <f t="shared" si="84"/>
        <v>0</v>
      </c>
    </row>
    <row r="128" spans="1:218" x14ac:dyDescent="0.25">
      <c r="A128" s="10">
        <f t="shared" si="85"/>
        <v>125</v>
      </c>
      <c r="B128" s="73">
        <f>'Scénario référence'!$B$16*5+'Scénario référence'!$B$17*0+'Scénario référence'!$B$18*5</f>
        <v>0</v>
      </c>
      <c r="C128" s="19">
        <f>Calculateur!C127+'Scénario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111.1500000000002</v>
      </c>
      <c r="D128" s="11">
        <f t="shared" si="86"/>
        <v>29.601769319956595</v>
      </c>
      <c r="E12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28" s="11">
        <f>IF(OR('Scénario référence'!$F$8&gt;0,'Scénario référence'!$F$9&gt;0),('Scénario référence'!$F$8+'Scénario référence'!$F$9)*10,0)</f>
        <v>10</v>
      </c>
      <c r="G128" s="11">
        <f>'Scénario référence'!$B$8*B128*44/12+'Scénario référence'!$B$9*(C128+D128)/0.475*44/12+'Scénario référence'!$B$10*(C128+D128)/0.475*44/12+'Scénario référence'!$F$8*(C128+D128)/0.475*44/12+'Scénario référence'!$F$9*(C128+D128)/0.475*44/12</f>
        <v>1086.5048859786139</v>
      </c>
      <c r="H128" s="67">
        <f t="shared" si="56"/>
        <v>538.47599823225801</v>
      </c>
      <c r="I128" s="70">
        <f>('Scénario référence'!$F$8+'Scénario référence'!$F$9+'Scénario référence'!$B$17+'Scénario référence'!$B$9+'Scénario référence'!$B$10)*70+IF((45+25*(1-EXP(-0.0175*A128)))&lt;70,'Scénario référence'!$B$16*(45+25*(1-EXP(-0.0175*A128))),70*'Scénario référence'!$B$16)+IF((32+38*(1-EXP(-0.0175*A128)))&lt;70,'Scénario référence'!$B$18*(32+38*(1-EXP(-0.0175*A128))),70*'Scénario référence'!$B$18)</f>
        <v>70</v>
      </c>
      <c r="J128" s="13">
        <f>IF(A128&gt;30,10,('Scénario référence'!$B$16+'Scénario référence'!$B$17+'Scénario référence'!$B$18+'Scénario référence'!$B$9+'Scénario référence'!$B$10)*A128*10/30+('Scénario référence'!$F$8+'Scénario référence'!$F$9)*10)</f>
        <v>10</v>
      </c>
      <c r="K128" s="12" t="e">
        <f>VLOOKUP(A128,'Données projet'!$A$35:$I$55,2,0)</f>
        <v>#N/A</v>
      </c>
      <c r="L128" s="12" t="e">
        <f>VLOOKUP(A128,'Données projet'!$A$35:$I$55,9,0)</f>
        <v>#N/A</v>
      </c>
      <c r="M128" s="12">
        <f t="array" ref="M128">INDEX(L:L,MIN(IF(ISNUMBER(L128:L324),ROW(L128:L324),"")))</f>
        <v>0</v>
      </c>
      <c r="N128" s="13">
        <f>IF('Données projet'!$A$36&gt;35,N127+M128-V127,IF(A128&lt;'Données projet'!$A$36,$K$205^A128,IF(A128='Données projet'!$A$36,'Données projet'!$B$36,N127+M128-V127)))</f>
        <v>-2.2737367544323206E-13</v>
      </c>
      <c r="O128" s="13">
        <f>N128*VLOOKUP('Données projet'!$B$9,Paramètres!$A$1:$I$89,3,0)*VLOOKUP('Données projet'!$B$9,Paramètres!$A$1:$I$89,5,0)</f>
        <v>-1.2710188457276673E-13</v>
      </c>
      <c r="P128" s="13" t="e">
        <f t="shared" si="87"/>
        <v>#NUM!</v>
      </c>
      <c r="Q128" s="20" t="e">
        <f t="shared" si="107"/>
        <v>#NUM!</v>
      </c>
      <c r="R128" s="59" t="e">
        <f t="shared" si="55"/>
        <v>#NUM!</v>
      </c>
      <c r="S128" s="59">
        <f ca="1">AVERAGE(OFFSET($R$3,0,0,'Données projet'!$E$9+1,1))-AVERAGE(OFFSET($H$3,0,0,'Données projet'!$E$9+1,1))</f>
        <v>255.5374979188561</v>
      </c>
      <c r="T128" s="59">
        <f t="shared" si="88"/>
        <v>343.10418468620901</v>
      </c>
      <c r="U128" s="15">
        <f>IF(ISNA(VLOOKUP(A128,'Données projet'!$A$35:$I$55,3,0)),0,VLOOKUP(A128,'Données projet'!$A$35:$I$55,3,0))</f>
        <v>0</v>
      </c>
      <c r="V128" s="15">
        <f>IF(ISNA(VLOOKUP(A128,'Données projet'!$A$35:$I$55,4,0)),0,VLOOKUP(A128,'Données projet'!$A$35:$I$55,4,0))</f>
        <v>0</v>
      </c>
      <c r="W128" s="16">
        <f>IF(ISNA(VLOOKUP(A128,'Données projet'!$A$35:$I$55,5,0)),0%,VLOOKUP(A128,'Données projet'!$A$35:$I$55,5,0)*VLOOKUP('Données projet'!$B$9,Paramètres!$A$1:$I$89,7,0))</f>
        <v>0</v>
      </c>
      <c r="X128" s="16">
        <f>IF(ISNA(VLOOKUP(A128,'Données projet'!$A$35:$I$55,6,0)),0%,VLOOKUP(A128,'Données projet'!$A$35:$I$55,6,0)*VLOOKUP('Données projet'!$B$9,Paramètres!$A$1:$I$89,7,0))</f>
        <v>0</v>
      </c>
      <c r="Y128" s="16">
        <f>IF(ISNA(VLOOKUP(A128,'Données projet'!$A$35:$I$55,7,0)),0%,VLOOKUP(A128,'Données projet'!$A$35:$I$55,7,0))</f>
        <v>0</v>
      </c>
      <c r="Z128" s="21">
        <f>EXP(-LN(2)/35)*Z127+(1-EXP(-LN(2)/35))/(LN(2)/35)*V128*W128*VLOOKUP('Données projet'!$B$9,Paramètres!$A$1:$I$89,3,0)*0.475*44/12</f>
        <v>0.47085024799992214</v>
      </c>
      <c r="AA128" s="21">
        <f>EXP(-LN(2)/25)*AA127+(1-EXP(-LN(2)/25))/(LN(2)/25)*Calculateur!V128*Calculateur!X128*VLOOKUP('Données projet'!$B$9,Paramètres!$A$1:$I$89,3,0)*0.475*44/12</f>
        <v>1.1458452130165813</v>
      </c>
      <c r="AB128" s="21">
        <f>EXP(-LN(2)/2)*AB127+(1-EXP(-LN(2)/2))/(LN(2)/2)*V128*Y128*VLOOKUP('Données projet'!$B$9,Paramètres!$A$1:$I$89,3,0)*0.475*44/12</f>
        <v>8.504384848403965E-15</v>
      </c>
      <c r="AC128" s="22">
        <f t="shared" si="57"/>
        <v>1.6166954610165118</v>
      </c>
      <c r="AD128" s="13">
        <f>('Scénario référence'!$F$8+'Scénario référence'!$F$9+'Scénario référence'!$B$17+'Scénario référence'!$B$9+'Scénario référence'!$B$10)*70+IF((45+25*(1-EXP(-0.0175*A128)))&lt;70,'Scénario référence'!$B$16*(45+25*(1-EXP(-0.0175*A128))),70*'Scénario référence'!$B$16)+IF((32+38*(1-EXP(-0.0175*A128)))&lt;70,'Scénario référence'!$B$18*(32+38*(1-EXP(-0.0175*A128))),70*'Scénario référence'!$B$18)</f>
        <v>70</v>
      </c>
      <c r="AE128" s="13">
        <f>IF(A128&gt;30,10,('Scénario référence'!$B$16+'Scénario référence'!$B$17+'Scénario référence'!$B$18+'Scénario référence'!$B$9+'Scénario référence'!$B$10)*A128*10/30+('Scénario référence'!$F$8+'Scénario référence'!$F$9)*10)</f>
        <v>10</v>
      </c>
      <c r="AF128" s="12" t="e">
        <f>VLOOKUP(A128,'Données projet'!$A$61:$I$81,2,0)</f>
        <v>#N/A</v>
      </c>
      <c r="AG128" s="12" t="e">
        <f>VLOOKUP(A128,'Données projet'!$A$61:$I$81,9,0)</f>
        <v>#N/A</v>
      </c>
      <c r="AH128" s="12">
        <f t="array" ref="AH128">INDEX(AG:AG,MIN(IF(ISNUMBER(AG128:AG324),ROW(AG128:AG324),"")))</f>
        <v>0</v>
      </c>
      <c r="AI128" s="13">
        <f>IF('Données projet'!$A$62&gt;35,AI127+AH128-AQ127,IF(A128&lt;'Données projet'!$A$62,$AF$205^A128,IF(A128='Données projet'!$A$62,'Données projet'!$B$62,AI127+AH128-AQ127)))</f>
        <v>0</v>
      </c>
      <c r="AJ128" s="13">
        <f>AI128*VLOOKUP('Données projet'!$B$10,Paramètres!$A$1:$I$89,3,0)*VLOOKUP('Données projet'!$B$10,Paramètres!$A$1:$I$89,5,0)</f>
        <v>0</v>
      </c>
      <c r="AK128" s="13" t="e">
        <f t="shared" si="89"/>
        <v>#NUM!</v>
      </c>
      <c r="AL128" s="20" t="e">
        <f t="shared" si="58"/>
        <v>#NUM!</v>
      </c>
      <c r="AM128" s="59" t="e">
        <f t="shared" si="59"/>
        <v>#NUM!</v>
      </c>
      <c r="AN128" s="59">
        <f ca="1">AVERAGE(OFFSET($AM$3,0,0,'Données projet'!$E$10+1,1))-AVERAGE(OFFSET($H$3,0,0,'Données projet'!$E$10+1,1))</f>
        <v>261.78489480911571</v>
      </c>
      <c r="AO128" s="59">
        <f t="shared" si="90"/>
        <v>297.50513563712764</v>
      </c>
      <c r="AP128" s="15">
        <f>IF(ISNA(VLOOKUP(A128,'Données projet'!$A$61:$I$81,3,0)),0,VLOOKUP(A128,'Données projet'!$A$61:$I$81,3,0))</f>
        <v>0</v>
      </c>
      <c r="AQ128" s="15">
        <f>IF(ISNA(VLOOKUP(A128,'Données projet'!$A$61:$I$81,4,0)),0,VLOOKUP(A128,'Données projet'!$A$61:$I$81,4,0))</f>
        <v>0</v>
      </c>
      <c r="AR128" s="16">
        <f>IF(ISNA(VLOOKUP(A128,'Données projet'!$A$61:$I$81,5,0)),0%,VLOOKUP(A128,'Données projet'!$A$61:$I$81,5,0)*VLOOKUP('Données projet'!$B$10,Paramètres!$A$1:$I$89,7,0))</f>
        <v>0</v>
      </c>
      <c r="AS128" s="16">
        <f>IF(ISNA(VLOOKUP(A128,'Données projet'!$A$61:$I$81,6,0)),0%,VLOOKUP(A128,'Données projet'!$A$61:$I$81,6,0)*VLOOKUP('Données projet'!$B$10,Paramètres!$A$1:$I$89,7,0))</f>
        <v>0</v>
      </c>
      <c r="AT128" s="16">
        <f>IF(ISNA(VLOOKUP(A128,'Données projet'!$A$61:$I$81,7,0)),0%,VLOOKUP(A128,'Données projet'!$A$61:$I$81,7,0))</f>
        <v>0</v>
      </c>
      <c r="AU128" s="21">
        <f>EXP(-LN(2)/35)*AU127+(1-EXP(-LN(2)/35))/(LN(2)/35)*AQ128*AR128*VLOOKUP('Données projet'!$B$10,Paramètres!$A$1:$I$89,3,0)*0.475*44/12</f>
        <v>1.2714288489536585</v>
      </c>
      <c r="AV128" s="21">
        <f>EXP(-LN(2)/25)*AV127+(1-EXP(-LN(2)/25))/(LN(2)/25)*Calculateur!AQ128*Calculateur!AS128*VLOOKUP('Données projet'!$B$10,Paramètres!$A$1:$I$89,3,0)*0.475*44/12</f>
        <v>2.000879449518782</v>
      </c>
      <c r="AW128" s="21">
        <f>EXP(-LN(2)/2)*AW127+(1-EXP(-LN(2)/2))/(LN(2)/2)*AQ128*AT128*VLOOKUP('Données projet'!$B$10,Paramètres!$A$1:$I$89,3,0)*0.475*44/12</f>
        <v>1.2259880379829348E-13</v>
      </c>
      <c r="AX128" s="21">
        <f t="shared" si="60"/>
        <v>3.2723082984725629</v>
      </c>
      <c r="AY128" s="74">
        <f>('Scénario référence'!$F$8+'Scénario référence'!$F$9+'Scénario référence'!$B$17+'Scénario référence'!$B$9+'Scénario référence'!$B$10)*70+IF((45+25*(1-EXP(-0.0175*A128)))&lt;70,'Scénario référence'!$B$16*(45+25*(1-EXP(-0.0175*A128))),70*'Scénario référence'!$B$16)+IF((32+38*(1-EXP(-0.0175*A128)))&lt;70,'Scénario référence'!$B$18*(32+38*(1-EXP(-0.0175*A128))),70*'Scénario référence'!$B$18)</f>
        <v>70</v>
      </c>
      <c r="AZ128" s="12">
        <f>IF(A128&gt;30,10,('Scénario référence'!$B$16+'Scénario référence'!$B$17+'Scénario référence'!$B$18+'Scénario référence'!$B$9+'Scénario référence'!$B$10)*A128*10/30+('Scénario référence'!$F$8+'Scénario référence'!$F$9)*10)</f>
        <v>10</v>
      </c>
      <c r="BA128" s="12" t="e">
        <f>VLOOKUP(A128,'Données projet'!$A$87:$I$107,2,0)</f>
        <v>#N/A</v>
      </c>
      <c r="BB128" s="12" t="e">
        <f>VLOOKUP(A128,'Données projet'!$A$87:$I$107,9,0)</f>
        <v>#N/A</v>
      </c>
      <c r="BC128" s="12">
        <f t="array" ref="BC128">INDEX(BB:BB,MIN(IF(ISNUMBER(BB128:BB324),ROW(BB128:BB324),"")))</f>
        <v>0</v>
      </c>
      <c r="BD128" s="12">
        <f>IF('Données projet'!$A$88&gt;35,BD127+BC128-BL127,IF(A128&lt;'Données projet'!$A$88,$BA$205^A128,IF(A128='Données projet'!$A$88,'Données projet'!$B$88,BD127+BC128-BL127)))</f>
        <v>553.99999999999955</v>
      </c>
      <c r="BE128" s="13">
        <f>BD128*VLOOKUP('Données projet'!$B$11,Paramètres!$A$1:$I$89,3,0)*VLOOKUP('Données projet'!$B$11,Paramètres!$A$1:$I$89,5,0)</f>
        <v>331.29199999999975</v>
      </c>
      <c r="BF128" s="13">
        <f t="shared" si="91"/>
        <v>77.698110787752</v>
      </c>
      <c r="BG128" s="20">
        <f t="shared" si="61"/>
        <v>712.32444295533423</v>
      </c>
      <c r="BH128" s="59">
        <f t="shared" si="62"/>
        <v>1005.6577762886675</v>
      </c>
      <c r="BI128" s="59">
        <f ca="1">AVERAGE(OFFSET($BH$3,0,0,'Données projet'!$E$11+1,1))-AVERAGE(OFFSET($H$3,0,0,'Données projet'!$E$11+1,1))</f>
        <v>316.58509520829671</v>
      </c>
      <c r="BJ128" s="59">
        <f t="shared" si="92"/>
        <v>240.71332110643596</v>
      </c>
      <c r="BK128" s="15">
        <f>IF(ISNA(VLOOKUP(A128,'Données projet'!$A$87:$I$107,3,0)),0,VLOOKUP(A128,'Données projet'!$A$87:$I$107,3,0))</f>
        <v>0</v>
      </c>
      <c r="BL128" s="15">
        <f>IF(ISNA(VLOOKUP(A128,'Données projet'!$A$87:$I$107,4,0)),0,VLOOKUP(A128,'Données projet'!$A$87:$I$107,4,0))</f>
        <v>0</v>
      </c>
      <c r="BM128" s="16">
        <f>IF(ISNA(VLOOKUP(A128,'Données projet'!$A$87:$I$107,5,0)),0%,VLOOKUP(A128,'Données projet'!$A$87:$I$107,5,0)*VLOOKUP('Données projet'!$B$11,Paramètres!$A$1:$I$89,7,0))</f>
        <v>0</v>
      </c>
      <c r="BN128" s="16">
        <f>IF(ISNA(VLOOKUP(A128,'Données projet'!$A$87:$I$107,6,0)),0%,VLOOKUP(A128,'Données projet'!$A$87:$I$107,6,0)*VLOOKUP('Données projet'!$B$11,Paramètres!$A$1:$I$89,7,0))</f>
        <v>0</v>
      </c>
      <c r="BO128" s="16">
        <f>IF(ISNA(VLOOKUP(A128,'Données projet'!$A$87:$I$107,7,0)),0%,VLOOKUP(A128,'Données projet'!$A$87:$I$107,7,0))</f>
        <v>0</v>
      </c>
      <c r="BP128" s="21">
        <f>EXP(-LN(2)/35)*BP127+(1-EXP(-LN(2)/35))/(LN(2)/35)*BL128*BM128*VLOOKUP('Données projet'!$B$11,Paramètres!$A$1:$I$89,3,0)*0.475*44/12</f>
        <v>0.38620597290575243</v>
      </c>
      <c r="BQ128" s="21">
        <f>EXP(-LN(2)/25)*BQ127+(1-EXP(-LN(2)/25))/(LN(2)/25)*Calculateur!BL128*Calculateur!BN128*VLOOKUP('Données projet'!$B$11,Paramètres!$A$1:$I$89,3,0)*0.475*44/12</f>
        <v>1.096140144260211</v>
      </c>
      <c r="BR128" s="21">
        <f>EXP(-LN(2)/2)*BR127+(1-EXP(-LN(2)/2))/(LN(2)/2)*BL128*BO128*VLOOKUP('Données projet'!$B$11,Paramètres!$A$1:$I$89,3,0)*0.475*44/12</f>
        <v>1.1022975072929414E-13</v>
      </c>
      <c r="BS128" s="22">
        <f t="shared" si="63"/>
        <v>1.4823461171660735</v>
      </c>
      <c r="BT128" s="75">
        <f>('Scénario référence'!$F$8+'Scénario référence'!$F$9+'Scénario référence'!$B$17+'Scénario référence'!$B$9+'Scénario référence'!$B$10)*70+IF((45+25*(1-EXP(-0.0175*A128)))&lt;70,'Scénario référence'!$B$16*(45+25*(1-EXP(-0.0175*A128))),70*'Scénario référence'!$B$16)+IF((32+38*(1-EXP(-0.0175*A128)))&lt;70,'Scénario référence'!$B$18*(32+38*(1-EXP(-0.0175*A128))),70*'Scénario référence'!$B$18)</f>
        <v>70</v>
      </c>
      <c r="BU128" s="12">
        <f>IF(A128&gt;30,10,('Scénario référence'!$B$16+'Scénario référence'!$B$17+'Scénario référence'!$B$18+'Scénario référence'!$B$9+'Scénario référence'!$B$10)*A128*10/30+('Scénario référence'!$F$8+'Scénario référence'!$F$9)*10)</f>
        <v>10</v>
      </c>
      <c r="BV128" s="12" t="e">
        <f>VLOOKUP(A128,'Données projet'!$A$113:$I$133,2,0)</f>
        <v>#N/A</v>
      </c>
      <c r="BW128" s="12" t="e">
        <f>VLOOKUP(A128,'Données projet'!$A$113:$I$133,9,0)</f>
        <v>#N/A</v>
      </c>
      <c r="BX128" s="12">
        <f t="array" ref="BX128">INDEX(BW:BW,MIN(IF(ISNUMBER(BW128:BW324),ROW(BW128:BW324),"")))</f>
        <v>0</v>
      </c>
      <c r="BY128" s="12">
        <f>IF('Données projet'!$A$114&gt;35,BY127+BX128-CG127,IF(A128&lt;'Données projet'!$A$114,$BV$205^A128,IF(A128='Données projet'!$A$114,'Données projet'!$B$114,BY127+BX128-CG127)))</f>
        <v>333.99999999999977</v>
      </c>
      <c r="BZ128" s="13">
        <f>BY128*VLOOKUP('Données projet'!$B$12,Paramètres!$A$1:$I$89,3,0)*VLOOKUP('Données projet'!$B$12,Paramètres!$A$1:$I$89,5,0)</f>
        <v>191.04799999999986</v>
      </c>
      <c r="CA128" s="13">
        <f t="shared" si="93"/>
        <v>47.771576544305155</v>
      </c>
      <c r="CB128" s="20">
        <f t="shared" si="64"/>
        <v>415.94409581466454</v>
      </c>
      <c r="CC128" s="59">
        <f t="shared" si="65"/>
        <v>709.27742914799785</v>
      </c>
      <c r="CD128" s="59">
        <f ca="1">AVERAGE(OFFSET($CC$3,0,0,'Données projet'!$E$12+1,1))-AVERAGE(OFFSET($H$3,0,0,'Données projet'!$E$12+1,1))</f>
        <v>188.64374818906128</v>
      </c>
      <c r="CE128" s="59">
        <f t="shared" si="94"/>
        <v>211.95157880548652</v>
      </c>
      <c r="CF128" s="15">
        <f>IF(ISNA(VLOOKUP(A128,'Données projet'!$A$113:$I$133,3,0)),0,VLOOKUP(A128,'Données projet'!$A$113:$I$133,3,0))</f>
        <v>0</v>
      </c>
      <c r="CG128" s="15">
        <f>IF(ISNA(VLOOKUP(A128,'Données projet'!$A$113:$I$133,4,0)),0,VLOOKUP(A128,'Données projet'!$A$113:$I$133,4,0))</f>
        <v>0</v>
      </c>
      <c r="CH128" s="16">
        <f>IF(ISNA(VLOOKUP(A128,'Données projet'!$A$113:$I$133,5,0)),0%,VLOOKUP(A128,'Données projet'!$A$113:$I$133,5,0)*VLOOKUP('Données projet'!$B$12,Paramètres!$A$1:$I$89,7,0))</f>
        <v>0</v>
      </c>
      <c r="CI128" s="16">
        <f>IF(ISNA(VLOOKUP(A128,'Données projet'!$A$113:$I$133,6,0)),0%,VLOOKUP(A128,'Données projet'!$A$113:$I$133,6,0)*VLOOKUP('Données projet'!$B$12,Paramètres!$A$1:$I$89,7,0))</f>
        <v>0</v>
      </c>
      <c r="CJ128" s="16">
        <f>IF(ISNA(VLOOKUP(A128,'Données projet'!$A$113:$I$133,7,0)),0%,VLOOKUP(A128,'Données projet'!$A$113:$I$133,7,0))</f>
        <v>0</v>
      </c>
      <c r="CK128" s="21">
        <f>EXP(-LN(2)/35)*CK127+(1-EXP(-LN(2)/35))/(LN(2)/35)*CG128*CH128*VLOOKUP('Données projet'!$B$12,Paramètres!$A$1:$I$89,3,0)*0.475*44/12</f>
        <v>0.37461742870955983</v>
      </c>
      <c r="CL128" s="21">
        <f>EXP(-LN(2)/25)*CL127+(1-EXP(-LN(2)/25))/(LN(2)/25)*Calculateur!CG128*Calculateur!CI128*VLOOKUP('Données projet'!$B$12,Paramètres!$A$1:$I$89,3,0)*0.475*44/12</f>
        <v>1.0317119223227709</v>
      </c>
      <c r="CM128" s="21">
        <f>EXP(-LN(2)/2)*CM127+(1-EXP(-LN(2)/2))/(LN(2)/2)*CG128*CJ128*VLOOKUP('Données projet'!$B$12,Paramètres!$A$1:$I$89,3,0)*0.475*44/12</f>
        <v>1.0674888907753779E-13</v>
      </c>
      <c r="CN128" s="22">
        <f t="shared" si="66"/>
        <v>1.4063293510324375</v>
      </c>
      <c r="CO128" s="75">
        <f>('Scénario référence'!$F$8+'Scénario référence'!$F$9+'Scénario référence'!$B$17+'Scénario référence'!$B$9+'Scénario référence'!$B$10)*70+IF((45+25*(1-EXP(-0.0175*A128)))&lt;70,'Scénario référence'!$B$16*(45+25*(1-EXP(-0.0175*A128))),70*'Scénario référence'!$B$16)+IF((32+38*(1-EXP(-0.0175*A128)))&lt;70,'Scénario référence'!$B$18*(32+38*(1-EXP(-0.0175*A128))),70*'Scénario référence'!$B$18)</f>
        <v>70</v>
      </c>
      <c r="CP128" s="12">
        <f>IF(A128&gt;30,10,('Scénario référence'!$B$16+'Scénario référence'!$B$17+'Scénario référence'!$B$18+'Scénario référence'!$B$9+'Scénario référence'!$B$10)*A128*10/30+('Scénario référence'!$F$8+'Scénario référence'!$F$9)*10)</f>
        <v>10</v>
      </c>
      <c r="CQ128" s="12" t="e">
        <f>VLOOKUP(A128,'Données projet'!$A$139:$I$159,2,0)</f>
        <v>#N/A</v>
      </c>
      <c r="CR128" s="12" t="e">
        <f>VLOOKUP(A128,'Données projet'!$A$139:$I$159,9,0)</f>
        <v>#N/A</v>
      </c>
      <c r="CS128" s="12">
        <f t="array" ref="CS128">INDEX(CR:CR,MIN(IF(ISNUMBER(CR128:CR324),ROW(CR128:CR324),"")))</f>
        <v>0</v>
      </c>
      <c r="CT128" s="12">
        <f>IF('Données projet'!$A$140&gt;35,CT127+CS128-DB127,IF(A128&lt;'Données projet'!$A$140,$CQ$205^A128,IF(A128='Données projet'!$A$140,'Données projet'!$B$140,CT127+CS128-DB127)))</f>
        <v>0</v>
      </c>
      <c r="CU128" s="17" t="e">
        <f>CT128*VLOOKUP('Données projet'!$B$13,Paramètres!$A$1:$I$89,3,0)*VLOOKUP('Données projet'!$B$13,Paramètres!$A$1:$I$89,5,0)</f>
        <v>#N/A</v>
      </c>
      <c r="CV128" s="13" t="e">
        <f t="shared" si="95"/>
        <v>#N/A</v>
      </c>
      <c r="CW128" s="20" t="e">
        <f t="shared" si="67"/>
        <v>#N/A</v>
      </c>
      <c r="CX128" s="59" t="e">
        <f t="shared" si="68"/>
        <v>#N/A</v>
      </c>
      <c r="CY128" s="59" t="e">
        <f ca="1">AVERAGE(OFFSET($CX$3,0,0,'Données projet'!$E$13+1,1))-AVERAGE(OFFSET($H$3,0,0,'Données projet'!$E$13+1,1))</f>
        <v>#N/A</v>
      </c>
      <c r="CZ128" s="59" t="e">
        <f t="shared" si="96"/>
        <v>#N/A</v>
      </c>
      <c r="DA128" s="15">
        <f>IF(ISNA(VLOOKUP(A128,'Données projet'!$A$139:$I$159,3,0)),0,VLOOKUP(A128,'Données projet'!$A$139:$I$159,3,0))</f>
        <v>0</v>
      </c>
      <c r="DB128" s="15">
        <f>IF(ISNA(VLOOKUP(A128,'Données projet'!$A$139:$I$159,4,0)),0,VLOOKUP(A128,'Données projet'!$A$139:$I$159,4,0))</f>
        <v>0</v>
      </c>
      <c r="DC128" s="16">
        <f>IF(ISNA(VLOOKUP(A128,'Données projet'!$A$139:$I$159,5,0)),0%,VLOOKUP(A128,'Données projet'!$A$139:$I$159,5,0)*VLOOKUP('Données projet'!$B$13,Paramètres!$A$1:$I$89,7,0))</f>
        <v>0</v>
      </c>
      <c r="DD128" s="16">
        <f>IF(ISNA(VLOOKUP(A128,'Données projet'!$A$139:$I$159,6,0)),0%,VLOOKUP(A128,'Données projet'!$A$139:$I$159,6,0)*VLOOKUP('Données projet'!$B$13,Paramètres!$A$1:$I$89,7,0))</f>
        <v>0</v>
      </c>
      <c r="DE128" s="16">
        <f>IF(ISNA(VLOOKUP(A128,'Données projet'!$A$139:$I$159,7,0)),0%,VLOOKUP(A128,'Données projet'!$A$139:$I$159,7,0))</f>
        <v>0</v>
      </c>
      <c r="DF128" s="21" t="e">
        <f>EXP(-LN(2)/35)*DF127+(1-EXP(-LN(2)/35))/(LN(2)/35)*DB128*DC128*VLOOKUP('Données projet'!$B$13,Paramètres!$A$1:$I$89,3,0)*0.475*44/12</f>
        <v>#N/A</v>
      </c>
      <c r="DG128" s="21" t="e">
        <f>EXP(-LN(2)/25)*DG127+(1-EXP(-LN(2)/25))/(LN(2)/25)*Calculateur!DB128*Calculateur!DD128*VLOOKUP('Données projet'!$B$13,Paramètres!$A$1:$I$89,3,0)*0.475*44/12</f>
        <v>#N/A</v>
      </c>
      <c r="DH128" s="21" t="e">
        <f>EXP(-LN(2)/2)*DH127+(1-EXP(-LN(2)/2))/(LN(2)/2)*DB128*DE128*VLOOKUP('Données projet'!$B$13,Paramètres!$A$1:$I$89,3,0)*0.475*44/12</f>
        <v>#N/A</v>
      </c>
      <c r="DI128" s="22" t="e">
        <f t="shared" si="69"/>
        <v>#N/A</v>
      </c>
      <c r="DJ128" s="75">
        <f>('Scénario référence'!$F$8+'Scénario référence'!$F$9+'Scénario référence'!$B$17+'Scénario référence'!$B$9+'Scénario référence'!$B$10)*70+IF((45+25*(1-EXP(-0.0175*A128)))&lt;70,'Scénario référence'!$B$16*(45+25*(1-EXP(-0.0175*A128))),70*'Scénario référence'!$B$16)+IF((32+38*(1-EXP(-0.0175*A128)))&lt;70,'Scénario référence'!$B$18*(32+38*(1-EXP(-0.0175*A128))),70*'Scénario référence'!$B$18)</f>
        <v>70</v>
      </c>
      <c r="DK128" s="12">
        <f>IF(A128&gt;30,10,('Scénario référence'!$B$16+'Scénario référence'!$B$17+'Scénario référence'!$B$18+'Scénario référence'!$B$9+'Scénario référence'!$B$10)*A128*10/30+('Scénario référence'!$F$8+'Scénario référence'!$F$9)*10)</f>
        <v>10</v>
      </c>
      <c r="DL128" s="12" t="e">
        <f>VLOOKUP(A128,'Données projet'!$A$165:$I$185,2,0)</f>
        <v>#N/A</v>
      </c>
      <c r="DM128" s="12" t="e">
        <f>VLOOKUP(A128,'Données projet'!$A$165:$I$185,9,0)</f>
        <v>#N/A</v>
      </c>
      <c r="DN128" s="12">
        <f t="array" ref="DN128">INDEX(DM:DM,MIN(IF(ISNUMBER(DM128:DM324),ROW(DM128:DM324),"")))</f>
        <v>0</v>
      </c>
      <c r="DO128" s="12">
        <f>IF('Données projet'!$A$166&gt;35,DO127+DN128-DW127,IF(A128&lt;'Données projet'!$A$166,$DL$205^A128,IF(A128='Données projet'!$A$166,'Données projet'!$B$166,DO127+DN128-DW127)))</f>
        <v>268.00000000000017</v>
      </c>
      <c r="DP128" s="17">
        <f>DO128*VLOOKUP('Données projet'!$B$14,Paramètres!$A$1:$I$89,3,0)*VLOOKUP('Données projet'!$B$14,Paramètres!$A$1:$I$89,5,0)</f>
        <v>175.59360000000012</v>
      </c>
      <c r="DQ128" s="13">
        <f t="shared" si="97"/>
        <v>44.340433728638573</v>
      </c>
      <c r="DR128" s="20">
        <f t="shared" si="70"/>
        <v>383.05177541071242</v>
      </c>
      <c r="DS128" s="59">
        <f t="shared" si="71"/>
        <v>676.38510874404574</v>
      </c>
      <c r="DT128" s="59">
        <f ca="1">AVERAGE(OFFSET($DS$3,0,0,'Données projet'!$E$14+1,1))-AVERAGE(OFFSET($H$3,0,0,'Données projet'!$E$14+1,1))</f>
        <v>188.68915783955595</v>
      </c>
      <c r="DU128" s="59">
        <f t="shared" si="98"/>
        <v>240.82467772396944</v>
      </c>
      <c r="DV128" s="15">
        <f>IF(ISNA(VLOOKUP(A128,'Données projet'!$A$165:$I$185,3,0)),0,VLOOKUP(A128,'Données projet'!$A$165:$I$185,3,0))</f>
        <v>0</v>
      </c>
      <c r="DW128" s="15">
        <f>IF(ISNA(VLOOKUP(A128,'Données projet'!$A$165:$I$185,4,0)),0,VLOOKUP(A128,'Données projet'!$A$165:$I$185,4,0))</f>
        <v>0</v>
      </c>
      <c r="DX128" s="16">
        <f>IF(ISNA(VLOOKUP(A128,'Données projet'!$A$165:$I$185,5,0)),0%,VLOOKUP(A128,'Données projet'!$A$165:$I$185,5,0)*VLOOKUP('Données projet'!$B$14,Paramètres!$A$1:$I$89,7,0))</f>
        <v>0</v>
      </c>
      <c r="DY128" s="16">
        <f>IF(ISNA(VLOOKUP(A128,'Données projet'!$A$165:$I$185,6,0)),0%,VLOOKUP(A128,'Données projet'!$A$165:$I$185,6,0)*VLOOKUP('Données projet'!$B$14,Paramètres!$A$1:$I$89,7,0))</f>
        <v>0</v>
      </c>
      <c r="DZ128" s="16">
        <f>IF(ISNA(VLOOKUP(A128,'Données projet'!$A$165:$I$185,7,0)),0%,VLOOKUP(A128,'Données projet'!$A$165:$I$185,7,0))</f>
        <v>0</v>
      </c>
      <c r="EA128" s="21">
        <f>EXP(-LN(2)/35)*EA127+(1-EXP(-LN(2)/35))/(LN(2)/35)*DW128*DX128*VLOOKUP('Données projet'!$B$14,Paramètres!$A$1:$I$89,3,0)*0.475*44/12</f>
        <v>0.2372892383029829</v>
      </c>
      <c r="EB128" s="21">
        <f>EXP(-LN(2)/25)*EB127+(1-EXP(-LN(2)/25))/(LN(2)/25)*Calculateur!DW128*Calculateur!DY128*VLOOKUP('Données projet'!$B$14,Paramètres!$A$1:$I$89,3,0)*0.475*44/12</f>
        <v>0.57707943553570273</v>
      </c>
      <c r="EC128" s="21">
        <f>EXP(-LN(2)/2)*EC127+(1-EXP(-LN(2)/2))/(LN(2)/2)*DW128*DZ128*VLOOKUP('Données projet'!$B$14,Paramètres!$A$1:$I$89,3,0)*0.475*44/12</f>
        <v>7.0322094808976352E-14</v>
      </c>
      <c r="ED128" s="22">
        <f t="shared" si="72"/>
        <v>0.81436867383875589</v>
      </c>
      <c r="EE128" s="75">
        <f>('Scénario référence'!$F$8+'Scénario référence'!$F$9+'Scénario référence'!$B$17+'Scénario référence'!$B$9+'Scénario référence'!$B$10)*70+IF((45+25*(1-EXP(-0.0175*A128)))&lt;70,'Scénario référence'!$B$16*(45+25*(1-EXP(-0.0175*A128))),70*'Scénario référence'!$B$16)+IF((32+38*(1-EXP(-0.0175*A128)))&lt;70,'Scénario référence'!$B$18*(32+38*(1-EXP(-0.0175*A128))),70*'Scénario référence'!$B$18)</f>
        <v>70</v>
      </c>
      <c r="EF128" s="12">
        <f>IF(A128&gt;30,10,('Scénario référence'!$B$16+'Scénario référence'!$B$17+'Scénario référence'!$B$18+'Scénario référence'!$B$9+'Scénario référence'!$B$10)*A128*10/30+('Scénario référence'!$F$8+'Scénario référence'!$F$9)*10)</f>
        <v>10</v>
      </c>
      <c r="EG128" s="12" t="e">
        <f>VLOOKUP(A128,'Données projet'!$A$191:$I$211,2,0)</f>
        <v>#N/A</v>
      </c>
      <c r="EH128" s="12" t="e">
        <f>VLOOKUP(A128,'Données projet'!$A$191:$I$211,9,0)</f>
        <v>#N/A</v>
      </c>
      <c r="EI128" s="12">
        <f t="array" ref="EI128">INDEX(EH:EH,MIN(IF(ISNUMBER(EH128:EH324),ROW(EH128:EH324),"")))</f>
        <v>0</v>
      </c>
      <c r="EJ128" s="12">
        <f>IF('Données projet'!$A$192&gt;35,EJ127+EI128-ER127,IF(A128&lt;'Données projet'!$A$192,$EG$205^A128,IF(A128='Données projet'!$A$192,'Données projet'!$B$192,EJ127+EI128-ER127)))</f>
        <v>275.99999999999972</v>
      </c>
      <c r="EK128" s="17">
        <f>EJ128*VLOOKUP('Données projet'!$B$15,Paramètres!$A$1:$I$89,3,0)*VLOOKUP('Données projet'!$B$15,Paramètres!$A$1:$I$89,5,0)</f>
        <v>223.8911999999998</v>
      </c>
      <c r="EL128" s="13">
        <f t="shared" si="99"/>
        <v>54.95975389514858</v>
      </c>
      <c r="EM128" s="20">
        <f t="shared" si="73"/>
        <v>485.66541136738346</v>
      </c>
      <c r="EN128" s="59">
        <f t="shared" si="74"/>
        <v>778.99874470071677</v>
      </c>
      <c r="EO128" s="59">
        <f ca="1">AVERAGE(OFFSET($EN$3,0,0,'Données projet'!$E$15+1,1))-AVERAGE(OFFSET($H$3,0,0,'Données projet'!$E$15+1,1))</f>
        <v>205.5272583787887</v>
      </c>
      <c r="EP128" s="59">
        <f t="shared" si="100"/>
        <v>180.54762778843178</v>
      </c>
      <c r="EQ128" s="15">
        <f>IF(ISNA(VLOOKUP(A128,'Données projet'!$A$191:$I$211,3,0)),0,VLOOKUP(A128,'Données projet'!$A$191:$I$211,3,0))</f>
        <v>0</v>
      </c>
      <c r="ER128" s="15">
        <f>IF(ISNA(VLOOKUP(A128,'Données projet'!$A$191:$I$211,4,0)),0,VLOOKUP(A128,'Données projet'!$A$191:$I$211,4,0))</f>
        <v>0</v>
      </c>
      <c r="ES128" s="16">
        <f>IF(ISNA(VLOOKUP(A128,'Données projet'!$A$191:$I$211,5,0)),0%,VLOOKUP(A128,'Données projet'!$A$191:$I$211,5,0)*VLOOKUP('Données projet'!$B$15,Paramètres!$A$1:$I$89,7,0))</f>
        <v>0</v>
      </c>
      <c r="ET128" s="16">
        <f>IF(ISNA(VLOOKUP(A128,'Données projet'!$A$191:$I$211,6,0)),0%,VLOOKUP(A128,'Données projet'!$A$191:$I$211,6,0)*VLOOKUP('Données projet'!$B$15,Paramètres!$A$1:$I$89,7,0))</f>
        <v>0</v>
      </c>
      <c r="EU128" s="16">
        <f>IF(ISNA(VLOOKUP(A128,'Données projet'!$A$191:$I$211,7,0)),0%,VLOOKUP(A128,'Données projet'!$A$191:$I$211,7,0))</f>
        <v>0</v>
      </c>
      <c r="EV128" s="21">
        <f>EXP(-LN(2)/35)*EV127+(1-EXP(-LN(2)/35))/(LN(2)/35)*ER128*ES128*VLOOKUP('Données projet'!$B$15,Paramètres!$A$1:$I$89,3,0)*0.475*44/12</f>
        <v>0.15276907151696809</v>
      </c>
      <c r="EW128" s="21">
        <f>EXP(-LN(2)/25)*EW127+(1-EXP(-LN(2)/25))/(LN(2)/25)*Calculateur!ER128*Calculateur!ET128*VLOOKUP('Données projet'!$B$15,Paramètres!$A$1:$I$89,3,0)*0.475*44/12</f>
        <v>0.4166688587182667</v>
      </c>
      <c r="EX128" s="21">
        <f>EXP(-LN(2)/2)*EX127+(1-EXP(-LN(2)/2))/(LN(2)/2)*ER128*EU128*VLOOKUP('Données projet'!$B$15,Paramètres!$A$1:$I$89,3,0)*0.475*44/12</f>
        <v>4.5533608386811946E-14</v>
      </c>
      <c r="EY128" s="22">
        <f t="shared" si="75"/>
        <v>0.56943793023528033</v>
      </c>
      <c r="EZ128" s="75">
        <f>('Scénario référence'!$F$8+'Scénario référence'!$F$9+'Scénario référence'!$B$17+'Scénario référence'!$B$9+'Scénario référence'!$B$10)*70+IF((45+25*(1-EXP(-0.0175*A128)))&lt;70,'Scénario référence'!$B$16*(45+25*(1-EXP(-0.0175*A128))),70*'Scénario référence'!$B$16)+IF((32+38*(1-EXP(-0.0175*A128)))&lt;70,'Scénario référence'!$B$18*(32+38*(1-EXP(-0.0175*A128))),70*'Scénario référence'!$B$18)</f>
        <v>70</v>
      </c>
      <c r="FA128" s="12">
        <f>IF(A128&gt;30,10,('Scénario référence'!$B$16+'Scénario référence'!$B$17+'Scénario référence'!$B$18+'Scénario référence'!$B$9+'Scénario référence'!$B$10)*A128*10/30+('Scénario référence'!$F$8+'Scénario référence'!$F$9)*10)</f>
        <v>10</v>
      </c>
      <c r="FB128" s="12" t="e">
        <f>VLOOKUP(A128,'Données projet'!$A$217:$I$237,2,0)</f>
        <v>#N/A</v>
      </c>
      <c r="FC128" s="12" t="e">
        <f>VLOOKUP(A128,'Données projet'!$A$217:$I$237,9,0)</f>
        <v>#N/A</v>
      </c>
      <c r="FD128" s="12">
        <f t="array" ref="FD128">INDEX(FC:FC,MIN(IF(ISNUMBER(FC128:FC324),ROW(FC128:FC324),"")))</f>
        <v>6.3</v>
      </c>
      <c r="FE128" s="12">
        <f>IF('Données projet'!$A$218&gt;35,FE127+FD128-FM127,IF(A128&lt;'Données projet'!$A$218,$FB$205^A128,IF(A128='Données projet'!$A$218,'Données projet'!$B$218,FE127+FD128-FM127)))</f>
        <v>423.49999999999989</v>
      </c>
      <c r="FF128" s="17">
        <f>FE128*VLOOKUP('Données projet'!$B$16,Paramètres!$A$1:$I$89,3,0)*VLOOKUP('Données projet'!$B$16,Paramètres!$A$1:$I$89,5,0)</f>
        <v>363.36299999999994</v>
      </c>
      <c r="FG128" s="13">
        <f t="shared" si="101"/>
        <v>84.308062655699914</v>
      </c>
      <c r="FH128" s="20">
        <f t="shared" si="76"/>
        <v>779.69376745867714</v>
      </c>
      <c r="FI128" s="59">
        <f t="shared" si="77"/>
        <v>1073.0271007920105</v>
      </c>
      <c r="FJ128" s="59">
        <f ca="1">AVERAGE(OFFSET($FI$3,0,0,'Données projet'!$E$16+1,1))-AVERAGE(OFFSET($H$3,0,0,'Données projet'!$E$16+1,1))</f>
        <v>383.97627237444709</v>
      </c>
      <c r="FK128" s="59">
        <f t="shared" si="102"/>
        <v>203.35476578922339</v>
      </c>
      <c r="FL128" s="15">
        <f>IF(ISNA(VLOOKUP(A128,'Données projet'!$A$217:$I$237,3,0)),0,VLOOKUP(A128,'Données projet'!$A$217:$I$237,3,0))</f>
        <v>0</v>
      </c>
      <c r="FM128" s="15">
        <f>IF(ISNA(VLOOKUP(A128,'Données projet'!$A$217:$I$237,4,0)),0,VLOOKUP(A128,'Données projet'!$A$217:$I$237,4,0))</f>
        <v>0</v>
      </c>
      <c r="FN128" s="16">
        <f>IF(ISNA(VLOOKUP(A128,'Données projet'!$A$217:$I$237,5,0)),0%,VLOOKUP(A128,'Données projet'!$A$217:$I$237,5,0)*VLOOKUP('Données projet'!$B$16,Paramètres!$A$1:$I$89,7,0))</f>
        <v>0</v>
      </c>
      <c r="FO128" s="16">
        <f>IF(ISNA(VLOOKUP(A128,'Données projet'!$A$217:$I$237,6,0)),0%,VLOOKUP(A128,'Données projet'!$A$217:$I$237,6,0)*VLOOKUP('Données projet'!$B$16,Paramètres!$A$1:$I$89,7,0))</f>
        <v>0</v>
      </c>
      <c r="FP128" s="16">
        <f>IF(ISNA(VLOOKUP(A128,'Données projet'!$A$217:$I$237,7,0)),0%,VLOOKUP(A128,'Données projet'!$A$217:$I$237,7,0))</f>
        <v>0</v>
      </c>
      <c r="FQ128" s="21">
        <f>EXP(-LN(2)/35)*FQ127+(1-EXP(-LN(2)/35))/(LN(2)/35)*FM128*FN128*VLOOKUP('Données projet'!$B$16,Paramètres!$A$1:$I$89,3,0)*0.475*44/12</f>
        <v>0.78515014717001874</v>
      </c>
      <c r="FR128" s="21">
        <f>EXP(-LN(2)/25)*FR127+(1-EXP(-LN(2)/25))/(LN(2)/25)*Calculateur!FM128*Calculateur!FO128*VLOOKUP('Données projet'!$B$16,Paramètres!$A$1:$I$89,3,0)*0.475*44/12</f>
        <v>0.42296195841853418</v>
      </c>
      <c r="FS128" s="21">
        <f>EXP(-LN(2)/2)*FS127+(1-EXP(-LN(2)/2))/(LN(2)/2)*FM128*FP128*VLOOKUP('Données projet'!$B$16,Paramètres!$A$1:$I$89,3,0)*0.475*44/12</f>
        <v>8.3635893757167666E-14</v>
      </c>
      <c r="FT128" s="22">
        <f t="shared" si="78"/>
        <v>1.2081121055886366</v>
      </c>
      <c r="FU128" s="75">
        <f>('Scénario référence'!$F$8+'Scénario référence'!$F$9+'Scénario référence'!$B$17+'Scénario référence'!$B$9+'Scénario référence'!$B$10)*70+IF((45+25*(1-EXP(-0.0175*A128)))&lt;70,'Scénario référence'!$B$16*(45+25*(1-EXP(-0.0175*A128))),70*'Scénario référence'!$B$16)+IF((32+38*(1-EXP(-0.0175*A128)))&lt;70,'Scénario référence'!$B$18*(32+38*(1-EXP(-0.0175*A128))),70*'Scénario référence'!$B$18)</f>
        <v>70</v>
      </c>
      <c r="FV128" s="12">
        <f>IF(A128&gt;30,10,('Scénario référence'!$B$16+'Scénario référence'!$B$17+'Scénario référence'!$B$18+'Scénario référence'!$B$9+'Scénario référence'!$B$10)*A128*10/30+('Scénario référence'!$F$8+'Scénario référence'!$F$9)*10)</f>
        <v>10</v>
      </c>
      <c r="FW128" s="12" t="e">
        <f>VLOOKUP(A128,'Données projet'!$A$243:$I$263,2,0)</f>
        <v>#N/A</v>
      </c>
      <c r="FX128" s="12" t="e">
        <f>VLOOKUP(A128,'Données projet'!$A$243:$I$263,9,0)</f>
        <v>#N/A</v>
      </c>
      <c r="FY128" s="12">
        <f t="array" ref="FY128">INDEX(FX:FX,MIN(IF(ISNUMBER(FX128:FX324),ROW(FX128:FX324),"")))</f>
        <v>2.3349358974358978</v>
      </c>
      <c r="FZ128" s="12">
        <f>IF('Données projet'!$A$244&gt;35,FZ127+FY128-GH127,IF(A128&lt;'Données projet'!$A$244,$FW$205^A128,IF(A128='Données projet'!$A$244,'Données projet'!$B$244,FZ127+FY128-GH127)))</f>
        <v>150.13141025641067</v>
      </c>
      <c r="GA128" s="17">
        <f>FZ128*VLOOKUP('Données projet'!$B$17,Paramètres!$A$1:$I$89,3,0)*VLOOKUP('Données projet'!$B$17,Paramètres!$A$1:$I$89,5,0)</f>
        <v>161.60145000000043</v>
      </c>
      <c r="GB128" s="13">
        <f t="shared" si="103"/>
        <v>41.203517288368623</v>
      </c>
      <c r="GC128" s="20">
        <f t="shared" si="79"/>
        <v>353.21865136057613</v>
      </c>
      <c r="GD128" s="59">
        <f t="shared" si="80"/>
        <v>646.55198469390939</v>
      </c>
      <c r="GE128" s="59">
        <f ca="1">AVERAGE(OFFSET($GD$3,0,0,'Données projet'!$E$17+1,1))-AVERAGE(OFFSET($H$3,0,0,'Données projet'!$E$17+1,1))</f>
        <v>286.77702855541287</v>
      </c>
      <c r="GF128" s="59">
        <f t="shared" si="104"/>
        <v>227.12211541860779</v>
      </c>
      <c r="GG128" s="15">
        <f>IF(ISNA(VLOOKUP(A128,'Données projet'!$A$243:$I$263,3,0)),0,VLOOKUP(A128,'Données projet'!$A$243:$I$263,3,0))</f>
        <v>0</v>
      </c>
      <c r="GH128" s="15">
        <f>IF(ISNA(VLOOKUP(A128,'Données projet'!$A$243:$I$263,4,0)),0,VLOOKUP(A128,'Données projet'!$A$243:$I$263,4,0))</f>
        <v>0</v>
      </c>
      <c r="GI128" s="16">
        <f>IF(ISNA(VLOOKUP(A128,'Données projet'!$A$243:$I$263,5,0)),0%,VLOOKUP(A128,'Données projet'!$A$243:$I$263,5,0)*VLOOKUP('Données projet'!$B$17,Paramètres!$A$1:$I$89,7,0))</f>
        <v>0</v>
      </c>
      <c r="GJ128" s="16">
        <f>IF(ISNA(VLOOKUP(A128,'Données projet'!$A$243:$I$263,6,0)),0%,VLOOKUP(A128,'Données projet'!$A$243:$I$263,6,0)*VLOOKUP('Données projet'!$B$17,Paramètres!$A$1:$I$89,7,0))</f>
        <v>0</v>
      </c>
      <c r="GK128" s="16">
        <f>IF(ISNA(VLOOKUP(A128,'Données projet'!$A$243:$I$263,7,0)),0%,VLOOKUP(A128,'Données projet'!$A$243:$I$263,7,0))</f>
        <v>0</v>
      </c>
      <c r="GL128" s="21">
        <f>EXP(-LN(2)/35)*GL127+(1-EXP(-LN(2)/35))/(LN(2)/35)*GH128*GI128*VLOOKUP('Données projet'!$B$17,Paramètres!$A$1:$I$89,3,0)*0.475*44/12</f>
        <v>0</v>
      </c>
      <c r="GM128" s="21">
        <f>EXP(-LN(2)/25)*GM127+(1-EXP(-LN(2)/25))/(LN(2)/25)*Calculateur!GH128*Calculateur!GJ128*VLOOKUP('Données projet'!$B$17,Paramètres!$A$1:$I$89,3,0)*0.475*44/12</f>
        <v>0</v>
      </c>
      <c r="GN128" s="21">
        <f>EXP(-LN(2)/2)*GN127+(1-EXP(-LN(2)/2))/(LN(2)/2)*GH128*GK128*VLOOKUP('Données projet'!$B$17,Paramètres!$A$1:$I$89,3,0)*0.475*44/12</f>
        <v>0</v>
      </c>
      <c r="GO128" s="21">
        <f t="shared" si="81"/>
        <v>0</v>
      </c>
      <c r="GP128" s="75">
        <f>('Scénario référence'!$F$8+'Scénario référence'!$F$9+'Scénario référence'!$B$17+'Scénario référence'!$B$9+'Scénario référence'!$B$10)*70+IF((45+25*(1-EXP(-0.0175*A128)))&lt;70,'Scénario référence'!$B$16*(45+25*(1-EXP(-0.0175*A128))),70*'Scénario référence'!$B$16)+IF((32+38*(1-EXP(-0.0175*A128)))&lt;70,'Scénario référence'!$B$18*(32+38*(1-EXP(-0.0175*A128))),70*'Scénario référence'!$B$18)</f>
        <v>70</v>
      </c>
      <c r="GQ128" s="12">
        <f>IF(A128&gt;30,10,('Scénario référence'!$B$16+'Scénario référence'!$B$17+'Scénario référence'!$B$18+'Scénario référence'!$B$9+'Scénario référence'!$B$10)*A128*10/30+('Scénario référence'!$F$8+'Scénario référence'!$F$9)*10)</f>
        <v>10</v>
      </c>
      <c r="GR128" s="12" t="e">
        <f>VLOOKUP(A128,'Données projet'!$A$269:$I$289,2,0)</f>
        <v>#N/A</v>
      </c>
      <c r="GS128" s="12" t="e">
        <f>VLOOKUP(A128,'Données projet'!$A$269:$I$289,9,0)</f>
        <v>#N/A</v>
      </c>
      <c r="GT128" s="12">
        <f t="array" ref="GT128">INDEX(GS:GS,MIN(IF(ISNUMBER(GS128:GS324),ROW(GS128:GS324),"")))</f>
        <v>2.3349358974358978</v>
      </c>
      <c r="GU128" s="12">
        <f>IF('Données projet'!$A$270&gt;35,GU127+GT128-HC127,IF(A128&lt;'Données projet'!$A$270,$GR$205^A128,IF(A128='Données projet'!$A$270,'Données projet'!$B$270,GU127+GT128-HC127)))</f>
        <v>150.13141025641067</v>
      </c>
      <c r="GV128" s="17">
        <f>GU128*VLOOKUP('Données projet'!$B$18,Paramètres!$A$1:$I$89,3,0)*VLOOKUP('Données projet'!$B$18,Paramètres!$A$1:$I$89,5,0)</f>
        <v>161.60145000000043</v>
      </c>
      <c r="GW128" s="13">
        <f t="shared" si="105"/>
        <v>41.203517288368623</v>
      </c>
      <c r="GX128" s="20">
        <f t="shared" si="82"/>
        <v>353.21865136057613</v>
      </c>
      <c r="GY128" s="59">
        <f t="shared" si="83"/>
        <v>646.55198469390939</v>
      </c>
      <c r="GZ128" s="59">
        <f ca="1">AVERAGE(OFFSET($GY$3,0,0,'Données projet'!$E$18+1,1))-AVERAGE(OFFSET($H$3,0,0,'Données projet'!$E$18+1,1))</f>
        <v>286.77702855541287</v>
      </c>
      <c r="HA128" s="59">
        <f t="shared" si="106"/>
        <v>227.12211541860779</v>
      </c>
      <c r="HB128" s="15">
        <f>IF(ISNA(VLOOKUP(A128,'Données projet'!$A$269:$I$289,3,0)),0,VLOOKUP(A128,'Données projet'!$A$269:$I$289,3,0))</f>
        <v>0</v>
      </c>
      <c r="HC128" s="15">
        <f>IF(ISNA(VLOOKUP(A128,'Données projet'!$A$269:$I$289,4,0)),0,VLOOKUP(A128,'Données projet'!$A$269:$I$289,4,0))</f>
        <v>0</v>
      </c>
      <c r="HD128" s="16">
        <f>IF(ISNA(VLOOKUP(A128,'Données projet'!$A$269:$I$289,5,0)),0%,VLOOKUP(A128,'Données projet'!$A$269:$I$289,5,0)*VLOOKUP('Données projet'!$B$18,Paramètres!$A$1:$I$89,7,0))</f>
        <v>0</v>
      </c>
      <c r="HE128" s="16">
        <f>IF(ISNA(VLOOKUP(A128,'Données projet'!$A$269:$I$289,6,0)),0%,VLOOKUP(A128,'Données projet'!$A$269:$I$289,6,0)*VLOOKUP('Données projet'!$B$18,Paramètres!$A$1:$I$89,7,0))</f>
        <v>0</v>
      </c>
      <c r="HF128" s="16">
        <f>IF(ISNA(VLOOKUP(A128,'Données projet'!$A$269:$I$289,7,0)),0%,VLOOKUP(A128,'Données projet'!$A$269:$I$289,7,0))</f>
        <v>0</v>
      </c>
      <c r="HG128" s="21">
        <f>EXP(-LN(2)/35)*HG127+(1-EXP(-LN(2)/35))/(LN(2)/35)*HC128*HD128*VLOOKUP('Données projet'!$B$18,Paramètres!$A$1:$I$89,3,0)*0.475*44/12</f>
        <v>0</v>
      </c>
      <c r="HH128" s="21">
        <f>EXP(-LN(2)/25)*HH127+(1-EXP(-LN(2)/25))/(LN(2)/25)*Calculateur!HC128*Calculateur!HE128*VLOOKUP('Données projet'!$B$18,Paramètres!$A$1:$I$89,3,0)*0.475*44/12</f>
        <v>0</v>
      </c>
      <c r="HI128" s="21">
        <f>EXP(-LN(2)/2)*HI127+(1-EXP(-LN(2)/2))/(LN(2)/2)*HC128*HF128*VLOOKUP('Données projet'!$B$18,Paramètres!$A$1:$I$89,3,0)*0.475*44/12</f>
        <v>0</v>
      </c>
      <c r="HJ128" s="22">
        <f t="shared" si="84"/>
        <v>0</v>
      </c>
    </row>
    <row r="129" spans="1:218" x14ac:dyDescent="0.25">
      <c r="A129" s="10">
        <f t="shared" si="85"/>
        <v>126</v>
      </c>
      <c r="B129" s="73">
        <f>'Scénario référence'!$B$16*5+'Scénario référence'!$B$17*0+'Scénario référence'!$B$18*5</f>
        <v>0</v>
      </c>
      <c r="C129" s="19">
        <f>Calculateur!C128+'Scénario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112.03920000000021</v>
      </c>
      <c r="D129" s="11">
        <f t="shared" si="86"/>
        <v>29.810921169420254</v>
      </c>
      <c r="E12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29" s="11">
        <f>IF(OR('Scénario référence'!$F$8&gt;0,'Scénario référence'!$F$9&gt;0),('Scénario référence'!$F$8+'Scénario référence'!$F$9)*10,0)</f>
        <v>10</v>
      </c>
      <c r="G129" s="11">
        <f>'Scénario référence'!$B$8*B129*44/12+'Scénario référence'!$B$9*(C129+D129)/0.475*44/12+'Scénario référence'!$B$10*(C129+D129)/0.475*44/12+'Scénario référence'!$F$8*(C129+D129)/0.475*44/12+'Scénario référence'!$F$9*(C129+D129)/0.475*44/12</f>
        <v>1094.9833914832457</v>
      </c>
      <c r="H129" s="67">
        <f t="shared" si="56"/>
        <v>540.38896103674051</v>
      </c>
      <c r="I129" s="70">
        <f>('Scénario référence'!$F$8+'Scénario référence'!$F$9+'Scénario référence'!$B$17+'Scénario référence'!$B$9+'Scénario référence'!$B$10)*70+IF((45+25*(1-EXP(-0.0175*A129)))&lt;70,'Scénario référence'!$B$16*(45+25*(1-EXP(-0.0175*A129))),70*'Scénario référence'!$B$16)+IF((32+38*(1-EXP(-0.0175*A129)))&lt;70,'Scénario référence'!$B$18*(32+38*(1-EXP(-0.0175*A129))),70*'Scénario référence'!$B$18)</f>
        <v>70</v>
      </c>
      <c r="J129" s="13">
        <f>IF(A129&gt;30,10,('Scénario référence'!$B$16+'Scénario référence'!$B$17+'Scénario référence'!$B$18+'Scénario référence'!$B$9+'Scénario référence'!$B$10)*A129*10/30+('Scénario référence'!$F$8+'Scénario référence'!$F$9)*10)</f>
        <v>10</v>
      </c>
      <c r="K129" s="12" t="e">
        <f>VLOOKUP(A129,'Données projet'!$A$35:$I$55,2,0)</f>
        <v>#N/A</v>
      </c>
      <c r="L129" s="12" t="e">
        <f>VLOOKUP(A129,'Données projet'!$A$35:$I$55,9,0)</f>
        <v>#N/A</v>
      </c>
      <c r="M129" s="12">
        <f t="array" ref="M129">INDEX(L:L,MIN(IF(ISNUMBER(L129:L325),ROW(L129:L325),"")))</f>
        <v>0</v>
      </c>
      <c r="N129" s="13">
        <f>IF('Données projet'!$A$36&gt;35,N128+M129-V128,IF(A129&lt;'Données projet'!$A$36,$K$205^A129,IF(A129='Données projet'!$A$36,'Données projet'!$B$36,N128+M129-V128)))</f>
        <v>-2.2737367544323206E-13</v>
      </c>
      <c r="O129" s="13">
        <f>N129*VLOOKUP('Données projet'!$B$9,Paramètres!$A$1:$I$89,3,0)*VLOOKUP('Données projet'!$B$9,Paramètres!$A$1:$I$89,5,0)</f>
        <v>-1.2710188457276673E-13</v>
      </c>
      <c r="P129" s="13" t="e">
        <f t="shared" si="87"/>
        <v>#NUM!</v>
      </c>
      <c r="Q129" s="20" t="e">
        <f t="shared" si="107"/>
        <v>#NUM!</v>
      </c>
      <c r="R129" s="59" t="e">
        <f t="shared" si="55"/>
        <v>#NUM!</v>
      </c>
      <c r="S129" s="59">
        <f ca="1">AVERAGE(OFFSET($R$3,0,0,'Données projet'!$E$9+1,1))-AVERAGE(OFFSET($H$3,0,0,'Données projet'!$E$9+1,1))</f>
        <v>255.5374979188561</v>
      </c>
      <c r="T129" s="59">
        <f t="shared" si="88"/>
        <v>343.10418468620901</v>
      </c>
      <c r="U129" s="15">
        <f>IF(ISNA(VLOOKUP(A129,'Données projet'!$A$35:$I$55,3,0)),0,VLOOKUP(A129,'Données projet'!$A$35:$I$55,3,0))</f>
        <v>0</v>
      </c>
      <c r="V129" s="15">
        <f>IF(ISNA(VLOOKUP(A129,'Données projet'!$A$35:$I$55,4,0)),0,VLOOKUP(A129,'Données projet'!$A$35:$I$55,4,0))</f>
        <v>0</v>
      </c>
      <c r="W129" s="16">
        <f>IF(ISNA(VLOOKUP(A129,'Données projet'!$A$35:$I$55,5,0)),0%,VLOOKUP(A129,'Données projet'!$A$35:$I$55,5,0)*VLOOKUP('Données projet'!$B$9,Paramètres!$A$1:$I$89,7,0))</f>
        <v>0</v>
      </c>
      <c r="X129" s="16">
        <f>IF(ISNA(VLOOKUP(A129,'Données projet'!$A$35:$I$55,6,0)),0%,VLOOKUP(A129,'Données projet'!$A$35:$I$55,6,0)*VLOOKUP('Données projet'!$B$9,Paramètres!$A$1:$I$89,7,0))</f>
        <v>0</v>
      </c>
      <c r="Y129" s="16">
        <f>IF(ISNA(VLOOKUP(A129,'Données projet'!$A$35:$I$55,7,0)),0%,VLOOKUP(A129,'Données projet'!$A$35:$I$55,7,0))</f>
        <v>0</v>
      </c>
      <c r="Z129" s="21">
        <f>EXP(-LN(2)/35)*Z128+(1-EXP(-LN(2)/35))/(LN(2)/35)*V129*W129*VLOOKUP('Données projet'!$B$9,Paramètres!$A$1:$I$89,3,0)*0.475*44/12</f>
        <v>0.46161716182693724</v>
      </c>
      <c r="AA129" s="21">
        <f>EXP(-LN(2)/25)*AA128+(1-EXP(-LN(2)/25))/(LN(2)/25)*Calculateur!V129*Calculateur!X129*VLOOKUP('Données projet'!$B$9,Paramètres!$A$1:$I$89,3,0)*0.475*44/12</f>
        <v>1.114512015409262</v>
      </c>
      <c r="AB129" s="21">
        <f>EXP(-LN(2)/2)*AB128+(1-EXP(-LN(2)/2))/(LN(2)/2)*V129*Y129*VLOOKUP('Données projet'!$B$9,Paramètres!$A$1:$I$89,3,0)*0.475*44/12</f>
        <v>6.0135081961265728E-15</v>
      </c>
      <c r="AC129" s="22">
        <f t="shared" si="57"/>
        <v>1.5761291772362054</v>
      </c>
      <c r="AD129" s="13">
        <f>('Scénario référence'!$F$8+'Scénario référence'!$F$9+'Scénario référence'!$B$17+'Scénario référence'!$B$9+'Scénario référence'!$B$10)*70+IF((45+25*(1-EXP(-0.0175*A129)))&lt;70,'Scénario référence'!$B$16*(45+25*(1-EXP(-0.0175*A129))),70*'Scénario référence'!$B$16)+IF((32+38*(1-EXP(-0.0175*A129)))&lt;70,'Scénario référence'!$B$18*(32+38*(1-EXP(-0.0175*A129))),70*'Scénario référence'!$B$18)</f>
        <v>70</v>
      </c>
      <c r="AE129" s="13">
        <f>IF(A129&gt;30,10,('Scénario référence'!$B$16+'Scénario référence'!$B$17+'Scénario référence'!$B$18+'Scénario référence'!$B$9+'Scénario référence'!$B$10)*A129*10/30+('Scénario référence'!$F$8+'Scénario référence'!$F$9)*10)</f>
        <v>10</v>
      </c>
      <c r="AF129" s="12" t="e">
        <f>VLOOKUP(A129,'Données projet'!$A$61:$I$81,2,0)</f>
        <v>#N/A</v>
      </c>
      <c r="AG129" s="12" t="e">
        <f>VLOOKUP(A129,'Données projet'!$A$61:$I$81,9,0)</f>
        <v>#N/A</v>
      </c>
      <c r="AH129" s="12">
        <f t="array" ref="AH129">INDEX(AG:AG,MIN(IF(ISNUMBER(AG129:AG325),ROW(AG129:AG325),"")))</f>
        <v>0</v>
      </c>
      <c r="AI129" s="13">
        <f>IF('Données projet'!$A$62&gt;35,AI128+AH129-AQ128,IF(A129&lt;'Données projet'!$A$62,$AF$205^A129,IF(A129='Données projet'!$A$62,'Données projet'!$B$62,AI128+AH129-AQ128)))</f>
        <v>0</v>
      </c>
      <c r="AJ129" s="13">
        <f>AI129*VLOOKUP('Données projet'!$B$10,Paramètres!$A$1:$I$89,3,0)*VLOOKUP('Données projet'!$B$10,Paramètres!$A$1:$I$89,5,0)</f>
        <v>0</v>
      </c>
      <c r="AK129" s="13" t="e">
        <f t="shared" si="89"/>
        <v>#NUM!</v>
      </c>
      <c r="AL129" s="20" t="e">
        <f t="shared" si="58"/>
        <v>#NUM!</v>
      </c>
      <c r="AM129" s="59" t="e">
        <f t="shared" si="59"/>
        <v>#NUM!</v>
      </c>
      <c r="AN129" s="59">
        <f ca="1">AVERAGE(OFFSET($AM$3,0,0,'Données projet'!$E$10+1,1))-AVERAGE(OFFSET($H$3,0,0,'Données projet'!$E$10+1,1))</f>
        <v>261.78489480911571</v>
      </c>
      <c r="AO129" s="59">
        <f t="shared" si="90"/>
        <v>297.50513563712764</v>
      </c>
      <c r="AP129" s="15">
        <f>IF(ISNA(VLOOKUP(A129,'Données projet'!$A$61:$I$81,3,0)),0,VLOOKUP(A129,'Données projet'!$A$61:$I$81,3,0))</f>
        <v>0</v>
      </c>
      <c r="AQ129" s="15">
        <f>IF(ISNA(VLOOKUP(A129,'Données projet'!$A$61:$I$81,4,0)),0,VLOOKUP(A129,'Données projet'!$A$61:$I$81,4,0))</f>
        <v>0</v>
      </c>
      <c r="AR129" s="16">
        <f>IF(ISNA(VLOOKUP(A129,'Données projet'!$A$61:$I$81,5,0)),0%,VLOOKUP(A129,'Données projet'!$A$61:$I$81,5,0)*VLOOKUP('Données projet'!$B$10,Paramètres!$A$1:$I$89,7,0))</f>
        <v>0</v>
      </c>
      <c r="AS129" s="16">
        <f>IF(ISNA(VLOOKUP(A129,'Données projet'!$A$61:$I$81,6,0)),0%,VLOOKUP(A129,'Données projet'!$A$61:$I$81,6,0)*VLOOKUP('Données projet'!$B$10,Paramètres!$A$1:$I$89,7,0))</f>
        <v>0</v>
      </c>
      <c r="AT129" s="16">
        <f>IF(ISNA(VLOOKUP(A129,'Données projet'!$A$61:$I$81,7,0)),0%,VLOOKUP(A129,'Données projet'!$A$61:$I$81,7,0))</f>
        <v>0</v>
      </c>
      <c r="AU129" s="21">
        <f>EXP(-LN(2)/35)*AU128+(1-EXP(-LN(2)/35))/(LN(2)/35)*AQ129*AR129*VLOOKUP('Données projet'!$B$10,Paramètres!$A$1:$I$89,3,0)*0.475*44/12</f>
        <v>1.2464969047207013</v>
      </c>
      <c r="AV129" s="21">
        <f>EXP(-LN(2)/25)*AV128+(1-EXP(-LN(2)/25))/(LN(2)/25)*Calculateur!AQ129*Calculateur!AS129*VLOOKUP('Données projet'!$B$10,Paramètres!$A$1:$I$89,3,0)*0.475*44/12</f>
        <v>1.9461652957500137</v>
      </c>
      <c r="AW129" s="21">
        <f>EXP(-LN(2)/2)*AW128+(1-EXP(-LN(2)/2))/(LN(2)/2)*AQ129*AT129*VLOOKUP('Données projet'!$B$10,Paramètres!$A$1:$I$89,3,0)*0.475*44/12</f>
        <v>8.6690445531132383E-14</v>
      </c>
      <c r="AX129" s="21">
        <f t="shared" si="60"/>
        <v>3.1926622004708016</v>
      </c>
      <c r="AY129" s="74">
        <f>('Scénario référence'!$F$8+'Scénario référence'!$F$9+'Scénario référence'!$B$17+'Scénario référence'!$B$9+'Scénario référence'!$B$10)*70+IF((45+25*(1-EXP(-0.0175*A129)))&lt;70,'Scénario référence'!$B$16*(45+25*(1-EXP(-0.0175*A129))),70*'Scénario référence'!$B$16)+IF((32+38*(1-EXP(-0.0175*A129)))&lt;70,'Scénario référence'!$B$18*(32+38*(1-EXP(-0.0175*A129))),70*'Scénario référence'!$B$18)</f>
        <v>70</v>
      </c>
      <c r="AZ129" s="12">
        <f>IF(A129&gt;30,10,('Scénario référence'!$B$16+'Scénario référence'!$B$17+'Scénario référence'!$B$18+'Scénario référence'!$B$9+'Scénario référence'!$B$10)*A129*10/30+('Scénario référence'!$F$8+'Scénario référence'!$F$9)*10)</f>
        <v>10</v>
      </c>
      <c r="BA129" s="12" t="e">
        <f>VLOOKUP(A129,'Données projet'!$A$87:$I$107,2,0)</f>
        <v>#N/A</v>
      </c>
      <c r="BB129" s="12" t="e">
        <f>VLOOKUP(A129,'Données projet'!$A$87:$I$107,9,0)</f>
        <v>#N/A</v>
      </c>
      <c r="BC129" s="12">
        <f t="array" ref="BC129">INDEX(BB:BB,MIN(IF(ISNUMBER(BB129:BB325),ROW(BB129:BB325),"")))</f>
        <v>0</v>
      </c>
      <c r="BD129" s="12">
        <f>IF('Données projet'!$A$88&gt;35,BD128+BC129-BL128,IF(A129&lt;'Données projet'!$A$88,$BA$205^A129,IF(A129='Données projet'!$A$88,'Données projet'!$B$88,BD128+BC129-BL128)))</f>
        <v>553.99999999999955</v>
      </c>
      <c r="BE129" s="13">
        <f>BD129*VLOOKUP('Données projet'!$B$11,Paramètres!$A$1:$I$89,3,0)*VLOOKUP('Données projet'!$B$11,Paramètres!$A$1:$I$89,5,0)</f>
        <v>331.29199999999975</v>
      </c>
      <c r="BF129" s="13">
        <f t="shared" si="91"/>
        <v>77.698110787752</v>
      </c>
      <c r="BG129" s="20">
        <f t="shared" si="61"/>
        <v>712.32444295533423</v>
      </c>
      <c r="BH129" s="59">
        <f t="shared" si="62"/>
        <v>1005.6577762886675</v>
      </c>
      <c r="BI129" s="59">
        <f ca="1">AVERAGE(OFFSET($BH$3,0,0,'Données projet'!$E$11+1,1))-AVERAGE(OFFSET($H$3,0,0,'Données projet'!$E$11+1,1))</f>
        <v>316.58509520829671</v>
      </c>
      <c r="BJ129" s="59">
        <f t="shared" si="92"/>
        <v>240.71332110643596</v>
      </c>
      <c r="BK129" s="15">
        <f>IF(ISNA(VLOOKUP(A129,'Données projet'!$A$87:$I$107,3,0)),0,VLOOKUP(A129,'Données projet'!$A$87:$I$107,3,0))</f>
        <v>0</v>
      </c>
      <c r="BL129" s="15">
        <f>IF(ISNA(VLOOKUP(A129,'Données projet'!$A$87:$I$107,4,0)),0,VLOOKUP(A129,'Données projet'!$A$87:$I$107,4,0))</f>
        <v>0</v>
      </c>
      <c r="BM129" s="16">
        <f>IF(ISNA(VLOOKUP(A129,'Données projet'!$A$87:$I$107,5,0)),0%,VLOOKUP(A129,'Données projet'!$A$87:$I$107,5,0)*VLOOKUP('Données projet'!$B$11,Paramètres!$A$1:$I$89,7,0))</f>
        <v>0</v>
      </c>
      <c r="BN129" s="16">
        <f>IF(ISNA(VLOOKUP(A129,'Données projet'!$A$87:$I$107,6,0)),0%,VLOOKUP(A129,'Données projet'!$A$87:$I$107,6,0)*VLOOKUP('Données projet'!$B$11,Paramètres!$A$1:$I$89,7,0))</f>
        <v>0</v>
      </c>
      <c r="BO129" s="16">
        <f>IF(ISNA(VLOOKUP(A129,'Données projet'!$A$87:$I$107,7,0)),0%,VLOOKUP(A129,'Données projet'!$A$87:$I$107,7,0))</f>
        <v>0</v>
      </c>
      <c r="BP129" s="21">
        <f>EXP(-LN(2)/35)*BP128+(1-EXP(-LN(2)/35))/(LN(2)/35)*BL129*BM129*VLOOKUP('Données projet'!$B$11,Paramètres!$A$1:$I$89,3,0)*0.475*44/12</f>
        <v>0.37863270933945425</v>
      </c>
      <c r="BQ129" s="21">
        <f>EXP(-LN(2)/25)*BQ128+(1-EXP(-LN(2)/25))/(LN(2)/25)*Calculateur!BL129*Calculateur!BN129*VLOOKUP('Données projet'!$B$11,Paramètres!$A$1:$I$89,3,0)*0.475*44/12</f>
        <v>1.0661661343719107</v>
      </c>
      <c r="BR129" s="21">
        <f>EXP(-LN(2)/2)*BR128+(1-EXP(-LN(2)/2))/(LN(2)/2)*BL129*BO129*VLOOKUP('Données projet'!$B$11,Paramètres!$A$1:$I$89,3,0)*0.475*44/12</f>
        <v>7.7944204229186668E-14</v>
      </c>
      <c r="BS129" s="22">
        <f t="shared" si="63"/>
        <v>1.4447988437114427</v>
      </c>
      <c r="BT129" s="75">
        <f>('Scénario référence'!$F$8+'Scénario référence'!$F$9+'Scénario référence'!$B$17+'Scénario référence'!$B$9+'Scénario référence'!$B$10)*70+IF((45+25*(1-EXP(-0.0175*A129)))&lt;70,'Scénario référence'!$B$16*(45+25*(1-EXP(-0.0175*A129))),70*'Scénario référence'!$B$16)+IF((32+38*(1-EXP(-0.0175*A129)))&lt;70,'Scénario référence'!$B$18*(32+38*(1-EXP(-0.0175*A129))),70*'Scénario référence'!$B$18)</f>
        <v>70</v>
      </c>
      <c r="BU129" s="12">
        <f>IF(A129&gt;30,10,('Scénario référence'!$B$16+'Scénario référence'!$B$17+'Scénario référence'!$B$18+'Scénario référence'!$B$9+'Scénario référence'!$B$10)*A129*10/30+('Scénario référence'!$F$8+'Scénario référence'!$F$9)*10)</f>
        <v>10</v>
      </c>
      <c r="BV129" s="12" t="e">
        <f>VLOOKUP(A129,'Données projet'!$A$113:$I$133,2,0)</f>
        <v>#N/A</v>
      </c>
      <c r="BW129" s="12" t="e">
        <f>VLOOKUP(A129,'Données projet'!$A$113:$I$133,9,0)</f>
        <v>#N/A</v>
      </c>
      <c r="BX129" s="12">
        <f t="array" ref="BX129">INDEX(BW:BW,MIN(IF(ISNUMBER(BW129:BW325),ROW(BW129:BW325),"")))</f>
        <v>0</v>
      </c>
      <c r="BY129" s="12">
        <f>IF('Données projet'!$A$114&gt;35,BY128+BX129-CG128,IF(A129&lt;'Données projet'!$A$114,$BV$205^A129,IF(A129='Données projet'!$A$114,'Données projet'!$B$114,BY128+BX129-CG128)))</f>
        <v>333.99999999999977</v>
      </c>
      <c r="BZ129" s="13">
        <f>BY129*VLOOKUP('Données projet'!$B$12,Paramètres!$A$1:$I$89,3,0)*VLOOKUP('Données projet'!$B$12,Paramètres!$A$1:$I$89,5,0)</f>
        <v>191.04799999999986</v>
      </c>
      <c r="CA129" s="13">
        <f t="shared" si="93"/>
        <v>47.771576544305155</v>
      </c>
      <c r="CB129" s="20">
        <f t="shared" si="64"/>
        <v>415.94409581466454</v>
      </c>
      <c r="CC129" s="59">
        <f t="shared" si="65"/>
        <v>709.27742914799785</v>
      </c>
      <c r="CD129" s="59">
        <f ca="1">AVERAGE(OFFSET($CC$3,0,0,'Données projet'!$E$12+1,1))-AVERAGE(OFFSET($H$3,0,0,'Données projet'!$E$12+1,1))</f>
        <v>188.64374818906128</v>
      </c>
      <c r="CE129" s="59">
        <f t="shared" si="94"/>
        <v>211.95157880548652</v>
      </c>
      <c r="CF129" s="15">
        <f>IF(ISNA(VLOOKUP(A129,'Données projet'!$A$113:$I$133,3,0)),0,VLOOKUP(A129,'Données projet'!$A$113:$I$133,3,0))</f>
        <v>0</v>
      </c>
      <c r="CG129" s="15">
        <f>IF(ISNA(VLOOKUP(A129,'Données projet'!$A$113:$I$133,4,0)),0,VLOOKUP(A129,'Données projet'!$A$113:$I$133,4,0))</f>
        <v>0</v>
      </c>
      <c r="CH129" s="16">
        <f>IF(ISNA(VLOOKUP(A129,'Données projet'!$A$113:$I$133,5,0)),0%,VLOOKUP(A129,'Données projet'!$A$113:$I$133,5,0)*VLOOKUP('Données projet'!$B$12,Paramètres!$A$1:$I$89,7,0))</f>
        <v>0</v>
      </c>
      <c r="CI129" s="16">
        <f>IF(ISNA(VLOOKUP(A129,'Données projet'!$A$113:$I$133,6,0)),0%,VLOOKUP(A129,'Données projet'!$A$113:$I$133,6,0)*VLOOKUP('Données projet'!$B$12,Paramètres!$A$1:$I$89,7,0))</f>
        <v>0</v>
      </c>
      <c r="CJ129" s="16">
        <f>IF(ISNA(VLOOKUP(A129,'Données projet'!$A$113:$I$133,7,0)),0%,VLOOKUP(A129,'Données projet'!$A$113:$I$133,7,0))</f>
        <v>0</v>
      </c>
      <c r="CK129" s="21">
        <f>EXP(-LN(2)/35)*CK128+(1-EXP(-LN(2)/35))/(LN(2)/35)*CG129*CH129*VLOOKUP('Données projet'!$B$12,Paramètres!$A$1:$I$89,3,0)*0.475*44/12</f>
        <v>0.36727140942663494</v>
      </c>
      <c r="CL129" s="21">
        <f>EXP(-LN(2)/25)*CL128+(1-EXP(-LN(2)/25))/(LN(2)/25)*Calculateur!CG129*Calculateur!CI129*VLOOKUP('Données projet'!$B$12,Paramètres!$A$1:$I$89,3,0)*0.475*44/12</f>
        <v>1.0034997055514827</v>
      </c>
      <c r="CM129" s="21">
        <f>EXP(-LN(2)/2)*CM128+(1-EXP(-LN(2)/2))/(LN(2)/2)*CG129*CJ129*VLOOKUP('Données projet'!$B$12,Paramètres!$A$1:$I$89,3,0)*0.475*44/12</f>
        <v>7.5482863350857543E-14</v>
      </c>
      <c r="CN129" s="22">
        <f t="shared" si="66"/>
        <v>1.3707711149781932</v>
      </c>
      <c r="CO129" s="75">
        <f>('Scénario référence'!$F$8+'Scénario référence'!$F$9+'Scénario référence'!$B$17+'Scénario référence'!$B$9+'Scénario référence'!$B$10)*70+IF((45+25*(1-EXP(-0.0175*A129)))&lt;70,'Scénario référence'!$B$16*(45+25*(1-EXP(-0.0175*A129))),70*'Scénario référence'!$B$16)+IF((32+38*(1-EXP(-0.0175*A129)))&lt;70,'Scénario référence'!$B$18*(32+38*(1-EXP(-0.0175*A129))),70*'Scénario référence'!$B$18)</f>
        <v>70</v>
      </c>
      <c r="CP129" s="12">
        <f>IF(A129&gt;30,10,('Scénario référence'!$B$16+'Scénario référence'!$B$17+'Scénario référence'!$B$18+'Scénario référence'!$B$9+'Scénario référence'!$B$10)*A129*10/30+('Scénario référence'!$F$8+'Scénario référence'!$F$9)*10)</f>
        <v>10</v>
      </c>
      <c r="CQ129" s="12" t="e">
        <f>VLOOKUP(A129,'Données projet'!$A$139:$I$159,2,0)</f>
        <v>#N/A</v>
      </c>
      <c r="CR129" s="12" t="e">
        <f>VLOOKUP(A129,'Données projet'!$A$139:$I$159,9,0)</f>
        <v>#N/A</v>
      </c>
      <c r="CS129" s="12">
        <f t="array" ref="CS129">INDEX(CR:CR,MIN(IF(ISNUMBER(CR129:CR325),ROW(CR129:CR325),"")))</f>
        <v>0</v>
      </c>
      <c r="CT129" s="12">
        <f>IF('Données projet'!$A$140&gt;35,CT128+CS129-DB128,IF(A129&lt;'Données projet'!$A$140,$CQ$205^A129,IF(A129='Données projet'!$A$140,'Données projet'!$B$140,CT128+CS129-DB128)))</f>
        <v>0</v>
      </c>
      <c r="CU129" s="17" t="e">
        <f>CT129*VLOOKUP('Données projet'!$B$13,Paramètres!$A$1:$I$89,3,0)*VLOOKUP('Données projet'!$B$13,Paramètres!$A$1:$I$89,5,0)</f>
        <v>#N/A</v>
      </c>
      <c r="CV129" s="13" t="e">
        <f t="shared" si="95"/>
        <v>#N/A</v>
      </c>
      <c r="CW129" s="20" t="e">
        <f t="shared" si="67"/>
        <v>#N/A</v>
      </c>
      <c r="CX129" s="59" t="e">
        <f t="shared" si="68"/>
        <v>#N/A</v>
      </c>
      <c r="CY129" s="59" t="e">
        <f ca="1">AVERAGE(OFFSET($CX$3,0,0,'Données projet'!$E$13+1,1))-AVERAGE(OFFSET($H$3,0,0,'Données projet'!$E$13+1,1))</f>
        <v>#N/A</v>
      </c>
      <c r="CZ129" s="59" t="e">
        <f t="shared" si="96"/>
        <v>#N/A</v>
      </c>
      <c r="DA129" s="15">
        <f>IF(ISNA(VLOOKUP(A129,'Données projet'!$A$139:$I$159,3,0)),0,VLOOKUP(A129,'Données projet'!$A$139:$I$159,3,0))</f>
        <v>0</v>
      </c>
      <c r="DB129" s="15">
        <f>IF(ISNA(VLOOKUP(A129,'Données projet'!$A$139:$I$159,4,0)),0,VLOOKUP(A129,'Données projet'!$A$139:$I$159,4,0))</f>
        <v>0</v>
      </c>
      <c r="DC129" s="16">
        <f>IF(ISNA(VLOOKUP(A129,'Données projet'!$A$139:$I$159,5,0)),0%,VLOOKUP(A129,'Données projet'!$A$139:$I$159,5,0)*VLOOKUP('Données projet'!$B$13,Paramètres!$A$1:$I$89,7,0))</f>
        <v>0</v>
      </c>
      <c r="DD129" s="16">
        <f>IF(ISNA(VLOOKUP(A129,'Données projet'!$A$139:$I$159,6,0)),0%,VLOOKUP(A129,'Données projet'!$A$139:$I$159,6,0)*VLOOKUP('Données projet'!$B$13,Paramètres!$A$1:$I$89,7,0))</f>
        <v>0</v>
      </c>
      <c r="DE129" s="16">
        <f>IF(ISNA(VLOOKUP(A129,'Données projet'!$A$139:$I$159,7,0)),0%,VLOOKUP(A129,'Données projet'!$A$139:$I$159,7,0))</f>
        <v>0</v>
      </c>
      <c r="DF129" s="21" t="e">
        <f>EXP(-LN(2)/35)*DF128+(1-EXP(-LN(2)/35))/(LN(2)/35)*DB129*DC129*VLOOKUP('Données projet'!$B$13,Paramètres!$A$1:$I$89,3,0)*0.475*44/12</f>
        <v>#N/A</v>
      </c>
      <c r="DG129" s="21" t="e">
        <f>EXP(-LN(2)/25)*DG128+(1-EXP(-LN(2)/25))/(LN(2)/25)*Calculateur!DB129*Calculateur!DD129*VLOOKUP('Données projet'!$B$13,Paramètres!$A$1:$I$89,3,0)*0.475*44/12</f>
        <v>#N/A</v>
      </c>
      <c r="DH129" s="21" t="e">
        <f>EXP(-LN(2)/2)*DH128+(1-EXP(-LN(2)/2))/(LN(2)/2)*DB129*DE129*VLOOKUP('Données projet'!$B$13,Paramètres!$A$1:$I$89,3,0)*0.475*44/12</f>
        <v>#N/A</v>
      </c>
      <c r="DI129" s="22" t="e">
        <f t="shared" si="69"/>
        <v>#N/A</v>
      </c>
      <c r="DJ129" s="75">
        <f>('Scénario référence'!$F$8+'Scénario référence'!$F$9+'Scénario référence'!$B$17+'Scénario référence'!$B$9+'Scénario référence'!$B$10)*70+IF((45+25*(1-EXP(-0.0175*A129)))&lt;70,'Scénario référence'!$B$16*(45+25*(1-EXP(-0.0175*A129))),70*'Scénario référence'!$B$16)+IF((32+38*(1-EXP(-0.0175*A129)))&lt;70,'Scénario référence'!$B$18*(32+38*(1-EXP(-0.0175*A129))),70*'Scénario référence'!$B$18)</f>
        <v>70</v>
      </c>
      <c r="DK129" s="12">
        <f>IF(A129&gt;30,10,('Scénario référence'!$B$16+'Scénario référence'!$B$17+'Scénario référence'!$B$18+'Scénario référence'!$B$9+'Scénario référence'!$B$10)*A129*10/30+('Scénario référence'!$F$8+'Scénario référence'!$F$9)*10)</f>
        <v>10</v>
      </c>
      <c r="DL129" s="12" t="e">
        <f>VLOOKUP(A129,'Données projet'!$A$165:$I$185,2,0)</f>
        <v>#N/A</v>
      </c>
      <c r="DM129" s="12" t="e">
        <f>VLOOKUP(A129,'Données projet'!$A$165:$I$185,9,0)</f>
        <v>#N/A</v>
      </c>
      <c r="DN129" s="12">
        <f t="array" ref="DN129">INDEX(DM:DM,MIN(IF(ISNUMBER(DM129:DM325),ROW(DM129:DM325),"")))</f>
        <v>0</v>
      </c>
      <c r="DO129" s="12">
        <f>IF('Données projet'!$A$166&gt;35,DO128+DN129-DW128,IF(A129&lt;'Données projet'!$A$166,$DL$205^A129,IF(A129='Données projet'!$A$166,'Données projet'!$B$166,DO128+DN129-DW128)))</f>
        <v>268.00000000000017</v>
      </c>
      <c r="DP129" s="17">
        <f>DO129*VLOOKUP('Données projet'!$B$14,Paramètres!$A$1:$I$89,3,0)*VLOOKUP('Données projet'!$B$14,Paramètres!$A$1:$I$89,5,0)</f>
        <v>175.59360000000012</v>
      </c>
      <c r="DQ129" s="13">
        <f t="shared" si="97"/>
        <v>44.340433728638573</v>
      </c>
      <c r="DR129" s="20">
        <f t="shared" si="70"/>
        <v>383.05177541071242</v>
      </c>
      <c r="DS129" s="59">
        <f t="shared" si="71"/>
        <v>676.38510874404574</v>
      </c>
      <c r="DT129" s="59">
        <f ca="1">AVERAGE(OFFSET($DS$3,0,0,'Données projet'!$E$14+1,1))-AVERAGE(OFFSET($H$3,0,0,'Données projet'!$E$14+1,1))</f>
        <v>188.68915783955595</v>
      </c>
      <c r="DU129" s="59">
        <f t="shared" si="98"/>
        <v>240.82467772396944</v>
      </c>
      <c r="DV129" s="15">
        <f>IF(ISNA(VLOOKUP(A129,'Données projet'!$A$165:$I$185,3,0)),0,VLOOKUP(A129,'Données projet'!$A$165:$I$185,3,0))</f>
        <v>0</v>
      </c>
      <c r="DW129" s="15">
        <f>IF(ISNA(VLOOKUP(A129,'Données projet'!$A$165:$I$185,4,0)),0,VLOOKUP(A129,'Données projet'!$A$165:$I$185,4,0))</f>
        <v>0</v>
      </c>
      <c r="DX129" s="16">
        <f>IF(ISNA(VLOOKUP(A129,'Données projet'!$A$165:$I$185,5,0)),0%,VLOOKUP(A129,'Données projet'!$A$165:$I$185,5,0)*VLOOKUP('Données projet'!$B$14,Paramètres!$A$1:$I$89,7,0))</f>
        <v>0</v>
      </c>
      <c r="DY129" s="16">
        <f>IF(ISNA(VLOOKUP(A129,'Données projet'!$A$165:$I$185,6,0)),0%,VLOOKUP(A129,'Données projet'!$A$165:$I$185,6,0)*VLOOKUP('Données projet'!$B$14,Paramètres!$A$1:$I$89,7,0))</f>
        <v>0</v>
      </c>
      <c r="DZ129" s="16">
        <f>IF(ISNA(VLOOKUP(A129,'Données projet'!$A$165:$I$185,7,0)),0%,VLOOKUP(A129,'Données projet'!$A$165:$I$185,7,0))</f>
        <v>0</v>
      </c>
      <c r="EA129" s="21">
        <f>EXP(-LN(2)/35)*EA128+(1-EXP(-LN(2)/35))/(LN(2)/35)*DW129*DX129*VLOOKUP('Données projet'!$B$14,Paramètres!$A$1:$I$89,3,0)*0.475*44/12</f>
        <v>0.23263614107200567</v>
      </c>
      <c r="EB129" s="21">
        <f>EXP(-LN(2)/25)*EB128+(1-EXP(-LN(2)/25))/(LN(2)/25)*Calculateur!DW129*Calculateur!DY129*VLOOKUP('Données projet'!$B$14,Paramètres!$A$1:$I$89,3,0)*0.475*44/12</f>
        <v>0.5612991680236904</v>
      </c>
      <c r="EC129" s="21">
        <f>EXP(-LN(2)/2)*EC128+(1-EXP(-LN(2)/2))/(LN(2)/2)*DW129*DZ129*VLOOKUP('Données projet'!$B$14,Paramètres!$A$1:$I$89,3,0)*0.475*44/12</f>
        <v>4.9725230106670491E-14</v>
      </c>
      <c r="ED129" s="22">
        <f t="shared" si="72"/>
        <v>0.79393530909574583</v>
      </c>
      <c r="EE129" s="75">
        <f>('Scénario référence'!$F$8+'Scénario référence'!$F$9+'Scénario référence'!$B$17+'Scénario référence'!$B$9+'Scénario référence'!$B$10)*70+IF((45+25*(1-EXP(-0.0175*A129)))&lt;70,'Scénario référence'!$B$16*(45+25*(1-EXP(-0.0175*A129))),70*'Scénario référence'!$B$16)+IF((32+38*(1-EXP(-0.0175*A129)))&lt;70,'Scénario référence'!$B$18*(32+38*(1-EXP(-0.0175*A129))),70*'Scénario référence'!$B$18)</f>
        <v>70</v>
      </c>
      <c r="EF129" s="12">
        <f>IF(A129&gt;30,10,('Scénario référence'!$B$16+'Scénario référence'!$B$17+'Scénario référence'!$B$18+'Scénario référence'!$B$9+'Scénario référence'!$B$10)*A129*10/30+('Scénario référence'!$F$8+'Scénario référence'!$F$9)*10)</f>
        <v>10</v>
      </c>
      <c r="EG129" s="12" t="e">
        <f>VLOOKUP(A129,'Données projet'!$A$191:$I$211,2,0)</f>
        <v>#N/A</v>
      </c>
      <c r="EH129" s="12" t="e">
        <f>VLOOKUP(A129,'Données projet'!$A$191:$I$211,9,0)</f>
        <v>#N/A</v>
      </c>
      <c r="EI129" s="12">
        <f t="array" ref="EI129">INDEX(EH:EH,MIN(IF(ISNUMBER(EH129:EH325),ROW(EH129:EH325),"")))</f>
        <v>0</v>
      </c>
      <c r="EJ129" s="12">
        <f>IF('Données projet'!$A$192&gt;35,EJ128+EI129-ER128,IF(A129&lt;'Données projet'!$A$192,$EG$205^A129,IF(A129='Données projet'!$A$192,'Données projet'!$B$192,EJ128+EI129-ER128)))</f>
        <v>275.99999999999972</v>
      </c>
      <c r="EK129" s="17">
        <f>EJ129*VLOOKUP('Données projet'!$B$15,Paramètres!$A$1:$I$89,3,0)*VLOOKUP('Données projet'!$B$15,Paramètres!$A$1:$I$89,5,0)</f>
        <v>223.8911999999998</v>
      </c>
      <c r="EL129" s="13">
        <f t="shared" si="99"/>
        <v>54.95975389514858</v>
      </c>
      <c r="EM129" s="20">
        <f t="shared" si="73"/>
        <v>485.66541136738346</v>
      </c>
      <c r="EN129" s="59">
        <f t="shared" si="74"/>
        <v>778.99874470071677</v>
      </c>
      <c r="EO129" s="59">
        <f ca="1">AVERAGE(OFFSET($EN$3,0,0,'Données projet'!$E$15+1,1))-AVERAGE(OFFSET($H$3,0,0,'Données projet'!$E$15+1,1))</f>
        <v>205.5272583787887</v>
      </c>
      <c r="EP129" s="59">
        <f t="shared" si="100"/>
        <v>180.54762778843178</v>
      </c>
      <c r="EQ129" s="15">
        <f>IF(ISNA(VLOOKUP(A129,'Données projet'!$A$191:$I$211,3,0)),0,VLOOKUP(A129,'Données projet'!$A$191:$I$211,3,0))</f>
        <v>0</v>
      </c>
      <c r="ER129" s="15">
        <f>IF(ISNA(VLOOKUP(A129,'Données projet'!$A$191:$I$211,4,0)),0,VLOOKUP(A129,'Données projet'!$A$191:$I$211,4,0))</f>
        <v>0</v>
      </c>
      <c r="ES129" s="16">
        <f>IF(ISNA(VLOOKUP(A129,'Données projet'!$A$191:$I$211,5,0)),0%,VLOOKUP(A129,'Données projet'!$A$191:$I$211,5,0)*VLOOKUP('Données projet'!$B$15,Paramètres!$A$1:$I$89,7,0))</f>
        <v>0</v>
      </c>
      <c r="ET129" s="16">
        <f>IF(ISNA(VLOOKUP(A129,'Données projet'!$A$191:$I$211,6,0)),0%,VLOOKUP(A129,'Données projet'!$A$191:$I$211,6,0)*VLOOKUP('Données projet'!$B$15,Paramètres!$A$1:$I$89,7,0))</f>
        <v>0</v>
      </c>
      <c r="EU129" s="16">
        <f>IF(ISNA(VLOOKUP(A129,'Données projet'!$A$191:$I$211,7,0)),0%,VLOOKUP(A129,'Données projet'!$A$191:$I$211,7,0))</f>
        <v>0</v>
      </c>
      <c r="EV129" s="21">
        <f>EXP(-LN(2)/35)*EV128+(1-EXP(-LN(2)/35))/(LN(2)/35)*ER129*ES129*VLOOKUP('Données projet'!$B$15,Paramètres!$A$1:$I$89,3,0)*0.475*44/12</f>
        <v>0.14977336320445322</v>
      </c>
      <c r="EW129" s="21">
        <f>EXP(-LN(2)/25)*EW128+(1-EXP(-LN(2)/25))/(LN(2)/25)*Calculateur!ER129*Calculateur!ET129*VLOOKUP('Données projet'!$B$15,Paramètres!$A$1:$I$89,3,0)*0.475*44/12</f>
        <v>0.4052750268649527</v>
      </c>
      <c r="EX129" s="21">
        <f>EXP(-LN(2)/2)*EX128+(1-EXP(-LN(2)/2))/(LN(2)/2)*ER129*EU129*VLOOKUP('Données projet'!$B$15,Paramètres!$A$1:$I$89,3,0)*0.475*44/12</f>
        <v>3.2197123262207379E-14</v>
      </c>
      <c r="EY129" s="22">
        <f t="shared" si="75"/>
        <v>0.55504839006943807</v>
      </c>
      <c r="EZ129" s="75">
        <f>('Scénario référence'!$F$8+'Scénario référence'!$F$9+'Scénario référence'!$B$17+'Scénario référence'!$B$9+'Scénario référence'!$B$10)*70+IF((45+25*(1-EXP(-0.0175*A129)))&lt;70,'Scénario référence'!$B$16*(45+25*(1-EXP(-0.0175*A129))),70*'Scénario référence'!$B$16)+IF((32+38*(1-EXP(-0.0175*A129)))&lt;70,'Scénario référence'!$B$18*(32+38*(1-EXP(-0.0175*A129))),70*'Scénario référence'!$B$18)</f>
        <v>70</v>
      </c>
      <c r="FA129" s="12">
        <f>IF(A129&gt;30,10,('Scénario référence'!$B$16+'Scénario référence'!$B$17+'Scénario référence'!$B$18+'Scénario référence'!$B$9+'Scénario référence'!$B$10)*A129*10/30+('Scénario référence'!$F$8+'Scénario référence'!$F$9)*10)</f>
        <v>10</v>
      </c>
      <c r="FB129" s="12" t="e">
        <f>VLOOKUP(A129,'Données projet'!$A$217:$I$237,2,0)</f>
        <v>#N/A</v>
      </c>
      <c r="FC129" s="12" t="e">
        <f>VLOOKUP(A129,'Données projet'!$A$217:$I$237,9,0)</f>
        <v>#N/A</v>
      </c>
      <c r="FD129" s="12">
        <f t="array" ref="FD129">INDEX(FC:FC,MIN(IF(ISNUMBER(FC129:FC325),ROW(FC129:FC325),"")))</f>
        <v>6.3</v>
      </c>
      <c r="FE129" s="12">
        <f>IF('Données projet'!$A$218&gt;35,FE128+FD129-FM128,IF(A129&lt;'Données projet'!$A$218,$FB$205^A129,IF(A129='Données projet'!$A$218,'Données projet'!$B$218,FE128+FD129-FM128)))</f>
        <v>429.7999999999999</v>
      </c>
      <c r="FF129" s="17">
        <f>FE129*VLOOKUP('Données projet'!$B$16,Paramètres!$A$1:$I$89,3,0)*VLOOKUP('Données projet'!$B$16,Paramètres!$A$1:$I$89,5,0)</f>
        <v>368.76839999999993</v>
      </c>
      <c r="FG129" s="13">
        <f t="shared" si="101"/>
        <v>85.41529267042732</v>
      </c>
      <c r="FH129" s="20">
        <f t="shared" si="76"/>
        <v>791.03659806766075</v>
      </c>
      <c r="FI129" s="59">
        <f t="shared" si="77"/>
        <v>1084.3699314009941</v>
      </c>
      <c r="FJ129" s="59">
        <f ca="1">AVERAGE(OFFSET($FI$3,0,0,'Données projet'!$E$16+1,1))-AVERAGE(OFFSET($H$3,0,0,'Données projet'!$E$16+1,1))</f>
        <v>383.97627237444709</v>
      </c>
      <c r="FK129" s="59">
        <f t="shared" si="102"/>
        <v>203.35476578922339</v>
      </c>
      <c r="FL129" s="15">
        <f>IF(ISNA(VLOOKUP(A129,'Données projet'!$A$217:$I$237,3,0)),0,VLOOKUP(A129,'Données projet'!$A$217:$I$237,3,0))</f>
        <v>0</v>
      </c>
      <c r="FM129" s="15">
        <f>IF(ISNA(VLOOKUP(A129,'Données projet'!$A$217:$I$237,4,0)),0,VLOOKUP(A129,'Données projet'!$A$217:$I$237,4,0))</f>
        <v>0</v>
      </c>
      <c r="FN129" s="16">
        <f>IF(ISNA(VLOOKUP(A129,'Données projet'!$A$217:$I$237,5,0)),0%,VLOOKUP(A129,'Données projet'!$A$217:$I$237,5,0)*VLOOKUP('Données projet'!$B$16,Paramètres!$A$1:$I$89,7,0))</f>
        <v>0</v>
      </c>
      <c r="FO129" s="16">
        <f>IF(ISNA(VLOOKUP(A129,'Données projet'!$A$217:$I$237,6,0)),0%,VLOOKUP(A129,'Données projet'!$A$217:$I$237,6,0)*VLOOKUP('Données projet'!$B$16,Paramètres!$A$1:$I$89,7,0))</f>
        <v>0</v>
      </c>
      <c r="FP129" s="16">
        <f>IF(ISNA(VLOOKUP(A129,'Données projet'!$A$217:$I$237,7,0)),0%,VLOOKUP(A129,'Données projet'!$A$217:$I$237,7,0))</f>
        <v>0</v>
      </c>
      <c r="FQ129" s="21">
        <f>EXP(-LN(2)/35)*FQ128+(1-EXP(-LN(2)/35))/(LN(2)/35)*FM129*FN129*VLOOKUP('Données projet'!$B$16,Paramètres!$A$1:$I$89,3,0)*0.475*44/12</f>
        <v>0.76975383167831757</v>
      </c>
      <c r="FR129" s="21">
        <f>EXP(-LN(2)/25)*FR128+(1-EXP(-LN(2)/25))/(LN(2)/25)*Calculateur!FM129*Calculateur!FO129*VLOOKUP('Données projet'!$B$16,Paramètres!$A$1:$I$89,3,0)*0.475*44/12</f>
        <v>0.41139604142297664</v>
      </c>
      <c r="FS129" s="21">
        <f>EXP(-LN(2)/2)*FS128+(1-EXP(-LN(2)/2))/(LN(2)/2)*FM129*FP129*VLOOKUP('Données projet'!$B$16,Paramètres!$A$1:$I$89,3,0)*0.475*44/12</f>
        <v>5.9139507626290892E-14</v>
      </c>
      <c r="FT129" s="22">
        <f t="shared" si="78"/>
        <v>1.1811498731013532</v>
      </c>
      <c r="FU129" s="75">
        <f>('Scénario référence'!$F$8+'Scénario référence'!$F$9+'Scénario référence'!$B$17+'Scénario référence'!$B$9+'Scénario référence'!$B$10)*70+IF((45+25*(1-EXP(-0.0175*A129)))&lt;70,'Scénario référence'!$B$16*(45+25*(1-EXP(-0.0175*A129))),70*'Scénario référence'!$B$16)+IF((32+38*(1-EXP(-0.0175*A129)))&lt;70,'Scénario référence'!$B$18*(32+38*(1-EXP(-0.0175*A129))),70*'Scénario référence'!$B$18)</f>
        <v>70</v>
      </c>
      <c r="FV129" s="12">
        <f>IF(A129&gt;30,10,('Scénario référence'!$B$16+'Scénario référence'!$B$17+'Scénario référence'!$B$18+'Scénario référence'!$B$9+'Scénario référence'!$B$10)*A129*10/30+('Scénario référence'!$F$8+'Scénario référence'!$F$9)*10)</f>
        <v>10</v>
      </c>
      <c r="FW129" s="12" t="e">
        <f>VLOOKUP(A129,'Données projet'!$A$243:$I$263,2,0)</f>
        <v>#N/A</v>
      </c>
      <c r="FX129" s="12" t="e">
        <f>VLOOKUP(A129,'Données projet'!$A$243:$I$263,9,0)</f>
        <v>#N/A</v>
      </c>
      <c r="FY129" s="12">
        <f t="array" ref="FY129">INDEX(FX:FX,MIN(IF(ISNUMBER(FX129:FX325),ROW(FX129:FX325),"")))</f>
        <v>2.3349358974358978</v>
      </c>
      <c r="FZ129" s="12">
        <f>IF('Données projet'!$A$244&gt;35,FZ128+FY129-GH128,IF(A129&lt;'Données projet'!$A$244,$FW$205^A129,IF(A129='Données projet'!$A$244,'Données projet'!$B$244,FZ128+FY129-GH128)))</f>
        <v>152.46634615384659</v>
      </c>
      <c r="GA129" s="17">
        <f>FZ129*VLOOKUP('Données projet'!$B$17,Paramètres!$A$1:$I$89,3,0)*VLOOKUP('Données projet'!$B$17,Paramètres!$A$1:$I$89,5,0)</f>
        <v>164.11477500000046</v>
      </c>
      <c r="GB129" s="13">
        <f t="shared" si="103"/>
        <v>41.769238378379242</v>
      </c>
      <c r="GC129" s="20">
        <f t="shared" si="79"/>
        <v>358.58132330067798</v>
      </c>
      <c r="GD129" s="59">
        <f t="shared" si="80"/>
        <v>651.91465663401129</v>
      </c>
      <c r="GE129" s="59">
        <f ca="1">AVERAGE(OFFSET($GD$3,0,0,'Données projet'!$E$17+1,1))-AVERAGE(OFFSET($H$3,0,0,'Données projet'!$E$17+1,1))</f>
        <v>286.77702855541287</v>
      </c>
      <c r="GF129" s="59">
        <f t="shared" si="104"/>
        <v>227.12211541860779</v>
      </c>
      <c r="GG129" s="15">
        <f>IF(ISNA(VLOOKUP(A129,'Données projet'!$A$243:$I$263,3,0)),0,VLOOKUP(A129,'Données projet'!$A$243:$I$263,3,0))</f>
        <v>0</v>
      </c>
      <c r="GH129" s="15">
        <f>IF(ISNA(VLOOKUP(A129,'Données projet'!$A$243:$I$263,4,0)),0,VLOOKUP(A129,'Données projet'!$A$243:$I$263,4,0))</f>
        <v>0</v>
      </c>
      <c r="GI129" s="16">
        <f>IF(ISNA(VLOOKUP(A129,'Données projet'!$A$243:$I$263,5,0)),0%,VLOOKUP(A129,'Données projet'!$A$243:$I$263,5,0)*VLOOKUP('Données projet'!$B$17,Paramètres!$A$1:$I$89,7,0))</f>
        <v>0</v>
      </c>
      <c r="GJ129" s="16">
        <f>IF(ISNA(VLOOKUP(A129,'Données projet'!$A$243:$I$263,6,0)),0%,VLOOKUP(A129,'Données projet'!$A$243:$I$263,6,0)*VLOOKUP('Données projet'!$B$17,Paramètres!$A$1:$I$89,7,0))</f>
        <v>0</v>
      </c>
      <c r="GK129" s="16">
        <f>IF(ISNA(VLOOKUP(A129,'Données projet'!$A$243:$I$263,7,0)),0%,VLOOKUP(A129,'Données projet'!$A$243:$I$263,7,0))</f>
        <v>0</v>
      </c>
      <c r="GL129" s="21">
        <f>EXP(-LN(2)/35)*GL128+(1-EXP(-LN(2)/35))/(LN(2)/35)*GH129*GI129*VLOOKUP('Données projet'!$B$17,Paramètres!$A$1:$I$89,3,0)*0.475*44/12</f>
        <v>0</v>
      </c>
      <c r="GM129" s="21">
        <f>EXP(-LN(2)/25)*GM128+(1-EXP(-LN(2)/25))/(LN(2)/25)*Calculateur!GH129*Calculateur!GJ129*VLOOKUP('Données projet'!$B$17,Paramètres!$A$1:$I$89,3,0)*0.475*44/12</f>
        <v>0</v>
      </c>
      <c r="GN129" s="21">
        <f>EXP(-LN(2)/2)*GN128+(1-EXP(-LN(2)/2))/(LN(2)/2)*GH129*GK129*VLOOKUP('Données projet'!$B$17,Paramètres!$A$1:$I$89,3,0)*0.475*44/12</f>
        <v>0</v>
      </c>
      <c r="GO129" s="21">
        <f t="shared" si="81"/>
        <v>0</v>
      </c>
      <c r="GP129" s="75">
        <f>('Scénario référence'!$F$8+'Scénario référence'!$F$9+'Scénario référence'!$B$17+'Scénario référence'!$B$9+'Scénario référence'!$B$10)*70+IF((45+25*(1-EXP(-0.0175*A129)))&lt;70,'Scénario référence'!$B$16*(45+25*(1-EXP(-0.0175*A129))),70*'Scénario référence'!$B$16)+IF((32+38*(1-EXP(-0.0175*A129)))&lt;70,'Scénario référence'!$B$18*(32+38*(1-EXP(-0.0175*A129))),70*'Scénario référence'!$B$18)</f>
        <v>70</v>
      </c>
      <c r="GQ129" s="12">
        <f>IF(A129&gt;30,10,('Scénario référence'!$B$16+'Scénario référence'!$B$17+'Scénario référence'!$B$18+'Scénario référence'!$B$9+'Scénario référence'!$B$10)*A129*10/30+('Scénario référence'!$F$8+'Scénario référence'!$F$9)*10)</f>
        <v>10</v>
      </c>
      <c r="GR129" s="12" t="e">
        <f>VLOOKUP(A129,'Données projet'!$A$269:$I$289,2,0)</f>
        <v>#N/A</v>
      </c>
      <c r="GS129" s="12" t="e">
        <f>VLOOKUP(A129,'Données projet'!$A$269:$I$289,9,0)</f>
        <v>#N/A</v>
      </c>
      <c r="GT129" s="12">
        <f t="array" ref="GT129">INDEX(GS:GS,MIN(IF(ISNUMBER(GS129:GS325),ROW(GS129:GS325),"")))</f>
        <v>2.3349358974358978</v>
      </c>
      <c r="GU129" s="12">
        <f>IF('Données projet'!$A$270&gt;35,GU128+GT129-HC128,IF(A129&lt;'Données projet'!$A$270,$GR$205^A129,IF(A129='Données projet'!$A$270,'Données projet'!$B$270,GU128+GT129-HC128)))</f>
        <v>152.46634615384659</v>
      </c>
      <c r="GV129" s="17">
        <f>GU129*VLOOKUP('Données projet'!$B$18,Paramètres!$A$1:$I$89,3,0)*VLOOKUP('Données projet'!$B$18,Paramètres!$A$1:$I$89,5,0)</f>
        <v>164.11477500000046</v>
      </c>
      <c r="GW129" s="13">
        <f t="shared" si="105"/>
        <v>41.769238378379242</v>
      </c>
      <c r="GX129" s="20">
        <f t="shared" si="82"/>
        <v>358.58132330067798</v>
      </c>
      <c r="GY129" s="59">
        <f t="shared" si="83"/>
        <v>651.91465663401129</v>
      </c>
      <c r="GZ129" s="59">
        <f ca="1">AVERAGE(OFFSET($GY$3,0,0,'Données projet'!$E$18+1,1))-AVERAGE(OFFSET($H$3,0,0,'Données projet'!$E$18+1,1))</f>
        <v>286.77702855541287</v>
      </c>
      <c r="HA129" s="59">
        <f t="shared" si="106"/>
        <v>227.12211541860779</v>
      </c>
      <c r="HB129" s="15">
        <f>IF(ISNA(VLOOKUP(A129,'Données projet'!$A$269:$I$289,3,0)),0,VLOOKUP(A129,'Données projet'!$A$269:$I$289,3,0))</f>
        <v>0</v>
      </c>
      <c r="HC129" s="15">
        <f>IF(ISNA(VLOOKUP(A129,'Données projet'!$A$269:$I$289,4,0)),0,VLOOKUP(A129,'Données projet'!$A$269:$I$289,4,0))</f>
        <v>0</v>
      </c>
      <c r="HD129" s="16">
        <f>IF(ISNA(VLOOKUP(A129,'Données projet'!$A$269:$I$289,5,0)),0%,VLOOKUP(A129,'Données projet'!$A$269:$I$289,5,0)*VLOOKUP('Données projet'!$B$18,Paramètres!$A$1:$I$89,7,0))</f>
        <v>0</v>
      </c>
      <c r="HE129" s="16">
        <f>IF(ISNA(VLOOKUP(A129,'Données projet'!$A$269:$I$289,6,0)),0%,VLOOKUP(A129,'Données projet'!$A$269:$I$289,6,0)*VLOOKUP('Données projet'!$B$18,Paramètres!$A$1:$I$89,7,0))</f>
        <v>0</v>
      </c>
      <c r="HF129" s="16">
        <f>IF(ISNA(VLOOKUP(A129,'Données projet'!$A$269:$I$289,7,0)),0%,VLOOKUP(A129,'Données projet'!$A$269:$I$289,7,0))</f>
        <v>0</v>
      </c>
      <c r="HG129" s="21">
        <f>EXP(-LN(2)/35)*HG128+(1-EXP(-LN(2)/35))/(LN(2)/35)*HC129*HD129*VLOOKUP('Données projet'!$B$18,Paramètres!$A$1:$I$89,3,0)*0.475*44/12</f>
        <v>0</v>
      </c>
      <c r="HH129" s="21">
        <f>EXP(-LN(2)/25)*HH128+(1-EXP(-LN(2)/25))/(LN(2)/25)*Calculateur!HC129*Calculateur!HE129*VLOOKUP('Données projet'!$B$18,Paramètres!$A$1:$I$89,3,0)*0.475*44/12</f>
        <v>0</v>
      </c>
      <c r="HI129" s="21">
        <f>EXP(-LN(2)/2)*HI128+(1-EXP(-LN(2)/2))/(LN(2)/2)*HC129*HF129*VLOOKUP('Données projet'!$B$18,Paramètres!$A$1:$I$89,3,0)*0.475*44/12</f>
        <v>0</v>
      </c>
      <c r="HJ129" s="22">
        <f t="shared" si="84"/>
        <v>0</v>
      </c>
    </row>
    <row r="130" spans="1:218" x14ac:dyDescent="0.25">
      <c r="A130" s="10">
        <f t="shared" si="85"/>
        <v>127</v>
      </c>
      <c r="B130" s="73">
        <f>'Scénario référence'!$B$16*5+'Scénario référence'!$B$17*0+'Scénario référence'!$B$18*5</f>
        <v>0</v>
      </c>
      <c r="C130" s="19">
        <f>Calculateur!C129+'Scénario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112.92840000000021</v>
      </c>
      <c r="D130" s="11">
        <f t="shared" si="86"/>
        <v>30.019879889489037</v>
      </c>
      <c r="E13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30" s="11">
        <f>IF(OR('Scénario référence'!$F$8&gt;0,'Scénario référence'!$F$9&gt;0),('Scénario référence'!$F$8+'Scénario référence'!$F$9)*10,0)</f>
        <v>10</v>
      </c>
      <c r="G130" s="11">
        <f>'Scénario référence'!$B$8*B130*44/12+'Scénario référence'!$B$9*(C130+D130)/0.475*44/12+'Scénario référence'!$B$10*(C130+D130)/0.475*44/12+'Scénario référence'!$F$8*(C130+D130)/0.475*44/12+'Scénario référence'!$F$9*(C130+D130)/0.475*44/12</f>
        <v>1103.4604061644784</v>
      </c>
      <c r="H130" s="67">
        <f t="shared" si="56"/>
        <v>542.30158747419375</v>
      </c>
      <c r="I130" s="70">
        <f>('Scénario référence'!$F$8+'Scénario référence'!$F$9+'Scénario référence'!$B$17+'Scénario référence'!$B$9+'Scénario référence'!$B$10)*70+IF((45+25*(1-EXP(-0.0175*A130)))&lt;70,'Scénario référence'!$B$16*(45+25*(1-EXP(-0.0175*A130))),70*'Scénario référence'!$B$16)+IF((32+38*(1-EXP(-0.0175*A130)))&lt;70,'Scénario référence'!$B$18*(32+38*(1-EXP(-0.0175*A130))),70*'Scénario référence'!$B$18)</f>
        <v>70</v>
      </c>
      <c r="J130" s="13">
        <f>IF(A130&gt;30,10,('Scénario référence'!$B$16+'Scénario référence'!$B$17+'Scénario référence'!$B$18+'Scénario référence'!$B$9+'Scénario référence'!$B$10)*A130*10/30+('Scénario référence'!$F$8+'Scénario référence'!$F$9)*10)</f>
        <v>10</v>
      </c>
      <c r="K130" s="12" t="e">
        <f>VLOOKUP(A130,'Données projet'!$A$35:$I$55,2,0)</f>
        <v>#N/A</v>
      </c>
      <c r="L130" s="12" t="e">
        <f>VLOOKUP(A130,'Données projet'!$A$35:$I$55,9,0)</f>
        <v>#N/A</v>
      </c>
      <c r="M130" s="12">
        <f t="array" ref="M130">INDEX(L:L,MIN(IF(ISNUMBER(L130:L326),ROW(L130:L326),"")))</f>
        <v>0</v>
      </c>
      <c r="N130" s="13">
        <f>IF('Données projet'!$A$36&gt;35,N129+M130-V129,IF(A130&lt;'Données projet'!$A$36,$K$205^A130,IF(A130='Données projet'!$A$36,'Données projet'!$B$36,N129+M130-V129)))</f>
        <v>-2.2737367544323206E-13</v>
      </c>
      <c r="O130" s="13">
        <f>N130*VLOOKUP('Données projet'!$B$9,Paramètres!$A$1:$I$89,3,0)*VLOOKUP('Données projet'!$B$9,Paramètres!$A$1:$I$89,5,0)</f>
        <v>-1.2710188457276673E-13</v>
      </c>
      <c r="P130" s="13" t="e">
        <f t="shared" si="87"/>
        <v>#NUM!</v>
      </c>
      <c r="Q130" s="20" t="e">
        <f t="shared" si="107"/>
        <v>#NUM!</v>
      </c>
      <c r="R130" s="59" t="e">
        <f t="shared" si="55"/>
        <v>#NUM!</v>
      </c>
      <c r="S130" s="59">
        <f ca="1">AVERAGE(OFFSET($R$3,0,0,'Données projet'!$E$9+1,1))-AVERAGE(OFFSET($H$3,0,0,'Données projet'!$E$9+1,1))</f>
        <v>255.5374979188561</v>
      </c>
      <c r="T130" s="59">
        <f t="shared" si="88"/>
        <v>343.10418468620901</v>
      </c>
      <c r="U130" s="15">
        <f>IF(ISNA(VLOOKUP(A130,'Données projet'!$A$35:$I$55,3,0)),0,VLOOKUP(A130,'Données projet'!$A$35:$I$55,3,0))</f>
        <v>0</v>
      </c>
      <c r="V130" s="15">
        <f>IF(ISNA(VLOOKUP(A130,'Données projet'!$A$35:$I$55,4,0)),0,VLOOKUP(A130,'Données projet'!$A$35:$I$55,4,0))</f>
        <v>0</v>
      </c>
      <c r="W130" s="16">
        <f>IF(ISNA(VLOOKUP(A130,'Données projet'!$A$35:$I$55,5,0)),0%,VLOOKUP(A130,'Données projet'!$A$35:$I$55,5,0)*VLOOKUP('Données projet'!$B$9,Paramètres!$A$1:$I$89,7,0))</f>
        <v>0</v>
      </c>
      <c r="X130" s="16">
        <f>IF(ISNA(VLOOKUP(A130,'Données projet'!$A$35:$I$55,6,0)),0%,VLOOKUP(A130,'Données projet'!$A$35:$I$55,6,0)*VLOOKUP('Données projet'!$B$9,Paramètres!$A$1:$I$89,7,0))</f>
        <v>0</v>
      </c>
      <c r="Y130" s="16">
        <f>IF(ISNA(VLOOKUP(A130,'Données projet'!$A$35:$I$55,7,0)),0%,VLOOKUP(A130,'Données projet'!$A$35:$I$55,7,0))</f>
        <v>0</v>
      </c>
      <c r="Z130" s="21">
        <f>EXP(-LN(2)/35)*Z129+(1-EXP(-LN(2)/35))/(LN(2)/35)*V130*W130*VLOOKUP('Données projet'!$B$9,Paramètres!$A$1:$I$89,3,0)*0.475*44/12</f>
        <v>0.45256513084217809</v>
      </c>
      <c r="AA130" s="21">
        <f>EXP(-LN(2)/25)*AA129+(1-EXP(-LN(2)/25))/(LN(2)/25)*Calculateur!V130*Calculateur!X130*VLOOKUP('Données projet'!$B$9,Paramètres!$A$1:$I$89,3,0)*0.475*44/12</f>
        <v>1.0840356257382562</v>
      </c>
      <c r="AB130" s="21">
        <f>EXP(-LN(2)/2)*AB129+(1-EXP(-LN(2)/2))/(LN(2)/2)*V130*Y130*VLOOKUP('Données projet'!$B$9,Paramètres!$A$1:$I$89,3,0)*0.475*44/12</f>
        <v>4.2521924242019825E-15</v>
      </c>
      <c r="AC130" s="22">
        <f t="shared" si="57"/>
        <v>1.5366007565804385</v>
      </c>
      <c r="AD130" s="13">
        <f>('Scénario référence'!$F$8+'Scénario référence'!$F$9+'Scénario référence'!$B$17+'Scénario référence'!$B$9+'Scénario référence'!$B$10)*70+IF((45+25*(1-EXP(-0.0175*A130)))&lt;70,'Scénario référence'!$B$16*(45+25*(1-EXP(-0.0175*A130))),70*'Scénario référence'!$B$16)+IF((32+38*(1-EXP(-0.0175*A130)))&lt;70,'Scénario référence'!$B$18*(32+38*(1-EXP(-0.0175*A130))),70*'Scénario référence'!$B$18)</f>
        <v>70</v>
      </c>
      <c r="AE130" s="13">
        <f>IF(A130&gt;30,10,('Scénario référence'!$B$16+'Scénario référence'!$B$17+'Scénario référence'!$B$18+'Scénario référence'!$B$9+'Scénario référence'!$B$10)*A130*10/30+('Scénario référence'!$F$8+'Scénario référence'!$F$9)*10)</f>
        <v>10</v>
      </c>
      <c r="AF130" s="12" t="e">
        <f>VLOOKUP(A130,'Données projet'!$A$61:$I$81,2,0)</f>
        <v>#N/A</v>
      </c>
      <c r="AG130" s="12" t="e">
        <f>VLOOKUP(A130,'Données projet'!$A$61:$I$81,9,0)</f>
        <v>#N/A</v>
      </c>
      <c r="AH130" s="12">
        <f t="array" ref="AH130">INDEX(AG:AG,MIN(IF(ISNUMBER(AG130:AG326),ROW(AG130:AG326),"")))</f>
        <v>0</v>
      </c>
      <c r="AI130" s="13">
        <f>IF('Données projet'!$A$62&gt;35,AI129+AH130-AQ129,IF(A130&lt;'Données projet'!$A$62,$AF$205^A130,IF(A130='Données projet'!$A$62,'Données projet'!$B$62,AI129+AH130-AQ129)))</f>
        <v>0</v>
      </c>
      <c r="AJ130" s="13">
        <f>AI130*VLOOKUP('Données projet'!$B$10,Paramètres!$A$1:$I$89,3,0)*VLOOKUP('Données projet'!$B$10,Paramètres!$A$1:$I$89,5,0)</f>
        <v>0</v>
      </c>
      <c r="AK130" s="13" t="e">
        <f t="shared" si="89"/>
        <v>#NUM!</v>
      </c>
      <c r="AL130" s="20" t="e">
        <f t="shared" si="58"/>
        <v>#NUM!</v>
      </c>
      <c r="AM130" s="59" t="e">
        <f t="shared" si="59"/>
        <v>#NUM!</v>
      </c>
      <c r="AN130" s="59">
        <f ca="1">AVERAGE(OFFSET($AM$3,0,0,'Données projet'!$E$10+1,1))-AVERAGE(OFFSET($H$3,0,0,'Données projet'!$E$10+1,1))</f>
        <v>261.78489480911571</v>
      </c>
      <c r="AO130" s="59">
        <f t="shared" si="90"/>
        <v>297.50513563712764</v>
      </c>
      <c r="AP130" s="15">
        <f>IF(ISNA(VLOOKUP(A130,'Données projet'!$A$61:$I$81,3,0)),0,VLOOKUP(A130,'Données projet'!$A$61:$I$81,3,0))</f>
        <v>0</v>
      </c>
      <c r="AQ130" s="15">
        <f>IF(ISNA(VLOOKUP(A130,'Données projet'!$A$61:$I$81,4,0)),0,VLOOKUP(A130,'Données projet'!$A$61:$I$81,4,0))</f>
        <v>0</v>
      </c>
      <c r="AR130" s="16">
        <f>IF(ISNA(VLOOKUP(A130,'Données projet'!$A$61:$I$81,5,0)),0%,VLOOKUP(A130,'Données projet'!$A$61:$I$81,5,0)*VLOOKUP('Données projet'!$B$10,Paramètres!$A$1:$I$89,7,0))</f>
        <v>0</v>
      </c>
      <c r="AS130" s="16">
        <f>IF(ISNA(VLOOKUP(A130,'Données projet'!$A$61:$I$81,6,0)),0%,VLOOKUP(A130,'Données projet'!$A$61:$I$81,6,0)*VLOOKUP('Données projet'!$B$10,Paramètres!$A$1:$I$89,7,0))</f>
        <v>0</v>
      </c>
      <c r="AT130" s="16">
        <f>IF(ISNA(VLOOKUP(A130,'Données projet'!$A$61:$I$81,7,0)),0%,VLOOKUP(A130,'Données projet'!$A$61:$I$81,7,0))</f>
        <v>0</v>
      </c>
      <c r="AU130" s="21">
        <f>EXP(-LN(2)/35)*AU129+(1-EXP(-LN(2)/35))/(LN(2)/35)*AQ130*AR130*VLOOKUP('Données projet'!$B$10,Paramètres!$A$1:$I$89,3,0)*0.475*44/12</f>
        <v>1.222053860707168</v>
      </c>
      <c r="AV130" s="21">
        <f>EXP(-LN(2)/25)*AV129+(1-EXP(-LN(2)/25))/(LN(2)/25)*Calculateur!AQ130*Calculateur!AS130*VLOOKUP('Données projet'!$B$10,Paramètres!$A$1:$I$89,3,0)*0.475*44/12</f>
        <v>1.8929473033933448</v>
      </c>
      <c r="AW130" s="21">
        <f>EXP(-LN(2)/2)*AW129+(1-EXP(-LN(2)/2))/(LN(2)/2)*AQ130*AT130*VLOOKUP('Données projet'!$B$10,Paramètres!$A$1:$I$89,3,0)*0.475*44/12</f>
        <v>6.1299401899146741E-14</v>
      </c>
      <c r="AX130" s="21">
        <f t="shared" si="60"/>
        <v>3.1150011641005744</v>
      </c>
      <c r="AY130" s="74">
        <f>('Scénario référence'!$F$8+'Scénario référence'!$F$9+'Scénario référence'!$B$17+'Scénario référence'!$B$9+'Scénario référence'!$B$10)*70+IF((45+25*(1-EXP(-0.0175*A130)))&lt;70,'Scénario référence'!$B$16*(45+25*(1-EXP(-0.0175*A130))),70*'Scénario référence'!$B$16)+IF((32+38*(1-EXP(-0.0175*A130)))&lt;70,'Scénario référence'!$B$18*(32+38*(1-EXP(-0.0175*A130))),70*'Scénario référence'!$B$18)</f>
        <v>70</v>
      </c>
      <c r="AZ130" s="12">
        <f>IF(A130&gt;30,10,('Scénario référence'!$B$16+'Scénario référence'!$B$17+'Scénario référence'!$B$18+'Scénario référence'!$B$9+'Scénario référence'!$B$10)*A130*10/30+('Scénario référence'!$F$8+'Scénario référence'!$F$9)*10)</f>
        <v>10</v>
      </c>
      <c r="BA130" s="12" t="e">
        <f>VLOOKUP(A130,'Données projet'!$A$87:$I$107,2,0)</f>
        <v>#N/A</v>
      </c>
      <c r="BB130" s="12" t="e">
        <f>VLOOKUP(A130,'Données projet'!$A$87:$I$107,9,0)</f>
        <v>#N/A</v>
      </c>
      <c r="BC130" s="12">
        <f t="array" ref="BC130">INDEX(BB:BB,MIN(IF(ISNUMBER(BB130:BB326),ROW(BB130:BB326),"")))</f>
        <v>0</v>
      </c>
      <c r="BD130" s="12">
        <f>IF('Données projet'!$A$88&gt;35,BD129+BC130-BL129,IF(A130&lt;'Données projet'!$A$88,$BA$205^A130,IF(A130='Données projet'!$A$88,'Données projet'!$B$88,BD129+BC130-BL129)))</f>
        <v>553.99999999999955</v>
      </c>
      <c r="BE130" s="13">
        <f>BD130*VLOOKUP('Données projet'!$B$11,Paramètres!$A$1:$I$89,3,0)*VLOOKUP('Données projet'!$B$11,Paramètres!$A$1:$I$89,5,0)</f>
        <v>331.29199999999975</v>
      </c>
      <c r="BF130" s="13">
        <f t="shared" si="91"/>
        <v>77.698110787752</v>
      </c>
      <c r="BG130" s="20">
        <f t="shared" si="61"/>
        <v>712.32444295533423</v>
      </c>
      <c r="BH130" s="59">
        <f t="shared" si="62"/>
        <v>1005.6577762886675</v>
      </c>
      <c r="BI130" s="59">
        <f ca="1">AVERAGE(OFFSET($BH$3,0,0,'Données projet'!$E$11+1,1))-AVERAGE(OFFSET($H$3,0,0,'Données projet'!$E$11+1,1))</f>
        <v>316.58509520829671</v>
      </c>
      <c r="BJ130" s="59">
        <f t="shared" si="92"/>
        <v>240.71332110643596</v>
      </c>
      <c r="BK130" s="15">
        <f>IF(ISNA(VLOOKUP(A130,'Données projet'!$A$87:$I$107,3,0)),0,VLOOKUP(A130,'Données projet'!$A$87:$I$107,3,0))</f>
        <v>0</v>
      </c>
      <c r="BL130" s="15">
        <f>IF(ISNA(VLOOKUP(A130,'Données projet'!$A$87:$I$107,4,0)),0,VLOOKUP(A130,'Données projet'!$A$87:$I$107,4,0))</f>
        <v>0</v>
      </c>
      <c r="BM130" s="16">
        <f>IF(ISNA(VLOOKUP(A130,'Données projet'!$A$87:$I$107,5,0)),0%,VLOOKUP(A130,'Données projet'!$A$87:$I$107,5,0)*VLOOKUP('Données projet'!$B$11,Paramètres!$A$1:$I$89,7,0))</f>
        <v>0</v>
      </c>
      <c r="BN130" s="16">
        <f>IF(ISNA(VLOOKUP(A130,'Données projet'!$A$87:$I$107,6,0)),0%,VLOOKUP(A130,'Données projet'!$A$87:$I$107,6,0)*VLOOKUP('Données projet'!$B$11,Paramètres!$A$1:$I$89,7,0))</f>
        <v>0</v>
      </c>
      <c r="BO130" s="16">
        <f>IF(ISNA(VLOOKUP(A130,'Données projet'!$A$87:$I$107,7,0)),0%,VLOOKUP(A130,'Données projet'!$A$87:$I$107,7,0))</f>
        <v>0</v>
      </c>
      <c r="BP130" s="21">
        <f>EXP(-LN(2)/35)*BP129+(1-EXP(-LN(2)/35))/(LN(2)/35)*BL130*BM130*VLOOKUP('Données projet'!$B$11,Paramètres!$A$1:$I$89,3,0)*0.475*44/12</f>
        <v>0.3712079528524565</v>
      </c>
      <c r="BQ130" s="21">
        <f>EXP(-LN(2)/25)*BQ129+(1-EXP(-LN(2)/25))/(LN(2)/25)*Calculateur!BL130*Calculateur!BN130*VLOOKUP('Données projet'!$B$11,Paramètres!$A$1:$I$89,3,0)*0.475*44/12</f>
        <v>1.0370117653602704</v>
      </c>
      <c r="BR130" s="21">
        <f>EXP(-LN(2)/2)*BR129+(1-EXP(-LN(2)/2))/(LN(2)/2)*BL130*BO130*VLOOKUP('Données projet'!$B$11,Paramètres!$A$1:$I$89,3,0)*0.475*44/12</f>
        <v>5.511487536464707E-14</v>
      </c>
      <c r="BS130" s="22">
        <f t="shared" si="63"/>
        <v>1.408219718212782</v>
      </c>
      <c r="BT130" s="75">
        <f>('Scénario référence'!$F$8+'Scénario référence'!$F$9+'Scénario référence'!$B$17+'Scénario référence'!$B$9+'Scénario référence'!$B$10)*70+IF((45+25*(1-EXP(-0.0175*A130)))&lt;70,'Scénario référence'!$B$16*(45+25*(1-EXP(-0.0175*A130))),70*'Scénario référence'!$B$16)+IF((32+38*(1-EXP(-0.0175*A130)))&lt;70,'Scénario référence'!$B$18*(32+38*(1-EXP(-0.0175*A130))),70*'Scénario référence'!$B$18)</f>
        <v>70</v>
      </c>
      <c r="BU130" s="12">
        <f>IF(A130&gt;30,10,('Scénario référence'!$B$16+'Scénario référence'!$B$17+'Scénario référence'!$B$18+'Scénario référence'!$B$9+'Scénario référence'!$B$10)*A130*10/30+('Scénario référence'!$F$8+'Scénario référence'!$F$9)*10)</f>
        <v>10</v>
      </c>
      <c r="BV130" s="12" t="e">
        <f>VLOOKUP(A130,'Données projet'!$A$113:$I$133,2,0)</f>
        <v>#N/A</v>
      </c>
      <c r="BW130" s="12" t="e">
        <f>VLOOKUP(A130,'Données projet'!$A$113:$I$133,9,0)</f>
        <v>#N/A</v>
      </c>
      <c r="BX130" s="12">
        <f t="array" ref="BX130">INDEX(BW:BW,MIN(IF(ISNUMBER(BW130:BW326),ROW(BW130:BW326),"")))</f>
        <v>0</v>
      </c>
      <c r="BY130" s="12">
        <f>IF('Données projet'!$A$114&gt;35,BY129+BX130-CG129,IF(A130&lt;'Données projet'!$A$114,$BV$205^A130,IF(A130='Données projet'!$A$114,'Données projet'!$B$114,BY129+BX130-CG129)))</f>
        <v>333.99999999999977</v>
      </c>
      <c r="BZ130" s="13">
        <f>BY130*VLOOKUP('Données projet'!$B$12,Paramètres!$A$1:$I$89,3,0)*VLOOKUP('Données projet'!$B$12,Paramètres!$A$1:$I$89,5,0)</f>
        <v>191.04799999999986</v>
      </c>
      <c r="CA130" s="13">
        <f t="shared" si="93"/>
        <v>47.771576544305155</v>
      </c>
      <c r="CB130" s="20">
        <f t="shared" si="64"/>
        <v>415.94409581466454</v>
      </c>
      <c r="CC130" s="59">
        <f t="shared" si="65"/>
        <v>709.27742914799785</v>
      </c>
      <c r="CD130" s="59">
        <f ca="1">AVERAGE(OFFSET($CC$3,0,0,'Données projet'!$E$12+1,1))-AVERAGE(OFFSET($H$3,0,0,'Données projet'!$E$12+1,1))</f>
        <v>188.64374818906128</v>
      </c>
      <c r="CE130" s="59">
        <f t="shared" si="94"/>
        <v>211.95157880548652</v>
      </c>
      <c r="CF130" s="15">
        <f>IF(ISNA(VLOOKUP(A130,'Données projet'!$A$113:$I$133,3,0)),0,VLOOKUP(A130,'Données projet'!$A$113:$I$133,3,0))</f>
        <v>0</v>
      </c>
      <c r="CG130" s="15">
        <f>IF(ISNA(VLOOKUP(A130,'Données projet'!$A$113:$I$133,4,0)),0,VLOOKUP(A130,'Données projet'!$A$113:$I$133,4,0))</f>
        <v>0</v>
      </c>
      <c r="CH130" s="16">
        <f>IF(ISNA(VLOOKUP(A130,'Données projet'!$A$113:$I$133,5,0)),0%,VLOOKUP(A130,'Données projet'!$A$113:$I$133,5,0)*VLOOKUP('Données projet'!$B$12,Paramètres!$A$1:$I$89,7,0))</f>
        <v>0</v>
      </c>
      <c r="CI130" s="16">
        <f>IF(ISNA(VLOOKUP(A130,'Données projet'!$A$113:$I$133,6,0)),0%,VLOOKUP(A130,'Données projet'!$A$113:$I$133,6,0)*VLOOKUP('Données projet'!$B$12,Paramètres!$A$1:$I$89,7,0))</f>
        <v>0</v>
      </c>
      <c r="CJ130" s="16">
        <f>IF(ISNA(VLOOKUP(A130,'Données projet'!$A$113:$I$133,7,0)),0%,VLOOKUP(A130,'Données projet'!$A$113:$I$133,7,0))</f>
        <v>0</v>
      </c>
      <c r="CK130" s="21">
        <f>EXP(-LN(2)/35)*CK129+(1-EXP(-LN(2)/35))/(LN(2)/35)*CG130*CH130*VLOOKUP('Données projet'!$B$12,Paramètres!$A$1:$I$89,3,0)*0.475*44/12</f>
        <v>0.36006944110121891</v>
      </c>
      <c r="CL130" s="21">
        <f>EXP(-LN(2)/25)*CL129+(1-EXP(-LN(2)/25))/(LN(2)/25)*Calculateur!CG130*Calculateur!CI130*VLOOKUP('Données projet'!$B$12,Paramètres!$A$1:$I$89,3,0)*0.475*44/12</f>
        <v>0.97605895333142145</v>
      </c>
      <c r="CM130" s="21">
        <f>EXP(-LN(2)/2)*CM129+(1-EXP(-LN(2)/2))/(LN(2)/2)*CG130*CJ130*VLOOKUP('Données projet'!$B$12,Paramètres!$A$1:$I$89,3,0)*0.475*44/12</f>
        <v>5.3374444538768893E-14</v>
      </c>
      <c r="CN130" s="22">
        <f t="shared" si="66"/>
        <v>1.3361283944326936</v>
      </c>
      <c r="CO130" s="75">
        <f>('Scénario référence'!$F$8+'Scénario référence'!$F$9+'Scénario référence'!$B$17+'Scénario référence'!$B$9+'Scénario référence'!$B$10)*70+IF((45+25*(1-EXP(-0.0175*A130)))&lt;70,'Scénario référence'!$B$16*(45+25*(1-EXP(-0.0175*A130))),70*'Scénario référence'!$B$16)+IF((32+38*(1-EXP(-0.0175*A130)))&lt;70,'Scénario référence'!$B$18*(32+38*(1-EXP(-0.0175*A130))),70*'Scénario référence'!$B$18)</f>
        <v>70</v>
      </c>
      <c r="CP130" s="12">
        <f>IF(A130&gt;30,10,('Scénario référence'!$B$16+'Scénario référence'!$B$17+'Scénario référence'!$B$18+'Scénario référence'!$B$9+'Scénario référence'!$B$10)*A130*10/30+('Scénario référence'!$F$8+'Scénario référence'!$F$9)*10)</f>
        <v>10</v>
      </c>
      <c r="CQ130" s="12" t="e">
        <f>VLOOKUP(A130,'Données projet'!$A$139:$I$159,2,0)</f>
        <v>#N/A</v>
      </c>
      <c r="CR130" s="12" t="e">
        <f>VLOOKUP(A130,'Données projet'!$A$139:$I$159,9,0)</f>
        <v>#N/A</v>
      </c>
      <c r="CS130" s="12">
        <f t="array" ref="CS130">INDEX(CR:CR,MIN(IF(ISNUMBER(CR130:CR326),ROW(CR130:CR326),"")))</f>
        <v>0</v>
      </c>
      <c r="CT130" s="12">
        <f>IF('Données projet'!$A$140&gt;35,CT129+CS130-DB129,IF(A130&lt;'Données projet'!$A$140,$CQ$205^A130,IF(A130='Données projet'!$A$140,'Données projet'!$B$140,CT129+CS130-DB129)))</f>
        <v>0</v>
      </c>
      <c r="CU130" s="17" t="e">
        <f>CT130*VLOOKUP('Données projet'!$B$13,Paramètres!$A$1:$I$89,3,0)*VLOOKUP('Données projet'!$B$13,Paramètres!$A$1:$I$89,5,0)</f>
        <v>#N/A</v>
      </c>
      <c r="CV130" s="13" t="e">
        <f t="shared" si="95"/>
        <v>#N/A</v>
      </c>
      <c r="CW130" s="20" t="e">
        <f t="shared" si="67"/>
        <v>#N/A</v>
      </c>
      <c r="CX130" s="59" t="e">
        <f t="shared" si="68"/>
        <v>#N/A</v>
      </c>
      <c r="CY130" s="59" t="e">
        <f ca="1">AVERAGE(OFFSET($CX$3,0,0,'Données projet'!$E$13+1,1))-AVERAGE(OFFSET($H$3,0,0,'Données projet'!$E$13+1,1))</f>
        <v>#N/A</v>
      </c>
      <c r="CZ130" s="59" t="e">
        <f t="shared" si="96"/>
        <v>#N/A</v>
      </c>
      <c r="DA130" s="15">
        <f>IF(ISNA(VLOOKUP(A130,'Données projet'!$A$139:$I$159,3,0)),0,VLOOKUP(A130,'Données projet'!$A$139:$I$159,3,0))</f>
        <v>0</v>
      </c>
      <c r="DB130" s="15">
        <f>IF(ISNA(VLOOKUP(A130,'Données projet'!$A$139:$I$159,4,0)),0,VLOOKUP(A130,'Données projet'!$A$139:$I$159,4,0))</f>
        <v>0</v>
      </c>
      <c r="DC130" s="16">
        <f>IF(ISNA(VLOOKUP(A130,'Données projet'!$A$139:$I$159,5,0)),0%,VLOOKUP(A130,'Données projet'!$A$139:$I$159,5,0)*VLOOKUP('Données projet'!$B$13,Paramètres!$A$1:$I$89,7,0))</f>
        <v>0</v>
      </c>
      <c r="DD130" s="16">
        <f>IF(ISNA(VLOOKUP(A130,'Données projet'!$A$139:$I$159,6,0)),0%,VLOOKUP(A130,'Données projet'!$A$139:$I$159,6,0)*VLOOKUP('Données projet'!$B$13,Paramètres!$A$1:$I$89,7,0))</f>
        <v>0</v>
      </c>
      <c r="DE130" s="16">
        <f>IF(ISNA(VLOOKUP(A130,'Données projet'!$A$139:$I$159,7,0)),0%,VLOOKUP(A130,'Données projet'!$A$139:$I$159,7,0))</f>
        <v>0</v>
      </c>
      <c r="DF130" s="21" t="e">
        <f>EXP(-LN(2)/35)*DF129+(1-EXP(-LN(2)/35))/(LN(2)/35)*DB130*DC130*VLOOKUP('Données projet'!$B$13,Paramètres!$A$1:$I$89,3,0)*0.475*44/12</f>
        <v>#N/A</v>
      </c>
      <c r="DG130" s="21" t="e">
        <f>EXP(-LN(2)/25)*DG129+(1-EXP(-LN(2)/25))/(LN(2)/25)*Calculateur!DB130*Calculateur!DD130*VLOOKUP('Données projet'!$B$13,Paramètres!$A$1:$I$89,3,0)*0.475*44/12</f>
        <v>#N/A</v>
      </c>
      <c r="DH130" s="21" t="e">
        <f>EXP(-LN(2)/2)*DH129+(1-EXP(-LN(2)/2))/(LN(2)/2)*DB130*DE130*VLOOKUP('Données projet'!$B$13,Paramètres!$A$1:$I$89,3,0)*0.475*44/12</f>
        <v>#N/A</v>
      </c>
      <c r="DI130" s="22" t="e">
        <f t="shared" si="69"/>
        <v>#N/A</v>
      </c>
      <c r="DJ130" s="75">
        <f>('Scénario référence'!$F$8+'Scénario référence'!$F$9+'Scénario référence'!$B$17+'Scénario référence'!$B$9+'Scénario référence'!$B$10)*70+IF((45+25*(1-EXP(-0.0175*A130)))&lt;70,'Scénario référence'!$B$16*(45+25*(1-EXP(-0.0175*A130))),70*'Scénario référence'!$B$16)+IF((32+38*(1-EXP(-0.0175*A130)))&lt;70,'Scénario référence'!$B$18*(32+38*(1-EXP(-0.0175*A130))),70*'Scénario référence'!$B$18)</f>
        <v>70</v>
      </c>
      <c r="DK130" s="12">
        <f>IF(A130&gt;30,10,('Scénario référence'!$B$16+'Scénario référence'!$B$17+'Scénario référence'!$B$18+'Scénario référence'!$B$9+'Scénario référence'!$B$10)*A130*10/30+('Scénario référence'!$F$8+'Scénario référence'!$F$9)*10)</f>
        <v>10</v>
      </c>
      <c r="DL130" s="12" t="e">
        <f>VLOOKUP(A130,'Données projet'!$A$165:$I$185,2,0)</f>
        <v>#N/A</v>
      </c>
      <c r="DM130" s="12" t="e">
        <f>VLOOKUP(A130,'Données projet'!$A$165:$I$185,9,0)</f>
        <v>#N/A</v>
      </c>
      <c r="DN130" s="12">
        <f t="array" ref="DN130">INDEX(DM:DM,MIN(IF(ISNUMBER(DM130:DM326),ROW(DM130:DM326),"")))</f>
        <v>0</v>
      </c>
      <c r="DO130" s="12">
        <f>IF('Données projet'!$A$166&gt;35,DO129+DN130-DW129,IF(A130&lt;'Données projet'!$A$166,$DL$205^A130,IF(A130='Données projet'!$A$166,'Données projet'!$B$166,DO129+DN130-DW129)))</f>
        <v>268.00000000000017</v>
      </c>
      <c r="DP130" s="17">
        <f>DO130*VLOOKUP('Données projet'!$B$14,Paramètres!$A$1:$I$89,3,0)*VLOOKUP('Données projet'!$B$14,Paramètres!$A$1:$I$89,5,0)</f>
        <v>175.59360000000012</v>
      </c>
      <c r="DQ130" s="13">
        <f t="shared" si="97"/>
        <v>44.340433728638573</v>
      </c>
      <c r="DR130" s="20">
        <f t="shared" si="70"/>
        <v>383.05177541071242</v>
      </c>
      <c r="DS130" s="59">
        <f t="shared" si="71"/>
        <v>676.38510874404574</v>
      </c>
      <c r="DT130" s="59">
        <f ca="1">AVERAGE(OFFSET($DS$3,0,0,'Données projet'!$E$14+1,1))-AVERAGE(OFFSET($H$3,0,0,'Données projet'!$E$14+1,1))</f>
        <v>188.68915783955595</v>
      </c>
      <c r="DU130" s="59">
        <f t="shared" si="98"/>
        <v>240.82467772396944</v>
      </c>
      <c r="DV130" s="15">
        <f>IF(ISNA(VLOOKUP(A130,'Données projet'!$A$165:$I$185,3,0)),0,VLOOKUP(A130,'Données projet'!$A$165:$I$185,3,0))</f>
        <v>0</v>
      </c>
      <c r="DW130" s="15">
        <f>IF(ISNA(VLOOKUP(A130,'Données projet'!$A$165:$I$185,4,0)),0,VLOOKUP(A130,'Données projet'!$A$165:$I$185,4,0))</f>
        <v>0</v>
      </c>
      <c r="DX130" s="16">
        <f>IF(ISNA(VLOOKUP(A130,'Données projet'!$A$165:$I$185,5,0)),0%,VLOOKUP(A130,'Données projet'!$A$165:$I$185,5,0)*VLOOKUP('Données projet'!$B$14,Paramètres!$A$1:$I$89,7,0))</f>
        <v>0</v>
      </c>
      <c r="DY130" s="16">
        <f>IF(ISNA(VLOOKUP(A130,'Données projet'!$A$165:$I$185,6,0)),0%,VLOOKUP(A130,'Données projet'!$A$165:$I$185,6,0)*VLOOKUP('Données projet'!$B$14,Paramètres!$A$1:$I$89,7,0))</f>
        <v>0</v>
      </c>
      <c r="DZ130" s="16">
        <f>IF(ISNA(VLOOKUP(A130,'Données projet'!$A$165:$I$185,7,0)),0%,VLOOKUP(A130,'Données projet'!$A$165:$I$185,7,0))</f>
        <v>0</v>
      </c>
      <c r="EA130" s="21">
        <f>EXP(-LN(2)/35)*EA129+(1-EXP(-LN(2)/35))/(LN(2)/35)*DW130*DX130*VLOOKUP('Données projet'!$B$14,Paramètres!$A$1:$I$89,3,0)*0.475*44/12</f>
        <v>0.22807428823961881</v>
      </c>
      <c r="EB130" s="21">
        <f>EXP(-LN(2)/25)*EB129+(1-EXP(-LN(2)/25))/(LN(2)/25)*Calculateur!DW130*Calculateur!DY130*VLOOKUP('Données projet'!$B$14,Paramètres!$A$1:$I$89,3,0)*0.475*44/12</f>
        <v>0.54595041275664224</v>
      </c>
      <c r="EC130" s="21">
        <f>EXP(-LN(2)/2)*EC129+(1-EXP(-LN(2)/2))/(LN(2)/2)*DW130*DZ130*VLOOKUP('Données projet'!$B$14,Paramètres!$A$1:$I$89,3,0)*0.475*44/12</f>
        <v>3.5161047404488176E-14</v>
      </c>
      <c r="ED130" s="22">
        <f t="shared" si="72"/>
        <v>0.77402470099629628</v>
      </c>
      <c r="EE130" s="75">
        <f>('Scénario référence'!$F$8+'Scénario référence'!$F$9+'Scénario référence'!$B$17+'Scénario référence'!$B$9+'Scénario référence'!$B$10)*70+IF((45+25*(1-EXP(-0.0175*A130)))&lt;70,'Scénario référence'!$B$16*(45+25*(1-EXP(-0.0175*A130))),70*'Scénario référence'!$B$16)+IF((32+38*(1-EXP(-0.0175*A130)))&lt;70,'Scénario référence'!$B$18*(32+38*(1-EXP(-0.0175*A130))),70*'Scénario référence'!$B$18)</f>
        <v>70</v>
      </c>
      <c r="EF130" s="12">
        <f>IF(A130&gt;30,10,('Scénario référence'!$B$16+'Scénario référence'!$B$17+'Scénario référence'!$B$18+'Scénario référence'!$B$9+'Scénario référence'!$B$10)*A130*10/30+('Scénario référence'!$F$8+'Scénario référence'!$F$9)*10)</f>
        <v>10</v>
      </c>
      <c r="EG130" s="12" t="e">
        <f>VLOOKUP(A130,'Données projet'!$A$191:$I$211,2,0)</f>
        <v>#N/A</v>
      </c>
      <c r="EH130" s="12" t="e">
        <f>VLOOKUP(A130,'Données projet'!$A$191:$I$211,9,0)</f>
        <v>#N/A</v>
      </c>
      <c r="EI130" s="12">
        <f t="array" ref="EI130">INDEX(EH:EH,MIN(IF(ISNUMBER(EH130:EH326),ROW(EH130:EH326),"")))</f>
        <v>0</v>
      </c>
      <c r="EJ130" s="12">
        <f>IF('Données projet'!$A$192&gt;35,EJ129+EI130-ER129,IF(A130&lt;'Données projet'!$A$192,$EG$205^A130,IF(A130='Données projet'!$A$192,'Données projet'!$B$192,EJ129+EI130-ER129)))</f>
        <v>275.99999999999972</v>
      </c>
      <c r="EK130" s="17">
        <f>EJ130*VLOOKUP('Données projet'!$B$15,Paramètres!$A$1:$I$89,3,0)*VLOOKUP('Données projet'!$B$15,Paramètres!$A$1:$I$89,5,0)</f>
        <v>223.8911999999998</v>
      </c>
      <c r="EL130" s="13">
        <f t="shared" si="99"/>
        <v>54.95975389514858</v>
      </c>
      <c r="EM130" s="20">
        <f t="shared" si="73"/>
        <v>485.66541136738346</v>
      </c>
      <c r="EN130" s="59">
        <f t="shared" si="74"/>
        <v>778.99874470071677</v>
      </c>
      <c r="EO130" s="59">
        <f ca="1">AVERAGE(OFFSET($EN$3,0,0,'Données projet'!$E$15+1,1))-AVERAGE(OFFSET($H$3,0,0,'Données projet'!$E$15+1,1))</f>
        <v>205.5272583787887</v>
      </c>
      <c r="EP130" s="59">
        <f t="shared" si="100"/>
        <v>180.54762778843178</v>
      </c>
      <c r="EQ130" s="15">
        <f>IF(ISNA(VLOOKUP(A130,'Données projet'!$A$191:$I$211,3,0)),0,VLOOKUP(A130,'Données projet'!$A$191:$I$211,3,0))</f>
        <v>0</v>
      </c>
      <c r="ER130" s="15">
        <f>IF(ISNA(VLOOKUP(A130,'Données projet'!$A$191:$I$211,4,0)),0,VLOOKUP(A130,'Données projet'!$A$191:$I$211,4,0))</f>
        <v>0</v>
      </c>
      <c r="ES130" s="16">
        <f>IF(ISNA(VLOOKUP(A130,'Données projet'!$A$191:$I$211,5,0)),0%,VLOOKUP(A130,'Données projet'!$A$191:$I$211,5,0)*VLOOKUP('Données projet'!$B$15,Paramètres!$A$1:$I$89,7,0))</f>
        <v>0</v>
      </c>
      <c r="ET130" s="16">
        <f>IF(ISNA(VLOOKUP(A130,'Données projet'!$A$191:$I$211,6,0)),0%,VLOOKUP(A130,'Données projet'!$A$191:$I$211,6,0)*VLOOKUP('Données projet'!$B$15,Paramètres!$A$1:$I$89,7,0))</f>
        <v>0</v>
      </c>
      <c r="EU130" s="16">
        <f>IF(ISNA(VLOOKUP(A130,'Données projet'!$A$191:$I$211,7,0)),0%,VLOOKUP(A130,'Données projet'!$A$191:$I$211,7,0))</f>
        <v>0</v>
      </c>
      <c r="EV130" s="21">
        <f>EXP(-LN(2)/35)*EV129+(1-EXP(-LN(2)/35))/(LN(2)/35)*ER130*ES130*VLOOKUP('Données projet'!$B$15,Paramètres!$A$1:$I$89,3,0)*0.475*44/12</f>
        <v>0.14683639890474512</v>
      </c>
      <c r="EW130" s="21">
        <f>EXP(-LN(2)/25)*EW129+(1-EXP(-LN(2)/25))/(LN(2)/25)*Calculateur!ER130*Calculateur!ET130*VLOOKUP('Données projet'!$B$15,Paramètres!$A$1:$I$89,3,0)*0.475*44/12</f>
        <v>0.3941927599428432</v>
      </c>
      <c r="EX130" s="21">
        <f>EXP(-LN(2)/2)*EX129+(1-EXP(-LN(2)/2))/(LN(2)/2)*ER130*EU130*VLOOKUP('Données projet'!$B$15,Paramètres!$A$1:$I$89,3,0)*0.475*44/12</f>
        <v>2.2766804193405973E-14</v>
      </c>
      <c r="EY130" s="22">
        <f t="shared" si="75"/>
        <v>0.54102915884761105</v>
      </c>
      <c r="EZ130" s="75">
        <f>('Scénario référence'!$F$8+'Scénario référence'!$F$9+'Scénario référence'!$B$17+'Scénario référence'!$B$9+'Scénario référence'!$B$10)*70+IF((45+25*(1-EXP(-0.0175*A130)))&lt;70,'Scénario référence'!$B$16*(45+25*(1-EXP(-0.0175*A130))),70*'Scénario référence'!$B$16)+IF((32+38*(1-EXP(-0.0175*A130)))&lt;70,'Scénario référence'!$B$18*(32+38*(1-EXP(-0.0175*A130))),70*'Scénario référence'!$B$18)</f>
        <v>70</v>
      </c>
      <c r="FA130" s="12">
        <f>IF(A130&gt;30,10,('Scénario référence'!$B$16+'Scénario référence'!$B$17+'Scénario référence'!$B$18+'Scénario référence'!$B$9+'Scénario référence'!$B$10)*A130*10/30+('Scénario référence'!$F$8+'Scénario référence'!$F$9)*10)</f>
        <v>10</v>
      </c>
      <c r="FB130" s="12" t="e">
        <f>VLOOKUP(A130,'Données projet'!$A$217:$I$237,2,0)</f>
        <v>#N/A</v>
      </c>
      <c r="FC130" s="12" t="e">
        <f>VLOOKUP(A130,'Données projet'!$A$217:$I$237,9,0)</f>
        <v>#N/A</v>
      </c>
      <c r="FD130" s="12">
        <f t="array" ref="FD130">INDEX(FC:FC,MIN(IF(ISNUMBER(FC130:FC326),ROW(FC130:FC326),"")))</f>
        <v>6.3</v>
      </c>
      <c r="FE130" s="12">
        <f>IF('Données projet'!$A$218&gt;35,FE129+FD130-FM129,IF(A130&lt;'Données projet'!$A$218,$FB$205^A130,IF(A130='Données projet'!$A$218,'Données projet'!$B$218,FE129+FD130-FM129)))</f>
        <v>436.09999999999991</v>
      </c>
      <c r="FF130" s="17">
        <f>FE130*VLOOKUP('Données projet'!$B$16,Paramètres!$A$1:$I$89,3,0)*VLOOKUP('Données projet'!$B$16,Paramètres!$A$1:$I$89,5,0)</f>
        <v>374.17379999999997</v>
      </c>
      <c r="FG130" s="13">
        <f t="shared" si="101"/>
        <v>86.520635080797106</v>
      </c>
      <c r="FH130" s="20">
        <f t="shared" si="76"/>
        <v>802.37614109905473</v>
      </c>
      <c r="FI130" s="59">
        <f t="shared" si="77"/>
        <v>1095.7094744323881</v>
      </c>
      <c r="FJ130" s="59">
        <f ca="1">AVERAGE(OFFSET($FI$3,0,0,'Données projet'!$E$16+1,1))-AVERAGE(OFFSET($H$3,0,0,'Données projet'!$E$16+1,1))</f>
        <v>383.97627237444709</v>
      </c>
      <c r="FK130" s="59">
        <f t="shared" si="102"/>
        <v>203.35476578922339</v>
      </c>
      <c r="FL130" s="15">
        <f>IF(ISNA(VLOOKUP(A130,'Données projet'!$A$217:$I$237,3,0)),0,VLOOKUP(A130,'Données projet'!$A$217:$I$237,3,0))</f>
        <v>0</v>
      </c>
      <c r="FM130" s="15">
        <f>IF(ISNA(VLOOKUP(A130,'Données projet'!$A$217:$I$237,4,0)),0,VLOOKUP(A130,'Données projet'!$A$217:$I$237,4,0))</f>
        <v>0</v>
      </c>
      <c r="FN130" s="16">
        <f>IF(ISNA(VLOOKUP(A130,'Données projet'!$A$217:$I$237,5,0)),0%,VLOOKUP(A130,'Données projet'!$A$217:$I$237,5,0)*VLOOKUP('Données projet'!$B$16,Paramètres!$A$1:$I$89,7,0))</f>
        <v>0</v>
      </c>
      <c r="FO130" s="16">
        <f>IF(ISNA(VLOOKUP(A130,'Données projet'!$A$217:$I$237,6,0)),0%,VLOOKUP(A130,'Données projet'!$A$217:$I$237,6,0)*VLOOKUP('Données projet'!$B$16,Paramètres!$A$1:$I$89,7,0))</f>
        <v>0</v>
      </c>
      <c r="FP130" s="16">
        <f>IF(ISNA(VLOOKUP(A130,'Données projet'!$A$217:$I$237,7,0)),0%,VLOOKUP(A130,'Données projet'!$A$217:$I$237,7,0))</f>
        <v>0</v>
      </c>
      <c r="FQ130" s="21">
        <f>EXP(-LN(2)/35)*FQ129+(1-EXP(-LN(2)/35))/(LN(2)/35)*FM130*FN130*VLOOKUP('Données projet'!$B$16,Paramètres!$A$1:$I$89,3,0)*0.475*44/12</f>
        <v>0.7546594285425835</v>
      </c>
      <c r="FR130" s="21">
        <f>EXP(-LN(2)/25)*FR129+(1-EXP(-LN(2)/25))/(LN(2)/25)*Calculateur!FM130*Calculateur!FO130*VLOOKUP('Données projet'!$B$16,Paramètres!$A$1:$I$89,3,0)*0.475*44/12</f>
        <v>0.40014639503588778</v>
      </c>
      <c r="FS130" s="21">
        <f>EXP(-LN(2)/2)*FS129+(1-EXP(-LN(2)/2))/(LN(2)/2)*FM130*FP130*VLOOKUP('Données projet'!$B$16,Paramètres!$A$1:$I$89,3,0)*0.475*44/12</f>
        <v>4.1817946878583833E-14</v>
      </c>
      <c r="FT130" s="22">
        <f t="shared" si="78"/>
        <v>1.154805823578513</v>
      </c>
      <c r="FU130" s="75">
        <f>('Scénario référence'!$F$8+'Scénario référence'!$F$9+'Scénario référence'!$B$17+'Scénario référence'!$B$9+'Scénario référence'!$B$10)*70+IF((45+25*(1-EXP(-0.0175*A130)))&lt;70,'Scénario référence'!$B$16*(45+25*(1-EXP(-0.0175*A130))),70*'Scénario référence'!$B$16)+IF((32+38*(1-EXP(-0.0175*A130)))&lt;70,'Scénario référence'!$B$18*(32+38*(1-EXP(-0.0175*A130))),70*'Scénario référence'!$B$18)</f>
        <v>70</v>
      </c>
      <c r="FV130" s="12">
        <f>IF(A130&gt;30,10,('Scénario référence'!$B$16+'Scénario référence'!$B$17+'Scénario référence'!$B$18+'Scénario référence'!$B$9+'Scénario référence'!$B$10)*A130*10/30+('Scénario référence'!$F$8+'Scénario référence'!$F$9)*10)</f>
        <v>10</v>
      </c>
      <c r="FW130" s="12">
        <f>VLOOKUP(A130,'Données projet'!$A$243:$I$263,2,0)</f>
        <v>154.80128205128204</v>
      </c>
      <c r="FX130" s="12">
        <f>VLOOKUP(A130,'Données projet'!$A$243:$I$263,9,0)</f>
        <v>2.3349358974358978</v>
      </c>
      <c r="FY130" s="12">
        <f t="array" ref="FY130">INDEX(FX:FX,MIN(IF(ISNUMBER(FX130:FX326),ROW(FX130:FX326),"")))</f>
        <v>2.3349358974358978</v>
      </c>
      <c r="FZ130" s="12">
        <f>IF('Données projet'!$A$244&gt;35,FZ129+FY130-GH129,IF(A130&lt;'Données projet'!$A$244,$FW$205^A130,IF(A130='Données projet'!$A$244,'Données projet'!$B$244,FZ129+FY130-GH129)))</f>
        <v>154.8012820512825</v>
      </c>
      <c r="GA130" s="17">
        <f>FZ130*VLOOKUP('Données projet'!$B$17,Paramètres!$A$1:$I$89,3,0)*VLOOKUP('Données projet'!$B$17,Paramètres!$A$1:$I$89,5,0)</f>
        <v>166.62810000000047</v>
      </c>
      <c r="GB130" s="13">
        <f t="shared" si="103"/>
        <v>42.333951870522903</v>
      </c>
      <c r="GC130" s="20">
        <f t="shared" si="79"/>
        <v>363.94224034116149</v>
      </c>
      <c r="GD130" s="59">
        <f t="shared" si="80"/>
        <v>657.27557367449481</v>
      </c>
      <c r="GE130" s="59">
        <f ca="1">AVERAGE(OFFSET($GD$3,0,0,'Données projet'!$E$17+1,1))-AVERAGE(OFFSET($H$3,0,0,'Données projet'!$E$17+1,1))</f>
        <v>286.77702855541287</v>
      </c>
      <c r="GF130" s="59">
        <f t="shared" si="104"/>
        <v>227.12211541860779</v>
      </c>
      <c r="GG130" s="15">
        <f>IF(ISNA(VLOOKUP(A130,'Données projet'!$A$243:$I$263,3,0)),0,VLOOKUP(A130,'Données projet'!$A$243:$I$263,3,0))</f>
        <v>13</v>
      </c>
      <c r="GH130" s="15">
        <f>IF(ISNA(VLOOKUP(A130,'Données projet'!$A$243:$I$263,4,0)),0,VLOOKUP(A130,'Données projet'!$A$243:$I$263,4,0))</f>
        <v>49.916666666666671</v>
      </c>
      <c r="GI130" s="16">
        <f>IF(ISNA(VLOOKUP(A130,'Données projet'!$A$243:$I$263,5,0)),0%,VLOOKUP(A130,'Données projet'!$A$243:$I$263,5,0)*VLOOKUP('Données projet'!$B$17,Paramètres!$A$1:$I$89,7,0))</f>
        <v>0</v>
      </c>
      <c r="GJ130" s="16">
        <f>IF(ISNA(VLOOKUP(A130,'Données projet'!$A$243:$I$263,6,0)),0%,VLOOKUP(A130,'Données projet'!$A$243:$I$263,6,0)*VLOOKUP('Données projet'!$B$17,Paramètres!$A$1:$I$89,7,0))</f>
        <v>0</v>
      </c>
      <c r="GK130" s="16">
        <f>IF(ISNA(VLOOKUP(A130,'Données projet'!$A$243:$I$263,7,0)),0%,VLOOKUP(A130,'Données projet'!$A$243:$I$263,7,0))</f>
        <v>0</v>
      </c>
      <c r="GL130" s="21">
        <f>EXP(-LN(2)/35)*GL129+(1-EXP(-LN(2)/35))/(LN(2)/35)*GH130*GI130*VLOOKUP('Données projet'!$B$17,Paramètres!$A$1:$I$89,3,0)*0.475*44/12</f>
        <v>0</v>
      </c>
      <c r="GM130" s="21">
        <f>EXP(-LN(2)/25)*GM129+(1-EXP(-LN(2)/25))/(LN(2)/25)*Calculateur!GH130*Calculateur!GJ130*VLOOKUP('Données projet'!$B$17,Paramètres!$A$1:$I$89,3,0)*0.475*44/12</f>
        <v>0</v>
      </c>
      <c r="GN130" s="21">
        <f>EXP(-LN(2)/2)*GN129+(1-EXP(-LN(2)/2))/(LN(2)/2)*GH130*GK130*VLOOKUP('Données projet'!$B$17,Paramètres!$A$1:$I$89,3,0)*0.475*44/12</f>
        <v>0</v>
      </c>
      <c r="GO130" s="21">
        <f t="shared" si="81"/>
        <v>0</v>
      </c>
      <c r="GP130" s="75">
        <f>('Scénario référence'!$F$8+'Scénario référence'!$F$9+'Scénario référence'!$B$17+'Scénario référence'!$B$9+'Scénario référence'!$B$10)*70+IF((45+25*(1-EXP(-0.0175*A130)))&lt;70,'Scénario référence'!$B$16*(45+25*(1-EXP(-0.0175*A130))),70*'Scénario référence'!$B$16)+IF((32+38*(1-EXP(-0.0175*A130)))&lt;70,'Scénario référence'!$B$18*(32+38*(1-EXP(-0.0175*A130))),70*'Scénario référence'!$B$18)</f>
        <v>70</v>
      </c>
      <c r="GQ130" s="12">
        <f>IF(A130&gt;30,10,('Scénario référence'!$B$16+'Scénario référence'!$B$17+'Scénario référence'!$B$18+'Scénario référence'!$B$9+'Scénario référence'!$B$10)*A130*10/30+('Scénario référence'!$F$8+'Scénario référence'!$F$9)*10)</f>
        <v>10</v>
      </c>
      <c r="GR130" s="12">
        <f>VLOOKUP(A130,'Données projet'!$A$269:$I$289,2,0)</f>
        <v>154.80128205128204</v>
      </c>
      <c r="GS130" s="12">
        <f>VLOOKUP(A130,'Données projet'!$A$269:$I$289,9,0)</f>
        <v>2.3349358974358978</v>
      </c>
      <c r="GT130" s="12">
        <f t="array" ref="GT130">INDEX(GS:GS,MIN(IF(ISNUMBER(GS130:GS326),ROW(GS130:GS326),"")))</f>
        <v>2.3349358974358978</v>
      </c>
      <c r="GU130" s="12">
        <f>IF('Données projet'!$A$270&gt;35,GU129+GT130-HC129,IF(A130&lt;'Données projet'!$A$270,$GR$205^A130,IF(A130='Données projet'!$A$270,'Données projet'!$B$270,GU129+GT130-HC129)))</f>
        <v>154.8012820512825</v>
      </c>
      <c r="GV130" s="17">
        <f>GU130*VLOOKUP('Données projet'!$B$18,Paramètres!$A$1:$I$89,3,0)*VLOOKUP('Données projet'!$B$18,Paramètres!$A$1:$I$89,5,0)</f>
        <v>166.62810000000047</v>
      </c>
      <c r="GW130" s="13">
        <f t="shared" si="105"/>
        <v>42.333951870522903</v>
      </c>
      <c r="GX130" s="20">
        <f t="shared" si="82"/>
        <v>363.94224034116149</v>
      </c>
      <c r="GY130" s="59">
        <f t="shared" si="83"/>
        <v>657.27557367449481</v>
      </c>
      <c r="GZ130" s="59">
        <f ca="1">AVERAGE(OFFSET($GY$3,0,0,'Données projet'!$E$18+1,1))-AVERAGE(OFFSET($H$3,0,0,'Données projet'!$E$18+1,1))</f>
        <v>286.77702855541287</v>
      </c>
      <c r="HA130" s="59">
        <f t="shared" si="106"/>
        <v>227.12211541860779</v>
      </c>
      <c r="HB130" s="15">
        <f>IF(ISNA(VLOOKUP(A130,'Données projet'!$A$269:$I$289,3,0)),0,VLOOKUP(A130,'Données projet'!$A$269:$I$289,3,0))</f>
        <v>13</v>
      </c>
      <c r="HC130" s="15">
        <f>IF(ISNA(VLOOKUP(A130,'Données projet'!$A$269:$I$289,4,0)),0,VLOOKUP(A130,'Données projet'!$A$269:$I$289,4,0))</f>
        <v>49.916666666666671</v>
      </c>
      <c r="HD130" s="16">
        <f>IF(ISNA(VLOOKUP(A130,'Données projet'!$A$269:$I$289,5,0)),0%,VLOOKUP(A130,'Données projet'!$A$269:$I$289,5,0)*VLOOKUP('Données projet'!$B$18,Paramètres!$A$1:$I$89,7,0))</f>
        <v>0</v>
      </c>
      <c r="HE130" s="16">
        <f>IF(ISNA(VLOOKUP(A130,'Données projet'!$A$269:$I$289,6,0)),0%,VLOOKUP(A130,'Données projet'!$A$269:$I$289,6,0)*VLOOKUP('Données projet'!$B$18,Paramètres!$A$1:$I$89,7,0))</f>
        <v>0</v>
      </c>
      <c r="HF130" s="16">
        <f>IF(ISNA(VLOOKUP(A130,'Données projet'!$A$269:$I$289,7,0)),0%,VLOOKUP(A130,'Données projet'!$A$269:$I$289,7,0))</f>
        <v>0</v>
      </c>
      <c r="HG130" s="21">
        <f>EXP(-LN(2)/35)*HG129+(1-EXP(-LN(2)/35))/(LN(2)/35)*HC130*HD130*VLOOKUP('Données projet'!$B$18,Paramètres!$A$1:$I$89,3,0)*0.475*44/12</f>
        <v>0</v>
      </c>
      <c r="HH130" s="21">
        <f>EXP(-LN(2)/25)*HH129+(1-EXP(-LN(2)/25))/(LN(2)/25)*Calculateur!HC130*Calculateur!HE130*VLOOKUP('Données projet'!$B$18,Paramètres!$A$1:$I$89,3,0)*0.475*44/12</f>
        <v>0</v>
      </c>
      <c r="HI130" s="21">
        <f>EXP(-LN(2)/2)*HI129+(1-EXP(-LN(2)/2))/(LN(2)/2)*HC130*HF130*VLOOKUP('Données projet'!$B$18,Paramètres!$A$1:$I$89,3,0)*0.475*44/12</f>
        <v>0</v>
      </c>
      <c r="HJ130" s="22">
        <f t="shared" si="84"/>
        <v>0</v>
      </c>
    </row>
    <row r="131" spans="1:218" x14ac:dyDescent="0.25">
      <c r="A131" s="10">
        <f t="shared" si="85"/>
        <v>128</v>
      </c>
      <c r="B131" s="73">
        <f>'Scénario référence'!$B$16*5+'Scénario référence'!$B$17*0+'Scénario référence'!$B$18*5</f>
        <v>0</v>
      </c>
      <c r="C131" s="19">
        <f>Calculateur!C130+'Scénario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113.81760000000021</v>
      </c>
      <c r="D131" s="11">
        <f t="shared" si="86"/>
        <v>30.228647177134249</v>
      </c>
      <c r="E13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31" s="11">
        <f>IF(OR('Scénario référence'!$F$8&gt;0,'Scénario référence'!$F$9&gt;0),('Scénario référence'!$F$8+'Scénario référence'!$F$9)*10,0)</f>
        <v>10</v>
      </c>
      <c r="G131" s="11">
        <f>'Scénario référence'!$B$8*B131*44/12+'Scénario référence'!$B$9*(C131+D131)/0.475*44/12+'Scénario référence'!$B$10*(C131+D131)/0.475*44/12+'Scénario référence'!$F$8*(C131+D131)/0.475*44/12+'Scénario référence'!$F$9*(C131+D131)/0.475*44/12</f>
        <v>1111.9359431217397</v>
      </c>
      <c r="H131" s="67">
        <f t="shared" si="56"/>
        <v>544.21388050017583</v>
      </c>
      <c r="I131" s="70">
        <f>('Scénario référence'!$F$8+'Scénario référence'!$F$9+'Scénario référence'!$B$17+'Scénario référence'!$B$9+'Scénario référence'!$B$10)*70+IF((45+25*(1-EXP(-0.0175*A131)))&lt;70,'Scénario référence'!$B$16*(45+25*(1-EXP(-0.0175*A131))),70*'Scénario référence'!$B$16)+IF((32+38*(1-EXP(-0.0175*A131)))&lt;70,'Scénario référence'!$B$18*(32+38*(1-EXP(-0.0175*A131))),70*'Scénario référence'!$B$18)</f>
        <v>70</v>
      </c>
      <c r="J131" s="13">
        <f>IF(A131&gt;30,10,('Scénario référence'!$B$16+'Scénario référence'!$B$17+'Scénario référence'!$B$18+'Scénario référence'!$B$9+'Scénario référence'!$B$10)*A131*10/30+('Scénario référence'!$F$8+'Scénario référence'!$F$9)*10)</f>
        <v>10</v>
      </c>
      <c r="K131" s="12" t="e">
        <f>VLOOKUP(A131,'Données projet'!$A$35:$I$55,2,0)</f>
        <v>#N/A</v>
      </c>
      <c r="L131" s="12" t="e">
        <f>VLOOKUP(A131,'Données projet'!$A$35:$I$55,9,0)</f>
        <v>#N/A</v>
      </c>
      <c r="M131" s="12">
        <f t="array" ref="M131">INDEX(L:L,MIN(IF(ISNUMBER(L131:L327),ROW(L131:L327),"")))</f>
        <v>0</v>
      </c>
      <c r="N131" s="13">
        <f>IF('Données projet'!$A$36&gt;35,N130+M131-V130,IF(A131&lt;'Données projet'!$A$36,$K$205^A131,IF(A131='Données projet'!$A$36,'Données projet'!$B$36,N130+M131-V130)))</f>
        <v>-2.2737367544323206E-13</v>
      </c>
      <c r="O131" s="13">
        <f>N131*VLOOKUP('Données projet'!$B$9,Paramètres!$A$1:$I$89,3,0)*VLOOKUP('Données projet'!$B$9,Paramètres!$A$1:$I$89,5,0)</f>
        <v>-1.2710188457276673E-13</v>
      </c>
      <c r="P131" s="13" t="e">
        <f t="shared" si="87"/>
        <v>#NUM!</v>
      </c>
      <c r="Q131" s="20" t="e">
        <f t="shared" ref="Q131:Q153" si="108">(O131+P131)*0.475*44/12</f>
        <v>#NUM!</v>
      </c>
      <c r="R131" s="59" t="e">
        <f t="shared" ref="R131:R194" si="109">Q131+(I131+J131)*44/12</f>
        <v>#NUM!</v>
      </c>
      <c r="S131" s="59">
        <f ca="1">AVERAGE(OFFSET($R$3,0,0,'Données projet'!$E$9+1,1))-AVERAGE(OFFSET($H$3,0,0,'Données projet'!$E$9+1,1))</f>
        <v>255.5374979188561</v>
      </c>
      <c r="T131" s="59">
        <f t="shared" si="88"/>
        <v>343.10418468620901</v>
      </c>
      <c r="U131" s="15">
        <f>IF(ISNA(VLOOKUP(A131,'Données projet'!$A$35:$I$55,3,0)),0,VLOOKUP(A131,'Données projet'!$A$35:$I$55,3,0))</f>
        <v>0</v>
      </c>
      <c r="V131" s="15">
        <f>IF(ISNA(VLOOKUP(A131,'Données projet'!$A$35:$I$55,4,0)),0,VLOOKUP(A131,'Données projet'!$A$35:$I$55,4,0))</f>
        <v>0</v>
      </c>
      <c r="W131" s="16">
        <f>IF(ISNA(VLOOKUP(A131,'Données projet'!$A$35:$I$55,5,0)),0%,VLOOKUP(A131,'Données projet'!$A$35:$I$55,5,0)*VLOOKUP('Données projet'!$B$9,Paramètres!$A$1:$I$89,7,0))</f>
        <v>0</v>
      </c>
      <c r="X131" s="16">
        <f>IF(ISNA(VLOOKUP(A131,'Données projet'!$A$35:$I$55,6,0)),0%,VLOOKUP(A131,'Données projet'!$A$35:$I$55,6,0)*VLOOKUP('Données projet'!$B$9,Paramètres!$A$1:$I$89,7,0))</f>
        <v>0</v>
      </c>
      <c r="Y131" s="16">
        <f>IF(ISNA(VLOOKUP(A131,'Données projet'!$A$35:$I$55,7,0)),0%,VLOOKUP(A131,'Données projet'!$A$35:$I$55,7,0))</f>
        <v>0</v>
      </c>
      <c r="Z131" s="21">
        <f>EXP(-LN(2)/35)*Z130+(1-EXP(-LN(2)/35))/(LN(2)/35)*V131*W131*VLOOKUP('Données projet'!$B$9,Paramètres!$A$1:$I$89,3,0)*0.475*44/12</f>
        <v>0.44369060466383636</v>
      </c>
      <c r="AA131" s="21">
        <f>EXP(-LN(2)/25)*AA130+(1-EXP(-LN(2)/25))/(LN(2)/25)*Calculateur!V131*Calculateur!X131*VLOOKUP('Données projet'!$B$9,Paramètres!$A$1:$I$89,3,0)*0.475*44/12</f>
        <v>1.0543926145454876</v>
      </c>
      <c r="AB131" s="21">
        <f>EXP(-LN(2)/2)*AB130+(1-EXP(-LN(2)/2))/(LN(2)/2)*V131*Y131*VLOOKUP('Données projet'!$B$9,Paramètres!$A$1:$I$89,3,0)*0.475*44/12</f>
        <v>3.0067540980632864E-15</v>
      </c>
      <c r="AC131" s="22">
        <f t="shared" si="57"/>
        <v>1.498083219209327</v>
      </c>
      <c r="AD131" s="13">
        <f>('Scénario référence'!$F$8+'Scénario référence'!$F$9+'Scénario référence'!$B$17+'Scénario référence'!$B$9+'Scénario référence'!$B$10)*70+IF((45+25*(1-EXP(-0.0175*A131)))&lt;70,'Scénario référence'!$B$16*(45+25*(1-EXP(-0.0175*A131))),70*'Scénario référence'!$B$16)+IF((32+38*(1-EXP(-0.0175*A131)))&lt;70,'Scénario référence'!$B$18*(32+38*(1-EXP(-0.0175*A131))),70*'Scénario référence'!$B$18)</f>
        <v>70</v>
      </c>
      <c r="AE131" s="13">
        <f>IF(A131&gt;30,10,('Scénario référence'!$B$16+'Scénario référence'!$B$17+'Scénario référence'!$B$18+'Scénario référence'!$B$9+'Scénario référence'!$B$10)*A131*10/30+('Scénario référence'!$F$8+'Scénario référence'!$F$9)*10)</f>
        <v>10</v>
      </c>
      <c r="AF131" s="12" t="e">
        <f>VLOOKUP(A131,'Données projet'!$A$61:$I$81,2,0)</f>
        <v>#N/A</v>
      </c>
      <c r="AG131" s="12" t="e">
        <f>VLOOKUP(A131,'Données projet'!$A$61:$I$81,9,0)</f>
        <v>#N/A</v>
      </c>
      <c r="AH131" s="12">
        <f t="array" ref="AH131">INDEX(AG:AG,MIN(IF(ISNUMBER(AG131:AG327),ROW(AG131:AG327),"")))</f>
        <v>0</v>
      </c>
      <c r="AI131" s="13">
        <f>IF('Données projet'!$A$62&gt;35,AI130+AH131-AQ130,IF(A131&lt;'Données projet'!$A$62,$AF$205^A131,IF(A131='Données projet'!$A$62,'Données projet'!$B$62,AI130+AH131-AQ130)))</f>
        <v>0</v>
      </c>
      <c r="AJ131" s="13">
        <f>AI131*VLOOKUP('Données projet'!$B$10,Paramètres!$A$1:$I$89,3,0)*VLOOKUP('Données projet'!$B$10,Paramètres!$A$1:$I$89,5,0)</f>
        <v>0</v>
      </c>
      <c r="AK131" s="13" t="e">
        <f t="shared" si="89"/>
        <v>#NUM!</v>
      </c>
      <c r="AL131" s="20" t="e">
        <f t="shared" si="58"/>
        <v>#NUM!</v>
      </c>
      <c r="AM131" s="59" t="e">
        <f t="shared" si="59"/>
        <v>#NUM!</v>
      </c>
      <c r="AN131" s="59">
        <f ca="1">AVERAGE(OFFSET($AM$3,0,0,'Données projet'!$E$10+1,1))-AVERAGE(OFFSET($H$3,0,0,'Données projet'!$E$10+1,1))</f>
        <v>261.78489480911571</v>
      </c>
      <c r="AO131" s="59">
        <f t="shared" si="90"/>
        <v>297.50513563712764</v>
      </c>
      <c r="AP131" s="15">
        <f>IF(ISNA(VLOOKUP(A131,'Données projet'!$A$61:$I$81,3,0)),0,VLOOKUP(A131,'Données projet'!$A$61:$I$81,3,0))</f>
        <v>0</v>
      </c>
      <c r="AQ131" s="15">
        <f>IF(ISNA(VLOOKUP(A131,'Données projet'!$A$61:$I$81,4,0)),0,VLOOKUP(A131,'Données projet'!$A$61:$I$81,4,0))</f>
        <v>0</v>
      </c>
      <c r="AR131" s="16">
        <f>IF(ISNA(VLOOKUP(A131,'Données projet'!$A$61:$I$81,5,0)),0%,VLOOKUP(A131,'Données projet'!$A$61:$I$81,5,0)*VLOOKUP('Données projet'!$B$10,Paramètres!$A$1:$I$89,7,0))</f>
        <v>0</v>
      </c>
      <c r="AS131" s="16">
        <f>IF(ISNA(VLOOKUP(A131,'Données projet'!$A$61:$I$81,6,0)),0%,VLOOKUP(A131,'Données projet'!$A$61:$I$81,6,0)*VLOOKUP('Données projet'!$B$10,Paramètres!$A$1:$I$89,7,0))</f>
        <v>0</v>
      </c>
      <c r="AT131" s="16">
        <f>IF(ISNA(VLOOKUP(A131,'Données projet'!$A$61:$I$81,7,0)),0%,VLOOKUP(A131,'Données projet'!$A$61:$I$81,7,0))</f>
        <v>0</v>
      </c>
      <c r="AU131" s="21">
        <f>EXP(-LN(2)/35)*AU130+(1-EXP(-LN(2)/35))/(LN(2)/35)*AQ131*AR131*VLOOKUP('Données projet'!$B$10,Paramètres!$A$1:$I$89,3,0)*0.475*44/12</f>
        <v>1.1980901298779554</v>
      </c>
      <c r="AV131" s="21">
        <f>EXP(-LN(2)/25)*AV130+(1-EXP(-LN(2)/25))/(LN(2)/25)*Calculateur!AQ131*Calculateur!AS131*VLOOKUP('Données projet'!$B$10,Paramètres!$A$1:$I$89,3,0)*0.475*44/12</f>
        <v>1.8411845598362815</v>
      </c>
      <c r="AW131" s="21">
        <f>EXP(-LN(2)/2)*AW130+(1-EXP(-LN(2)/2))/(LN(2)/2)*AQ131*AT131*VLOOKUP('Données projet'!$B$10,Paramètres!$A$1:$I$89,3,0)*0.475*44/12</f>
        <v>4.3345222765566191E-14</v>
      </c>
      <c r="AX131" s="21">
        <f t="shared" si="60"/>
        <v>3.0392746897142802</v>
      </c>
      <c r="AY131" s="74">
        <f>('Scénario référence'!$F$8+'Scénario référence'!$F$9+'Scénario référence'!$B$17+'Scénario référence'!$B$9+'Scénario référence'!$B$10)*70+IF((45+25*(1-EXP(-0.0175*A131)))&lt;70,'Scénario référence'!$B$16*(45+25*(1-EXP(-0.0175*A131))),70*'Scénario référence'!$B$16)+IF((32+38*(1-EXP(-0.0175*A131)))&lt;70,'Scénario référence'!$B$18*(32+38*(1-EXP(-0.0175*A131))),70*'Scénario référence'!$B$18)</f>
        <v>70</v>
      </c>
      <c r="AZ131" s="12">
        <f>IF(A131&gt;30,10,('Scénario référence'!$B$16+'Scénario référence'!$B$17+'Scénario référence'!$B$18+'Scénario référence'!$B$9+'Scénario référence'!$B$10)*A131*10/30+('Scénario référence'!$F$8+'Scénario référence'!$F$9)*10)</f>
        <v>10</v>
      </c>
      <c r="BA131" s="12" t="e">
        <f>VLOOKUP(A131,'Données projet'!$A$87:$I$107,2,0)</f>
        <v>#N/A</v>
      </c>
      <c r="BB131" s="12" t="e">
        <f>VLOOKUP(A131,'Données projet'!$A$87:$I$107,9,0)</f>
        <v>#N/A</v>
      </c>
      <c r="BC131" s="12">
        <f t="array" ref="BC131">INDEX(BB:BB,MIN(IF(ISNUMBER(BB131:BB327),ROW(BB131:BB327),"")))</f>
        <v>0</v>
      </c>
      <c r="BD131" s="12">
        <f>IF('Données projet'!$A$88&gt;35,BD130+BC131-BL130,IF(A131&lt;'Données projet'!$A$88,$BA$205^A131,IF(A131='Données projet'!$A$88,'Données projet'!$B$88,BD130+BC131-BL130)))</f>
        <v>553.99999999999955</v>
      </c>
      <c r="BE131" s="13">
        <f>BD131*VLOOKUP('Données projet'!$B$11,Paramètres!$A$1:$I$89,3,0)*VLOOKUP('Données projet'!$B$11,Paramètres!$A$1:$I$89,5,0)</f>
        <v>331.29199999999975</v>
      </c>
      <c r="BF131" s="13">
        <f t="shared" si="91"/>
        <v>77.698110787752</v>
      </c>
      <c r="BG131" s="20">
        <f t="shared" si="61"/>
        <v>712.32444295533423</v>
      </c>
      <c r="BH131" s="59">
        <f t="shared" si="62"/>
        <v>1005.6577762886675</v>
      </c>
      <c r="BI131" s="59">
        <f ca="1">AVERAGE(OFFSET($BH$3,0,0,'Données projet'!$E$11+1,1))-AVERAGE(OFFSET($H$3,0,0,'Données projet'!$E$11+1,1))</f>
        <v>316.58509520829671</v>
      </c>
      <c r="BJ131" s="59">
        <f t="shared" si="92"/>
        <v>240.71332110643596</v>
      </c>
      <c r="BK131" s="15">
        <f>IF(ISNA(VLOOKUP(A131,'Données projet'!$A$87:$I$107,3,0)),0,VLOOKUP(A131,'Données projet'!$A$87:$I$107,3,0))</f>
        <v>0</v>
      </c>
      <c r="BL131" s="15">
        <f>IF(ISNA(VLOOKUP(A131,'Données projet'!$A$87:$I$107,4,0)),0,VLOOKUP(A131,'Données projet'!$A$87:$I$107,4,0))</f>
        <v>0</v>
      </c>
      <c r="BM131" s="16">
        <f>IF(ISNA(VLOOKUP(A131,'Données projet'!$A$87:$I$107,5,0)),0%,VLOOKUP(A131,'Données projet'!$A$87:$I$107,5,0)*VLOOKUP('Données projet'!$B$11,Paramètres!$A$1:$I$89,7,0))</f>
        <v>0</v>
      </c>
      <c r="BN131" s="16">
        <f>IF(ISNA(VLOOKUP(A131,'Données projet'!$A$87:$I$107,6,0)),0%,VLOOKUP(A131,'Données projet'!$A$87:$I$107,6,0)*VLOOKUP('Données projet'!$B$11,Paramètres!$A$1:$I$89,7,0))</f>
        <v>0</v>
      </c>
      <c r="BO131" s="16">
        <f>IF(ISNA(VLOOKUP(A131,'Données projet'!$A$87:$I$107,7,0)),0%,VLOOKUP(A131,'Données projet'!$A$87:$I$107,7,0))</f>
        <v>0</v>
      </c>
      <c r="BP131" s="21">
        <f>EXP(-LN(2)/35)*BP130+(1-EXP(-LN(2)/35))/(LN(2)/35)*BL131*BM131*VLOOKUP('Données projet'!$B$11,Paramètres!$A$1:$I$89,3,0)*0.475*44/12</f>
        <v>0.36392879131151451</v>
      </c>
      <c r="BQ131" s="21">
        <f>EXP(-LN(2)/25)*BQ130+(1-EXP(-LN(2)/25))/(LN(2)/25)*Calculateur!BL131*Calculateur!BN131*VLOOKUP('Données projet'!$B$11,Paramètres!$A$1:$I$89,3,0)*0.475*44/12</f>
        <v>1.0086546241024152</v>
      </c>
      <c r="BR131" s="21">
        <f>EXP(-LN(2)/2)*BR130+(1-EXP(-LN(2)/2))/(LN(2)/2)*BL131*BO131*VLOOKUP('Données projet'!$B$11,Paramètres!$A$1:$I$89,3,0)*0.475*44/12</f>
        <v>3.8972102114593334E-14</v>
      </c>
      <c r="BS131" s="22">
        <f t="shared" si="63"/>
        <v>1.3725834154139689</v>
      </c>
      <c r="BT131" s="75">
        <f>('Scénario référence'!$F$8+'Scénario référence'!$F$9+'Scénario référence'!$B$17+'Scénario référence'!$B$9+'Scénario référence'!$B$10)*70+IF((45+25*(1-EXP(-0.0175*A131)))&lt;70,'Scénario référence'!$B$16*(45+25*(1-EXP(-0.0175*A131))),70*'Scénario référence'!$B$16)+IF((32+38*(1-EXP(-0.0175*A131)))&lt;70,'Scénario référence'!$B$18*(32+38*(1-EXP(-0.0175*A131))),70*'Scénario référence'!$B$18)</f>
        <v>70</v>
      </c>
      <c r="BU131" s="12">
        <f>IF(A131&gt;30,10,('Scénario référence'!$B$16+'Scénario référence'!$B$17+'Scénario référence'!$B$18+'Scénario référence'!$B$9+'Scénario référence'!$B$10)*A131*10/30+('Scénario référence'!$F$8+'Scénario référence'!$F$9)*10)</f>
        <v>10</v>
      </c>
      <c r="BV131" s="12" t="e">
        <f>VLOOKUP(A131,'Données projet'!$A$113:$I$133,2,0)</f>
        <v>#N/A</v>
      </c>
      <c r="BW131" s="12" t="e">
        <f>VLOOKUP(A131,'Données projet'!$A$113:$I$133,9,0)</f>
        <v>#N/A</v>
      </c>
      <c r="BX131" s="12">
        <f t="array" ref="BX131">INDEX(BW:BW,MIN(IF(ISNUMBER(BW131:BW327),ROW(BW131:BW327),"")))</f>
        <v>0</v>
      </c>
      <c r="BY131" s="12">
        <f>IF('Données projet'!$A$114&gt;35,BY130+BX131-CG130,IF(A131&lt;'Données projet'!$A$114,$BV$205^A131,IF(A131='Données projet'!$A$114,'Données projet'!$B$114,BY130+BX131-CG130)))</f>
        <v>333.99999999999977</v>
      </c>
      <c r="BZ131" s="13">
        <f>BY131*VLOOKUP('Données projet'!$B$12,Paramètres!$A$1:$I$89,3,0)*VLOOKUP('Données projet'!$B$12,Paramètres!$A$1:$I$89,5,0)</f>
        <v>191.04799999999986</v>
      </c>
      <c r="CA131" s="13">
        <f t="shared" si="93"/>
        <v>47.771576544305155</v>
      </c>
      <c r="CB131" s="20">
        <f t="shared" si="64"/>
        <v>415.94409581466454</v>
      </c>
      <c r="CC131" s="59">
        <f t="shared" si="65"/>
        <v>709.27742914799785</v>
      </c>
      <c r="CD131" s="59">
        <f ca="1">AVERAGE(OFFSET($CC$3,0,0,'Données projet'!$E$12+1,1))-AVERAGE(OFFSET($H$3,0,0,'Données projet'!$E$12+1,1))</f>
        <v>188.64374818906128</v>
      </c>
      <c r="CE131" s="59">
        <f t="shared" si="94"/>
        <v>211.95157880548652</v>
      </c>
      <c r="CF131" s="15">
        <f>IF(ISNA(VLOOKUP(A131,'Données projet'!$A$113:$I$133,3,0)),0,VLOOKUP(A131,'Données projet'!$A$113:$I$133,3,0))</f>
        <v>0</v>
      </c>
      <c r="CG131" s="15">
        <f>IF(ISNA(VLOOKUP(A131,'Données projet'!$A$113:$I$133,4,0)),0,VLOOKUP(A131,'Données projet'!$A$113:$I$133,4,0))</f>
        <v>0</v>
      </c>
      <c r="CH131" s="16">
        <f>IF(ISNA(VLOOKUP(A131,'Données projet'!$A$113:$I$133,5,0)),0%,VLOOKUP(A131,'Données projet'!$A$113:$I$133,5,0)*VLOOKUP('Données projet'!$B$12,Paramètres!$A$1:$I$89,7,0))</f>
        <v>0</v>
      </c>
      <c r="CI131" s="16">
        <f>IF(ISNA(VLOOKUP(A131,'Données projet'!$A$113:$I$133,6,0)),0%,VLOOKUP(A131,'Données projet'!$A$113:$I$133,6,0)*VLOOKUP('Données projet'!$B$12,Paramètres!$A$1:$I$89,7,0))</f>
        <v>0</v>
      </c>
      <c r="CJ131" s="16">
        <f>IF(ISNA(VLOOKUP(A131,'Données projet'!$A$113:$I$133,7,0)),0%,VLOOKUP(A131,'Données projet'!$A$113:$I$133,7,0))</f>
        <v>0</v>
      </c>
      <c r="CK131" s="21">
        <f>EXP(-LN(2)/35)*CK130+(1-EXP(-LN(2)/35))/(LN(2)/35)*CG131*CH131*VLOOKUP('Données projet'!$B$12,Paramètres!$A$1:$I$89,3,0)*0.475*44/12</f>
        <v>0.35300869898189735</v>
      </c>
      <c r="CL131" s="21">
        <f>EXP(-LN(2)/25)*CL130+(1-EXP(-LN(2)/25))/(LN(2)/25)*Calculateur!CG131*Calculateur!CI131*VLOOKUP('Données projet'!$B$12,Paramètres!$A$1:$I$89,3,0)*0.475*44/12</f>
        <v>0.9493685699238642</v>
      </c>
      <c r="CM131" s="21">
        <f>EXP(-LN(2)/2)*CM130+(1-EXP(-LN(2)/2))/(LN(2)/2)*CG131*CJ131*VLOOKUP('Données projet'!$B$12,Paramètres!$A$1:$I$89,3,0)*0.475*44/12</f>
        <v>3.7741431675428772E-14</v>
      </c>
      <c r="CN131" s="22">
        <f t="shared" si="66"/>
        <v>1.3023772689057993</v>
      </c>
      <c r="CO131" s="75">
        <f>('Scénario référence'!$F$8+'Scénario référence'!$F$9+'Scénario référence'!$B$17+'Scénario référence'!$B$9+'Scénario référence'!$B$10)*70+IF((45+25*(1-EXP(-0.0175*A131)))&lt;70,'Scénario référence'!$B$16*(45+25*(1-EXP(-0.0175*A131))),70*'Scénario référence'!$B$16)+IF((32+38*(1-EXP(-0.0175*A131)))&lt;70,'Scénario référence'!$B$18*(32+38*(1-EXP(-0.0175*A131))),70*'Scénario référence'!$B$18)</f>
        <v>70</v>
      </c>
      <c r="CP131" s="12">
        <f>IF(A131&gt;30,10,('Scénario référence'!$B$16+'Scénario référence'!$B$17+'Scénario référence'!$B$18+'Scénario référence'!$B$9+'Scénario référence'!$B$10)*A131*10/30+('Scénario référence'!$F$8+'Scénario référence'!$F$9)*10)</f>
        <v>10</v>
      </c>
      <c r="CQ131" s="12" t="e">
        <f>VLOOKUP(A131,'Données projet'!$A$139:$I$159,2,0)</f>
        <v>#N/A</v>
      </c>
      <c r="CR131" s="12" t="e">
        <f>VLOOKUP(A131,'Données projet'!$A$139:$I$159,9,0)</f>
        <v>#N/A</v>
      </c>
      <c r="CS131" s="12">
        <f t="array" ref="CS131">INDEX(CR:CR,MIN(IF(ISNUMBER(CR131:CR327),ROW(CR131:CR327),"")))</f>
        <v>0</v>
      </c>
      <c r="CT131" s="12">
        <f>IF('Données projet'!$A$140&gt;35,CT130+CS131-DB130,IF(A131&lt;'Données projet'!$A$140,$CQ$205^A131,IF(A131='Données projet'!$A$140,'Données projet'!$B$140,CT130+CS131-DB130)))</f>
        <v>0</v>
      </c>
      <c r="CU131" s="17" t="e">
        <f>CT131*VLOOKUP('Données projet'!$B$13,Paramètres!$A$1:$I$89,3,0)*VLOOKUP('Données projet'!$B$13,Paramètres!$A$1:$I$89,5,0)</f>
        <v>#N/A</v>
      </c>
      <c r="CV131" s="13" t="e">
        <f t="shared" si="95"/>
        <v>#N/A</v>
      </c>
      <c r="CW131" s="20" t="e">
        <f t="shared" si="67"/>
        <v>#N/A</v>
      </c>
      <c r="CX131" s="59" t="e">
        <f t="shared" si="68"/>
        <v>#N/A</v>
      </c>
      <c r="CY131" s="59" t="e">
        <f ca="1">AVERAGE(OFFSET($CX$3,0,0,'Données projet'!$E$13+1,1))-AVERAGE(OFFSET($H$3,0,0,'Données projet'!$E$13+1,1))</f>
        <v>#N/A</v>
      </c>
      <c r="CZ131" s="59" t="e">
        <f t="shared" si="96"/>
        <v>#N/A</v>
      </c>
      <c r="DA131" s="15">
        <f>IF(ISNA(VLOOKUP(A131,'Données projet'!$A$139:$I$159,3,0)),0,VLOOKUP(A131,'Données projet'!$A$139:$I$159,3,0))</f>
        <v>0</v>
      </c>
      <c r="DB131" s="15">
        <f>IF(ISNA(VLOOKUP(A131,'Données projet'!$A$139:$I$159,4,0)),0,VLOOKUP(A131,'Données projet'!$A$139:$I$159,4,0))</f>
        <v>0</v>
      </c>
      <c r="DC131" s="16">
        <f>IF(ISNA(VLOOKUP(A131,'Données projet'!$A$139:$I$159,5,0)),0%,VLOOKUP(A131,'Données projet'!$A$139:$I$159,5,0)*VLOOKUP('Données projet'!$B$13,Paramètres!$A$1:$I$89,7,0))</f>
        <v>0</v>
      </c>
      <c r="DD131" s="16">
        <f>IF(ISNA(VLOOKUP(A131,'Données projet'!$A$139:$I$159,6,0)),0%,VLOOKUP(A131,'Données projet'!$A$139:$I$159,6,0)*VLOOKUP('Données projet'!$B$13,Paramètres!$A$1:$I$89,7,0))</f>
        <v>0</v>
      </c>
      <c r="DE131" s="16">
        <f>IF(ISNA(VLOOKUP(A131,'Données projet'!$A$139:$I$159,7,0)),0%,VLOOKUP(A131,'Données projet'!$A$139:$I$159,7,0))</f>
        <v>0</v>
      </c>
      <c r="DF131" s="21" t="e">
        <f>EXP(-LN(2)/35)*DF130+(1-EXP(-LN(2)/35))/(LN(2)/35)*DB131*DC131*VLOOKUP('Données projet'!$B$13,Paramètres!$A$1:$I$89,3,0)*0.475*44/12</f>
        <v>#N/A</v>
      </c>
      <c r="DG131" s="21" t="e">
        <f>EXP(-LN(2)/25)*DG130+(1-EXP(-LN(2)/25))/(LN(2)/25)*Calculateur!DB131*Calculateur!DD131*VLOOKUP('Données projet'!$B$13,Paramètres!$A$1:$I$89,3,0)*0.475*44/12</f>
        <v>#N/A</v>
      </c>
      <c r="DH131" s="21" t="e">
        <f>EXP(-LN(2)/2)*DH130+(1-EXP(-LN(2)/2))/(LN(2)/2)*DB131*DE131*VLOOKUP('Données projet'!$B$13,Paramètres!$A$1:$I$89,3,0)*0.475*44/12</f>
        <v>#N/A</v>
      </c>
      <c r="DI131" s="22" t="e">
        <f t="shared" si="69"/>
        <v>#N/A</v>
      </c>
      <c r="DJ131" s="75">
        <f>('Scénario référence'!$F$8+'Scénario référence'!$F$9+'Scénario référence'!$B$17+'Scénario référence'!$B$9+'Scénario référence'!$B$10)*70+IF((45+25*(1-EXP(-0.0175*A131)))&lt;70,'Scénario référence'!$B$16*(45+25*(1-EXP(-0.0175*A131))),70*'Scénario référence'!$B$16)+IF((32+38*(1-EXP(-0.0175*A131)))&lt;70,'Scénario référence'!$B$18*(32+38*(1-EXP(-0.0175*A131))),70*'Scénario référence'!$B$18)</f>
        <v>70</v>
      </c>
      <c r="DK131" s="12">
        <f>IF(A131&gt;30,10,('Scénario référence'!$B$16+'Scénario référence'!$B$17+'Scénario référence'!$B$18+'Scénario référence'!$B$9+'Scénario référence'!$B$10)*A131*10/30+('Scénario référence'!$F$8+'Scénario référence'!$F$9)*10)</f>
        <v>10</v>
      </c>
      <c r="DL131" s="12" t="e">
        <f>VLOOKUP(A131,'Données projet'!$A$165:$I$185,2,0)</f>
        <v>#N/A</v>
      </c>
      <c r="DM131" s="12" t="e">
        <f>VLOOKUP(A131,'Données projet'!$A$165:$I$185,9,0)</f>
        <v>#N/A</v>
      </c>
      <c r="DN131" s="12">
        <f t="array" ref="DN131">INDEX(DM:DM,MIN(IF(ISNUMBER(DM131:DM327),ROW(DM131:DM327),"")))</f>
        <v>0</v>
      </c>
      <c r="DO131" s="12">
        <f>IF('Données projet'!$A$166&gt;35,DO130+DN131-DW130,IF(A131&lt;'Données projet'!$A$166,$DL$205^A131,IF(A131='Données projet'!$A$166,'Données projet'!$B$166,DO130+DN131-DW130)))</f>
        <v>268.00000000000017</v>
      </c>
      <c r="DP131" s="17">
        <f>DO131*VLOOKUP('Données projet'!$B$14,Paramètres!$A$1:$I$89,3,0)*VLOOKUP('Données projet'!$B$14,Paramètres!$A$1:$I$89,5,0)</f>
        <v>175.59360000000012</v>
      </c>
      <c r="DQ131" s="13">
        <f t="shared" si="97"/>
        <v>44.340433728638573</v>
      </c>
      <c r="DR131" s="20">
        <f t="shared" si="70"/>
        <v>383.05177541071242</v>
      </c>
      <c r="DS131" s="59">
        <f t="shared" si="71"/>
        <v>676.38510874404574</v>
      </c>
      <c r="DT131" s="59">
        <f ca="1">AVERAGE(OFFSET($DS$3,0,0,'Données projet'!$E$14+1,1))-AVERAGE(OFFSET($H$3,0,0,'Données projet'!$E$14+1,1))</f>
        <v>188.68915783955595</v>
      </c>
      <c r="DU131" s="59">
        <f t="shared" si="98"/>
        <v>240.82467772396944</v>
      </c>
      <c r="DV131" s="15">
        <f>IF(ISNA(VLOOKUP(A131,'Données projet'!$A$165:$I$185,3,0)),0,VLOOKUP(A131,'Données projet'!$A$165:$I$185,3,0))</f>
        <v>0</v>
      </c>
      <c r="DW131" s="15">
        <f>IF(ISNA(VLOOKUP(A131,'Données projet'!$A$165:$I$185,4,0)),0,VLOOKUP(A131,'Données projet'!$A$165:$I$185,4,0))</f>
        <v>0</v>
      </c>
      <c r="DX131" s="16">
        <f>IF(ISNA(VLOOKUP(A131,'Données projet'!$A$165:$I$185,5,0)),0%,VLOOKUP(A131,'Données projet'!$A$165:$I$185,5,0)*VLOOKUP('Données projet'!$B$14,Paramètres!$A$1:$I$89,7,0))</f>
        <v>0</v>
      </c>
      <c r="DY131" s="16">
        <f>IF(ISNA(VLOOKUP(A131,'Données projet'!$A$165:$I$185,6,0)),0%,VLOOKUP(A131,'Données projet'!$A$165:$I$185,6,0)*VLOOKUP('Données projet'!$B$14,Paramètres!$A$1:$I$89,7,0))</f>
        <v>0</v>
      </c>
      <c r="DZ131" s="16">
        <f>IF(ISNA(VLOOKUP(A131,'Données projet'!$A$165:$I$185,7,0)),0%,VLOOKUP(A131,'Données projet'!$A$165:$I$185,7,0))</f>
        <v>0</v>
      </c>
      <c r="EA131" s="21">
        <f>EXP(-LN(2)/35)*EA130+(1-EXP(-LN(2)/35))/(LN(2)/35)*DW131*DX131*VLOOKUP('Données projet'!$B$14,Paramètres!$A$1:$I$89,3,0)*0.475*44/12</f>
        <v>0.22360189055881957</v>
      </c>
      <c r="EB131" s="21">
        <f>EXP(-LN(2)/25)*EB130+(1-EXP(-LN(2)/25))/(LN(2)/25)*Calculateur!DW131*Calculateur!DY131*VLOOKUP('Données projet'!$B$14,Paramètres!$A$1:$I$89,3,0)*0.475*44/12</f>
        <v>0.53102137000952743</v>
      </c>
      <c r="EC131" s="21">
        <f>EXP(-LN(2)/2)*EC130+(1-EXP(-LN(2)/2))/(LN(2)/2)*DW131*DZ131*VLOOKUP('Données projet'!$B$14,Paramètres!$A$1:$I$89,3,0)*0.475*44/12</f>
        <v>2.4862615053335246E-14</v>
      </c>
      <c r="ED131" s="22">
        <f t="shared" si="72"/>
        <v>0.75462326056837181</v>
      </c>
      <c r="EE131" s="75">
        <f>('Scénario référence'!$F$8+'Scénario référence'!$F$9+'Scénario référence'!$B$17+'Scénario référence'!$B$9+'Scénario référence'!$B$10)*70+IF((45+25*(1-EXP(-0.0175*A131)))&lt;70,'Scénario référence'!$B$16*(45+25*(1-EXP(-0.0175*A131))),70*'Scénario référence'!$B$16)+IF((32+38*(1-EXP(-0.0175*A131)))&lt;70,'Scénario référence'!$B$18*(32+38*(1-EXP(-0.0175*A131))),70*'Scénario référence'!$B$18)</f>
        <v>70</v>
      </c>
      <c r="EF131" s="12">
        <f>IF(A131&gt;30,10,('Scénario référence'!$B$16+'Scénario référence'!$B$17+'Scénario référence'!$B$18+'Scénario référence'!$B$9+'Scénario référence'!$B$10)*A131*10/30+('Scénario référence'!$F$8+'Scénario référence'!$F$9)*10)</f>
        <v>10</v>
      </c>
      <c r="EG131" s="12" t="e">
        <f>VLOOKUP(A131,'Données projet'!$A$191:$I$211,2,0)</f>
        <v>#N/A</v>
      </c>
      <c r="EH131" s="12" t="e">
        <f>VLOOKUP(A131,'Données projet'!$A$191:$I$211,9,0)</f>
        <v>#N/A</v>
      </c>
      <c r="EI131" s="12">
        <f t="array" ref="EI131">INDEX(EH:EH,MIN(IF(ISNUMBER(EH131:EH327),ROW(EH131:EH327),"")))</f>
        <v>0</v>
      </c>
      <c r="EJ131" s="12">
        <f>IF('Données projet'!$A$192&gt;35,EJ130+EI131-ER130,IF(A131&lt;'Données projet'!$A$192,$EG$205^A131,IF(A131='Données projet'!$A$192,'Données projet'!$B$192,EJ130+EI131-ER130)))</f>
        <v>275.99999999999972</v>
      </c>
      <c r="EK131" s="17">
        <f>EJ131*VLOOKUP('Données projet'!$B$15,Paramètres!$A$1:$I$89,3,0)*VLOOKUP('Données projet'!$B$15,Paramètres!$A$1:$I$89,5,0)</f>
        <v>223.8911999999998</v>
      </c>
      <c r="EL131" s="13">
        <f t="shared" si="99"/>
        <v>54.95975389514858</v>
      </c>
      <c r="EM131" s="20">
        <f t="shared" si="73"/>
        <v>485.66541136738346</v>
      </c>
      <c r="EN131" s="59">
        <f t="shared" si="74"/>
        <v>778.99874470071677</v>
      </c>
      <c r="EO131" s="59">
        <f ca="1">AVERAGE(OFFSET($EN$3,0,0,'Données projet'!$E$15+1,1))-AVERAGE(OFFSET($H$3,0,0,'Données projet'!$E$15+1,1))</f>
        <v>205.5272583787887</v>
      </c>
      <c r="EP131" s="59">
        <f t="shared" si="100"/>
        <v>180.54762778843178</v>
      </c>
      <c r="EQ131" s="15">
        <f>IF(ISNA(VLOOKUP(A131,'Données projet'!$A$191:$I$211,3,0)),0,VLOOKUP(A131,'Données projet'!$A$191:$I$211,3,0))</f>
        <v>0</v>
      </c>
      <c r="ER131" s="15">
        <f>IF(ISNA(VLOOKUP(A131,'Données projet'!$A$191:$I$211,4,0)),0,VLOOKUP(A131,'Données projet'!$A$191:$I$211,4,0))</f>
        <v>0</v>
      </c>
      <c r="ES131" s="16">
        <f>IF(ISNA(VLOOKUP(A131,'Données projet'!$A$191:$I$211,5,0)),0%,VLOOKUP(A131,'Données projet'!$A$191:$I$211,5,0)*VLOOKUP('Données projet'!$B$15,Paramètres!$A$1:$I$89,7,0))</f>
        <v>0</v>
      </c>
      <c r="ET131" s="16">
        <f>IF(ISNA(VLOOKUP(A131,'Données projet'!$A$191:$I$211,6,0)),0%,VLOOKUP(A131,'Données projet'!$A$191:$I$211,6,0)*VLOOKUP('Données projet'!$B$15,Paramètres!$A$1:$I$89,7,0))</f>
        <v>0</v>
      </c>
      <c r="EU131" s="16">
        <f>IF(ISNA(VLOOKUP(A131,'Données projet'!$A$191:$I$211,7,0)),0%,VLOOKUP(A131,'Données projet'!$A$191:$I$211,7,0))</f>
        <v>0</v>
      </c>
      <c r="EV131" s="21">
        <f>EXP(-LN(2)/35)*EV130+(1-EXP(-LN(2)/35))/(LN(2)/35)*ER131*ES131*VLOOKUP('Données projet'!$B$15,Paramètres!$A$1:$I$89,3,0)*0.475*44/12</f>
        <v>0.14395702668358296</v>
      </c>
      <c r="EW131" s="21">
        <f>EXP(-LN(2)/25)*EW130+(1-EXP(-LN(2)/25))/(LN(2)/25)*Calculateur!ER131*Calculateur!ET131*VLOOKUP('Données projet'!$B$15,Paramètres!$A$1:$I$89,3,0)*0.475*44/12</f>
        <v>0.38341353819250984</v>
      </c>
      <c r="EX131" s="21">
        <f>EXP(-LN(2)/2)*EX130+(1-EXP(-LN(2)/2))/(LN(2)/2)*ER131*EU131*VLOOKUP('Données projet'!$B$15,Paramètres!$A$1:$I$89,3,0)*0.475*44/12</f>
        <v>1.609856163110369E-14</v>
      </c>
      <c r="EY131" s="22">
        <f t="shared" si="75"/>
        <v>0.52737056487610889</v>
      </c>
      <c r="EZ131" s="75">
        <f>('Scénario référence'!$F$8+'Scénario référence'!$F$9+'Scénario référence'!$B$17+'Scénario référence'!$B$9+'Scénario référence'!$B$10)*70+IF((45+25*(1-EXP(-0.0175*A131)))&lt;70,'Scénario référence'!$B$16*(45+25*(1-EXP(-0.0175*A131))),70*'Scénario référence'!$B$16)+IF((32+38*(1-EXP(-0.0175*A131)))&lt;70,'Scénario référence'!$B$18*(32+38*(1-EXP(-0.0175*A131))),70*'Scénario référence'!$B$18)</f>
        <v>70</v>
      </c>
      <c r="FA131" s="12">
        <f>IF(A131&gt;30,10,('Scénario référence'!$B$16+'Scénario référence'!$B$17+'Scénario référence'!$B$18+'Scénario référence'!$B$9+'Scénario référence'!$B$10)*A131*10/30+('Scénario référence'!$F$8+'Scénario référence'!$F$9)*10)</f>
        <v>10</v>
      </c>
      <c r="FB131" s="12" t="e">
        <f>VLOOKUP(A131,'Données projet'!$A$217:$I$237,2,0)</f>
        <v>#N/A</v>
      </c>
      <c r="FC131" s="12" t="e">
        <f>VLOOKUP(A131,'Données projet'!$A$217:$I$237,9,0)</f>
        <v>#N/A</v>
      </c>
      <c r="FD131" s="12">
        <f t="array" ref="FD131">INDEX(FC:FC,MIN(IF(ISNUMBER(FC131:FC327),ROW(FC131:FC327),"")))</f>
        <v>6.3</v>
      </c>
      <c r="FE131" s="12">
        <f>IF('Données projet'!$A$218&gt;35,FE130+FD131-FM130,IF(A131&lt;'Données projet'!$A$218,$FB$205^A131,IF(A131='Données projet'!$A$218,'Données projet'!$B$218,FE130+FD131-FM130)))</f>
        <v>442.39999999999992</v>
      </c>
      <c r="FF131" s="17">
        <f>FE131*VLOOKUP('Données projet'!$B$16,Paramètres!$A$1:$I$89,3,0)*VLOOKUP('Données projet'!$B$16,Paramètres!$A$1:$I$89,5,0)</f>
        <v>379.57919999999996</v>
      </c>
      <c r="FG131" s="13">
        <f t="shared" si="101"/>
        <v>87.624120306204816</v>
      </c>
      <c r="FH131" s="20">
        <f t="shared" si="76"/>
        <v>813.71244953330654</v>
      </c>
      <c r="FI131" s="59">
        <f t="shared" si="77"/>
        <v>1107.0457828666399</v>
      </c>
      <c r="FJ131" s="59">
        <f ca="1">AVERAGE(OFFSET($FI$3,0,0,'Données projet'!$E$16+1,1))-AVERAGE(OFFSET($H$3,0,0,'Données projet'!$E$16+1,1))</f>
        <v>383.97627237444709</v>
      </c>
      <c r="FK131" s="59">
        <f t="shared" si="102"/>
        <v>203.35476578922339</v>
      </c>
      <c r="FL131" s="15">
        <f>IF(ISNA(VLOOKUP(A131,'Données projet'!$A$217:$I$237,3,0)),0,VLOOKUP(A131,'Données projet'!$A$217:$I$237,3,0))</f>
        <v>0</v>
      </c>
      <c r="FM131" s="15">
        <f>IF(ISNA(VLOOKUP(A131,'Données projet'!$A$217:$I$237,4,0)),0,VLOOKUP(A131,'Données projet'!$A$217:$I$237,4,0))</f>
        <v>0</v>
      </c>
      <c r="FN131" s="16">
        <f>IF(ISNA(VLOOKUP(A131,'Données projet'!$A$217:$I$237,5,0)),0%,VLOOKUP(A131,'Données projet'!$A$217:$I$237,5,0)*VLOOKUP('Données projet'!$B$16,Paramètres!$A$1:$I$89,7,0))</f>
        <v>0</v>
      </c>
      <c r="FO131" s="16">
        <f>IF(ISNA(VLOOKUP(A131,'Données projet'!$A$217:$I$237,6,0)),0%,VLOOKUP(A131,'Données projet'!$A$217:$I$237,6,0)*VLOOKUP('Données projet'!$B$16,Paramètres!$A$1:$I$89,7,0))</f>
        <v>0</v>
      </c>
      <c r="FP131" s="16">
        <f>IF(ISNA(VLOOKUP(A131,'Données projet'!$A$217:$I$237,7,0)),0%,VLOOKUP(A131,'Données projet'!$A$217:$I$237,7,0))</f>
        <v>0</v>
      </c>
      <c r="FQ131" s="21">
        <f>EXP(-LN(2)/35)*FQ130+(1-EXP(-LN(2)/35))/(LN(2)/35)*FM131*FN131*VLOOKUP('Données projet'!$B$16,Paramètres!$A$1:$I$89,3,0)*0.475*44/12</f>
        <v>0.73986101744566435</v>
      </c>
      <c r="FR131" s="21">
        <f>EXP(-LN(2)/25)*FR130+(1-EXP(-LN(2)/25))/(LN(2)/25)*Calculateur!FM131*Calculateur!FO131*VLOOKUP('Données projet'!$B$16,Paramètres!$A$1:$I$89,3,0)*0.475*44/12</f>
        <v>0.38920437082084708</v>
      </c>
      <c r="FS131" s="21">
        <f>EXP(-LN(2)/2)*FS130+(1-EXP(-LN(2)/2))/(LN(2)/2)*FM131*FP131*VLOOKUP('Données projet'!$B$16,Paramètres!$A$1:$I$89,3,0)*0.475*44/12</f>
        <v>2.9569753813145446E-14</v>
      </c>
      <c r="FT131" s="22">
        <f t="shared" si="78"/>
        <v>1.1290653882665409</v>
      </c>
      <c r="FU131" s="75">
        <f>('Scénario référence'!$F$8+'Scénario référence'!$F$9+'Scénario référence'!$B$17+'Scénario référence'!$B$9+'Scénario référence'!$B$10)*70+IF((45+25*(1-EXP(-0.0175*A131)))&lt;70,'Scénario référence'!$B$16*(45+25*(1-EXP(-0.0175*A131))),70*'Scénario référence'!$B$16)+IF((32+38*(1-EXP(-0.0175*A131)))&lt;70,'Scénario référence'!$B$18*(32+38*(1-EXP(-0.0175*A131))),70*'Scénario référence'!$B$18)</f>
        <v>70</v>
      </c>
      <c r="FV131" s="12">
        <f>IF(A131&gt;30,10,('Scénario référence'!$B$16+'Scénario référence'!$B$17+'Scénario référence'!$B$18+'Scénario référence'!$B$9+'Scénario référence'!$B$10)*A131*10/30+('Scénario référence'!$F$8+'Scénario référence'!$F$9)*10)</f>
        <v>10</v>
      </c>
      <c r="FW131" s="12" t="e">
        <f>VLOOKUP(A131,'Données projet'!$A$243:$I$263,2,0)</f>
        <v>#N/A</v>
      </c>
      <c r="FX131" s="12" t="e">
        <f>VLOOKUP(A131,'Données projet'!$A$243:$I$263,9,0)</f>
        <v>#N/A</v>
      </c>
      <c r="FY131" s="12">
        <f t="array" ref="FY131">INDEX(FX:FX,MIN(IF(ISNUMBER(FX131:FX327),ROW(FX131:FX327),"")))</f>
        <v>1.5064102564102591</v>
      </c>
      <c r="FZ131" s="12">
        <f>IF('Données projet'!$A$244&gt;35,FZ130+FY131-GH130,IF(A131&lt;'Données projet'!$A$244,$FW$205^A131,IF(A131='Données projet'!$A$244,'Données projet'!$B$244,FZ130+FY131-GH130)))</f>
        <v>106.39102564102608</v>
      </c>
      <c r="GA131" s="17">
        <f>FZ131*VLOOKUP('Données projet'!$B$17,Paramètres!$A$1:$I$89,3,0)*VLOOKUP('Données projet'!$B$17,Paramètres!$A$1:$I$89,5,0)</f>
        <v>114.51930000000047</v>
      </c>
      <c r="GB131" s="13">
        <f t="shared" si="103"/>
        <v>30.393258979765346</v>
      </c>
      <c r="GC131" s="20">
        <f t="shared" si="79"/>
        <v>252.38937355642543</v>
      </c>
      <c r="GD131" s="59">
        <f t="shared" si="80"/>
        <v>545.72270688975868</v>
      </c>
      <c r="GE131" s="59">
        <f ca="1">AVERAGE(OFFSET($GD$3,0,0,'Données projet'!$E$17+1,1))-AVERAGE(OFFSET($H$3,0,0,'Données projet'!$E$17+1,1))</f>
        <v>286.77702855541287</v>
      </c>
      <c r="GF131" s="59">
        <f t="shared" si="104"/>
        <v>227.12211541860779</v>
      </c>
      <c r="GG131" s="15">
        <f>IF(ISNA(VLOOKUP(A131,'Données projet'!$A$243:$I$263,3,0)),0,VLOOKUP(A131,'Données projet'!$A$243:$I$263,3,0))</f>
        <v>0</v>
      </c>
      <c r="GH131" s="15">
        <f>IF(ISNA(VLOOKUP(A131,'Données projet'!$A$243:$I$263,4,0)),0,VLOOKUP(A131,'Données projet'!$A$243:$I$263,4,0))</f>
        <v>0</v>
      </c>
      <c r="GI131" s="16">
        <f>IF(ISNA(VLOOKUP(A131,'Données projet'!$A$243:$I$263,5,0)),0%,VLOOKUP(A131,'Données projet'!$A$243:$I$263,5,0)*VLOOKUP('Données projet'!$B$17,Paramètres!$A$1:$I$89,7,0))</f>
        <v>0</v>
      </c>
      <c r="GJ131" s="16">
        <f>IF(ISNA(VLOOKUP(A131,'Données projet'!$A$243:$I$263,6,0)),0%,VLOOKUP(A131,'Données projet'!$A$243:$I$263,6,0)*VLOOKUP('Données projet'!$B$17,Paramètres!$A$1:$I$89,7,0))</f>
        <v>0</v>
      </c>
      <c r="GK131" s="16">
        <f>IF(ISNA(VLOOKUP(A131,'Données projet'!$A$243:$I$263,7,0)),0%,VLOOKUP(A131,'Données projet'!$A$243:$I$263,7,0))</f>
        <v>0</v>
      </c>
      <c r="GL131" s="21">
        <f>EXP(-LN(2)/35)*GL130+(1-EXP(-LN(2)/35))/(LN(2)/35)*GH131*GI131*VLOOKUP('Données projet'!$B$17,Paramètres!$A$1:$I$89,3,0)*0.475*44/12</f>
        <v>0</v>
      </c>
      <c r="GM131" s="21">
        <f>EXP(-LN(2)/25)*GM130+(1-EXP(-LN(2)/25))/(LN(2)/25)*Calculateur!GH131*Calculateur!GJ131*VLOOKUP('Données projet'!$B$17,Paramètres!$A$1:$I$89,3,0)*0.475*44/12</f>
        <v>0</v>
      </c>
      <c r="GN131" s="21">
        <f>EXP(-LN(2)/2)*GN130+(1-EXP(-LN(2)/2))/(LN(2)/2)*GH131*GK131*VLOOKUP('Données projet'!$B$17,Paramètres!$A$1:$I$89,3,0)*0.475*44/12</f>
        <v>0</v>
      </c>
      <c r="GO131" s="21">
        <f t="shared" si="81"/>
        <v>0</v>
      </c>
      <c r="GP131" s="75">
        <f>('Scénario référence'!$F$8+'Scénario référence'!$F$9+'Scénario référence'!$B$17+'Scénario référence'!$B$9+'Scénario référence'!$B$10)*70+IF((45+25*(1-EXP(-0.0175*A131)))&lt;70,'Scénario référence'!$B$16*(45+25*(1-EXP(-0.0175*A131))),70*'Scénario référence'!$B$16)+IF((32+38*(1-EXP(-0.0175*A131)))&lt;70,'Scénario référence'!$B$18*(32+38*(1-EXP(-0.0175*A131))),70*'Scénario référence'!$B$18)</f>
        <v>70</v>
      </c>
      <c r="GQ131" s="12">
        <f>IF(A131&gt;30,10,('Scénario référence'!$B$16+'Scénario référence'!$B$17+'Scénario référence'!$B$18+'Scénario référence'!$B$9+'Scénario référence'!$B$10)*A131*10/30+('Scénario référence'!$F$8+'Scénario référence'!$F$9)*10)</f>
        <v>10</v>
      </c>
      <c r="GR131" s="12" t="e">
        <f>VLOOKUP(A131,'Données projet'!$A$269:$I$289,2,0)</f>
        <v>#N/A</v>
      </c>
      <c r="GS131" s="12" t="e">
        <f>VLOOKUP(A131,'Données projet'!$A$269:$I$289,9,0)</f>
        <v>#N/A</v>
      </c>
      <c r="GT131" s="12">
        <f t="array" ref="GT131">INDEX(GS:GS,MIN(IF(ISNUMBER(GS131:GS327),ROW(GS131:GS327),"")))</f>
        <v>1.5064102564102591</v>
      </c>
      <c r="GU131" s="12">
        <f>IF('Données projet'!$A$270&gt;35,GU130+GT131-HC130,IF(A131&lt;'Données projet'!$A$270,$GR$205^A131,IF(A131='Données projet'!$A$270,'Données projet'!$B$270,GU130+GT131-HC130)))</f>
        <v>106.39102564102608</v>
      </c>
      <c r="GV131" s="17">
        <f>GU131*VLOOKUP('Données projet'!$B$18,Paramètres!$A$1:$I$89,3,0)*VLOOKUP('Données projet'!$B$18,Paramètres!$A$1:$I$89,5,0)</f>
        <v>114.51930000000047</v>
      </c>
      <c r="GW131" s="13">
        <f t="shared" si="105"/>
        <v>30.393258979765346</v>
      </c>
      <c r="GX131" s="20">
        <f t="shared" si="82"/>
        <v>252.38937355642543</v>
      </c>
      <c r="GY131" s="59">
        <f t="shared" si="83"/>
        <v>545.72270688975868</v>
      </c>
      <c r="GZ131" s="59">
        <f ca="1">AVERAGE(OFFSET($GY$3,0,0,'Données projet'!$E$18+1,1))-AVERAGE(OFFSET($H$3,0,0,'Données projet'!$E$18+1,1))</f>
        <v>286.77702855541287</v>
      </c>
      <c r="HA131" s="59">
        <f t="shared" si="106"/>
        <v>227.12211541860779</v>
      </c>
      <c r="HB131" s="15">
        <f>IF(ISNA(VLOOKUP(A131,'Données projet'!$A$269:$I$289,3,0)),0,VLOOKUP(A131,'Données projet'!$A$269:$I$289,3,0))</f>
        <v>0</v>
      </c>
      <c r="HC131" s="15">
        <f>IF(ISNA(VLOOKUP(A131,'Données projet'!$A$269:$I$289,4,0)),0,VLOOKUP(A131,'Données projet'!$A$269:$I$289,4,0))</f>
        <v>0</v>
      </c>
      <c r="HD131" s="16">
        <f>IF(ISNA(VLOOKUP(A131,'Données projet'!$A$269:$I$289,5,0)),0%,VLOOKUP(A131,'Données projet'!$A$269:$I$289,5,0)*VLOOKUP('Données projet'!$B$18,Paramètres!$A$1:$I$89,7,0))</f>
        <v>0</v>
      </c>
      <c r="HE131" s="16">
        <f>IF(ISNA(VLOOKUP(A131,'Données projet'!$A$269:$I$289,6,0)),0%,VLOOKUP(A131,'Données projet'!$A$269:$I$289,6,0)*VLOOKUP('Données projet'!$B$18,Paramètres!$A$1:$I$89,7,0))</f>
        <v>0</v>
      </c>
      <c r="HF131" s="16">
        <f>IF(ISNA(VLOOKUP(A131,'Données projet'!$A$269:$I$289,7,0)),0%,VLOOKUP(A131,'Données projet'!$A$269:$I$289,7,0))</f>
        <v>0</v>
      </c>
      <c r="HG131" s="21">
        <f>EXP(-LN(2)/35)*HG130+(1-EXP(-LN(2)/35))/(LN(2)/35)*HC131*HD131*VLOOKUP('Données projet'!$B$18,Paramètres!$A$1:$I$89,3,0)*0.475*44/12</f>
        <v>0</v>
      </c>
      <c r="HH131" s="21">
        <f>EXP(-LN(2)/25)*HH130+(1-EXP(-LN(2)/25))/(LN(2)/25)*Calculateur!HC131*Calculateur!HE131*VLOOKUP('Données projet'!$B$18,Paramètres!$A$1:$I$89,3,0)*0.475*44/12</f>
        <v>0</v>
      </c>
      <c r="HI131" s="21">
        <f>EXP(-LN(2)/2)*HI130+(1-EXP(-LN(2)/2))/(LN(2)/2)*HC131*HF131*VLOOKUP('Données projet'!$B$18,Paramètres!$A$1:$I$89,3,0)*0.475*44/12</f>
        <v>0</v>
      </c>
      <c r="HJ131" s="22">
        <f t="shared" si="84"/>
        <v>0</v>
      </c>
    </row>
    <row r="132" spans="1:218" x14ac:dyDescent="0.25">
      <c r="A132" s="10">
        <f t="shared" si="85"/>
        <v>129</v>
      </c>
      <c r="B132" s="73">
        <f>'Scénario référence'!$B$16*5+'Scénario référence'!$B$17*0+'Scénario référence'!$B$18*5</f>
        <v>0</v>
      </c>
      <c r="C132" s="19">
        <f>Calculateur!C131+'Scénario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114.70680000000021</v>
      </c>
      <c r="D132" s="11">
        <f t="shared" si="86"/>
        <v>30.437224701280673</v>
      </c>
      <c r="E13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32" s="11">
        <f>IF(OR('Scénario référence'!$F$8&gt;0,'Scénario référence'!$F$9&gt;0),('Scénario référence'!$F$8+'Scénario référence'!$F$9)*10,0)</f>
        <v>10</v>
      </c>
      <c r="G132" s="11">
        <f>'Scénario référence'!$B$8*B132*44/12+'Scénario référence'!$B$9*(C132+D132)/0.475*44/12+'Scénario référence'!$B$10*(C132+D132)/0.475*44/12+'Scénario référence'!$F$8*(C132+D132)/0.475*44/12+'Scénario référence'!$F$9*(C132+D132)/0.475*44/12</f>
        <v>1120.4100152379581</v>
      </c>
      <c r="H132" s="67">
        <f t="shared" ref="H132:H195" si="110">(B132+E132+F132)*44/12+(C132+D132)*0.475*44/12</f>
        <v>546.12584302139749</v>
      </c>
      <c r="I132" s="70">
        <f>('Scénario référence'!$F$8+'Scénario référence'!$F$9+'Scénario référence'!$B$17+'Scénario référence'!$B$9+'Scénario référence'!$B$10)*70+IF((45+25*(1-EXP(-0.0175*A132)))&lt;70,'Scénario référence'!$B$16*(45+25*(1-EXP(-0.0175*A132))),70*'Scénario référence'!$B$16)+IF((32+38*(1-EXP(-0.0175*A132)))&lt;70,'Scénario référence'!$B$18*(32+38*(1-EXP(-0.0175*A132))),70*'Scénario référence'!$B$18)</f>
        <v>70</v>
      </c>
      <c r="J132" s="13">
        <f>IF(A132&gt;30,10,('Scénario référence'!$B$16+'Scénario référence'!$B$17+'Scénario référence'!$B$18+'Scénario référence'!$B$9+'Scénario référence'!$B$10)*A132*10/30+('Scénario référence'!$F$8+'Scénario référence'!$F$9)*10)</f>
        <v>10</v>
      </c>
      <c r="K132" s="12" t="e">
        <f>VLOOKUP(A132,'Données projet'!$A$35:$I$55,2,0)</f>
        <v>#N/A</v>
      </c>
      <c r="L132" s="12" t="e">
        <f>VLOOKUP(A132,'Données projet'!$A$35:$I$55,9,0)</f>
        <v>#N/A</v>
      </c>
      <c r="M132" s="12">
        <f t="array" ref="M132">INDEX(L:L,MIN(IF(ISNUMBER(L132:L328),ROW(L132:L328),"")))</f>
        <v>0</v>
      </c>
      <c r="N132" s="13">
        <f>IF('Données projet'!$A$36&gt;35,N131+M132-V131,IF(A132&lt;'Données projet'!$A$36,$K$205^A132,IF(A132='Données projet'!$A$36,'Données projet'!$B$36,N131+M132-V131)))</f>
        <v>-2.2737367544323206E-13</v>
      </c>
      <c r="O132" s="13">
        <f>N132*VLOOKUP('Données projet'!$B$9,Paramètres!$A$1:$I$89,3,0)*VLOOKUP('Données projet'!$B$9,Paramètres!$A$1:$I$89,5,0)</f>
        <v>-1.2710188457276673E-13</v>
      </c>
      <c r="P132" s="13" t="e">
        <f t="shared" si="87"/>
        <v>#NUM!</v>
      </c>
      <c r="Q132" s="20" t="e">
        <f t="shared" si="108"/>
        <v>#NUM!</v>
      </c>
      <c r="R132" s="59" t="e">
        <f t="shared" si="109"/>
        <v>#NUM!</v>
      </c>
      <c r="S132" s="59">
        <f ca="1">AVERAGE(OFFSET($R$3,0,0,'Données projet'!$E$9+1,1))-AVERAGE(OFFSET($H$3,0,0,'Données projet'!$E$9+1,1))</f>
        <v>255.5374979188561</v>
      </c>
      <c r="T132" s="59">
        <f t="shared" si="88"/>
        <v>343.10418468620901</v>
      </c>
      <c r="U132" s="15">
        <f>IF(ISNA(VLOOKUP(A132,'Données projet'!$A$35:$I$55,3,0)),0,VLOOKUP(A132,'Données projet'!$A$35:$I$55,3,0))</f>
        <v>0</v>
      </c>
      <c r="V132" s="15">
        <f>IF(ISNA(VLOOKUP(A132,'Données projet'!$A$35:$I$55,4,0)),0,VLOOKUP(A132,'Données projet'!$A$35:$I$55,4,0))</f>
        <v>0</v>
      </c>
      <c r="W132" s="16">
        <f>IF(ISNA(VLOOKUP(A132,'Données projet'!$A$35:$I$55,5,0)),0%,VLOOKUP(A132,'Données projet'!$A$35:$I$55,5,0)*VLOOKUP('Données projet'!$B$9,Paramètres!$A$1:$I$89,7,0))</f>
        <v>0</v>
      </c>
      <c r="X132" s="16">
        <f>IF(ISNA(VLOOKUP(A132,'Données projet'!$A$35:$I$55,6,0)),0%,VLOOKUP(A132,'Données projet'!$A$35:$I$55,6,0)*VLOOKUP('Données projet'!$B$9,Paramètres!$A$1:$I$89,7,0))</f>
        <v>0</v>
      </c>
      <c r="Y132" s="16">
        <f>IF(ISNA(VLOOKUP(A132,'Données projet'!$A$35:$I$55,7,0)),0%,VLOOKUP(A132,'Données projet'!$A$35:$I$55,7,0))</f>
        <v>0</v>
      </c>
      <c r="Z132" s="21">
        <f>EXP(-LN(2)/35)*Z131+(1-EXP(-LN(2)/35))/(LN(2)/35)*V132*W132*VLOOKUP('Données projet'!$B$9,Paramètres!$A$1:$I$89,3,0)*0.475*44/12</f>
        <v>0.4349901025309254</v>
      </c>
      <c r="AA132" s="21">
        <f>EXP(-LN(2)/25)*AA131+(1-EXP(-LN(2)/25))/(LN(2)/25)*Calculateur!V132*Calculateur!X132*VLOOKUP('Données projet'!$B$9,Paramètres!$A$1:$I$89,3,0)*0.475*44/12</f>
        <v>1.0255601930526435</v>
      </c>
      <c r="AB132" s="21">
        <f>EXP(-LN(2)/2)*AB131+(1-EXP(-LN(2)/2))/(LN(2)/2)*V132*Y132*VLOOKUP('Données projet'!$B$9,Paramètres!$A$1:$I$89,3,0)*0.475*44/12</f>
        <v>2.1260962121009913E-15</v>
      </c>
      <c r="AC132" s="22">
        <f t="shared" ref="AC132:AC153" si="111">SUM(Z132:AB132)</f>
        <v>1.460550295583571</v>
      </c>
      <c r="AD132" s="13">
        <f>('Scénario référence'!$F$8+'Scénario référence'!$F$9+'Scénario référence'!$B$17+'Scénario référence'!$B$9+'Scénario référence'!$B$10)*70+IF((45+25*(1-EXP(-0.0175*A132)))&lt;70,'Scénario référence'!$B$16*(45+25*(1-EXP(-0.0175*A132))),70*'Scénario référence'!$B$16)+IF((32+38*(1-EXP(-0.0175*A132)))&lt;70,'Scénario référence'!$B$18*(32+38*(1-EXP(-0.0175*A132))),70*'Scénario référence'!$B$18)</f>
        <v>70</v>
      </c>
      <c r="AE132" s="13">
        <f>IF(A132&gt;30,10,('Scénario référence'!$B$16+'Scénario référence'!$B$17+'Scénario référence'!$B$18+'Scénario référence'!$B$9+'Scénario référence'!$B$10)*A132*10/30+('Scénario référence'!$F$8+'Scénario référence'!$F$9)*10)</f>
        <v>10</v>
      </c>
      <c r="AF132" s="12" t="e">
        <f>VLOOKUP(A132,'Données projet'!$A$61:$I$81,2,0)</f>
        <v>#N/A</v>
      </c>
      <c r="AG132" s="12" t="e">
        <f>VLOOKUP(A132,'Données projet'!$A$61:$I$81,9,0)</f>
        <v>#N/A</v>
      </c>
      <c r="AH132" s="12">
        <f t="array" ref="AH132">INDEX(AG:AG,MIN(IF(ISNUMBER(AG132:AG328),ROW(AG132:AG328),"")))</f>
        <v>0</v>
      </c>
      <c r="AI132" s="13">
        <f>IF('Données projet'!$A$62&gt;35,AI131+AH132-AQ131,IF(A132&lt;'Données projet'!$A$62,$AF$205^A132,IF(A132='Données projet'!$A$62,'Données projet'!$B$62,AI131+AH132-AQ131)))</f>
        <v>0</v>
      </c>
      <c r="AJ132" s="13">
        <f>AI132*VLOOKUP('Données projet'!$B$10,Paramètres!$A$1:$I$89,3,0)*VLOOKUP('Données projet'!$B$10,Paramètres!$A$1:$I$89,5,0)</f>
        <v>0</v>
      </c>
      <c r="AK132" s="13" t="e">
        <f t="shared" si="89"/>
        <v>#NUM!</v>
      </c>
      <c r="AL132" s="20" t="e">
        <f t="shared" ref="AL132:AL153" si="112">(AJ132+AK132)*0.475*44/12</f>
        <v>#NUM!</v>
      </c>
      <c r="AM132" s="59" t="e">
        <f t="shared" ref="AM132:AM195" si="113">AL132+(AD132+AE132)*44/12</f>
        <v>#NUM!</v>
      </c>
      <c r="AN132" s="59">
        <f ca="1">AVERAGE(OFFSET($AM$3,0,0,'Données projet'!$E$10+1,1))-AVERAGE(OFFSET($H$3,0,0,'Données projet'!$E$10+1,1))</f>
        <v>261.78489480911571</v>
      </c>
      <c r="AO132" s="59">
        <f t="shared" si="90"/>
        <v>297.50513563712764</v>
      </c>
      <c r="AP132" s="15">
        <f>IF(ISNA(VLOOKUP(A132,'Données projet'!$A$61:$I$81,3,0)),0,VLOOKUP(A132,'Données projet'!$A$61:$I$81,3,0))</f>
        <v>0</v>
      </c>
      <c r="AQ132" s="15">
        <f>IF(ISNA(VLOOKUP(A132,'Données projet'!$A$61:$I$81,4,0)),0,VLOOKUP(A132,'Données projet'!$A$61:$I$81,4,0))</f>
        <v>0</v>
      </c>
      <c r="AR132" s="16">
        <f>IF(ISNA(VLOOKUP(A132,'Données projet'!$A$61:$I$81,5,0)),0%,VLOOKUP(A132,'Données projet'!$A$61:$I$81,5,0)*VLOOKUP('Données projet'!$B$10,Paramètres!$A$1:$I$89,7,0))</f>
        <v>0</v>
      </c>
      <c r="AS132" s="16">
        <f>IF(ISNA(VLOOKUP(A132,'Données projet'!$A$61:$I$81,6,0)),0%,VLOOKUP(A132,'Données projet'!$A$61:$I$81,6,0)*VLOOKUP('Données projet'!$B$10,Paramètres!$A$1:$I$89,7,0))</f>
        <v>0</v>
      </c>
      <c r="AT132" s="16">
        <f>IF(ISNA(VLOOKUP(A132,'Données projet'!$A$61:$I$81,7,0)),0%,VLOOKUP(A132,'Données projet'!$A$61:$I$81,7,0))</f>
        <v>0</v>
      </c>
      <c r="AU132" s="21">
        <f>EXP(-LN(2)/35)*AU131+(1-EXP(-LN(2)/35))/(LN(2)/35)*AQ132*AR132*VLOOKUP('Données projet'!$B$10,Paramètres!$A$1:$I$89,3,0)*0.475*44/12</f>
        <v>1.174596313193871</v>
      </c>
      <c r="AV132" s="21">
        <f>EXP(-LN(2)/25)*AV131+(1-EXP(-LN(2)/25))/(LN(2)/25)*Calculateur!AQ132*Calculateur!AS132*VLOOKUP('Données projet'!$B$10,Paramètres!$A$1:$I$89,3,0)*0.475*44/12</f>
        <v>1.7908372712238705</v>
      </c>
      <c r="AW132" s="21">
        <f>EXP(-LN(2)/2)*AW131+(1-EXP(-LN(2)/2))/(LN(2)/2)*AQ132*AT132*VLOOKUP('Données projet'!$B$10,Paramètres!$A$1:$I$89,3,0)*0.475*44/12</f>
        <v>3.0649700949573371E-14</v>
      </c>
      <c r="AX132" s="21">
        <f t="shared" ref="AX132:AX153" si="114">SUM(AU132:AW132)</f>
        <v>2.9654335844177724</v>
      </c>
      <c r="AY132" s="74">
        <f>('Scénario référence'!$F$8+'Scénario référence'!$F$9+'Scénario référence'!$B$17+'Scénario référence'!$B$9+'Scénario référence'!$B$10)*70+IF((45+25*(1-EXP(-0.0175*A132)))&lt;70,'Scénario référence'!$B$16*(45+25*(1-EXP(-0.0175*A132))),70*'Scénario référence'!$B$16)+IF((32+38*(1-EXP(-0.0175*A132)))&lt;70,'Scénario référence'!$B$18*(32+38*(1-EXP(-0.0175*A132))),70*'Scénario référence'!$B$18)</f>
        <v>70</v>
      </c>
      <c r="AZ132" s="12">
        <f>IF(A132&gt;30,10,('Scénario référence'!$B$16+'Scénario référence'!$B$17+'Scénario référence'!$B$18+'Scénario référence'!$B$9+'Scénario référence'!$B$10)*A132*10/30+('Scénario référence'!$F$8+'Scénario référence'!$F$9)*10)</f>
        <v>10</v>
      </c>
      <c r="BA132" s="12" t="e">
        <f>VLOOKUP(A132,'Données projet'!$A$87:$I$107,2,0)</f>
        <v>#N/A</v>
      </c>
      <c r="BB132" s="12" t="e">
        <f>VLOOKUP(A132,'Données projet'!$A$87:$I$107,9,0)</f>
        <v>#N/A</v>
      </c>
      <c r="BC132" s="12">
        <f t="array" ref="BC132">INDEX(BB:BB,MIN(IF(ISNUMBER(BB132:BB328),ROW(BB132:BB328),"")))</f>
        <v>0</v>
      </c>
      <c r="BD132" s="12">
        <f>IF('Données projet'!$A$88&gt;35,BD131+BC132-BL131,IF(A132&lt;'Données projet'!$A$88,$BA$205^A132,IF(A132='Données projet'!$A$88,'Données projet'!$B$88,BD131+BC132-BL131)))</f>
        <v>553.99999999999955</v>
      </c>
      <c r="BE132" s="13">
        <f>BD132*VLOOKUP('Données projet'!$B$11,Paramètres!$A$1:$I$89,3,0)*VLOOKUP('Données projet'!$B$11,Paramètres!$A$1:$I$89,5,0)</f>
        <v>331.29199999999975</v>
      </c>
      <c r="BF132" s="13">
        <f t="shared" si="91"/>
        <v>77.698110787752</v>
      </c>
      <c r="BG132" s="20">
        <f t="shared" ref="BG132:BG153" si="115">(BE132+BF132)*0.475*44/12</f>
        <v>712.32444295533423</v>
      </c>
      <c r="BH132" s="59">
        <f t="shared" ref="BH132:BH195" si="116">BG132+(AY132+AZ132)*44/12</f>
        <v>1005.6577762886675</v>
      </c>
      <c r="BI132" s="59">
        <f ca="1">AVERAGE(OFFSET($BH$3,0,0,'Données projet'!$E$11+1,1))-AVERAGE(OFFSET($H$3,0,0,'Données projet'!$E$11+1,1))</f>
        <v>316.58509520829671</v>
      </c>
      <c r="BJ132" s="59">
        <f t="shared" si="92"/>
        <v>240.71332110643596</v>
      </c>
      <c r="BK132" s="15">
        <f>IF(ISNA(VLOOKUP(A132,'Données projet'!$A$87:$I$107,3,0)),0,VLOOKUP(A132,'Données projet'!$A$87:$I$107,3,0))</f>
        <v>0</v>
      </c>
      <c r="BL132" s="15">
        <f>IF(ISNA(VLOOKUP(A132,'Données projet'!$A$87:$I$107,4,0)),0,VLOOKUP(A132,'Données projet'!$A$87:$I$107,4,0))</f>
        <v>0</v>
      </c>
      <c r="BM132" s="16">
        <f>IF(ISNA(VLOOKUP(A132,'Données projet'!$A$87:$I$107,5,0)),0%,VLOOKUP(A132,'Données projet'!$A$87:$I$107,5,0)*VLOOKUP('Données projet'!$B$11,Paramètres!$A$1:$I$89,7,0))</f>
        <v>0</v>
      </c>
      <c r="BN132" s="16">
        <f>IF(ISNA(VLOOKUP(A132,'Données projet'!$A$87:$I$107,6,0)),0%,VLOOKUP(A132,'Données projet'!$A$87:$I$107,6,0)*VLOOKUP('Données projet'!$B$11,Paramètres!$A$1:$I$89,7,0))</f>
        <v>0</v>
      </c>
      <c r="BO132" s="16">
        <f>IF(ISNA(VLOOKUP(A132,'Données projet'!$A$87:$I$107,7,0)),0%,VLOOKUP(A132,'Données projet'!$A$87:$I$107,7,0))</f>
        <v>0</v>
      </c>
      <c r="BP132" s="21">
        <f>EXP(-LN(2)/35)*BP131+(1-EXP(-LN(2)/35))/(LN(2)/35)*BL132*BM132*VLOOKUP('Données projet'!$B$11,Paramètres!$A$1:$I$89,3,0)*0.475*44/12</f>
        <v>0.35679236968854022</v>
      </c>
      <c r="BQ132" s="21">
        <f>EXP(-LN(2)/25)*BQ131+(1-EXP(-LN(2)/25))/(LN(2)/25)*Calculateur!BL132*Calculateur!BN132*VLOOKUP('Données projet'!$B$11,Paramètres!$A$1:$I$89,3,0)*0.475*44/12</f>
        <v>0.98107291036349331</v>
      </c>
      <c r="BR132" s="21">
        <f>EXP(-LN(2)/2)*BR131+(1-EXP(-LN(2)/2))/(LN(2)/2)*BL132*BO132*VLOOKUP('Données projet'!$B$11,Paramètres!$A$1:$I$89,3,0)*0.475*44/12</f>
        <v>2.7557437682323535E-14</v>
      </c>
      <c r="BS132" s="22">
        <f t="shared" ref="BS132:BS153" si="117">SUM(BP132:BR132)</f>
        <v>1.337865280052061</v>
      </c>
      <c r="BT132" s="75">
        <f>('Scénario référence'!$F$8+'Scénario référence'!$F$9+'Scénario référence'!$B$17+'Scénario référence'!$B$9+'Scénario référence'!$B$10)*70+IF((45+25*(1-EXP(-0.0175*A132)))&lt;70,'Scénario référence'!$B$16*(45+25*(1-EXP(-0.0175*A132))),70*'Scénario référence'!$B$16)+IF((32+38*(1-EXP(-0.0175*A132)))&lt;70,'Scénario référence'!$B$18*(32+38*(1-EXP(-0.0175*A132))),70*'Scénario référence'!$B$18)</f>
        <v>70</v>
      </c>
      <c r="BU132" s="12">
        <f>IF(A132&gt;30,10,('Scénario référence'!$B$16+'Scénario référence'!$B$17+'Scénario référence'!$B$18+'Scénario référence'!$B$9+'Scénario référence'!$B$10)*A132*10/30+('Scénario référence'!$F$8+'Scénario référence'!$F$9)*10)</f>
        <v>10</v>
      </c>
      <c r="BV132" s="12" t="e">
        <f>VLOOKUP(A132,'Données projet'!$A$113:$I$133,2,0)</f>
        <v>#N/A</v>
      </c>
      <c r="BW132" s="12" t="e">
        <f>VLOOKUP(A132,'Données projet'!$A$113:$I$133,9,0)</f>
        <v>#N/A</v>
      </c>
      <c r="BX132" s="12">
        <f t="array" ref="BX132">INDEX(BW:BW,MIN(IF(ISNUMBER(BW132:BW328),ROW(BW132:BW328),"")))</f>
        <v>0</v>
      </c>
      <c r="BY132" s="12">
        <f>IF('Données projet'!$A$114&gt;35,BY131+BX132-CG131,IF(A132&lt;'Données projet'!$A$114,$BV$205^A132,IF(A132='Données projet'!$A$114,'Données projet'!$B$114,BY131+BX132-CG131)))</f>
        <v>333.99999999999977</v>
      </c>
      <c r="BZ132" s="13">
        <f>BY132*VLOOKUP('Données projet'!$B$12,Paramètres!$A$1:$I$89,3,0)*VLOOKUP('Données projet'!$B$12,Paramètres!$A$1:$I$89,5,0)</f>
        <v>191.04799999999986</v>
      </c>
      <c r="CA132" s="13">
        <f t="shared" si="93"/>
        <v>47.771576544305155</v>
      </c>
      <c r="CB132" s="20">
        <f t="shared" ref="CB132:CB153" si="118">(BZ132+CA132)*0.475*44/12</f>
        <v>415.94409581466454</v>
      </c>
      <c r="CC132" s="59">
        <f t="shared" ref="CC132:CC195" si="119">CB132+(BT132+BU132)*44/12</f>
        <v>709.27742914799785</v>
      </c>
      <c r="CD132" s="59">
        <f ca="1">AVERAGE(OFFSET($CC$3,0,0,'Données projet'!$E$12+1,1))-AVERAGE(OFFSET($H$3,0,0,'Données projet'!$E$12+1,1))</f>
        <v>188.64374818906128</v>
      </c>
      <c r="CE132" s="59">
        <f t="shared" si="94"/>
        <v>211.95157880548652</v>
      </c>
      <c r="CF132" s="15">
        <f>IF(ISNA(VLOOKUP(A132,'Données projet'!$A$113:$I$133,3,0)),0,VLOOKUP(A132,'Données projet'!$A$113:$I$133,3,0))</f>
        <v>0</v>
      </c>
      <c r="CG132" s="15">
        <f>IF(ISNA(VLOOKUP(A132,'Données projet'!$A$113:$I$133,4,0)),0,VLOOKUP(A132,'Données projet'!$A$113:$I$133,4,0))</f>
        <v>0</v>
      </c>
      <c r="CH132" s="16">
        <f>IF(ISNA(VLOOKUP(A132,'Données projet'!$A$113:$I$133,5,0)),0%,VLOOKUP(A132,'Données projet'!$A$113:$I$133,5,0)*VLOOKUP('Données projet'!$B$12,Paramètres!$A$1:$I$89,7,0))</f>
        <v>0</v>
      </c>
      <c r="CI132" s="16">
        <f>IF(ISNA(VLOOKUP(A132,'Données projet'!$A$113:$I$133,6,0)),0%,VLOOKUP(A132,'Données projet'!$A$113:$I$133,6,0)*VLOOKUP('Données projet'!$B$12,Paramètres!$A$1:$I$89,7,0))</f>
        <v>0</v>
      </c>
      <c r="CJ132" s="16">
        <f>IF(ISNA(VLOOKUP(A132,'Données projet'!$A$113:$I$133,7,0)),0%,VLOOKUP(A132,'Données projet'!$A$113:$I$133,7,0))</f>
        <v>0</v>
      </c>
      <c r="CK132" s="21">
        <f>EXP(-LN(2)/35)*CK131+(1-EXP(-LN(2)/35))/(LN(2)/35)*CG132*CH132*VLOOKUP('Données projet'!$B$12,Paramètres!$A$1:$I$89,3,0)*0.475*44/12</f>
        <v>0.34608641370890825</v>
      </c>
      <c r="CL132" s="21">
        <f>EXP(-LN(2)/25)*CL131+(1-EXP(-LN(2)/25))/(LN(2)/25)*Calculateur!CG132*Calculateur!CI132*VLOOKUP('Données projet'!$B$12,Paramètres!$A$1:$I$89,3,0)*0.475*44/12</f>
        <v>0.92340803645417291</v>
      </c>
      <c r="CM132" s="21">
        <f>EXP(-LN(2)/2)*CM131+(1-EXP(-LN(2)/2))/(LN(2)/2)*CG132*CJ132*VLOOKUP('Données projet'!$B$12,Paramètres!$A$1:$I$89,3,0)*0.475*44/12</f>
        <v>2.6687222269384446E-14</v>
      </c>
      <c r="CN132" s="22">
        <f t="shared" ref="CN132:CN153" si="120">SUM(CK132:CM132)</f>
        <v>1.2694944501631078</v>
      </c>
      <c r="CO132" s="75">
        <f>('Scénario référence'!$F$8+'Scénario référence'!$F$9+'Scénario référence'!$B$17+'Scénario référence'!$B$9+'Scénario référence'!$B$10)*70+IF((45+25*(1-EXP(-0.0175*A132)))&lt;70,'Scénario référence'!$B$16*(45+25*(1-EXP(-0.0175*A132))),70*'Scénario référence'!$B$16)+IF((32+38*(1-EXP(-0.0175*A132)))&lt;70,'Scénario référence'!$B$18*(32+38*(1-EXP(-0.0175*A132))),70*'Scénario référence'!$B$18)</f>
        <v>70</v>
      </c>
      <c r="CP132" s="12">
        <f>IF(A132&gt;30,10,('Scénario référence'!$B$16+'Scénario référence'!$B$17+'Scénario référence'!$B$18+'Scénario référence'!$B$9+'Scénario référence'!$B$10)*A132*10/30+('Scénario référence'!$F$8+'Scénario référence'!$F$9)*10)</f>
        <v>10</v>
      </c>
      <c r="CQ132" s="12" t="e">
        <f>VLOOKUP(A132,'Données projet'!$A$139:$I$159,2,0)</f>
        <v>#N/A</v>
      </c>
      <c r="CR132" s="12" t="e">
        <f>VLOOKUP(A132,'Données projet'!$A$139:$I$159,9,0)</f>
        <v>#N/A</v>
      </c>
      <c r="CS132" s="12">
        <f t="array" ref="CS132">INDEX(CR:CR,MIN(IF(ISNUMBER(CR132:CR328),ROW(CR132:CR328),"")))</f>
        <v>0</v>
      </c>
      <c r="CT132" s="12">
        <f>IF('Données projet'!$A$140&gt;35,CT131+CS132-DB131,IF(A132&lt;'Données projet'!$A$140,$CQ$205^A132,IF(A132='Données projet'!$A$140,'Données projet'!$B$140,CT131+CS132-DB131)))</f>
        <v>0</v>
      </c>
      <c r="CU132" s="17" t="e">
        <f>CT132*VLOOKUP('Données projet'!$B$13,Paramètres!$A$1:$I$89,3,0)*VLOOKUP('Données projet'!$B$13,Paramètres!$A$1:$I$89,5,0)</f>
        <v>#N/A</v>
      </c>
      <c r="CV132" s="13" t="e">
        <f t="shared" si="95"/>
        <v>#N/A</v>
      </c>
      <c r="CW132" s="20" t="e">
        <f t="shared" ref="CW132:CW153" si="121">(CU132+CV132)*0.475*44/12</f>
        <v>#N/A</v>
      </c>
      <c r="CX132" s="59" t="e">
        <f t="shared" ref="CX132:CX195" si="122">CW132+(CO132+CP132)*44/12</f>
        <v>#N/A</v>
      </c>
      <c r="CY132" s="59" t="e">
        <f ca="1">AVERAGE(OFFSET($CX$3,0,0,'Données projet'!$E$13+1,1))-AVERAGE(OFFSET($H$3,0,0,'Données projet'!$E$13+1,1))</f>
        <v>#N/A</v>
      </c>
      <c r="CZ132" s="59" t="e">
        <f t="shared" si="96"/>
        <v>#N/A</v>
      </c>
      <c r="DA132" s="15">
        <f>IF(ISNA(VLOOKUP(A132,'Données projet'!$A$139:$I$159,3,0)),0,VLOOKUP(A132,'Données projet'!$A$139:$I$159,3,0))</f>
        <v>0</v>
      </c>
      <c r="DB132" s="15">
        <f>IF(ISNA(VLOOKUP(A132,'Données projet'!$A$139:$I$159,4,0)),0,VLOOKUP(A132,'Données projet'!$A$139:$I$159,4,0))</f>
        <v>0</v>
      </c>
      <c r="DC132" s="16">
        <f>IF(ISNA(VLOOKUP(A132,'Données projet'!$A$139:$I$159,5,0)),0%,VLOOKUP(A132,'Données projet'!$A$139:$I$159,5,0)*VLOOKUP('Données projet'!$B$13,Paramètres!$A$1:$I$89,7,0))</f>
        <v>0</v>
      </c>
      <c r="DD132" s="16">
        <f>IF(ISNA(VLOOKUP(A132,'Données projet'!$A$139:$I$159,6,0)),0%,VLOOKUP(A132,'Données projet'!$A$139:$I$159,6,0)*VLOOKUP('Données projet'!$B$13,Paramètres!$A$1:$I$89,7,0))</f>
        <v>0</v>
      </c>
      <c r="DE132" s="16">
        <f>IF(ISNA(VLOOKUP(A132,'Données projet'!$A$139:$I$159,7,0)),0%,VLOOKUP(A132,'Données projet'!$A$139:$I$159,7,0))</f>
        <v>0</v>
      </c>
      <c r="DF132" s="21" t="e">
        <f>EXP(-LN(2)/35)*DF131+(1-EXP(-LN(2)/35))/(LN(2)/35)*DB132*DC132*VLOOKUP('Données projet'!$B$13,Paramètres!$A$1:$I$89,3,0)*0.475*44/12</f>
        <v>#N/A</v>
      </c>
      <c r="DG132" s="21" t="e">
        <f>EXP(-LN(2)/25)*DG131+(1-EXP(-LN(2)/25))/(LN(2)/25)*Calculateur!DB132*Calculateur!DD132*VLOOKUP('Données projet'!$B$13,Paramètres!$A$1:$I$89,3,0)*0.475*44/12</f>
        <v>#N/A</v>
      </c>
      <c r="DH132" s="21" t="e">
        <f>EXP(-LN(2)/2)*DH131+(1-EXP(-LN(2)/2))/(LN(2)/2)*DB132*DE132*VLOOKUP('Données projet'!$B$13,Paramètres!$A$1:$I$89,3,0)*0.475*44/12</f>
        <v>#N/A</v>
      </c>
      <c r="DI132" s="22" t="e">
        <f t="shared" ref="DI132:DI153" si="123">SUM(DF132:DH132)</f>
        <v>#N/A</v>
      </c>
      <c r="DJ132" s="75">
        <f>('Scénario référence'!$F$8+'Scénario référence'!$F$9+'Scénario référence'!$B$17+'Scénario référence'!$B$9+'Scénario référence'!$B$10)*70+IF((45+25*(1-EXP(-0.0175*A132)))&lt;70,'Scénario référence'!$B$16*(45+25*(1-EXP(-0.0175*A132))),70*'Scénario référence'!$B$16)+IF((32+38*(1-EXP(-0.0175*A132)))&lt;70,'Scénario référence'!$B$18*(32+38*(1-EXP(-0.0175*A132))),70*'Scénario référence'!$B$18)</f>
        <v>70</v>
      </c>
      <c r="DK132" s="12">
        <f>IF(A132&gt;30,10,('Scénario référence'!$B$16+'Scénario référence'!$B$17+'Scénario référence'!$B$18+'Scénario référence'!$B$9+'Scénario référence'!$B$10)*A132*10/30+('Scénario référence'!$F$8+'Scénario référence'!$F$9)*10)</f>
        <v>10</v>
      </c>
      <c r="DL132" s="12" t="e">
        <f>VLOOKUP(A132,'Données projet'!$A$165:$I$185,2,0)</f>
        <v>#N/A</v>
      </c>
      <c r="DM132" s="12" t="e">
        <f>VLOOKUP(A132,'Données projet'!$A$165:$I$185,9,0)</f>
        <v>#N/A</v>
      </c>
      <c r="DN132" s="12">
        <f t="array" ref="DN132">INDEX(DM:DM,MIN(IF(ISNUMBER(DM132:DM328),ROW(DM132:DM328),"")))</f>
        <v>0</v>
      </c>
      <c r="DO132" s="12">
        <f>IF('Données projet'!$A$166&gt;35,DO131+DN132-DW131,IF(A132&lt;'Données projet'!$A$166,$DL$205^A132,IF(A132='Données projet'!$A$166,'Données projet'!$B$166,DO131+DN132-DW131)))</f>
        <v>268.00000000000017</v>
      </c>
      <c r="DP132" s="17">
        <f>DO132*VLOOKUP('Données projet'!$B$14,Paramètres!$A$1:$I$89,3,0)*VLOOKUP('Données projet'!$B$14,Paramètres!$A$1:$I$89,5,0)</f>
        <v>175.59360000000012</v>
      </c>
      <c r="DQ132" s="13">
        <f t="shared" si="97"/>
        <v>44.340433728638573</v>
      </c>
      <c r="DR132" s="20">
        <f t="shared" ref="DR132:DR153" si="124">(DP132+DQ132)*0.475*44/12</f>
        <v>383.05177541071242</v>
      </c>
      <c r="DS132" s="59">
        <f t="shared" ref="DS132:DS195" si="125">DR132+(DJ132+DK132)*44/12</f>
        <v>676.38510874404574</v>
      </c>
      <c r="DT132" s="59">
        <f ca="1">AVERAGE(OFFSET($DS$3,0,0,'Données projet'!$E$14+1,1))-AVERAGE(OFFSET($H$3,0,0,'Données projet'!$E$14+1,1))</f>
        <v>188.68915783955595</v>
      </c>
      <c r="DU132" s="59">
        <f t="shared" si="98"/>
        <v>240.82467772396944</v>
      </c>
      <c r="DV132" s="15">
        <f>IF(ISNA(VLOOKUP(A132,'Données projet'!$A$165:$I$185,3,0)),0,VLOOKUP(A132,'Données projet'!$A$165:$I$185,3,0))</f>
        <v>0</v>
      </c>
      <c r="DW132" s="15">
        <f>IF(ISNA(VLOOKUP(A132,'Données projet'!$A$165:$I$185,4,0)),0,VLOOKUP(A132,'Données projet'!$A$165:$I$185,4,0))</f>
        <v>0</v>
      </c>
      <c r="DX132" s="16">
        <f>IF(ISNA(VLOOKUP(A132,'Données projet'!$A$165:$I$185,5,0)),0%,VLOOKUP(A132,'Données projet'!$A$165:$I$185,5,0)*VLOOKUP('Données projet'!$B$14,Paramètres!$A$1:$I$89,7,0))</f>
        <v>0</v>
      </c>
      <c r="DY132" s="16">
        <f>IF(ISNA(VLOOKUP(A132,'Données projet'!$A$165:$I$185,6,0)),0%,VLOOKUP(A132,'Données projet'!$A$165:$I$185,6,0)*VLOOKUP('Données projet'!$B$14,Paramètres!$A$1:$I$89,7,0))</f>
        <v>0</v>
      </c>
      <c r="DZ132" s="16">
        <f>IF(ISNA(VLOOKUP(A132,'Données projet'!$A$165:$I$185,7,0)),0%,VLOOKUP(A132,'Données projet'!$A$165:$I$185,7,0))</f>
        <v>0</v>
      </c>
      <c r="EA132" s="21">
        <f>EXP(-LN(2)/35)*EA131+(1-EXP(-LN(2)/35))/(LN(2)/35)*DW132*DX132*VLOOKUP('Données projet'!$B$14,Paramètres!$A$1:$I$89,3,0)*0.475*44/12</f>
        <v>0.2192171938686476</v>
      </c>
      <c r="EB132" s="21">
        <f>EXP(-LN(2)/25)*EB131+(1-EXP(-LN(2)/25))/(LN(2)/25)*Calculateur!DW132*Calculateur!DY132*VLOOKUP('Données projet'!$B$14,Paramètres!$A$1:$I$89,3,0)*0.475*44/12</f>
        <v>0.51650056272141676</v>
      </c>
      <c r="EC132" s="21">
        <f>EXP(-LN(2)/2)*EC131+(1-EXP(-LN(2)/2))/(LN(2)/2)*DW132*DZ132*VLOOKUP('Données projet'!$B$14,Paramètres!$A$1:$I$89,3,0)*0.475*44/12</f>
        <v>1.7580523702244088E-14</v>
      </c>
      <c r="ED132" s="22">
        <f t="shared" ref="ED132:ED153" si="126">SUM(EA132:EC132)</f>
        <v>0.73571775659008187</v>
      </c>
      <c r="EE132" s="75">
        <f>('Scénario référence'!$F$8+'Scénario référence'!$F$9+'Scénario référence'!$B$17+'Scénario référence'!$B$9+'Scénario référence'!$B$10)*70+IF((45+25*(1-EXP(-0.0175*A132)))&lt;70,'Scénario référence'!$B$16*(45+25*(1-EXP(-0.0175*A132))),70*'Scénario référence'!$B$16)+IF((32+38*(1-EXP(-0.0175*A132)))&lt;70,'Scénario référence'!$B$18*(32+38*(1-EXP(-0.0175*A132))),70*'Scénario référence'!$B$18)</f>
        <v>70</v>
      </c>
      <c r="EF132" s="12">
        <f>IF(A132&gt;30,10,('Scénario référence'!$B$16+'Scénario référence'!$B$17+'Scénario référence'!$B$18+'Scénario référence'!$B$9+'Scénario référence'!$B$10)*A132*10/30+('Scénario référence'!$F$8+'Scénario référence'!$F$9)*10)</f>
        <v>10</v>
      </c>
      <c r="EG132" s="12" t="e">
        <f>VLOOKUP(A132,'Données projet'!$A$191:$I$211,2,0)</f>
        <v>#N/A</v>
      </c>
      <c r="EH132" s="12" t="e">
        <f>VLOOKUP(A132,'Données projet'!$A$191:$I$211,9,0)</f>
        <v>#N/A</v>
      </c>
      <c r="EI132" s="12">
        <f t="array" ref="EI132">INDEX(EH:EH,MIN(IF(ISNUMBER(EH132:EH328),ROW(EH132:EH328),"")))</f>
        <v>0</v>
      </c>
      <c r="EJ132" s="12">
        <f>IF('Données projet'!$A$192&gt;35,EJ131+EI132-ER131,IF(A132&lt;'Données projet'!$A$192,$EG$205^A132,IF(A132='Données projet'!$A$192,'Données projet'!$B$192,EJ131+EI132-ER131)))</f>
        <v>275.99999999999972</v>
      </c>
      <c r="EK132" s="17">
        <f>EJ132*VLOOKUP('Données projet'!$B$15,Paramètres!$A$1:$I$89,3,0)*VLOOKUP('Données projet'!$B$15,Paramètres!$A$1:$I$89,5,0)</f>
        <v>223.8911999999998</v>
      </c>
      <c r="EL132" s="13">
        <f t="shared" si="99"/>
        <v>54.95975389514858</v>
      </c>
      <c r="EM132" s="20">
        <f t="shared" ref="EM132:EM153" si="127">(EK132+EL132)*0.475*44/12</f>
        <v>485.66541136738346</v>
      </c>
      <c r="EN132" s="59">
        <f t="shared" ref="EN132:EN195" si="128">EM132+(EE132+EF132)*44/12</f>
        <v>778.99874470071677</v>
      </c>
      <c r="EO132" s="59">
        <f ca="1">AVERAGE(OFFSET($EN$3,0,0,'Données projet'!$E$15+1,1))-AVERAGE(OFFSET($H$3,0,0,'Données projet'!$E$15+1,1))</f>
        <v>205.5272583787887</v>
      </c>
      <c r="EP132" s="59">
        <f t="shared" si="100"/>
        <v>180.54762778843178</v>
      </c>
      <c r="EQ132" s="15">
        <f>IF(ISNA(VLOOKUP(A132,'Données projet'!$A$191:$I$211,3,0)),0,VLOOKUP(A132,'Données projet'!$A$191:$I$211,3,0))</f>
        <v>0</v>
      </c>
      <c r="ER132" s="15">
        <f>IF(ISNA(VLOOKUP(A132,'Données projet'!$A$191:$I$211,4,0)),0,VLOOKUP(A132,'Données projet'!$A$191:$I$211,4,0))</f>
        <v>0</v>
      </c>
      <c r="ES132" s="16">
        <f>IF(ISNA(VLOOKUP(A132,'Données projet'!$A$191:$I$211,5,0)),0%,VLOOKUP(A132,'Données projet'!$A$191:$I$211,5,0)*VLOOKUP('Données projet'!$B$15,Paramètres!$A$1:$I$89,7,0))</f>
        <v>0</v>
      </c>
      <c r="ET132" s="16">
        <f>IF(ISNA(VLOOKUP(A132,'Données projet'!$A$191:$I$211,6,0)),0%,VLOOKUP(A132,'Données projet'!$A$191:$I$211,6,0)*VLOOKUP('Données projet'!$B$15,Paramètres!$A$1:$I$89,7,0))</f>
        <v>0</v>
      </c>
      <c r="EU132" s="16">
        <f>IF(ISNA(VLOOKUP(A132,'Données projet'!$A$191:$I$211,7,0)),0%,VLOOKUP(A132,'Données projet'!$A$191:$I$211,7,0))</f>
        <v>0</v>
      </c>
      <c r="EV132" s="21">
        <f>EXP(-LN(2)/35)*EV131+(1-EXP(-LN(2)/35))/(LN(2)/35)*ER132*ES132*VLOOKUP('Données projet'!$B$15,Paramètres!$A$1:$I$89,3,0)*0.475*44/12</f>
        <v>0.14113411719543414</v>
      </c>
      <c r="EW132" s="21">
        <f>EXP(-LN(2)/25)*EW131+(1-EXP(-LN(2)/25))/(LN(2)/25)*Calculateur!ER132*Calculateur!ET132*VLOOKUP('Données projet'!$B$15,Paramètres!$A$1:$I$89,3,0)*0.475*44/12</f>
        <v>0.37292907482779397</v>
      </c>
      <c r="EX132" s="21">
        <f>EXP(-LN(2)/2)*EX131+(1-EXP(-LN(2)/2))/(LN(2)/2)*ER132*EU132*VLOOKUP('Données projet'!$B$15,Paramètres!$A$1:$I$89,3,0)*0.475*44/12</f>
        <v>1.1383402096702987E-14</v>
      </c>
      <c r="EY132" s="22">
        <f t="shared" ref="EY132:EY153" si="129">SUM(EV132:EX132)</f>
        <v>0.51406319202323958</v>
      </c>
      <c r="EZ132" s="75">
        <f>('Scénario référence'!$F$8+'Scénario référence'!$F$9+'Scénario référence'!$B$17+'Scénario référence'!$B$9+'Scénario référence'!$B$10)*70+IF((45+25*(1-EXP(-0.0175*A132)))&lt;70,'Scénario référence'!$B$16*(45+25*(1-EXP(-0.0175*A132))),70*'Scénario référence'!$B$16)+IF((32+38*(1-EXP(-0.0175*A132)))&lt;70,'Scénario référence'!$B$18*(32+38*(1-EXP(-0.0175*A132))),70*'Scénario référence'!$B$18)</f>
        <v>70</v>
      </c>
      <c r="FA132" s="12">
        <f>IF(A132&gt;30,10,('Scénario référence'!$B$16+'Scénario référence'!$B$17+'Scénario référence'!$B$18+'Scénario référence'!$B$9+'Scénario référence'!$B$10)*A132*10/30+('Scénario référence'!$F$8+'Scénario référence'!$F$9)*10)</f>
        <v>10</v>
      </c>
      <c r="FB132" s="12" t="e">
        <f>VLOOKUP(A132,'Données projet'!$A$217:$I$237,2,0)</f>
        <v>#N/A</v>
      </c>
      <c r="FC132" s="12" t="e">
        <f>VLOOKUP(A132,'Données projet'!$A$217:$I$237,9,0)</f>
        <v>#N/A</v>
      </c>
      <c r="FD132" s="12">
        <f t="array" ref="FD132">INDEX(FC:FC,MIN(IF(ISNUMBER(FC132:FC328),ROW(FC132:FC328),"")))</f>
        <v>6.3</v>
      </c>
      <c r="FE132" s="12">
        <f>IF('Données projet'!$A$218&gt;35,FE131+FD132-FM131,IF(A132&lt;'Données projet'!$A$218,$FB$205^A132,IF(A132='Données projet'!$A$218,'Données projet'!$B$218,FE131+FD132-FM131)))</f>
        <v>448.69999999999993</v>
      </c>
      <c r="FF132" s="17">
        <f>FE132*VLOOKUP('Données projet'!$B$16,Paramètres!$A$1:$I$89,3,0)*VLOOKUP('Données projet'!$B$16,Paramètres!$A$1:$I$89,5,0)</f>
        <v>384.9846</v>
      </c>
      <c r="FG132" s="13">
        <f t="shared" si="101"/>
        <v>88.725777849915133</v>
      </c>
      <c r="FH132" s="20">
        <f t="shared" ref="FH132:FH153" si="130">(FF132+FG132)*0.475*44/12</f>
        <v>825.04557475526872</v>
      </c>
      <c r="FI132" s="59">
        <f t="shared" ref="FI132:FI195" si="131">FH132+(EZ132+FA132)*44/12</f>
        <v>1118.378908088602</v>
      </c>
      <c r="FJ132" s="59">
        <f ca="1">AVERAGE(OFFSET($FI$3,0,0,'Données projet'!$E$16+1,1))-AVERAGE(OFFSET($H$3,0,0,'Données projet'!$E$16+1,1))</f>
        <v>383.97627237444709</v>
      </c>
      <c r="FK132" s="59">
        <f t="shared" si="102"/>
        <v>203.35476578922339</v>
      </c>
      <c r="FL132" s="15">
        <f>IF(ISNA(VLOOKUP(A132,'Données projet'!$A$217:$I$237,3,0)),0,VLOOKUP(A132,'Données projet'!$A$217:$I$237,3,0))</f>
        <v>0</v>
      </c>
      <c r="FM132" s="15">
        <f>IF(ISNA(VLOOKUP(A132,'Données projet'!$A$217:$I$237,4,0)),0,VLOOKUP(A132,'Données projet'!$A$217:$I$237,4,0))</f>
        <v>0</v>
      </c>
      <c r="FN132" s="16">
        <f>IF(ISNA(VLOOKUP(A132,'Données projet'!$A$217:$I$237,5,0)),0%,VLOOKUP(A132,'Données projet'!$A$217:$I$237,5,0)*VLOOKUP('Données projet'!$B$16,Paramètres!$A$1:$I$89,7,0))</f>
        <v>0</v>
      </c>
      <c r="FO132" s="16">
        <f>IF(ISNA(VLOOKUP(A132,'Données projet'!$A$217:$I$237,6,0)),0%,VLOOKUP(A132,'Données projet'!$A$217:$I$237,6,0)*VLOOKUP('Données projet'!$B$16,Paramètres!$A$1:$I$89,7,0))</f>
        <v>0</v>
      </c>
      <c r="FP132" s="16">
        <f>IF(ISNA(VLOOKUP(A132,'Données projet'!$A$217:$I$237,7,0)),0%,VLOOKUP(A132,'Données projet'!$A$217:$I$237,7,0))</f>
        <v>0</v>
      </c>
      <c r="FQ132" s="21">
        <f>EXP(-LN(2)/35)*FQ131+(1-EXP(-LN(2)/35))/(LN(2)/35)*FM132*FN132*VLOOKUP('Données projet'!$B$16,Paramètres!$A$1:$I$89,3,0)*0.475*44/12</f>
        <v>0.72535279416421627</v>
      </c>
      <c r="FR132" s="21">
        <f>EXP(-LN(2)/25)*FR131+(1-EXP(-LN(2)/25))/(LN(2)/25)*Calculateur!FM132*Calculateur!FO132*VLOOKUP('Données projet'!$B$16,Paramètres!$A$1:$I$89,3,0)*0.475*44/12</f>
        <v>0.37856155683338272</v>
      </c>
      <c r="FS132" s="21">
        <f>EXP(-LN(2)/2)*FS131+(1-EXP(-LN(2)/2))/(LN(2)/2)*FM132*FP132*VLOOKUP('Données projet'!$B$16,Paramètres!$A$1:$I$89,3,0)*0.475*44/12</f>
        <v>2.0908973439291916E-14</v>
      </c>
      <c r="FT132" s="22">
        <f t="shared" ref="FT132:FT153" si="132">SUM(FQ132:FS132)</f>
        <v>1.1039143509976199</v>
      </c>
      <c r="FU132" s="75">
        <f>('Scénario référence'!$F$8+'Scénario référence'!$F$9+'Scénario référence'!$B$17+'Scénario référence'!$B$9+'Scénario référence'!$B$10)*70+IF((45+25*(1-EXP(-0.0175*A132)))&lt;70,'Scénario référence'!$B$16*(45+25*(1-EXP(-0.0175*A132))),70*'Scénario référence'!$B$16)+IF((32+38*(1-EXP(-0.0175*A132)))&lt;70,'Scénario référence'!$B$18*(32+38*(1-EXP(-0.0175*A132))),70*'Scénario référence'!$B$18)</f>
        <v>70</v>
      </c>
      <c r="FV132" s="12">
        <f>IF(A132&gt;30,10,('Scénario référence'!$B$16+'Scénario référence'!$B$17+'Scénario référence'!$B$18+'Scénario référence'!$B$9+'Scénario référence'!$B$10)*A132*10/30+('Scénario référence'!$F$8+'Scénario référence'!$F$9)*10)</f>
        <v>10</v>
      </c>
      <c r="FW132" s="12" t="e">
        <f>VLOOKUP(A132,'Données projet'!$A$243:$I$263,2,0)</f>
        <v>#N/A</v>
      </c>
      <c r="FX132" s="12" t="e">
        <f>VLOOKUP(A132,'Données projet'!$A$243:$I$263,9,0)</f>
        <v>#N/A</v>
      </c>
      <c r="FY132" s="12">
        <f t="array" ref="FY132">INDEX(FX:FX,MIN(IF(ISNUMBER(FX132:FX328),ROW(FX132:FX328),"")))</f>
        <v>1.5064102564102591</v>
      </c>
      <c r="FZ132" s="12">
        <f>IF('Données projet'!$A$244&gt;35,FZ131+FY132-GH131,IF(A132&lt;'Données projet'!$A$244,$FW$205^A132,IF(A132='Données projet'!$A$244,'Données projet'!$B$244,FZ131+FY132-GH131)))</f>
        <v>107.89743589743634</v>
      </c>
      <c r="GA132" s="17">
        <f>FZ132*VLOOKUP('Données projet'!$B$17,Paramètres!$A$1:$I$89,3,0)*VLOOKUP('Données projet'!$B$17,Paramètres!$A$1:$I$89,5,0)</f>
        <v>116.14080000000047</v>
      </c>
      <c r="GB132" s="13">
        <f t="shared" si="103"/>
        <v>30.773199038220731</v>
      </c>
      <c r="GC132" s="20">
        <f t="shared" ref="GC132:GC153" si="133">(GA132+GB132)*0.475*44/12</f>
        <v>255.87521499156858</v>
      </c>
      <c r="GD132" s="59">
        <f t="shared" ref="GD132:GD195" si="134">GC132+(FU132+FV132)*44/12</f>
        <v>549.20854832490193</v>
      </c>
      <c r="GE132" s="59">
        <f ca="1">AVERAGE(OFFSET($GD$3,0,0,'Données projet'!$E$17+1,1))-AVERAGE(OFFSET($H$3,0,0,'Données projet'!$E$17+1,1))</f>
        <v>286.77702855541287</v>
      </c>
      <c r="GF132" s="59">
        <f t="shared" si="104"/>
        <v>227.12211541860779</v>
      </c>
      <c r="GG132" s="15">
        <f>IF(ISNA(VLOOKUP(A132,'Données projet'!$A$243:$I$263,3,0)),0,VLOOKUP(A132,'Données projet'!$A$243:$I$263,3,0))</f>
        <v>0</v>
      </c>
      <c r="GH132" s="15">
        <f>IF(ISNA(VLOOKUP(A132,'Données projet'!$A$243:$I$263,4,0)),0,VLOOKUP(A132,'Données projet'!$A$243:$I$263,4,0))</f>
        <v>0</v>
      </c>
      <c r="GI132" s="16">
        <f>IF(ISNA(VLOOKUP(A132,'Données projet'!$A$243:$I$263,5,0)),0%,VLOOKUP(A132,'Données projet'!$A$243:$I$263,5,0)*VLOOKUP('Données projet'!$B$17,Paramètres!$A$1:$I$89,7,0))</f>
        <v>0</v>
      </c>
      <c r="GJ132" s="16">
        <f>IF(ISNA(VLOOKUP(A132,'Données projet'!$A$243:$I$263,6,0)),0%,VLOOKUP(A132,'Données projet'!$A$243:$I$263,6,0)*VLOOKUP('Données projet'!$B$17,Paramètres!$A$1:$I$89,7,0))</f>
        <v>0</v>
      </c>
      <c r="GK132" s="16">
        <f>IF(ISNA(VLOOKUP(A132,'Données projet'!$A$243:$I$263,7,0)),0%,VLOOKUP(A132,'Données projet'!$A$243:$I$263,7,0))</f>
        <v>0</v>
      </c>
      <c r="GL132" s="21">
        <f>EXP(-LN(2)/35)*GL131+(1-EXP(-LN(2)/35))/(LN(2)/35)*GH132*GI132*VLOOKUP('Données projet'!$B$17,Paramètres!$A$1:$I$89,3,0)*0.475*44/12</f>
        <v>0</v>
      </c>
      <c r="GM132" s="21">
        <f>EXP(-LN(2)/25)*GM131+(1-EXP(-LN(2)/25))/(LN(2)/25)*Calculateur!GH132*Calculateur!GJ132*VLOOKUP('Données projet'!$B$17,Paramètres!$A$1:$I$89,3,0)*0.475*44/12</f>
        <v>0</v>
      </c>
      <c r="GN132" s="21">
        <f>EXP(-LN(2)/2)*GN131+(1-EXP(-LN(2)/2))/(LN(2)/2)*GH132*GK132*VLOOKUP('Données projet'!$B$17,Paramètres!$A$1:$I$89,3,0)*0.475*44/12</f>
        <v>0</v>
      </c>
      <c r="GO132" s="21">
        <f t="shared" ref="GO132:GO153" si="135">SUM(GL132:GN132)</f>
        <v>0</v>
      </c>
      <c r="GP132" s="75">
        <f>('Scénario référence'!$F$8+'Scénario référence'!$F$9+'Scénario référence'!$B$17+'Scénario référence'!$B$9+'Scénario référence'!$B$10)*70+IF((45+25*(1-EXP(-0.0175*A132)))&lt;70,'Scénario référence'!$B$16*(45+25*(1-EXP(-0.0175*A132))),70*'Scénario référence'!$B$16)+IF((32+38*(1-EXP(-0.0175*A132)))&lt;70,'Scénario référence'!$B$18*(32+38*(1-EXP(-0.0175*A132))),70*'Scénario référence'!$B$18)</f>
        <v>70</v>
      </c>
      <c r="GQ132" s="12">
        <f>IF(A132&gt;30,10,('Scénario référence'!$B$16+'Scénario référence'!$B$17+'Scénario référence'!$B$18+'Scénario référence'!$B$9+'Scénario référence'!$B$10)*A132*10/30+('Scénario référence'!$F$8+'Scénario référence'!$F$9)*10)</f>
        <v>10</v>
      </c>
      <c r="GR132" s="12" t="e">
        <f>VLOOKUP(A132,'Données projet'!$A$269:$I$289,2,0)</f>
        <v>#N/A</v>
      </c>
      <c r="GS132" s="12" t="e">
        <f>VLOOKUP(A132,'Données projet'!$A$269:$I$289,9,0)</f>
        <v>#N/A</v>
      </c>
      <c r="GT132" s="12">
        <f t="array" ref="GT132">INDEX(GS:GS,MIN(IF(ISNUMBER(GS132:GS328),ROW(GS132:GS328),"")))</f>
        <v>1.5064102564102591</v>
      </c>
      <c r="GU132" s="12">
        <f>IF('Données projet'!$A$270&gt;35,GU131+GT132-HC131,IF(A132&lt;'Données projet'!$A$270,$GR$205^A132,IF(A132='Données projet'!$A$270,'Données projet'!$B$270,GU131+GT132-HC131)))</f>
        <v>107.89743589743634</v>
      </c>
      <c r="GV132" s="17">
        <f>GU132*VLOOKUP('Données projet'!$B$18,Paramètres!$A$1:$I$89,3,0)*VLOOKUP('Données projet'!$B$18,Paramètres!$A$1:$I$89,5,0)</f>
        <v>116.14080000000047</v>
      </c>
      <c r="GW132" s="13">
        <f t="shared" si="105"/>
        <v>30.773199038220731</v>
      </c>
      <c r="GX132" s="20">
        <f t="shared" ref="GX132:GX153" si="136">(GV132+GW132)*0.475*44/12</f>
        <v>255.87521499156858</v>
      </c>
      <c r="GY132" s="59">
        <f t="shared" ref="GY132:GY195" si="137">GX132+(GP132+GQ132)*44/12</f>
        <v>549.20854832490193</v>
      </c>
      <c r="GZ132" s="59">
        <f ca="1">AVERAGE(OFFSET($GY$3,0,0,'Données projet'!$E$18+1,1))-AVERAGE(OFFSET($H$3,0,0,'Données projet'!$E$18+1,1))</f>
        <v>286.77702855541287</v>
      </c>
      <c r="HA132" s="59">
        <f t="shared" si="106"/>
        <v>227.12211541860779</v>
      </c>
      <c r="HB132" s="15">
        <f>IF(ISNA(VLOOKUP(A132,'Données projet'!$A$269:$I$289,3,0)),0,VLOOKUP(A132,'Données projet'!$A$269:$I$289,3,0))</f>
        <v>0</v>
      </c>
      <c r="HC132" s="15">
        <f>IF(ISNA(VLOOKUP(A132,'Données projet'!$A$269:$I$289,4,0)),0,VLOOKUP(A132,'Données projet'!$A$269:$I$289,4,0))</f>
        <v>0</v>
      </c>
      <c r="HD132" s="16">
        <f>IF(ISNA(VLOOKUP(A132,'Données projet'!$A$269:$I$289,5,0)),0%,VLOOKUP(A132,'Données projet'!$A$269:$I$289,5,0)*VLOOKUP('Données projet'!$B$18,Paramètres!$A$1:$I$89,7,0))</f>
        <v>0</v>
      </c>
      <c r="HE132" s="16">
        <f>IF(ISNA(VLOOKUP(A132,'Données projet'!$A$269:$I$289,6,0)),0%,VLOOKUP(A132,'Données projet'!$A$269:$I$289,6,0)*VLOOKUP('Données projet'!$B$18,Paramètres!$A$1:$I$89,7,0))</f>
        <v>0</v>
      </c>
      <c r="HF132" s="16">
        <f>IF(ISNA(VLOOKUP(A132,'Données projet'!$A$269:$I$289,7,0)),0%,VLOOKUP(A132,'Données projet'!$A$269:$I$289,7,0))</f>
        <v>0</v>
      </c>
      <c r="HG132" s="21">
        <f>EXP(-LN(2)/35)*HG131+(1-EXP(-LN(2)/35))/(LN(2)/35)*HC132*HD132*VLOOKUP('Données projet'!$B$18,Paramètres!$A$1:$I$89,3,0)*0.475*44/12</f>
        <v>0</v>
      </c>
      <c r="HH132" s="21">
        <f>EXP(-LN(2)/25)*HH131+(1-EXP(-LN(2)/25))/(LN(2)/25)*Calculateur!HC132*Calculateur!HE132*VLOOKUP('Données projet'!$B$18,Paramètres!$A$1:$I$89,3,0)*0.475*44/12</f>
        <v>0</v>
      </c>
      <c r="HI132" s="21">
        <f>EXP(-LN(2)/2)*HI131+(1-EXP(-LN(2)/2))/(LN(2)/2)*HC132*HF132*VLOOKUP('Données projet'!$B$18,Paramètres!$A$1:$I$89,3,0)*0.475*44/12</f>
        <v>0</v>
      </c>
      <c r="HJ132" s="22">
        <f t="shared" ref="HJ132:HJ153" si="138">SUM(HG132:HI132)</f>
        <v>0</v>
      </c>
    </row>
    <row r="133" spans="1:218" x14ac:dyDescent="0.25">
      <c r="A133" s="10">
        <f t="shared" ref="A133:A152" si="139">A132+1</f>
        <v>130</v>
      </c>
      <c r="B133" s="73">
        <f>'Scénario référence'!$B$16*5+'Scénario référence'!$B$17*0+'Scénario référence'!$B$18*5</f>
        <v>0</v>
      </c>
      <c r="C133" s="19">
        <f>Calculateur!C132+'Scénario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115.59600000000022</v>
      </c>
      <c r="D133" s="11">
        <f t="shared" ref="D133:D196" si="140">IFERROR(EXP(-1.0587+0.8836*LN(C133)+0.284),0)</f>
        <v>30.645614103483904</v>
      </c>
      <c r="E13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33" s="11">
        <f>IF(OR('Scénario référence'!$F$8&gt;0,'Scénario référence'!$F$9&gt;0),('Scénario référence'!$F$8+'Scénario référence'!$F$9)*10,0)</f>
        <v>10</v>
      </c>
      <c r="G133" s="11">
        <f>'Scénario référence'!$B$8*B133*44/12+'Scénario référence'!$B$9*(C133+D133)/0.475*44/12+'Scénario référence'!$B$10*(C133+D133)/0.475*44/12+'Scénario référence'!$F$8*(C133+D133)/0.475*44/12+'Scénario référence'!$F$9*(C133+D133)/0.475*44/12</f>
        <v>1128.8826351847899</v>
      </c>
      <c r="H133" s="67">
        <f t="shared" si="110"/>
        <v>548.03747789690146</v>
      </c>
      <c r="I133" s="70">
        <f>('Scénario référence'!$F$8+'Scénario référence'!$F$9+'Scénario référence'!$B$17+'Scénario référence'!$B$9+'Scénario référence'!$B$10)*70+IF((45+25*(1-EXP(-0.0175*A133)))&lt;70,'Scénario référence'!$B$16*(45+25*(1-EXP(-0.0175*A133))),70*'Scénario référence'!$B$16)+IF((32+38*(1-EXP(-0.0175*A133)))&lt;70,'Scénario référence'!$B$18*(32+38*(1-EXP(-0.0175*A133))),70*'Scénario référence'!$B$18)</f>
        <v>70</v>
      </c>
      <c r="J133" s="13">
        <f>IF(A133&gt;30,10,('Scénario référence'!$B$16+'Scénario référence'!$B$17+'Scénario référence'!$B$18+'Scénario référence'!$B$9+'Scénario référence'!$B$10)*A133*10/30+('Scénario référence'!$F$8+'Scénario référence'!$F$9)*10)</f>
        <v>10</v>
      </c>
      <c r="K133" s="12" t="e">
        <f>VLOOKUP(A133,'Données projet'!$A$35:$I$55,2,0)</f>
        <v>#N/A</v>
      </c>
      <c r="L133" s="12" t="e">
        <f>VLOOKUP(A133,'Données projet'!$A$35:$I$55,9,0)</f>
        <v>#N/A</v>
      </c>
      <c r="M133" s="12">
        <f t="array" ref="M133">INDEX(L:L,MIN(IF(ISNUMBER(L133:L329),ROW(L133:L329),"")))</f>
        <v>0</v>
      </c>
      <c r="N133" s="13">
        <f>IF('Données projet'!$A$36&gt;35,N132+M133-V132,IF(A133&lt;'Données projet'!$A$36,$K$205^A133,IF(A133='Données projet'!$A$36,'Données projet'!$B$36,N132+M133-V132)))</f>
        <v>-2.2737367544323206E-13</v>
      </c>
      <c r="O133" s="13">
        <f>N133*VLOOKUP('Données projet'!$B$9,Paramètres!$A$1:$I$89,3,0)*VLOOKUP('Données projet'!$B$9,Paramètres!$A$1:$I$89,5,0)</f>
        <v>-1.2710188457276673E-13</v>
      </c>
      <c r="P133" s="13" t="e">
        <f t="shared" ref="P133:P196" si="141">EXP(-1.0587+0.8836*LN(O133)+0.284)</f>
        <v>#NUM!</v>
      </c>
      <c r="Q133" s="20" t="e">
        <f t="shared" si="108"/>
        <v>#NUM!</v>
      </c>
      <c r="R133" s="59" t="e">
        <f t="shared" si="109"/>
        <v>#NUM!</v>
      </c>
      <c r="S133" s="59">
        <f ca="1">AVERAGE(OFFSET($R$3,0,0,'Données projet'!$E$9+1,1))-AVERAGE(OFFSET($H$3,0,0,'Données projet'!$E$9+1,1))</f>
        <v>255.5374979188561</v>
      </c>
      <c r="T133" s="59">
        <f t="shared" ref="T133:T196" si="142">$T$3</f>
        <v>343.10418468620901</v>
      </c>
      <c r="U133" s="15">
        <f>IF(ISNA(VLOOKUP(A133,'Données projet'!$A$35:$I$55,3,0)),0,VLOOKUP(A133,'Données projet'!$A$35:$I$55,3,0))</f>
        <v>0</v>
      </c>
      <c r="V133" s="15">
        <f>IF(ISNA(VLOOKUP(A133,'Données projet'!$A$35:$I$55,4,0)),0,VLOOKUP(A133,'Données projet'!$A$35:$I$55,4,0))</f>
        <v>0</v>
      </c>
      <c r="W133" s="16">
        <f>IF(ISNA(VLOOKUP(A133,'Données projet'!$A$35:$I$55,5,0)),0%,VLOOKUP(A133,'Données projet'!$A$35:$I$55,5,0)*VLOOKUP('Données projet'!$B$9,Paramètres!$A$1:$I$89,7,0))</f>
        <v>0</v>
      </c>
      <c r="X133" s="16">
        <f>IF(ISNA(VLOOKUP(A133,'Données projet'!$A$35:$I$55,6,0)),0%,VLOOKUP(A133,'Données projet'!$A$35:$I$55,6,0)*VLOOKUP('Données projet'!$B$9,Paramètres!$A$1:$I$89,7,0))</f>
        <v>0</v>
      </c>
      <c r="Y133" s="16">
        <f>IF(ISNA(VLOOKUP(A133,'Données projet'!$A$35:$I$55,7,0)),0%,VLOOKUP(A133,'Données projet'!$A$35:$I$55,7,0))</f>
        <v>0</v>
      </c>
      <c r="Z133" s="21">
        <f>EXP(-LN(2)/35)*Z132+(1-EXP(-LN(2)/35))/(LN(2)/35)*V133*W133*VLOOKUP('Données projet'!$B$9,Paramètres!$A$1:$I$89,3,0)*0.475*44/12</f>
        <v>0.42646021193805855</v>
      </c>
      <c r="AA133" s="21">
        <f>EXP(-LN(2)/25)*AA132+(1-EXP(-LN(2)/25))/(LN(2)/25)*Calculateur!V133*Calculateur!X133*VLOOKUP('Données projet'!$B$9,Paramètres!$A$1:$I$89,3,0)*0.475*44/12</f>
        <v>0.99751619564175231</v>
      </c>
      <c r="AB133" s="21">
        <f>EXP(-LN(2)/2)*AB132+(1-EXP(-LN(2)/2))/(LN(2)/2)*V133*Y133*VLOOKUP('Données projet'!$B$9,Paramètres!$A$1:$I$89,3,0)*0.475*44/12</f>
        <v>1.5033770490316432E-15</v>
      </c>
      <c r="AC133" s="22">
        <f t="shared" si="111"/>
        <v>1.4239764075798125</v>
      </c>
      <c r="AD133" s="13">
        <f>('Scénario référence'!$F$8+'Scénario référence'!$F$9+'Scénario référence'!$B$17+'Scénario référence'!$B$9+'Scénario référence'!$B$10)*70+IF((45+25*(1-EXP(-0.0175*A133)))&lt;70,'Scénario référence'!$B$16*(45+25*(1-EXP(-0.0175*A133))),70*'Scénario référence'!$B$16)+IF((32+38*(1-EXP(-0.0175*A133)))&lt;70,'Scénario référence'!$B$18*(32+38*(1-EXP(-0.0175*A133))),70*'Scénario référence'!$B$18)</f>
        <v>70</v>
      </c>
      <c r="AE133" s="13">
        <f>IF(A133&gt;30,10,('Scénario référence'!$B$16+'Scénario référence'!$B$17+'Scénario référence'!$B$18+'Scénario référence'!$B$9+'Scénario référence'!$B$10)*A133*10/30+('Scénario référence'!$F$8+'Scénario référence'!$F$9)*10)</f>
        <v>10</v>
      </c>
      <c r="AF133" s="12" t="e">
        <f>VLOOKUP(A133,'Données projet'!$A$61:$I$81,2,0)</f>
        <v>#N/A</v>
      </c>
      <c r="AG133" s="12" t="e">
        <f>VLOOKUP(A133,'Données projet'!$A$61:$I$81,9,0)</f>
        <v>#N/A</v>
      </c>
      <c r="AH133" s="12">
        <f t="array" ref="AH133">INDEX(AG:AG,MIN(IF(ISNUMBER(AG133:AG329),ROW(AG133:AG329),"")))</f>
        <v>0</v>
      </c>
      <c r="AI133" s="13">
        <f>IF('Données projet'!$A$62&gt;35,AI132+AH133-AQ132,IF(A133&lt;'Données projet'!$A$62,$AF$205^A133,IF(A133='Données projet'!$A$62,'Données projet'!$B$62,AI132+AH133-AQ132)))</f>
        <v>0</v>
      </c>
      <c r="AJ133" s="13">
        <f>AI133*VLOOKUP('Données projet'!$B$10,Paramètres!$A$1:$I$89,3,0)*VLOOKUP('Données projet'!$B$10,Paramètres!$A$1:$I$89,5,0)</f>
        <v>0</v>
      </c>
      <c r="AK133" s="13" t="e">
        <f t="shared" ref="AK133:AK153" si="143">EXP(-1.0587+0.8836*LN(AJ133)+0.284)</f>
        <v>#NUM!</v>
      </c>
      <c r="AL133" s="20" t="e">
        <f t="shared" si="112"/>
        <v>#NUM!</v>
      </c>
      <c r="AM133" s="59" t="e">
        <f t="shared" si="113"/>
        <v>#NUM!</v>
      </c>
      <c r="AN133" s="59">
        <f ca="1">AVERAGE(OFFSET($AM$3,0,0,'Données projet'!$E$10+1,1))-AVERAGE(OFFSET($H$3,0,0,'Données projet'!$E$10+1,1))</f>
        <v>261.78489480911571</v>
      </c>
      <c r="AO133" s="59">
        <f t="shared" ref="AO133:AO196" si="144">$AO$3</f>
        <v>297.50513563712764</v>
      </c>
      <c r="AP133" s="15">
        <f>IF(ISNA(VLOOKUP(A133,'Données projet'!$A$61:$I$81,3,0)),0,VLOOKUP(A133,'Données projet'!$A$61:$I$81,3,0))</f>
        <v>0</v>
      </c>
      <c r="AQ133" s="15">
        <f>IF(ISNA(VLOOKUP(A133,'Données projet'!$A$61:$I$81,4,0)),0,VLOOKUP(A133,'Données projet'!$A$61:$I$81,4,0))</f>
        <v>0</v>
      </c>
      <c r="AR133" s="16">
        <f>IF(ISNA(VLOOKUP(A133,'Données projet'!$A$61:$I$81,5,0)),0%,VLOOKUP(A133,'Données projet'!$A$61:$I$81,5,0)*VLOOKUP('Données projet'!$B$10,Paramètres!$A$1:$I$89,7,0))</f>
        <v>0</v>
      </c>
      <c r="AS133" s="16">
        <f>IF(ISNA(VLOOKUP(A133,'Données projet'!$A$61:$I$81,6,0)),0%,VLOOKUP(A133,'Données projet'!$A$61:$I$81,6,0)*VLOOKUP('Données projet'!$B$10,Paramètres!$A$1:$I$89,7,0))</f>
        <v>0</v>
      </c>
      <c r="AT133" s="16">
        <f>IF(ISNA(VLOOKUP(A133,'Données projet'!$A$61:$I$81,7,0)),0%,VLOOKUP(A133,'Données projet'!$A$61:$I$81,7,0))</f>
        <v>0</v>
      </c>
      <c r="AU133" s="21">
        <f>EXP(-LN(2)/35)*AU132+(1-EXP(-LN(2)/35))/(LN(2)/35)*AQ133*AR133*VLOOKUP('Données projet'!$B$10,Paramètres!$A$1:$I$89,3,0)*0.475*44/12</f>
        <v>1.1515631959251484</v>
      </c>
      <c r="AV133" s="21">
        <f>EXP(-LN(2)/25)*AV132+(1-EXP(-LN(2)/25))/(LN(2)/25)*Calculateur!AQ133*Calculateur!AS133*VLOOKUP('Données projet'!$B$10,Paramètres!$A$1:$I$89,3,0)*0.475*44/12</f>
        <v>1.7418667318662147</v>
      </c>
      <c r="AW133" s="21">
        <f>EXP(-LN(2)/2)*AW132+(1-EXP(-LN(2)/2))/(LN(2)/2)*AQ133*AT133*VLOOKUP('Données projet'!$B$10,Paramètres!$A$1:$I$89,3,0)*0.475*44/12</f>
        <v>2.1672611382783096E-14</v>
      </c>
      <c r="AX133" s="21">
        <f t="shared" si="114"/>
        <v>2.8934299277913849</v>
      </c>
      <c r="AY133" s="74">
        <f>('Scénario référence'!$F$8+'Scénario référence'!$F$9+'Scénario référence'!$B$17+'Scénario référence'!$B$9+'Scénario référence'!$B$10)*70+IF((45+25*(1-EXP(-0.0175*A133)))&lt;70,'Scénario référence'!$B$16*(45+25*(1-EXP(-0.0175*A133))),70*'Scénario référence'!$B$16)+IF((32+38*(1-EXP(-0.0175*A133)))&lt;70,'Scénario référence'!$B$18*(32+38*(1-EXP(-0.0175*A133))),70*'Scénario référence'!$B$18)</f>
        <v>70</v>
      </c>
      <c r="AZ133" s="12">
        <f>IF(A133&gt;30,10,('Scénario référence'!$B$16+'Scénario référence'!$B$17+'Scénario référence'!$B$18+'Scénario référence'!$B$9+'Scénario référence'!$B$10)*A133*10/30+('Scénario référence'!$F$8+'Scénario référence'!$F$9)*10)</f>
        <v>10</v>
      </c>
      <c r="BA133" s="12" t="e">
        <f>VLOOKUP(A133,'Données projet'!$A$87:$I$107,2,0)</f>
        <v>#N/A</v>
      </c>
      <c r="BB133" s="12" t="e">
        <f>VLOOKUP(A133,'Données projet'!$A$87:$I$107,9,0)</f>
        <v>#N/A</v>
      </c>
      <c r="BC133" s="12">
        <f t="array" ref="BC133">INDEX(BB:BB,MIN(IF(ISNUMBER(BB133:BB329),ROW(BB133:BB329),"")))</f>
        <v>0</v>
      </c>
      <c r="BD133" s="12">
        <f>IF('Données projet'!$A$88&gt;35,BD132+BC133-BL132,IF(A133&lt;'Données projet'!$A$88,$BA$205^A133,IF(A133='Données projet'!$A$88,'Données projet'!$B$88,BD132+BC133-BL132)))</f>
        <v>553.99999999999955</v>
      </c>
      <c r="BE133" s="13">
        <f>BD133*VLOOKUP('Données projet'!$B$11,Paramètres!$A$1:$I$89,3,0)*VLOOKUP('Données projet'!$B$11,Paramètres!$A$1:$I$89,5,0)</f>
        <v>331.29199999999975</v>
      </c>
      <c r="BF133" s="13">
        <f t="shared" ref="BF133:BF153" si="145">EXP(-1.0587+0.8836*LN(BE133)+0.284)</f>
        <v>77.698110787752</v>
      </c>
      <c r="BG133" s="20">
        <f t="shared" si="115"/>
        <v>712.32444295533423</v>
      </c>
      <c r="BH133" s="59">
        <f t="shared" si="116"/>
        <v>1005.6577762886675</v>
      </c>
      <c r="BI133" s="59">
        <f ca="1">AVERAGE(OFFSET($BH$3,0,0,'Données projet'!$E$11+1,1))-AVERAGE(OFFSET($H$3,0,0,'Données projet'!$E$11+1,1))</f>
        <v>316.58509520829671</v>
      </c>
      <c r="BJ133" s="59">
        <f t="shared" ref="BJ133:BJ196" si="146">$BJ$3</f>
        <v>240.71332110643596</v>
      </c>
      <c r="BK133" s="15">
        <f>IF(ISNA(VLOOKUP(A133,'Données projet'!$A$87:$I$107,3,0)),0,VLOOKUP(A133,'Données projet'!$A$87:$I$107,3,0))</f>
        <v>0</v>
      </c>
      <c r="BL133" s="15">
        <f>IF(ISNA(VLOOKUP(A133,'Données projet'!$A$87:$I$107,4,0)),0,VLOOKUP(A133,'Données projet'!$A$87:$I$107,4,0))</f>
        <v>0</v>
      </c>
      <c r="BM133" s="16">
        <f>IF(ISNA(VLOOKUP(A133,'Données projet'!$A$87:$I$107,5,0)),0%,VLOOKUP(A133,'Données projet'!$A$87:$I$107,5,0)*VLOOKUP('Données projet'!$B$11,Paramètres!$A$1:$I$89,7,0))</f>
        <v>0</v>
      </c>
      <c r="BN133" s="16">
        <f>IF(ISNA(VLOOKUP(A133,'Données projet'!$A$87:$I$107,6,0)),0%,VLOOKUP(A133,'Données projet'!$A$87:$I$107,6,0)*VLOOKUP('Données projet'!$B$11,Paramètres!$A$1:$I$89,7,0))</f>
        <v>0</v>
      </c>
      <c r="BO133" s="16">
        <f>IF(ISNA(VLOOKUP(A133,'Données projet'!$A$87:$I$107,7,0)),0%,VLOOKUP(A133,'Données projet'!$A$87:$I$107,7,0))</f>
        <v>0</v>
      </c>
      <c r="BP133" s="21">
        <f>EXP(-LN(2)/35)*BP132+(1-EXP(-LN(2)/35))/(LN(2)/35)*BL133*BM133*VLOOKUP('Données projet'!$B$11,Paramètres!$A$1:$I$89,3,0)*0.475*44/12</f>
        <v>0.3497958889408051</v>
      </c>
      <c r="BQ133" s="21">
        <f>EXP(-LN(2)/25)*BQ132+(1-EXP(-LN(2)/25))/(LN(2)/25)*Calculateur!BL133*Calculateur!BN133*VLOOKUP('Données projet'!$B$11,Paramètres!$A$1:$I$89,3,0)*0.475*44/12</f>
        <v>0.95424542003722146</v>
      </c>
      <c r="BR133" s="21">
        <f>EXP(-LN(2)/2)*BR132+(1-EXP(-LN(2)/2))/(LN(2)/2)*BL133*BO133*VLOOKUP('Données projet'!$B$11,Paramètres!$A$1:$I$89,3,0)*0.475*44/12</f>
        <v>1.9486051057296667E-14</v>
      </c>
      <c r="BS133" s="22">
        <f t="shared" si="117"/>
        <v>1.304041308978046</v>
      </c>
      <c r="BT133" s="75">
        <f>('Scénario référence'!$F$8+'Scénario référence'!$F$9+'Scénario référence'!$B$17+'Scénario référence'!$B$9+'Scénario référence'!$B$10)*70+IF((45+25*(1-EXP(-0.0175*A133)))&lt;70,'Scénario référence'!$B$16*(45+25*(1-EXP(-0.0175*A133))),70*'Scénario référence'!$B$16)+IF((32+38*(1-EXP(-0.0175*A133)))&lt;70,'Scénario référence'!$B$18*(32+38*(1-EXP(-0.0175*A133))),70*'Scénario référence'!$B$18)</f>
        <v>70</v>
      </c>
      <c r="BU133" s="12">
        <f>IF(A133&gt;30,10,('Scénario référence'!$B$16+'Scénario référence'!$B$17+'Scénario référence'!$B$18+'Scénario référence'!$B$9+'Scénario référence'!$B$10)*A133*10/30+('Scénario référence'!$F$8+'Scénario référence'!$F$9)*10)</f>
        <v>10</v>
      </c>
      <c r="BV133" s="12" t="e">
        <f>VLOOKUP(A133,'Données projet'!$A$113:$I$133,2,0)</f>
        <v>#N/A</v>
      </c>
      <c r="BW133" s="12" t="e">
        <f>VLOOKUP(A133,'Données projet'!$A$113:$I$133,9,0)</f>
        <v>#N/A</v>
      </c>
      <c r="BX133" s="12">
        <f t="array" ref="BX133">INDEX(BW:BW,MIN(IF(ISNUMBER(BW133:BW329),ROW(BW133:BW329),"")))</f>
        <v>0</v>
      </c>
      <c r="BY133" s="12">
        <f>IF('Données projet'!$A$114&gt;35,BY132+BX133-CG132,IF(A133&lt;'Données projet'!$A$114,$BV$205^A133,IF(A133='Données projet'!$A$114,'Données projet'!$B$114,BY132+BX133-CG132)))</f>
        <v>333.99999999999977</v>
      </c>
      <c r="BZ133" s="13">
        <f>BY133*VLOOKUP('Données projet'!$B$12,Paramètres!$A$1:$I$89,3,0)*VLOOKUP('Données projet'!$B$12,Paramètres!$A$1:$I$89,5,0)</f>
        <v>191.04799999999986</v>
      </c>
      <c r="CA133" s="13">
        <f t="shared" ref="CA133:CA153" si="147">EXP(-1.0587+0.8836*LN(BZ133)+0.284)</f>
        <v>47.771576544305155</v>
      </c>
      <c r="CB133" s="20">
        <f t="shared" si="118"/>
        <v>415.94409581466454</v>
      </c>
      <c r="CC133" s="59">
        <f t="shared" si="119"/>
        <v>709.27742914799785</v>
      </c>
      <c r="CD133" s="59">
        <f ca="1">AVERAGE(OFFSET($CC$3,0,0,'Données projet'!$E$12+1,1))-AVERAGE(OFFSET($H$3,0,0,'Données projet'!$E$12+1,1))</f>
        <v>188.64374818906128</v>
      </c>
      <c r="CE133" s="59">
        <f t="shared" ref="CE133:CE196" si="148">$CE$3</f>
        <v>211.95157880548652</v>
      </c>
      <c r="CF133" s="15">
        <f>IF(ISNA(VLOOKUP(A133,'Données projet'!$A$113:$I$133,3,0)),0,VLOOKUP(A133,'Données projet'!$A$113:$I$133,3,0))</f>
        <v>0</v>
      </c>
      <c r="CG133" s="15">
        <f>IF(ISNA(VLOOKUP(A133,'Données projet'!$A$113:$I$133,4,0)),0,VLOOKUP(A133,'Données projet'!$A$113:$I$133,4,0))</f>
        <v>0</v>
      </c>
      <c r="CH133" s="16">
        <f>IF(ISNA(VLOOKUP(A133,'Données projet'!$A$113:$I$133,5,0)),0%,VLOOKUP(A133,'Données projet'!$A$113:$I$133,5,0)*VLOOKUP('Données projet'!$B$12,Paramètres!$A$1:$I$89,7,0))</f>
        <v>0</v>
      </c>
      <c r="CI133" s="16">
        <f>IF(ISNA(VLOOKUP(A133,'Données projet'!$A$113:$I$133,6,0)),0%,VLOOKUP(A133,'Données projet'!$A$113:$I$133,6,0)*VLOOKUP('Données projet'!$B$12,Paramètres!$A$1:$I$89,7,0))</f>
        <v>0</v>
      </c>
      <c r="CJ133" s="16">
        <f>IF(ISNA(VLOOKUP(A133,'Données projet'!$A$113:$I$133,7,0)),0%,VLOOKUP(A133,'Données projet'!$A$113:$I$133,7,0))</f>
        <v>0</v>
      </c>
      <c r="CK133" s="21">
        <f>EXP(-LN(2)/35)*CK132+(1-EXP(-LN(2)/35))/(LN(2)/35)*CG133*CH133*VLOOKUP('Données projet'!$B$12,Paramètres!$A$1:$I$89,3,0)*0.475*44/12</f>
        <v>0.33929987022794533</v>
      </c>
      <c r="CL133" s="21">
        <f>EXP(-LN(2)/25)*CL132+(1-EXP(-LN(2)/25))/(LN(2)/25)*Calculateur!CG133*Calculateur!CI133*VLOOKUP('Données projet'!$B$12,Paramètres!$A$1:$I$89,3,0)*0.475*44/12</f>
        <v>0.89815739513741544</v>
      </c>
      <c r="CM133" s="21">
        <f>EXP(-LN(2)/2)*CM132+(1-EXP(-LN(2)/2))/(LN(2)/2)*CG133*CJ133*VLOOKUP('Données projet'!$B$12,Paramètres!$A$1:$I$89,3,0)*0.475*44/12</f>
        <v>1.8870715837714386E-14</v>
      </c>
      <c r="CN133" s="22">
        <f t="shared" si="120"/>
        <v>1.2374572653653797</v>
      </c>
      <c r="CO133" s="75">
        <f>('Scénario référence'!$F$8+'Scénario référence'!$F$9+'Scénario référence'!$B$17+'Scénario référence'!$B$9+'Scénario référence'!$B$10)*70+IF((45+25*(1-EXP(-0.0175*A133)))&lt;70,'Scénario référence'!$B$16*(45+25*(1-EXP(-0.0175*A133))),70*'Scénario référence'!$B$16)+IF((32+38*(1-EXP(-0.0175*A133)))&lt;70,'Scénario référence'!$B$18*(32+38*(1-EXP(-0.0175*A133))),70*'Scénario référence'!$B$18)</f>
        <v>70</v>
      </c>
      <c r="CP133" s="12">
        <f>IF(A133&gt;30,10,('Scénario référence'!$B$16+'Scénario référence'!$B$17+'Scénario référence'!$B$18+'Scénario référence'!$B$9+'Scénario référence'!$B$10)*A133*10/30+('Scénario référence'!$F$8+'Scénario référence'!$F$9)*10)</f>
        <v>10</v>
      </c>
      <c r="CQ133" s="12" t="e">
        <f>VLOOKUP(A133,'Données projet'!$A$139:$I$159,2,0)</f>
        <v>#N/A</v>
      </c>
      <c r="CR133" s="12" t="e">
        <f>VLOOKUP(A133,'Données projet'!$A$139:$I$159,9,0)</f>
        <v>#N/A</v>
      </c>
      <c r="CS133" s="12">
        <f t="array" ref="CS133">INDEX(CR:CR,MIN(IF(ISNUMBER(CR133:CR329),ROW(CR133:CR329),"")))</f>
        <v>0</v>
      </c>
      <c r="CT133" s="12">
        <f>IF('Données projet'!$A$140&gt;35,CT132+CS133-DB132,IF(A133&lt;'Données projet'!$A$140,$CQ$205^A133,IF(A133='Données projet'!$A$140,'Données projet'!$B$140,CT132+CS133-DB132)))</f>
        <v>0</v>
      </c>
      <c r="CU133" s="17" t="e">
        <f>CT133*VLOOKUP('Données projet'!$B$13,Paramètres!$A$1:$I$89,3,0)*VLOOKUP('Données projet'!$B$13,Paramètres!$A$1:$I$89,5,0)</f>
        <v>#N/A</v>
      </c>
      <c r="CV133" s="13" t="e">
        <f t="shared" ref="CV133:CV153" si="149">EXP(-1.0587+0.8836*LN(CU133)+0.284)</f>
        <v>#N/A</v>
      </c>
      <c r="CW133" s="20" t="e">
        <f t="shared" si="121"/>
        <v>#N/A</v>
      </c>
      <c r="CX133" s="59" t="e">
        <f t="shared" si="122"/>
        <v>#N/A</v>
      </c>
      <c r="CY133" s="59" t="e">
        <f ca="1">AVERAGE(OFFSET($CX$3,0,0,'Données projet'!$E$13+1,1))-AVERAGE(OFFSET($H$3,0,0,'Données projet'!$E$13+1,1))</f>
        <v>#N/A</v>
      </c>
      <c r="CZ133" s="59" t="e">
        <f t="shared" ref="CZ133:CZ196" si="150">$CZ$3</f>
        <v>#N/A</v>
      </c>
      <c r="DA133" s="15">
        <f>IF(ISNA(VLOOKUP(A133,'Données projet'!$A$139:$I$159,3,0)),0,VLOOKUP(A133,'Données projet'!$A$139:$I$159,3,0))</f>
        <v>0</v>
      </c>
      <c r="DB133" s="15">
        <f>IF(ISNA(VLOOKUP(A133,'Données projet'!$A$139:$I$159,4,0)),0,VLOOKUP(A133,'Données projet'!$A$139:$I$159,4,0))</f>
        <v>0</v>
      </c>
      <c r="DC133" s="16">
        <f>IF(ISNA(VLOOKUP(A133,'Données projet'!$A$139:$I$159,5,0)),0%,VLOOKUP(A133,'Données projet'!$A$139:$I$159,5,0)*VLOOKUP('Données projet'!$B$13,Paramètres!$A$1:$I$89,7,0))</f>
        <v>0</v>
      </c>
      <c r="DD133" s="16">
        <f>IF(ISNA(VLOOKUP(A133,'Données projet'!$A$139:$I$159,6,0)),0%,VLOOKUP(A133,'Données projet'!$A$139:$I$159,6,0)*VLOOKUP('Données projet'!$B$13,Paramètres!$A$1:$I$89,7,0))</f>
        <v>0</v>
      </c>
      <c r="DE133" s="16">
        <f>IF(ISNA(VLOOKUP(A133,'Données projet'!$A$139:$I$159,7,0)),0%,VLOOKUP(A133,'Données projet'!$A$139:$I$159,7,0))</f>
        <v>0</v>
      </c>
      <c r="DF133" s="21" t="e">
        <f>EXP(-LN(2)/35)*DF132+(1-EXP(-LN(2)/35))/(LN(2)/35)*DB133*DC133*VLOOKUP('Données projet'!$B$13,Paramètres!$A$1:$I$89,3,0)*0.475*44/12</f>
        <v>#N/A</v>
      </c>
      <c r="DG133" s="21" t="e">
        <f>EXP(-LN(2)/25)*DG132+(1-EXP(-LN(2)/25))/(LN(2)/25)*Calculateur!DB133*Calculateur!DD133*VLOOKUP('Données projet'!$B$13,Paramètres!$A$1:$I$89,3,0)*0.475*44/12</f>
        <v>#N/A</v>
      </c>
      <c r="DH133" s="21" t="e">
        <f>EXP(-LN(2)/2)*DH132+(1-EXP(-LN(2)/2))/(LN(2)/2)*DB133*DE133*VLOOKUP('Données projet'!$B$13,Paramètres!$A$1:$I$89,3,0)*0.475*44/12</f>
        <v>#N/A</v>
      </c>
      <c r="DI133" s="22" t="e">
        <f t="shared" si="123"/>
        <v>#N/A</v>
      </c>
      <c r="DJ133" s="75">
        <f>('Scénario référence'!$F$8+'Scénario référence'!$F$9+'Scénario référence'!$B$17+'Scénario référence'!$B$9+'Scénario référence'!$B$10)*70+IF((45+25*(1-EXP(-0.0175*A133)))&lt;70,'Scénario référence'!$B$16*(45+25*(1-EXP(-0.0175*A133))),70*'Scénario référence'!$B$16)+IF((32+38*(1-EXP(-0.0175*A133)))&lt;70,'Scénario référence'!$B$18*(32+38*(1-EXP(-0.0175*A133))),70*'Scénario référence'!$B$18)</f>
        <v>70</v>
      </c>
      <c r="DK133" s="12">
        <f>IF(A133&gt;30,10,('Scénario référence'!$B$16+'Scénario référence'!$B$17+'Scénario référence'!$B$18+'Scénario référence'!$B$9+'Scénario référence'!$B$10)*A133*10/30+('Scénario référence'!$F$8+'Scénario référence'!$F$9)*10)</f>
        <v>10</v>
      </c>
      <c r="DL133" s="12" t="e">
        <f>VLOOKUP(A133,'Données projet'!$A$165:$I$185,2,0)</f>
        <v>#N/A</v>
      </c>
      <c r="DM133" s="12" t="e">
        <f>VLOOKUP(A133,'Données projet'!$A$165:$I$185,9,0)</f>
        <v>#N/A</v>
      </c>
      <c r="DN133" s="12">
        <f t="array" ref="DN133">INDEX(DM:DM,MIN(IF(ISNUMBER(DM133:DM329),ROW(DM133:DM329),"")))</f>
        <v>0</v>
      </c>
      <c r="DO133" s="12">
        <f>IF('Données projet'!$A$166&gt;35,DO132+DN133-DW132,IF(A133&lt;'Données projet'!$A$166,$DL$205^A133,IF(A133='Données projet'!$A$166,'Données projet'!$B$166,DO132+DN133-DW132)))</f>
        <v>268.00000000000017</v>
      </c>
      <c r="DP133" s="17">
        <f>DO133*VLOOKUP('Données projet'!$B$14,Paramètres!$A$1:$I$89,3,0)*VLOOKUP('Données projet'!$B$14,Paramètres!$A$1:$I$89,5,0)</f>
        <v>175.59360000000012</v>
      </c>
      <c r="DQ133" s="13">
        <f t="shared" ref="DQ133:DQ153" si="151">EXP(-1.0587+0.8836*LN(DP133)+0.284)</f>
        <v>44.340433728638573</v>
      </c>
      <c r="DR133" s="20">
        <f t="shared" si="124"/>
        <v>383.05177541071242</v>
      </c>
      <c r="DS133" s="59">
        <f t="shared" si="125"/>
        <v>676.38510874404574</v>
      </c>
      <c r="DT133" s="59">
        <f ca="1">AVERAGE(OFFSET($DS$3,0,0,'Données projet'!$E$14+1,1))-AVERAGE(OFFSET($H$3,0,0,'Données projet'!$E$14+1,1))</f>
        <v>188.68915783955595</v>
      </c>
      <c r="DU133" s="59">
        <f t="shared" ref="DU133:DU196" si="152">$DU$3</f>
        <v>240.82467772396944</v>
      </c>
      <c r="DV133" s="15">
        <f>IF(ISNA(VLOOKUP(A133,'Données projet'!$A$165:$I$185,3,0)),0,VLOOKUP(A133,'Données projet'!$A$165:$I$185,3,0))</f>
        <v>0</v>
      </c>
      <c r="DW133" s="15">
        <f>IF(ISNA(VLOOKUP(A133,'Données projet'!$A$165:$I$185,4,0)),0,VLOOKUP(A133,'Données projet'!$A$165:$I$185,4,0))</f>
        <v>0</v>
      </c>
      <c r="DX133" s="16">
        <f>IF(ISNA(VLOOKUP(A133,'Données projet'!$A$165:$I$185,5,0)),0%,VLOOKUP(A133,'Données projet'!$A$165:$I$185,5,0)*VLOOKUP('Données projet'!$B$14,Paramètres!$A$1:$I$89,7,0))</f>
        <v>0</v>
      </c>
      <c r="DY133" s="16">
        <f>IF(ISNA(VLOOKUP(A133,'Données projet'!$A$165:$I$185,6,0)),0%,VLOOKUP(A133,'Données projet'!$A$165:$I$185,6,0)*VLOOKUP('Données projet'!$B$14,Paramètres!$A$1:$I$89,7,0))</f>
        <v>0</v>
      </c>
      <c r="DZ133" s="16">
        <f>IF(ISNA(VLOOKUP(A133,'Données projet'!$A$165:$I$185,7,0)),0%,VLOOKUP(A133,'Données projet'!$A$165:$I$185,7,0))</f>
        <v>0</v>
      </c>
      <c r="EA133" s="21">
        <f>EXP(-LN(2)/35)*EA132+(1-EXP(-LN(2)/35))/(LN(2)/35)*DW133*DX133*VLOOKUP('Données projet'!$B$14,Paramètres!$A$1:$I$89,3,0)*0.475*44/12</f>
        <v>0.21491847840616898</v>
      </c>
      <c r="EB133" s="21">
        <f>EXP(-LN(2)/25)*EB132+(1-EXP(-LN(2)/25))/(LN(2)/25)*Calculateur!DW133*Calculateur!DY133*VLOOKUP('Données projet'!$B$14,Paramètres!$A$1:$I$89,3,0)*0.475*44/12</f>
        <v>0.50237682767221548</v>
      </c>
      <c r="EC133" s="21">
        <f>EXP(-LN(2)/2)*EC132+(1-EXP(-LN(2)/2))/(LN(2)/2)*DW133*DZ133*VLOOKUP('Données projet'!$B$14,Paramètres!$A$1:$I$89,3,0)*0.475*44/12</f>
        <v>1.2431307526667623E-14</v>
      </c>
      <c r="ED133" s="22">
        <f t="shared" si="126"/>
        <v>0.71729530607839687</v>
      </c>
      <c r="EE133" s="75">
        <f>('Scénario référence'!$F$8+'Scénario référence'!$F$9+'Scénario référence'!$B$17+'Scénario référence'!$B$9+'Scénario référence'!$B$10)*70+IF((45+25*(1-EXP(-0.0175*A133)))&lt;70,'Scénario référence'!$B$16*(45+25*(1-EXP(-0.0175*A133))),70*'Scénario référence'!$B$16)+IF((32+38*(1-EXP(-0.0175*A133)))&lt;70,'Scénario référence'!$B$18*(32+38*(1-EXP(-0.0175*A133))),70*'Scénario référence'!$B$18)</f>
        <v>70</v>
      </c>
      <c r="EF133" s="12">
        <f>IF(A133&gt;30,10,('Scénario référence'!$B$16+'Scénario référence'!$B$17+'Scénario référence'!$B$18+'Scénario référence'!$B$9+'Scénario référence'!$B$10)*A133*10/30+('Scénario référence'!$F$8+'Scénario référence'!$F$9)*10)</f>
        <v>10</v>
      </c>
      <c r="EG133" s="12" t="e">
        <f>VLOOKUP(A133,'Données projet'!$A$191:$I$211,2,0)</f>
        <v>#N/A</v>
      </c>
      <c r="EH133" s="12" t="e">
        <f>VLOOKUP(A133,'Données projet'!$A$191:$I$211,9,0)</f>
        <v>#N/A</v>
      </c>
      <c r="EI133" s="12">
        <f t="array" ref="EI133">INDEX(EH:EH,MIN(IF(ISNUMBER(EH133:EH329),ROW(EH133:EH329),"")))</f>
        <v>0</v>
      </c>
      <c r="EJ133" s="12">
        <f>IF('Données projet'!$A$192&gt;35,EJ132+EI133-ER132,IF(A133&lt;'Données projet'!$A$192,$EG$205^A133,IF(A133='Données projet'!$A$192,'Données projet'!$B$192,EJ132+EI133-ER132)))</f>
        <v>275.99999999999972</v>
      </c>
      <c r="EK133" s="17">
        <f>EJ133*VLOOKUP('Données projet'!$B$15,Paramètres!$A$1:$I$89,3,0)*VLOOKUP('Données projet'!$B$15,Paramètres!$A$1:$I$89,5,0)</f>
        <v>223.8911999999998</v>
      </c>
      <c r="EL133" s="13">
        <f t="shared" ref="EL133:EL153" si="153">EXP(-1.0587+0.8836*LN(EK133)+0.284)</f>
        <v>54.95975389514858</v>
      </c>
      <c r="EM133" s="20">
        <f t="shared" si="127"/>
        <v>485.66541136738346</v>
      </c>
      <c r="EN133" s="59">
        <f t="shared" si="128"/>
        <v>778.99874470071677</v>
      </c>
      <c r="EO133" s="59">
        <f ca="1">AVERAGE(OFFSET($EN$3,0,0,'Données projet'!$E$15+1,1))-AVERAGE(OFFSET($H$3,0,0,'Données projet'!$E$15+1,1))</f>
        <v>205.5272583787887</v>
      </c>
      <c r="EP133" s="59">
        <f t="shared" ref="EP133:EP196" si="154">$EP$3</f>
        <v>180.54762778843178</v>
      </c>
      <c r="EQ133" s="15">
        <f>IF(ISNA(VLOOKUP(A133,'Données projet'!$A$191:$I$211,3,0)),0,VLOOKUP(A133,'Données projet'!$A$191:$I$211,3,0))</f>
        <v>0</v>
      </c>
      <c r="ER133" s="15">
        <f>IF(ISNA(VLOOKUP(A133,'Données projet'!$A$191:$I$211,4,0)),0,VLOOKUP(A133,'Données projet'!$A$191:$I$211,4,0))</f>
        <v>0</v>
      </c>
      <c r="ES133" s="16">
        <f>IF(ISNA(VLOOKUP(A133,'Données projet'!$A$191:$I$211,5,0)),0%,VLOOKUP(A133,'Données projet'!$A$191:$I$211,5,0)*VLOOKUP('Données projet'!$B$15,Paramètres!$A$1:$I$89,7,0))</f>
        <v>0</v>
      </c>
      <c r="ET133" s="16">
        <f>IF(ISNA(VLOOKUP(A133,'Données projet'!$A$191:$I$211,6,0)),0%,VLOOKUP(A133,'Données projet'!$A$191:$I$211,6,0)*VLOOKUP('Données projet'!$B$15,Paramètres!$A$1:$I$89,7,0))</f>
        <v>0</v>
      </c>
      <c r="EU133" s="16">
        <f>IF(ISNA(VLOOKUP(A133,'Données projet'!$A$191:$I$211,7,0)),0%,VLOOKUP(A133,'Données projet'!$A$191:$I$211,7,0))</f>
        <v>0</v>
      </c>
      <c r="EV133" s="21">
        <f>EXP(-LN(2)/35)*EV132+(1-EXP(-LN(2)/35))/(LN(2)/35)*ER133*ES133*VLOOKUP('Données projet'!$B$15,Paramètres!$A$1:$I$89,3,0)*0.475*44/12</f>
        <v>0.13836656324054314</v>
      </c>
      <c r="EW133" s="21">
        <f>EXP(-LN(2)/25)*EW132+(1-EXP(-LN(2)/25))/(LN(2)/25)*Calculateur!ER133*Calculateur!ET133*VLOOKUP('Données projet'!$B$15,Paramètres!$A$1:$I$89,3,0)*0.475*44/12</f>
        <v>0.36273130966514022</v>
      </c>
      <c r="EX133" s="21">
        <f>EXP(-LN(2)/2)*EX132+(1-EXP(-LN(2)/2))/(LN(2)/2)*ER133*EU133*VLOOKUP('Données projet'!$B$15,Paramètres!$A$1:$I$89,3,0)*0.475*44/12</f>
        <v>8.0492808155518449E-15</v>
      </c>
      <c r="EY133" s="22">
        <f t="shared" si="129"/>
        <v>0.50109787290569152</v>
      </c>
      <c r="EZ133" s="75">
        <f>('Scénario référence'!$F$8+'Scénario référence'!$F$9+'Scénario référence'!$B$17+'Scénario référence'!$B$9+'Scénario référence'!$B$10)*70+IF((45+25*(1-EXP(-0.0175*A133)))&lt;70,'Scénario référence'!$B$16*(45+25*(1-EXP(-0.0175*A133))),70*'Scénario référence'!$B$16)+IF((32+38*(1-EXP(-0.0175*A133)))&lt;70,'Scénario référence'!$B$18*(32+38*(1-EXP(-0.0175*A133))),70*'Scénario référence'!$B$18)</f>
        <v>70</v>
      </c>
      <c r="FA133" s="12">
        <f>IF(A133&gt;30,10,('Scénario référence'!$B$16+'Scénario référence'!$B$17+'Scénario référence'!$B$18+'Scénario référence'!$B$9+'Scénario référence'!$B$10)*A133*10/30+('Scénario référence'!$F$8+'Scénario référence'!$F$9)*10)</f>
        <v>10</v>
      </c>
      <c r="FB133" s="12">
        <f>VLOOKUP(A133,'Données projet'!$A$217:$I$237,2,0)</f>
        <v>455</v>
      </c>
      <c r="FC133" s="12">
        <f>VLOOKUP(A133,'Données projet'!$A$217:$I$237,9,0)</f>
        <v>6.3</v>
      </c>
      <c r="FD133" s="12">
        <f t="array" ref="FD133">INDEX(FC:FC,MIN(IF(ISNUMBER(FC133:FC329),ROW(FC133:FC329),"")))</f>
        <v>6.3</v>
      </c>
      <c r="FE133" s="12">
        <f>IF('Données projet'!$A$218&gt;35,FE132+FD133-FM132,IF(A133&lt;'Données projet'!$A$218,$FB$205^A133,IF(A133='Données projet'!$A$218,'Données projet'!$B$218,FE132+FD133-FM132)))</f>
        <v>454.99999999999994</v>
      </c>
      <c r="FF133" s="17">
        <f>FE133*VLOOKUP('Données projet'!$B$16,Paramètres!$A$1:$I$89,3,0)*VLOOKUP('Données projet'!$B$16,Paramètres!$A$1:$I$89,5,0)</f>
        <v>390.39</v>
      </c>
      <c r="FG133" s="13">
        <f t="shared" ref="FG133:FG153" si="155">EXP(-1.0587+0.8836*LN(FF133)+0.284)</f>
        <v>89.825636339119924</v>
      </c>
      <c r="FH133" s="20">
        <f t="shared" si="130"/>
        <v>836.37556662396719</v>
      </c>
      <c r="FI133" s="59">
        <f t="shared" si="131"/>
        <v>1129.7088999573004</v>
      </c>
      <c r="FJ133" s="59">
        <f ca="1">AVERAGE(OFFSET($FI$3,0,0,'Données projet'!$E$16+1,1))-AVERAGE(OFFSET($H$3,0,0,'Données projet'!$E$16+1,1))</f>
        <v>383.97627237444709</v>
      </c>
      <c r="FK133" s="59">
        <f t="shared" ref="FK133:FK196" si="156">$FK$3</f>
        <v>203.35476578922339</v>
      </c>
      <c r="FL133" s="15">
        <f>IF(ISNA(VLOOKUP(A133,'Données projet'!$A$217:$I$237,3,0)),0,VLOOKUP(A133,'Données projet'!$A$217:$I$237,3,0))</f>
        <v>12</v>
      </c>
      <c r="FM133" s="15">
        <f>IF(ISNA(VLOOKUP(A133,'Données projet'!$A$217:$I$237,4,0)),0,VLOOKUP(A133,'Données projet'!$A$217:$I$237,4,0))</f>
        <v>52</v>
      </c>
      <c r="FN133" s="16">
        <f>IF(ISNA(VLOOKUP(A133,'Données projet'!$A$217:$I$237,5,0)),0%,VLOOKUP(A133,'Données projet'!$A$217:$I$237,5,0)*VLOOKUP('Données projet'!$B$16,Paramètres!$A$1:$I$89,7,0))</f>
        <v>0</v>
      </c>
      <c r="FO133" s="16">
        <f>IF(ISNA(VLOOKUP(A133,'Données projet'!$A$217:$I$237,6,0)),0%,VLOOKUP(A133,'Données projet'!$A$217:$I$237,6,0)*VLOOKUP('Données projet'!$B$16,Paramètres!$A$1:$I$89,7,0))</f>
        <v>0</v>
      </c>
      <c r="FP133" s="16">
        <f>IF(ISNA(VLOOKUP(A133,'Données projet'!$A$217:$I$237,7,0)),0%,VLOOKUP(A133,'Données projet'!$A$217:$I$237,7,0))</f>
        <v>0</v>
      </c>
      <c r="FQ133" s="21">
        <f>EXP(-LN(2)/35)*FQ132+(1-EXP(-LN(2)/35))/(LN(2)/35)*FM133*FN133*VLOOKUP('Données projet'!$B$16,Paramètres!$A$1:$I$89,3,0)*0.475*44/12</f>
        <v>0.71112906829217493</v>
      </c>
      <c r="FR133" s="21">
        <f>EXP(-LN(2)/25)*FR132+(1-EXP(-LN(2)/25))/(LN(2)/25)*Calculateur!FM133*Calculateur!FO133*VLOOKUP('Données projet'!$B$16,Paramètres!$A$1:$I$89,3,0)*0.475*44/12</f>
        <v>0.36820977115408682</v>
      </c>
      <c r="FS133" s="21">
        <f>EXP(-LN(2)/2)*FS132+(1-EXP(-LN(2)/2))/(LN(2)/2)*FM133*FP133*VLOOKUP('Données projet'!$B$16,Paramètres!$A$1:$I$89,3,0)*0.475*44/12</f>
        <v>1.4784876906572723E-14</v>
      </c>
      <c r="FT133" s="22">
        <f t="shared" si="132"/>
        <v>1.0793388394462766</v>
      </c>
      <c r="FU133" s="75">
        <f>('Scénario référence'!$F$8+'Scénario référence'!$F$9+'Scénario référence'!$B$17+'Scénario référence'!$B$9+'Scénario référence'!$B$10)*70+IF((45+25*(1-EXP(-0.0175*A133)))&lt;70,'Scénario référence'!$B$16*(45+25*(1-EXP(-0.0175*A133))),70*'Scénario référence'!$B$16)+IF((32+38*(1-EXP(-0.0175*A133)))&lt;70,'Scénario référence'!$B$18*(32+38*(1-EXP(-0.0175*A133))),70*'Scénario référence'!$B$18)</f>
        <v>70</v>
      </c>
      <c r="FV133" s="12">
        <f>IF(A133&gt;30,10,('Scénario référence'!$B$16+'Scénario référence'!$B$17+'Scénario référence'!$B$18+'Scénario référence'!$B$9+'Scénario référence'!$B$10)*A133*10/30+('Scénario référence'!$F$8+'Scénario référence'!$F$9)*10)</f>
        <v>10</v>
      </c>
      <c r="FW133" s="12" t="e">
        <f>VLOOKUP(A133,'Données projet'!$A$243:$I$263,2,0)</f>
        <v>#N/A</v>
      </c>
      <c r="FX133" s="12" t="e">
        <f>VLOOKUP(A133,'Données projet'!$A$243:$I$263,9,0)</f>
        <v>#N/A</v>
      </c>
      <c r="FY133" s="12">
        <f t="array" ref="FY133">INDEX(FX:FX,MIN(IF(ISNUMBER(FX133:FX329),ROW(FX133:FX329),"")))</f>
        <v>1.5064102564102591</v>
      </c>
      <c r="FZ133" s="12">
        <f>IF('Données projet'!$A$244&gt;35,FZ132+FY133-GH132,IF(A133&lt;'Données projet'!$A$244,$FW$205^A133,IF(A133='Données projet'!$A$244,'Données projet'!$B$244,FZ132+FY133-GH132)))</f>
        <v>109.4038461538466</v>
      </c>
      <c r="GA133" s="17">
        <f>FZ133*VLOOKUP('Données projet'!$B$17,Paramètres!$A$1:$I$89,3,0)*VLOOKUP('Données projet'!$B$17,Paramètres!$A$1:$I$89,5,0)</f>
        <v>117.76230000000048</v>
      </c>
      <c r="GB133" s="13">
        <f t="shared" ref="GB133:GB153" si="157">EXP(-1.0587+0.8836*LN(GA133)+0.284)</f>
        <v>31.152522129183588</v>
      </c>
      <c r="GC133" s="20">
        <f t="shared" si="133"/>
        <v>259.35998187499553</v>
      </c>
      <c r="GD133" s="59">
        <f t="shared" si="134"/>
        <v>552.69331520832884</v>
      </c>
      <c r="GE133" s="59">
        <f ca="1">AVERAGE(OFFSET($GD$3,0,0,'Données projet'!$E$17+1,1))-AVERAGE(OFFSET($H$3,0,0,'Données projet'!$E$17+1,1))</f>
        <v>286.77702855541287</v>
      </c>
      <c r="GF133" s="59">
        <f t="shared" ref="GF133:GF196" si="158">$GF$3</f>
        <v>227.12211541860779</v>
      </c>
      <c r="GG133" s="15">
        <f>IF(ISNA(VLOOKUP(A133,'Données projet'!$A$243:$I$263,3,0)),0,VLOOKUP(A133,'Données projet'!$A$243:$I$263,3,0))</f>
        <v>0</v>
      </c>
      <c r="GH133" s="15">
        <f>IF(ISNA(VLOOKUP(A133,'Données projet'!$A$243:$I$263,4,0)),0,VLOOKUP(A133,'Données projet'!$A$243:$I$263,4,0))</f>
        <v>0</v>
      </c>
      <c r="GI133" s="16">
        <f>IF(ISNA(VLOOKUP(A133,'Données projet'!$A$243:$I$263,5,0)),0%,VLOOKUP(A133,'Données projet'!$A$243:$I$263,5,0)*VLOOKUP('Données projet'!$B$17,Paramètres!$A$1:$I$89,7,0))</f>
        <v>0</v>
      </c>
      <c r="GJ133" s="16">
        <f>IF(ISNA(VLOOKUP(A133,'Données projet'!$A$243:$I$263,6,0)),0%,VLOOKUP(A133,'Données projet'!$A$243:$I$263,6,0)*VLOOKUP('Données projet'!$B$17,Paramètres!$A$1:$I$89,7,0))</f>
        <v>0</v>
      </c>
      <c r="GK133" s="16">
        <f>IF(ISNA(VLOOKUP(A133,'Données projet'!$A$243:$I$263,7,0)),0%,VLOOKUP(A133,'Données projet'!$A$243:$I$263,7,0))</f>
        <v>0</v>
      </c>
      <c r="GL133" s="21">
        <f>EXP(-LN(2)/35)*GL132+(1-EXP(-LN(2)/35))/(LN(2)/35)*GH133*GI133*VLOOKUP('Données projet'!$B$17,Paramètres!$A$1:$I$89,3,0)*0.475*44/12</f>
        <v>0</v>
      </c>
      <c r="GM133" s="21">
        <f>EXP(-LN(2)/25)*GM132+(1-EXP(-LN(2)/25))/(LN(2)/25)*Calculateur!GH133*Calculateur!GJ133*VLOOKUP('Données projet'!$B$17,Paramètres!$A$1:$I$89,3,0)*0.475*44/12</f>
        <v>0</v>
      </c>
      <c r="GN133" s="21">
        <f>EXP(-LN(2)/2)*GN132+(1-EXP(-LN(2)/2))/(LN(2)/2)*GH133*GK133*VLOOKUP('Données projet'!$B$17,Paramètres!$A$1:$I$89,3,0)*0.475*44/12</f>
        <v>0</v>
      </c>
      <c r="GO133" s="21">
        <f t="shared" si="135"/>
        <v>0</v>
      </c>
      <c r="GP133" s="75">
        <f>('Scénario référence'!$F$8+'Scénario référence'!$F$9+'Scénario référence'!$B$17+'Scénario référence'!$B$9+'Scénario référence'!$B$10)*70+IF((45+25*(1-EXP(-0.0175*A133)))&lt;70,'Scénario référence'!$B$16*(45+25*(1-EXP(-0.0175*A133))),70*'Scénario référence'!$B$16)+IF((32+38*(1-EXP(-0.0175*A133)))&lt;70,'Scénario référence'!$B$18*(32+38*(1-EXP(-0.0175*A133))),70*'Scénario référence'!$B$18)</f>
        <v>70</v>
      </c>
      <c r="GQ133" s="12">
        <f>IF(A133&gt;30,10,('Scénario référence'!$B$16+'Scénario référence'!$B$17+'Scénario référence'!$B$18+'Scénario référence'!$B$9+'Scénario référence'!$B$10)*A133*10/30+('Scénario référence'!$F$8+'Scénario référence'!$F$9)*10)</f>
        <v>10</v>
      </c>
      <c r="GR133" s="12" t="e">
        <f>VLOOKUP(A133,'Données projet'!$A$269:$I$289,2,0)</f>
        <v>#N/A</v>
      </c>
      <c r="GS133" s="12" t="e">
        <f>VLOOKUP(A133,'Données projet'!$A$269:$I$289,9,0)</f>
        <v>#N/A</v>
      </c>
      <c r="GT133" s="12">
        <f t="array" ref="GT133">INDEX(GS:GS,MIN(IF(ISNUMBER(GS133:GS329),ROW(GS133:GS329),"")))</f>
        <v>1.5064102564102591</v>
      </c>
      <c r="GU133" s="12">
        <f>IF('Données projet'!$A$270&gt;35,GU132+GT133-HC132,IF(A133&lt;'Données projet'!$A$270,$GR$205^A133,IF(A133='Données projet'!$A$270,'Données projet'!$B$270,GU132+GT133-HC132)))</f>
        <v>109.4038461538466</v>
      </c>
      <c r="GV133" s="17">
        <f>GU133*VLOOKUP('Données projet'!$B$18,Paramètres!$A$1:$I$89,3,0)*VLOOKUP('Données projet'!$B$18,Paramètres!$A$1:$I$89,5,0)</f>
        <v>117.76230000000048</v>
      </c>
      <c r="GW133" s="13">
        <f t="shared" ref="GW133:GW153" si="159">EXP(-1.0587+0.8836*LN(GV133)+0.284)</f>
        <v>31.152522129183588</v>
      </c>
      <c r="GX133" s="20">
        <f t="shared" si="136"/>
        <v>259.35998187499553</v>
      </c>
      <c r="GY133" s="59">
        <f t="shared" si="137"/>
        <v>552.69331520832884</v>
      </c>
      <c r="GZ133" s="59">
        <f ca="1">AVERAGE(OFFSET($GY$3,0,0,'Données projet'!$E$18+1,1))-AVERAGE(OFFSET($H$3,0,0,'Données projet'!$E$18+1,1))</f>
        <v>286.77702855541287</v>
      </c>
      <c r="HA133" s="59">
        <f t="shared" ref="HA133:HA196" si="160">$HA$3</f>
        <v>227.12211541860779</v>
      </c>
      <c r="HB133" s="15">
        <f>IF(ISNA(VLOOKUP(A133,'Données projet'!$A$269:$I$289,3,0)),0,VLOOKUP(A133,'Données projet'!$A$269:$I$289,3,0))</f>
        <v>0</v>
      </c>
      <c r="HC133" s="15">
        <f>IF(ISNA(VLOOKUP(A133,'Données projet'!$A$269:$I$289,4,0)),0,VLOOKUP(A133,'Données projet'!$A$269:$I$289,4,0))</f>
        <v>0</v>
      </c>
      <c r="HD133" s="16">
        <f>IF(ISNA(VLOOKUP(A133,'Données projet'!$A$269:$I$289,5,0)),0%,VLOOKUP(A133,'Données projet'!$A$269:$I$289,5,0)*VLOOKUP('Données projet'!$B$18,Paramètres!$A$1:$I$89,7,0))</f>
        <v>0</v>
      </c>
      <c r="HE133" s="16">
        <f>IF(ISNA(VLOOKUP(A133,'Données projet'!$A$269:$I$289,6,0)),0%,VLOOKUP(A133,'Données projet'!$A$269:$I$289,6,0)*VLOOKUP('Données projet'!$B$18,Paramètres!$A$1:$I$89,7,0))</f>
        <v>0</v>
      </c>
      <c r="HF133" s="16">
        <f>IF(ISNA(VLOOKUP(A133,'Données projet'!$A$269:$I$289,7,0)),0%,VLOOKUP(A133,'Données projet'!$A$269:$I$289,7,0))</f>
        <v>0</v>
      </c>
      <c r="HG133" s="21">
        <f>EXP(-LN(2)/35)*HG132+(1-EXP(-LN(2)/35))/(LN(2)/35)*HC133*HD133*VLOOKUP('Données projet'!$B$18,Paramètres!$A$1:$I$89,3,0)*0.475*44/12</f>
        <v>0</v>
      </c>
      <c r="HH133" s="21">
        <f>EXP(-LN(2)/25)*HH132+(1-EXP(-LN(2)/25))/(LN(2)/25)*Calculateur!HC133*Calculateur!HE133*VLOOKUP('Données projet'!$B$18,Paramètres!$A$1:$I$89,3,0)*0.475*44/12</f>
        <v>0</v>
      </c>
      <c r="HI133" s="21">
        <f>EXP(-LN(2)/2)*HI132+(1-EXP(-LN(2)/2))/(LN(2)/2)*HC133*HF133*VLOOKUP('Données projet'!$B$18,Paramètres!$A$1:$I$89,3,0)*0.475*44/12</f>
        <v>0</v>
      </c>
      <c r="HJ133" s="22">
        <f t="shared" si="138"/>
        <v>0</v>
      </c>
    </row>
    <row r="134" spans="1:218" x14ac:dyDescent="0.25">
      <c r="A134" s="10">
        <f t="shared" si="139"/>
        <v>131</v>
      </c>
      <c r="B134" s="73">
        <f>'Scénario référence'!$B$16*5+'Scénario référence'!$B$17*0+'Scénario référence'!$B$18*5</f>
        <v>0</v>
      </c>
      <c r="C134" s="19">
        <f>Calculateur!C133+'Scénario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116.48520000000022</v>
      </c>
      <c r="D134" s="11">
        <f t="shared" si="140"/>
        <v>30.853816998586289</v>
      </c>
      <c r="E13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34" s="11">
        <f>IF(OR('Scénario référence'!$F$8&gt;0,'Scénario référence'!$F$9&gt;0),('Scénario référence'!$F$8+'Scénario référence'!$F$9)*10,0)</f>
        <v>10</v>
      </c>
      <c r="G134" s="11">
        <f>'Scénario référence'!$B$8*B134*44/12+'Scénario référence'!$B$9*(C134+D134)/0.475*44/12+'Scénario référence'!$B$10*(C134+D134)/0.475*44/12+'Scénario référence'!$F$8*(C134+D134)/0.475*44/12+'Scénario référence'!$F$9*(C134+D134)/0.475*44/12</f>
        <v>1137.3538154276855</v>
      </c>
      <c r="H134" s="67">
        <f t="shared" si="110"/>
        <v>549.94878793920475</v>
      </c>
      <c r="I134" s="70">
        <f>('Scénario référence'!$F$8+'Scénario référence'!$F$9+'Scénario référence'!$B$17+'Scénario référence'!$B$9+'Scénario référence'!$B$10)*70+IF((45+25*(1-EXP(-0.0175*A134)))&lt;70,'Scénario référence'!$B$16*(45+25*(1-EXP(-0.0175*A134))),70*'Scénario référence'!$B$16)+IF((32+38*(1-EXP(-0.0175*A134)))&lt;70,'Scénario référence'!$B$18*(32+38*(1-EXP(-0.0175*A134))),70*'Scénario référence'!$B$18)</f>
        <v>70</v>
      </c>
      <c r="J134" s="13">
        <f>IF(A134&gt;30,10,('Scénario référence'!$B$16+'Scénario référence'!$B$17+'Scénario référence'!$B$18+'Scénario référence'!$B$9+'Scénario référence'!$B$10)*A134*10/30+('Scénario référence'!$F$8+'Scénario référence'!$F$9)*10)</f>
        <v>10</v>
      </c>
      <c r="K134" s="12" t="e">
        <f>VLOOKUP(A134,'Données projet'!$A$35:$I$55,2,0)</f>
        <v>#N/A</v>
      </c>
      <c r="L134" s="12" t="e">
        <f>VLOOKUP(A134,'Données projet'!$A$35:$I$55,9,0)</f>
        <v>#N/A</v>
      </c>
      <c r="M134" s="12">
        <f t="array" ref="M134">INDEX(L:L,MIN(IF(ISNUMBER(L134:L330),ROW(L134:L330),"")))</f>
        <v>0</v>
      </c>
      <c r="N134" s="13">
        <f>IF('Données projet'!$A$36&gt;35,N133+M134-V133,IF(A134&lt;'Données projet'!$A$36,$K$205^A134,IF(A134='Données projet'!$A$36,'Données projet'!$B$36,N133+M134-V133)))</f>
        <v>-2.2737367544323206E-13</v>
      </c>
      <c r="O134" s="13">
        <f>N134*VLOOKUP('Données projet'!$B$9,Paramètres!$A$1:$I$89,3,0)*VLOOKUP('Données projet'!$B$9,Paramètres!$A$1:$I$89,5,0)</f>
        <v>-1.2710188457276673E-13</v>
      </c>
      <c r="P134" s="13" t="e">
        <f t="shared" si="141"/>
        <v>#NUM!</v>
      </c>
      <c r="Q134" s="20" t="e">
        <f t="shared" si="108"/>
        <v>#NUM!</v>
      </c>
      <c r="R134" s="59" t="e">
        <f t="shared" si="109"/>
        <v>#NUM!</v>
      </c>
      <c r="S134" s="59">
        <f ca="1">AVERAGE(OFFSET($R$3,0,0,'Données projet'!$E$9+1,1))-AVERAGE(OFFSET($H$3,0,0,'Données projet'!$E$9+1,1))</f>
        <v>255.5374979188561</v>
      </c>
      <c r="T134" s="59">
        <f t="shared" si="142"/>
        <v>343.10418468620901</v>
      </c>
      <c r="U134" s="15">
        <f>IF(ISNA(VLOOKUP(A134,'Données projet'!$A$35:$I$55,3,0)),0,VLOOKUP(A134,'Données projet'!$A$35:$I$55,3,0))</f>
        <v>0</v>
      </c>
      <c r="V134" s="15">
        <f>IF(ISNA(VLOOKUP(A134,'Données projet'!$A$35:$I$55,4,0)),0,VLOOKUP(A134,'Données projet'!$A$35:$I$55,4,0))</f>
        <v>0</v>
      </c>
      <c r="W134" s="16">
        <f>IF(ISNA(VLOOKUP(A134,'Données projet'!$A$35:$I$55,5,0)),0%,VLOOKUP(A134,'Données projet'!$A$35:$I$55,5,0)*VLOOKUP('Données projet'!$B$9,Paramètres!$A$1:$I$89,7,0))</f>
        <v>0</v>
      </c>
      <c r="X134" s="16">
        <f>IF(ISNA(VLOOKUP(A134,'Données projet'!$A$35:$I$55,6,0)),0%,VLOOKUP(A134,'Données projet'!$A$35:$I$55,6,0)*VLOOKUP('Données projet'!$B$9,Paramètres!$A$1:$I$89,7,0))</f>
        <v>0</v>
      </c>
      <c r="Y134" s="16">
        <f>IF(ISNA(VLOOKUP(A134,'Données projet'!$A$35:$I$55,7,0)),0%,VLOOKUP(A134,'Données projet'!$A$35:$I$55,7,0))</f>
        <v>0</v>
      </c>
      <c r="Z134" s="21">
        <f>EXP(-LN(2)/35)*Z133+(1-EXP(-LN(2)/35))/(LN(2)/35)*V134*W134*VLOOKUP('Données projet'!$B$9,Paramètres!$A$1:$I$89,3,0)*0.475*44/12</f>
        <v>0.41809758729699825</v>
      </c>
      <c r="AA134" s="21">
        <f>EXP(-LN(2)/25)*AA133+(1-EXP(-LN(2)/25))/(LN(2)/25)*Calculateur!V134*Calculateur!X134*VLOOKUP('Données projet'!$B$9,Paramètres!$A$1:$I$89,3,0)*0.475*44/12</f>
        <v>0.97023906281483174</v>
      </c>
      <c r="AB134" s="21">
        <f>EXP(-LN(2)/2)*AB133+(1-EXP(-LN(2)/2))/(LN(2)/2)*V134*Y134*VLOOKUP('Données projet'!$B$9,Paramètres!$A$1:$I$89,3,0)*0.475*44/12</f>
        <v>1.0630481060504956E-15</v>
      </c>
      <c r="AC134" s="22">
        <f t="shared" si="111"/>
        <v>1.388336650111831</v>
      </c>
      <c r="AD134" s="13">
        <f>('Scénario référence'!$F$8+'Scénario référence'!$F$9+'Scénario référence'!$B$17+'Scénario référence'!$B$9+'Scénario référence'!$B$10)*70+IF((45+25*(1-EXP(-0.0175*A134)))&lt;70,'Scénario référence'!$B$16*(45+25*(1-EXP(-0.0175*A134))),70*'Scénario référence'!$B$16)+IF((32+38*(1-EXP(-0.0175*A134)))&lt;70,'Scénario référence'!$B$18*(32+38*(1-EXP(-0.0175*A134))),70*'Scénario référence'!$B$18)</f>
        <v>70</v>
      </c>
      <c r="AE134" s="13">
        <f>IF(A134&gt;30,10,('Scénario référence'!$B$16+'Scénario référence'!$B$17+'Scénario référence'!$B$18+'Scénario référence'!$B$9+'Scénario référence'!$B$10)*A134*10/30+('Scénario référence'!$F$8+'Scénario référence'!$F$9)*10)</f>
        <v>10</v>
      </c>
      <c r="AF134" s="12" t="e">
        <f>VLOOKUP(A134,'Données projet'!$A$61:$I$81,2,0)</f>
        <v>#N/A</v>
      </c>
      <c r="AG134" s="12" t="e">
        <f>VLOOKUP(A134,'Données projet'!$A$61:$I$81,9,0)</f>
        <v>#N/A</v>
      </c>
      <c r="AH134" s="12">
        <f t="array" ref="AH134">INDEX(AG:AG,MIN(IF(ISNUMBER(AG134:AG330),ROW(AG134:AG330),"")))</f>
        <v>0</v>
      </c>
      <c r="AI134" s="13">
        <f>IF('Données projet'!$A$62&gt;35,AI133+AH134-AQ133,IF(A134&lt;'Données projet'!$A$62,$AF$205^A134,IF(A134='Données projet'!$A$62,'Données projet'!$B$62,AI133+AH134-AQ133)))</f>
        <v>0</v>
      </c>
      <c r="AJ134" s="13">
        <f>AI134*VLOOKUP('Données projet'!$B$10,Paramètres!$A$1:$I$89,3,0)*VLOOKUP('Données projet'!$B$10,Paramètres!$A$1:$I$89,5,0)</f>
        <v>0</v>
      </c>
      <c r="AK134" s="13" t="e">
        <f t="shared" si="143"/>
        <v>#NUM!</v>
      </c>
      <c r="AL134" s="20" t="e">
        <f t="shared" si="112"/>
        <v>#NUM!</v>
      </c>
      <c r="AM134" s="59" t="e">
        <f t="shared" si="113"/>
        <v>#NUM!</v>
      </c>
      <c r="AN134" s="59">
        <f ca="1">AVERAGE(OFFSET($AM$3,0,0,'Données projet'!$E$10+1,1))-AVERAGE(OFFSET($H$3,0,0,'Données projet'!$E$10+1,1))</f>
        <v>261.78489480911571</v>
      </c>
      <c r="AO134" s="59">
        <f t="shared" si="144"/>
        <v>297.50513563712764</v>
      </c>
      <c r="AP134" s="15">
        <f>IF(ISNA(VLOOKUP(A134,'Données projet'!$A$61:$I$81,3,0)),0,VLOOKUP(A134,'Données projet'!$A$61:$I$81,3,0))</f>
        <v>0</v>
      </c>
      <c r="AQ134" s="15">
        <f>IF(ISNA(VLOOKUP(A134,'Données projet'!$A$61:$I$81,4,0)),0,VLOOKUP(A134,'Données projet'!$A$61:$I$81,4,0))</f>
        <v>0</v>
      </c>
      <c r="AR134" s="16">
        <f>IF(ISNA(VLOOKUP(A134,'Données projet'!$A$61:$I$81,5,0)),0%,VLOOKUP(A134,'Données projet'!$A$61:$I$81,5,0)*VLOOKUP('Données projet'!$B$10,Paramètres!$A$1:$I$89,7,0))</f>
        <v>0</v>
      </c>
      <c r="AS134" s="16">
        <f>IF(ISNA(VLOOKUP(A134,'Données projet'!$A$61:$I$81,6,0)),0%,VLOOKUP(A134,'Données projet'!$A$61:$I$81,6,0)*VLOOKUP('Données projet'!$B$10,Paramètres!$A$1:$I$89,7,0))</f>
        <v>0</v>
      </c>
      <c r="AT134" s="16">
        <f>IF(ISNA(VLOOKUP(A134,'Données projet'!$A$61:$I$81,7,0)),0%,VLOOKUP(A134,'Données projet'!$A$61:$I$81,7,0))</f>
        <v>0</v>
      </c>
      <c r="AU134" s="21">
        <f>EXP(-LN(2)/35)*AU133+(1-EXP(-LN(2)/35))/(LN(2)/35)*AQ134*AR134*VLOOKUP('Données projet'!$B$10,Paramètres!$A$1:$I$89,3,0)*0.475*44/12</f>
        <v>1.1289817440372512</v>
      </c>
      <c r="AV134" s="21">
        <f>EXP(-LN(2)/25)*AV133+(1-EXP(-LN(2)/25))/(LN(2)/25)*Calculateur!AQ134*Calculateur!AS134*VLOOKUP('Données projet'!$B$10,Paramètres!$A$1:$I$89,3,0)*0.475*44/12</f>
        <v>1.6942352944825427</v>
      </c>
      <c r="AW134" s="21">
        <f>EXP(-LN(2)/2)*AW133+(1-EXP(-LN(2)/2))/(LN(2)/2)*AQ134*AT134*VLOOKUP('Données projet'!$B$10,Paramètres!$A$1:$I$89,3,0)*0.475*44/12</f>
        <v>1.5324850474786685E-14</v>
      </c>
      <c r="AX134" s="21">
        <f t="shared" si="114"/>
        <v>2.8232170385198097</v>
      </c>
      <c r="AY134" s="74">
        <f>('Scénario référence'!$F$8+'Scénario référence'!$F$9+'Scénario référence'!$B$17+'Scénario référence'!$B$9+'Scénario référence'!$B$10)*70+IF((45+25*(1-EXP(-0.0175*A134)))&lt;70,'Scénario référence'!$B$16*(45+25*(1-EXP(-0.0175*A134))),70*'Scénario référence'!$B$16)+IF((32+38*(1-EXP(-0.0175*A134)))&lt;70,'Scénario référence'!$B$18*(32+38*(1-EXP(-0.0175*A134))),70*'Scénario référence'!$B$18)</f>
        <v>70</v>
      </c>
      <c r="AZ134" s="12">
        <f>IF(A134&gt;30,10,('Scénario référence'!$B$16+'Scénario référence'!$B$17+'Scénario référence'!$B$18+'Scénario référence'!$B$9+'Scénario référence'!$B$10)*A134*10/30+('Scénario référence'!$F$8+'Scénario référence'!$F$9)*10)</f>
        <v>10</v>
      </c>
      <c r="BA134" s="12" t="e">
        <f>VLOOKUP(A134,'Données projet'!$A$87:$I$107,2,0)</f>
        <v>#N/A</v>
      </c>
      <c r="BB134" s="12" t="e">
        <f>VLOOKUP(A134,'Données projet'!$A$87:$I$107,9,0)</f>
        <v>#N/A</v>
      </c>
      <c r="BC134" s="12">
        <f t="array" ref="BC134">INDEX(BB:BB,MIN(IF(ISNUMBER(BB134:BB330),ROW(BB134:BB330),"")))</f>
        <v>0</v>
      </c>
      <c r="BD134" s="12">
        <f>IF('Données projet'!$A$88&gt;35,BD133+BC134-BL133,IF(A134&lt;'Données projet'!$A$88,$BA$205^A134,IF(A134='Données projet'!$A$88,'Données projet'!$B$88,BD133+BC134-BL133)))</f>
        <v>553.99999999999955</v>
      </c>
      <c r="BE134" s="13">
        <f>BD134*VLOOKUP('Données projet'!$B$11,Paramètres!$A$1:$I$89,3,0)*VLOOKUP('Données projet'!$B$11,Paramètres!$A$1:$I$89,5,0)</f>
        <v>331.29199999999975</v>
      </c>
      <c r="BF134" s="13">
        <f t="shared" si="145"/>
        <v>77.698110787752</v>
      </c>
      <c r="BG134" s="20">
        <f t="shared" si="115"/>
        <v>712.32444295533423</v>
      </c>
      <c r="BH134" s="59">
        <f t="shared" si="116"/>
        <v>1005.6577762886675</v>
      </c>
      <c r="BI134" s="59">
        <f ca="1">AVERAGE(OFFSET($BH$3,0,0,'Données projet'!$E$11+1,1))-AVERAGE(OFFSET($H$3,0,0,'Données projet'!$E$11+1,1))</f>
        <v>316.58509520829671</v>
      </c>
      <c r="BJ134" s="59">
        <f t="shared" si="146"/>
        <v>240.71332110643596</v>
      </c>
      <c r="BK134" s="15">
        <f>IF(ISNA(VLOOKUP(A134,'Données projet'!$A$87:$I$107,3,0)),0,VLOOKUP(A134,'Données projet'!$A$87:$I$107,3,0))</f>
        <v>0</v>
      </c>
      <c r="BL134" s="15">
        <f>IF(ISNA(VLOOKUP(A134,'Données projet'!$A$87:$I$107,4,0)),0,VLOOKUP(A134,'Données projet'!$A$87:$I$107,4,0))</f>
        <v>0</v>
      </c>
      <c r="BM134" s="16">
        <f>IF(ISNA(VLOOKUP(A134,'Données projet'!$A$87:$I$107,5,0)),0%,VLOOKUP(A134,'Données projet'!$A$87:$I$107,5,0)*VLOOKUP('Données projet'!$B$11,Paramètres!$A$1:$I$89,7,0))</f>
        <v>0</v>
      </c>
      <c r="BN134" s="16">
        <f>IF(ISNA(VLOOKUP(A134,'Données projet'!$A$87:$I$107,6,0)),0%,VLOOKUP(A134,'Données projet'!$A$87:$I$107,6,0)*VLOOKUP('Données projet'!$B$11,Paramètres!$A$1:$I$89,7,0))</f>
        <v>0</v>
      </c>
      <c r="BO134" s="16">
        <f>IF(ISNA(VLOOKUP(A134,'Données projet'!$A$87:$I$107,7,0)),0%,VLOOKUP(A134,'Données projet'!$A$87:$I$107,7,0))</f>
        <v>0</v>
      </c>
      <c r="BP134" s="21">
        <f>EXP(-LN(2)/35)*BP133+(1-EXP(-LN(2)/35))/(LN(2)/35)*BL134*BM134*VLOOKUP('Données projet'!$B$11,Paramètres!$A$1:$I$89,3,0)*0.475*44/12</f>
        <v>0.34293660491310118</v>
      </c>
      <c r="BQ134" s="21">
        <f>EXP(-LN(2)/25)*BQ133+(1-EXP(-LN(2)/25))/(LN(2)/25)*Calculateur!BL134*Calculateur!BN134*VLOOKUP('Données projet'!$B$11,Paramètres!$A$1:$I$89,3,0)*0.475*44/12</f>
        <v>0.92815152884471797</v>
      </c>
      <c r="BR134" s="21">
        <f>EXP(-LN(2)/2)*BR133+(1-EXP(-LN(2)/2))/(LN(2)/2)*BL134*BO134*VLOOKUP('Données projet'!$B$11,Paramètres!$A$1:$I$89,3,0)*0.475*44/12</f>
        <v>1.3778718841161767E-14</v>
      </c>
      <c r="BS134" s="22">
        <f t="shared" si="117"/>
        <v>1.271088133757833</v>
      </c>
      <c r="BT134" s="75">
        <f>('Scénario référence'!$F$8+'Scénario référence'!$F$9+'Scénario référence'!$B$17+'Scénario référence'!$B$9+'Scénario référence'!$B$10)*70+IF((45+25*(1-EXP(-0.0175*A134)))&lt;70,'Scénario référence'!$B$16*(45+25*(1-EXP(-0.0175*A134))),70*'Scénario référence'!$B$16)+IF((32+38*(1-EXP(-0.0175*A134)))&lt;70,'Scénario référence'!$B$18*(32+38*(1-EXP(-0.0175*A134))),70*'Scénario référence'!$B$18)</f>
        <v>70</v>
      </c>
      <c r="BU134" s="12">
        <f>IF(A134&gt;30,10,('Scénario référence'!$B$16+'Scénario référence'!$B$17+'Scénario référence'!$B$18+'Scénario référence'!$B$9+'Scénario référence'!$B$10)*A134*10/30+('Scénario référence'!$F$8+'Scénario référence'!$F$9)*10)</f>
        <v>10</v>
      </c>
      <c r="BV134" s="12" t="e">
        <f>VLOOKUP(A134,'Données projet'!$A$113:$I$133,2,0)</f>
        <v>#N/A</v>
      </c>
      <c r="BW134" s="12" t="e">
        <f>VLOOKUP(A134,'Données projet'!$A$113:$I$133,9,0)</f>
        <v>#N/A</v>
      </c>
      <c r="BX134" s="12">
        <f t="array" ref="BX134">INDEX(BW:BW,MIN(IF(ISNUMBER(BW134:BW330),ROW(BW134:BW330),"")))</f>
        <v>0</v>
      </c>
      <c r="BY134" s="12">
        <f>IF('Données projet'!$A$114&gt;35,BY133+BX134-CG133,IF(A134&lt;'Données projet'!$A$114,$BV$205^A134,IF(A134='Données projet'!$A$114,'Données projet'!$B$114,BY133+BX134-CG133)))</f>
        <v>333.99999999999977</v>
      </c>
      <c r="BZ134" s="13">
        <f>BY134*VLOOKUP('Données projet'!$B$12,Paramètres!$A$1:$I$89,3,0)*VLOOKUP('Données projet'!$B$12,Paramètres!$A$1:$I$89,5,0)</f>
        <v>191.04799999999986</v>
      </c>
      <c r="CA134" s="13">
        <f t="shared" si="147"/>
        <v>47.771576544305155</v>
      </c>
      <c r="CB134" s="20">
        <f t="shared" si="118"/>
        <v>415.94409581466454</v>
      </c>
      <c r="CC134" s="59">
        <f t="shared" si="119"/>
        <v>709.27742914799785</v>
      </c>
      <c r="CD134" s="59">
        <f ca="1">AVERAGE(OFFSET($CC$3,0,0,'Données projet'!$E$12+1,1))-AVERAGE(OFFSET($H$3,0,0,'Données projet'!$E$12+1,1))</f>
        <v>188.64374818906128</v>
      </c>
      <c r="CE134" s="59">
        <f t="shared" si="148"/>
        <v>211.95157880548652</v>
      </c>
      <c r="CF134" s="15">
        <f>IF(ISNA(VLOOKUP(A134,'Données projet'!$A$113:$I$133,3,0)),0,VLOOKUP(A134,'Données projet'!$A$113:$I$133,3,0))</f>
        <v>0</v>
      </c>
      <c r="CG134" s="15">
        <f>IF(ISNA(VLOOKUP(A134,'Données projet'!$A$113:$I$133,4,0)),0,VLOOKUP(A134,'Données projet'!$A$113:$I$133,4,0))</f>
        <v>0</v>
      </c>
      <c r="CH134" s="16">
        <f>IF(ISNA(VLOOKUP(A134,'Données projet'!$A$113:$I$133,5,0)),0%,VLOOKUP(A134,'Données projet'!$A$113:$I$133,5,0)*VLOOKUP('Données projet'!$B$12,Paramètres!$A$1:$I$89,7,0))</f>
        <v>0</v>
      </c>
      <c r="CI134" s="16">
        <f>IF(ISNA(VLOOKUP(A134,'Données projet'!$A$113:$I$133,6,0)),0%,VLOOKUP(A134,'Données projet'!$A$113:$I$133,6,0)*VLOOKUP('Données projet'!$B$12,Paramètres!$A$1:$I$89,7,0))</f>
        <v>0</v>
      </c>
      <c r="CJ134" s="16">
        <f>IF(ISNA(VLOOKUP(A134,'Données projet'!$A$113:$I$133,7,0)),0%,VLOOKUP(A134,'Données projet'!$A$113:$I$133,7,0))</f>
        <v>0</v>
      </c>
      <c r="CK134" s="21">
        <f>EXP(-LN(2)/35)*CK133+(1-EXP(-LN(2)/35))/(LN(2)/35)*CG134*CH134*VLOOKUP('Données projet'!$B$12,Paramètres!$A$1:$I$89,3,0)*0.475*44/12</f>
        <v>0.3326464067252613</v>
      </c>
      <c r="CL134" s="21">
        <f>EXP(-LN(2)/25)*CL133+(1-EXP(-LN(2)/25))/(LN(2)/25)*Calculateur!CG134*Calculateur!CI134*VLOOKUP('Données projet'!$B$12,Paramètres!$A$1:$I$89,3,0)*0.475*44/12</f>
        <v>0.87359723393533817</v>
      </c>
      <c r="CM134" s="21">
        <f>EXP(-LN(2)/2)*CM133+(1-EXP(-LN(2)/2))/(LN(2)/2)*CG134*CJ134*VLOOKUP('Données projet'!$B$12,Paramètres!$A$1:$I$89,3,0)*0.475*44/12</f>
        <v>1.3343611134692223E-14</v>
      </c>
      <c r="CN134" s="22">
        <f t="shared" si="120"/>
        <v>1.2062436406606127</v>
      </c>
      <c r="CO134" s="75">
        <f>('Scénario référence'!$F$8+'Scénario référence'!$F$9+'Scénario référence'!$B$17+'Scénario référence'!$B$9+'Scénario référence'!$B$10)*70+IF((45+25*(1-EXP(-0.0175*A134)))&lt;70,'Scénario référence'!$B$16*(45+25*(1-EXP(-0.0175*A134))),70*'Scénario référence'!$B$16)+IF((32+38*(1-EXP(-0.0175*A134)))&lt;70,'Scénario référence'!$B$18*(32+38*(1-EXP(-0.0175*A134))),70*'Scénario référence'!$B$18)</f>
        <v>70</v>
      </c>
      <c r="CP134" s="12">
        <f>IF(A134&gt;30,10,('Scénario référence'!$B$16+'Scénario référence'!$B$17+'Scénario référence'!$B$18+'Scénario référence'!$B$9+'Scénario référence'!$B$10)*A134*10/30+('Scénario référence'!$F$8+'Scénario référence'!$F$9)*10)</f>
        <v>10</v>
      </c>
      <c r="CQ134" s="12" t="e">
        <f>VLOOKUP(A134,'Données projet'!$A$139:$I$159,2,0)</f>
        <v>#N/A</v>
      </c>
      <c r="CR134" s="12" t="e">
        <f>VLOOKUP(A134,'Données projet'!$A$139:$I$159,9,0)</f>
        <v>#N/A</v>
      </c>
      <c r="CS134" s="12">
        <f t="array" ref="CS134">INDEX(CR:CR,MIN(IF(ISNUMBER(CR134:CR330),ROW(CR134:CR330),"")))</f>
        <v>0</v>
      </c>
      <c r="CT134" s="12">
        <f>IF('Données projet'!$A$140&gt;35,CT133+CS134-DB133,IF(A134&lt;'Données projet'!$A$140,$CQ$205^A134,IF(A134='Données projet'!$A$140,'Données projet'!$B$140,CT133+CS134-DB133)))</f>
        <v>0</v>
      </c>
      <c r="CU134" s="17" t="e">
        <f>CT134*VLOOKUP('Données projet'!$B$13,Paramètres!$A$1:$I$89,3,0)*VLOOKUP('Données projet'!$B$13,Paramètres!$A$1:$I$89,5,0)</f>
        <v>#N/A</v>
      </c>
      <c r="CV134" s="13" t="e">
        <f t="shared" si="149"/>
        <v>#N/A</v>
      </c>
      <c r="CW134" s="20" t="e">
        <f t="shared" si="121"/>
        <v>#N/A</v>
      </c>
      <c r="CX134" s="59" t="e">
        <f t="shared" si="122"/>
        <v>#N/A</v>
      </c>
      <c r="CY134" s="59" t="e">
        <f ca="1">AVERAGE(OFFSET($CX$3,0,0,'Données projet'!$E$13+1,1))-AVERAGE(OFFSET($H$3,0,0,'Données projet'!$E$13+1,1))</f>
        <v>#N/A</v>
      </c>
      <c r="CZ134" s="59" t="e">
        <f t="shared" si="150"/>
        <v>#N/A</v>
      </c>
      <c r="DA134" s="15">
        <f>IF(ISNA(VLOOKUP(A134,'Données projet'!$A$139:$I$159,3,0)),0,VLOOKUP(A134,'Données projet'!$A$139:$I$159,3,0))</f>
        <v>0</v>
      </c>
      <c r="DB134" s="15">
        <f>IF(ISNA(VLOOKUP(A134,'Données projet'!$A$139:$I$159,4,0)),0,VLOOKUP(A134,'Données projet'!$A$139:$I$159,4,0))</f>
        <v>0</v>
      </c>
      <c r="DC134" s="16">
        <f>IF(ISNA(VLOOKUP(A134,'Données projet'!$A$139:$I$159,5,0)),0%,VLOOKUP(A134,'Données projet'!$A$139:$I$159,5,0)*VLOOKUP('Données projet'!$B$13,Paramètres!$A$1:$I$89,7,0))</f>
        <v>0</v>
      </c>
      <c r="DD134" s="16">
        <f>IF(ISNA(VLOOKUP(A134,'Données projet'!$A$139:$I$159,6,0)),0%,VLOOKUP(A134,'Données projet'!$A$139:$I$159,6,0)*VLOOKUP('Données projet'!$B$13,Paramètres!$A$1:$I$89,7,0))</f>
        <v>0</v>
      </c>
      <c r="DE134" s="16">
        <f>IF(ISNA(VLOOKUP(A134,'Données projet'!$A$139:$I$159,7,0)),0%,VLOOKUP(A134,'Données projet'!$A$139:$I$159,7,0))</f>
        <v>0</v>
      </c>
      <c r="DF134" s="21" t="e">
        <f>EXP(-LN(2)/35)*DF133+(1-EXP(-LN(2)/35))/(LN(2)/35)*DB134*DC134*VLOOKUP('Données projet'!$B$13,Paramètres!$A$1:$I$89,3,0)*0.475*44/12</f>
        <v>#N/A</v>
      </c>
      <c r="DG134" s="21" t="e">
        <f>EXP(-LN(2)/25)*DG133+(1-EXP(-LN(2)/25))/(LN(2)/25)*Calculateur!DB134*Calculateur!DD134*VLOOKUP('Données projet'!$B$13,Paramètres!$A$1:$I$89,3,0)*0.475*44/12</f>
        <v>#N/A</v>
      </c>
      <c r="DH134" s="21" t="e">
        <f>EXP(-LN(2)/2)*DH133+(1-EXP(-LN(2)/2))/(LN(2)/2)*DB134*DE134*VLOOKUP('Données projet'!$B$13,Paramètres!$A$1:$I$89,3,0)*0.475*44/12</f>
        <v>#N/A</v>
      </c>
      <c r="DI134" s="22" t="e">
        <f t="shared" si="123"/>
        <v>#N/A</v>
      </c>
      <c r="DJ134" s="75">
        <f>('Scénario référence'!$F$8+'Scénario référence'!$F$9+'Scénario référence'!$B$17+'Scénario référence'!$B$9+'Scénario référence'!$B$10)*70+IF((45+25*(1-EXP(-0.0175*A134)))&lt;70,'Scénario référence'!$B$16*(45+25*(1-EXP(-0.0175*A134))),70*'Scénario référence'!$B$16)+IF((32+38*(1-EXP(-0.0175*A134)))&lt;70,'Scénario référence'!$B$18*(32+38*(1-EXP(-0.0175*A134))),70*'Scénario référence'!$B$18)</f>
        <v>70</v>
      </c>
      <c r="DK134" s="12">
        <f>IF(A134&gt;30,10,('Scénario référence'!$B$16+'Scénario référence'!$B$17+'Scénario référence'!$B$18+'Scénario référence'!$B$9+'Scénario référence'!$B$10)*A134*10/30+('Scénario référence'!$F$8+'Scénario référence'!$F$9)*10)</f>
        <v>10</v>
      </c>
      <c r="DL134" s="12" t="e">
        <f>VLOOKUP(A134,'Données projet'!$A$165:$I$185,2,0)</f>
        <v>#N/A</v>
      </c>
      <c r="DM134" s="12" t="e">
        <f>VLOOKUP(A134,'Données projet'!$A$165:$I$185,9,0)</f>
        <v>#N/A</v>
      </c>
      <c r="DN134" s="12">
        <f t="array" ref="DN134">INDEX(DM:DM,MIN(IF(ISNUMBER(DM134:DM330),ROW(DM134:DM330),"")))</f>
        <v>0</v>
      </c>
      <c r="DO134" s="12">
        <f>IF('Données projet'!$A$166&gt;35,DO133+DN134-DW133,IF(A134&lt;'Données projet'!$A$166,$DL$205^A134,IF(A134='Données projet'!$A$166,'Données projet'!$B$166,DO133+DN134-DW133)))</f>
        <v>268.00000000000017</v>
      </c>
      <c r="DP134" s="17">
        <f>DO134*VLOOKUP('Données projet'!$B$14,Paramètres!$A$1:$I$89,3,0)*VLOOKUP('Données projet'!$B$14,Paramètres!$A$1:$I$89,5,0)</f>
        <v>175.59360000000012</v>
      </c>
      <c r="DQ134" s="13">
        <f t="shared" si="151"/>
        <v>44.340433728638573</v>
      </c>
      <c r="DR134" s="20">
        <f t="shared" si="124"/>
        <v>383.05177541071242</v>
      </c>
      <c r="DS134" s="59">
        <f t="shared" si="125"/>
        <v>676.38510874404574</v>
      </c>
      <c r="DT134" s="59">
        <f ca="1">AVERAGE(OFFSET($DS$3,0,0,'Données projet'!$E$14+1,1))-AVERAGE(OFFSET($H$3,0,0,'Données projet'!$E$14+1,1))</f>
        <v>188.68915783955595</v>
      </c>
      <c r="DU134" s="59">
        <f t="shared" si="152"/>
        <v>240.82467772396944</v>
      </c>
      <c r="DV134" s="15">
        <f>IF(ISNA(VLOOKUP(A134,'Données projet'!$A$165:$I$185,3,0)),0,VLOOKUP(A134,'Données projet'!$A$165:$I$185,3,0))</f>
        <v>0</v>
      </c>
      <c r="DW134" s="15">
        <f>IF(ISNA(VLOOKUP(A134,'Données projet'!$A$165:$I$185,4,0)),0,VLOOKUP(A134,'Données projet'!$A$165:$I$185,4,0))</f>
        <v>0</v>
      </c>
      <c r="DX134" s="16">
        <f>IF(ISNA(VLOOKUP(A134,'Données projet'!$A$165:$I$185,5,0)),0%,VLOOKUP(A134,'Données projet'!$A$165:$I$185,5,0)*VLOOKUP('Données projet'!$B$14,Paramètres!$A$1:$I$89,7,0))</f>
        <v>0</v>
      </c>
      <c r="DY134" s="16">
        <f>IF(ISNA(VLOOKUP(A134,'Données projet'!$A$165:$I$185,6,0)),0%,VLOOKUP(A134,'Données projet'!$A$165:$I$185,6,0)*VLOOKUP('Données projet'!$B$14,Paramètres!$A$1:$I$89,7,0))</f>
        <v>0</v>
      </c>
      <c r="DZ134" s="16">
        <f>IF(ISNA(VLOOKUP(A134,'Données projet'!$A$165:$I$185,7,0)),0%,VLOOKUP(A134,'Données projet'!$A$165:$I$185,7,0))</f>
        <v>0</v>
      </c>
      <c r="EA134" s="21">
        <f>EXP(-LN(2)/35)*EA133+(1-EXP(-LN(2)/35))/(LN(2)/35)*DW134*DX134*VLOOKUP('Données projet'!$B$14,Paramètres!$A$1:$I$89,3,0)*0.475*44/12</f>
        <v>0.21070405813195203</v>
      </c>
      <c r="EB134" s="21">
        <f>EXP(-LN(2)/25)*EB133+(1-EXP(-LN(2)/25))/(LN(2)/25)*Calculateur!DW134*Calculateur!DY134*VLOOKUP('Données projet'!$B$14,Paramètres!$A$1:$I$89,3,0)*0.475*44/12</f>
        <v>0.48863930690066959</v>
      </c>
      <c r="EC134" s="21">
        <f>EXP(-LN(2)/2)*EC133+(1-EXP(-LN(2)/2))/(LN(2)/2)*DW134*DZ134*VLOOKUP('Données projet'!$B$14,Paramètres!$A$1:$I$89,3,0)*0.475*44/12</f>
        <v>8.790261851122044E-15</v>
      </c>
      <c r="ED134" s="22">
        <f t="shared" si="126"/>
        <v>0.69934336503263039</v>
      </c>
      <c r="EE134" s="75">
        <f>('Scénario référence'!$F$8+'Scénario référence'!$F$9+'Scénario référence'!$B$17+'Scénario référence'!$B$9+'Scénario référence'!$B$10)*70+IF((45+25*(1-EXP(-0.0175*A134)))&lt;70,'Scénario référence'!$B$16*(45+25*(1-EXP(-0.0175*A134))),70*'Scénario référence'!$B$16)+IF((32+38*(1-EXP(-0.0175*A134)))&lt;70,'Scénario référence'!$B$18*(32+38*(1-EXP(-0.0175*A134))),70*'Scénario référence'!$B$18)</f>
        <v>70</v>
      </c>
      <c r="EF134" s="12">
        <f>IF(A134&gt;30,10,('Scénario référence'!$B$16+'Scénario référence'!$B$17+'Scénario référence'!$B$18+'Scénario référence'!$B$9+'Scénario référence'!$B$10)*A134*10/30+('Scénario référence'!$F$8+'Scénario référence'!$F$9)*10)</f>
        <v>10</v>
      </c>
      <c r="EG134" s="12" t="e">
        <f>VLOOKUP(A134,'Données projet'!$A$191:$I$211,2,0)</f>
        <v>#N/A</v>
      </c>
      <c r="EH134" s="12" t="e">
        <f>VLOOKUP(A134,'Données projet'!$A$191:$I$211,9,0)</f>
        <v>#N/A</v>
      </c>
      <c r="EI134" s="12">
        <f t="array" ref="EI134">INDEX(EH:EH,MIN(IF(ISNUMBER(EH134:EH330),ROW(EH134:EH330),"")))</f>
        <v>0</v>
      </c>
      <c r="EJ134" s="12">
        <f>IF('Données projet'!$A$192&gt;35,EJ133+EI134-ER133,IF(A134&lt;'Données projet'!$A$192,$EG$205^A134,IF(A134='Données projet'!$A$192,'Données projet'!$B$192,EJ133+EI134-ER133)))</f>
        <v>275.99999999999972</v>
      </c>
      <c r="EK134" s="17">
        <f>EJ134*VLOOKUP('Données projet'!$B$15,Paramètres!$A$1:$I$89,3,0)*VLOOKUP('Données projet'!$B$15,Paramètres!$A$1:$I$89,5,0)</f>
        <v>223.8911999999998</v>
      </c>
      <c r="EL134" s="13">
        <f t="shared" si="153"/>
        <v>54.95975389514858</v>
      </c>
      <c r="EM134" s="20">
        <f t="shared" si="127"/>
        <v>485.66541136738346</v>
      </c>
      <c r="EN134" s="59">
        <f t="shared" si="128"/>
        <v>778.99874470071677</v>
      </c>
      <c r="EO134" s="59">
        <f ca="1">AVERAGE(OFFSET($EN$3,0,0,'Données projet'!$E$15+1,1))-AVERAGE(OFFSET($H$3,0,0,'Données projet'!$E$15+1,1))</f>
        <v>205.5272583787887</v>
      </c>
      <c r="EP134" s="59">
        <f t="shared" si="154"/>
        <v>180.54762778843178</v>
      </c>
      <c r="EQ134" s="15">
        <f>IF(ISNA(VLOOKUP(A134,'Données projet'!$A$191:$I$211,3,0)),0,VLOOKUP(A134,'Données projet'!$A$191:$I$211,3,0))</f>
        <v>0</v>
      </c>
      <c r="ER134" s="15">
        <f>IF(ISNA(VLOOKUP(A134,'Données projet'!$A$191:$I$211,4,0)),0,VLOOKUP(A134,'Données projet'!$A$191:$I$211,4,0))</f>
        <v>0</v>
      </c>
      <c r="ES134" s="16">
        <f>IF(ISNA(VLOOKUP(A134,'Données projet'!$A$191:$I$211,5,0)),0%,VLOOKUP(A134,'Données projet'!$A$191:$I$211,5,0)*VLOOKUP('Données projet'!$B$15,Paramètres!$A$1:$I$89,7,0))</f>
        <v>0</v>
      </c>
      <c r="ET134" s="16">
        <f>IF(ISNA(VLOOKUP(A134,'Données projet'!$A$191:$I$211,6,0)),0%,VLOOKUP(A134,'Données projet'!$A$191:$I$211,6,0)*VLOOKUP('Données projet'!$B$15,Paramètres!$A$1:$I$89,7,0))</f>
        <v>0</v>
      </c>
      <c r="EU134" s="16">
        <f>IF(ISNA(VLOOKUP(A134,'Données projet'!$A$191:$I$211,7,0)),0%,VLOOKUP(A134,'Données projet'!$A$191:$I$211,7,0))</f>
        <v>0</v>
      </c>
      <c r="EV134" s="21">
        <f>EXP(-LN(2)/35)*EV133+(1-EXP(-LN(2)/35))/(LN(2)/35)*ER134*ES134*VLOOKUP('Données projet'!$B$15,Paramètres!$A$1:$I$89,3,0)*0.475*44/12</f>
        <v>0.13565327933066632</v>
      </c>
      <c r="EW134" s="21">
        <f>EXP(-LN(2)/25)*EW133+(1-EXP(-LN(2)/25))/(LN(2)/25)*Calculateur!ER134*Calculateur!ET134*VLOOKUP('Données projet'!$B$15,Paramètres!$A$1:$I$89,3,0)*0.475*44/12</f>
        <v>0.35281240292713645</v>
      </c>
      <c r="EX134" s="21">
        <f>EXP(-LN(2)/2)*EX133+(1-EXP(-LN(2)/2))/(LN(2)/2)*ER134*EU134*VLOOKUP('Données projet'!$B$15,Paramètres!$A$1:$I$89,3,0)*0.475*44/12</f>
        <v>5.6917010483514933E-15</v>
      </c>
      <c r="EY134" s="22">
        <f t="shared" si="129"/>
        <v>0.48846568225780845</v>
      </c>
      <c r="EZ134" s="75">
        <f>('Scénario référence'!$F$8+'Scénario référence'!$F$9+'Scénario référence'!$B$17+'Scénario référence'!$B$9+'Scénario référence'!$B$10)*70+IF((45+25*(1-EXP(-0.0175*A134)))&lt;70,'Scénario référence'!$B$16*(45+25*(1-EXP(-0.0175*A134))),70*'Scénario référence'!$B$16)+IF((32+38*(1-EXP(-0.0175*A134)))&lt;70,'Scénario référence'!$B$18*(32+38*(1-EXP(-0.0175*A134))),70*'Scénario référence'!$B$18)</f>
        <v>70</v>
      </c>
      <c r="FA134" s="12">
        <f>IF(A134&gt;30,10,('Scénario référence'!$B$16+'Scénario référence'!$B$17+'Scénario référence'!$B$18+'Scénario référence'!$B$9+'Scénario référence'!$B$10)*A134*10/30+('Scénario référence'!$F$8+'Scénario référence'!$F$9)*10)</f>
        <v>10</v>
      </c>
      <c r="FB134" s="12" t="e">
        <f>VLOOKUP(A134,'Données projet'!$A$217:$I$237,2,0)</f>
        <v>#N/A</v>
      </c>
      <c r="FC134" s="12" t="e">
        <f>VLOOKUP(A134,'Données projet'!$A$217:$I$237,9,0)</f>
        <v>#N/A</v>
      </c>
      <c r="FD134" s="12">
        <f t="array" ref="FD134">INDEX(FC:FC,MIN(IF(ISNUMBER(FC134:FC330),ROW(FC134:FC330),"")))</f>
        <v>5.5</v>
      </c>
      <c r="FE134" s="12">
        <f>IF('Données projet'!$A$218&gt;35,FE133+FD134-FM133,IF(A134&lt;'Données projet'!$A$218,$FB$205^A134,IF(A134='Données projet'!$A$218,'Données projet'!$B$218,FE133+FD134-FM133)))</f>
        <v>408.49999999999994</v>
      </c>
      <c r="FF134" s="17">
        <f>FE134*VLOOKUP('Données projet'!$B$16,Paramètres!$A$1:$I$89,3,0)*VLOOKUP('Données projet'!$B$16,Paramètres!$A$1:$I$89,5,0)</f>
        <v>350.49299999999999</v>
      </c>
      <c r="FG134" s="13">
        <f t="shared" si="155"/>
        <v>81.66401674048538</v>
      </c>
      <c r="FH134" s="20">
        <f t="shared" si="130"/>
        <v>752.67347082301194</v>
      </c>
      <c r="FI134" s="59">
        <f t="shared" si="131"/>
        <v>1046.0068041563452</v>
      </c>
      <c r="FJ134" s="59">
        <f ca="1">AVERAGE(OFFSET($FI$3,0,0,'Données projet'!$E$16+1,1))-AVERAGE(OFFSET($H$3,0,0,'Données projet'!$E$16+1,1))</f>
        <v>383.97627237444709</v>
      </c>
      <c r="FK134" s="59">
        <f t="shared" si="156"/>
        <v>203.35476578922339</v>
      </c>
      <c r="FL134" s="15">
        <f>IF(ISNA(VLOOKUP(A134,'Données projet'!$A$217:$I$237,3,0)),0,VLOOKUP(A134,'Données projet'!$A$217:$I$237,3,0))</f>
        <v>0</v>
      </c>
      <c r="FM134" s="15">
        <f>IF(ISNA(VLOOKUP(A134,'Données projet'!$A$217:$I$237,4,0)),0,VLOOKUP(A134,'Données projet'!$A$217:$I$237,4,0))</f>
        <v>0</v>
      </c>
      <c r="FN134" s="16">
        <f>IF(ISNA(VLOOKUP(A134,'Données projet'!$A$217:$I$237,5,0)),0%,VLOOKUP(A134,'Données projet'!$A$217:$I$237,5,0)*VLOOKUP('Données projet'!$B$16,Paramètres!$A$1:$I$89,7,0))</f>
        <v>0</v>
      </c>
      <c r="FO134" s="16">
        <f>IF(ISNA(VLOOKUP(A134,'Données projet'!$A$217:$I$237,6,0)),0%,VLOOKUP(A134,'Données projet'!$A$217:$I$237,6,0)*VLOOKUP('Données projet'!$B$16,Paramètres!$A$1:$I$89,7,0))</f>
        <v>0</v>
      </c>
      <c r="FP134" s="16">
        <f>IF(ISNA(VLOOKUP(A134,'Données projet'!$A$217:$I$237,7,0)),0%,VLOOKUP(A134,'Données projet'!$A$217:$I$237,7,0))</f>
        <v>0</v>
      </c>
      <c r="FQ134" s="21">
        <f>EXP(-LN(2)/35)*FQ133+(1-EXP(-LN(2)/35))/(LN(2)/35)*FM134*FN134*VLOOKUP('Données projet'!$B$16,Paramètres!$A$1:$I$89,3,0)*0.475*44/12</f>
        <v>0.69718426100886821</v>
      </c>
      <c r="FR134" s="21">
        <f>EXP(-LN(2)/25)*FR133+(1-EXP(-LN(2)/25))/(LN(2)/25)*Calculateur!FM134*Calculateur!FO134*VLOOKUP('Données projet'!$B$16,Paramètres!$A$1:$I$89,3,0)*0.475*44/12</f>
        <v>0.35814105559856801</v>
      </c>
      <c r="FS134" s="21">
        <f>EXP(-LN(2)/2)*FS133+(1-EXP(-LN(2)/2))/(LN(2)/2)*FM134*FP134*VLOOKUP('Données projet'!$B$16,Paramètres!$A$1:$I$89,3,0)*0.475*44/12</f>
        <v>1.0454486719645958E-14</v>
      </c>
      <c r="FT134" s="22">
        <f t="shared" si="132"/>
        <v>1.0553253166074466</v>
      </c>
      <c r="FU134" s="75">
        <f>('Scénario référence'!$F$8+'Scénario référence'!$F$9+'Scénario référence'!$B$17+'Scénario référence'!$B$9+'Scénario référence'!$B$10)*70+IF((45+25*(1-EXP(-0.0175*A134)))&lt;70,'Scénario référence'!$B$16*(45+25*(1-EXP(-0.0175*A134))),70*'Scénario référence'!$B$16)+IF((32+38*(1-EXP(-0.0175*A134)))&lt;70,'Scénario référence'!$B$18*(32+38*(1-EXP(-0.0175*A134))),70*'Scénario référence'!$B$18)</f>
        <v>70</v>
      </c>
      <c r="FV134" s="12">
        <f>IF(A134&gt;30,10,('Scénario référence'!$B$16+'Scénario référence'!$B$17+'Scénario référence'!$B$18+'Scénario référence'!$B$9+'Scénario référence'!$B$10)*A134*10/30+('Scénario référence'!$F$8+'Scénario référence'!$F$9)*10)</f>
        <v>10</v>
      </c>
      <c r="FW134" s="12">
        <f>VLOOKUP(A134,'Données projet'!$A$243:$I$263,2,0)</f>
        <v>110.91025641025641</v>
      </c>
      <c r="FX134" s="12">
        <f>VLOOKUP(A134,'Données projet'!$A$243:$I$263,9,0)</f>
        <v>1.5064102564102591</v>
      </c>
      <c r="FY134" s="12">
        <f t="array" ref="FY134">INDEX(FX:FX,MIN(IF(ISNUMBER(FX134:FX330),ROW(FX134:FX330),"")))</f>
        <v>1.5064102564102591</v>
      </c>
      <c r="FZ134" s="12">
        <f>IF('Données projet'!$A$244&gt;35,FZ133+FY134-GH133,IF(A134&lt;'Données projet'!$A$244,$FW$205^A134,IF(A134='Données projet'!$A$244,'Données projet'!$B$244,FZ133+FY134-GH133)))</f>
        <v>110.91025641025686</v>
      </c>
      <c r="GA134" s="17">
        <f>FZ134*VLOOKUP('Données projet'!$B$17,Paramètres!$A$1:$I$89,3,0)*VLOOKUP('Données projet'!$B$17,Paramètres!$A$1:$I$89,5,0)</f>
        <v>119.38380000000049</v>
      </c>
      <c r="GB134" s="13">
        <f t="shared" si="157"/>
        <v>31.531237729687437</v>
      </c>
      <c r="GC134" s="20">
        <f t="shared" si="133"/>
        <v>262.8436907125398</v>
      </c>
      <c r="GD134" s="59">
        <f t="shared" si="134"/>
        <v>556.17702404587317</v>
      </c>
      <c r="GE134" s="59">
        <f ca="1">AVERAGE(OFFSET($GD$3,0,0,'Données projet'!$E$17+1,1))-AVERAGE(OFFSET($H$3,0,0,'Données projet'!$E$17+1,1))</f>
        <v>286.77702855541287</v>
      </c>
      <c r="GF134" s="59">
        <f t="shared" si="158"/>
        <v>227.12211541860779</v>
      </c>
      <c r="GG134" s="15">
        <f>IF(ISNA(VLOOKUP(A134,'Données projet'!$A$243:$I$263,3,0)),0,VLOOKUP(A134,'Données projet'!$A$243:$I$263,3,0))</f>
        <v>14</v>
      </c>
      <c r="GH134" s="15">
        <f>IF(ISNA(VLOOKUP(A134,'Données projet'!$A$243:$I$263,4,0)),0,VLOOKUP(A134,'Données projet'!$A$243:$I$263,4,0))</f>
        <v>110.91025641025641</v>
      </c>
      <c r="GI134" s="16">
        <f>IF(ISNA(VLOOKUP(A134,'Données projet'!$A$243:$I$263,5,0)),0%,VLOOKUP(A134,'Données projet'!$A$243:$I$263,5,0)*VLOOKUP('Données projet'!$B$17,Paramètres!$A$1:$I$89,7,0))</f>
        <v>0</v>
      </c>
      <c r="GJ134" s="16">
        <f>IF(ISNA(VLOOKUP(A134,'Données projet'!$A$243:$I$263,6,0)),0%,VLOOKUP(A134,'Données projet'!$A$243:$I$263,6,0)*VLOOKUP('Données projet'!$B$17,Paramètres!$A$1:$I$89,7,0))</f>
        <v>0</v>
      </c>
      <c r="GK134" s="16">
        <f>IF(ISNA(VLOOKUP(A134,'Données projet'!$A$243:$I$263,7,0)),0%,VLOOKUP(A134,'Données projet'!$A$243:$I$263,7,0))</f>
        <v>0</v>
      </c>
      <c r="GL134" s="21">
        <f>EXP(-LN(2)/35)*GL133+(1-EXP(-LN(2)/35))/(LN(2)/35)*GH134*GI134*VLOOKUP('Données projet'!$B$17,Paramètres!$A$1:$I$89,3,0)*0.475*44/12</f>
        <v>0</v>
      </c>
      <c r="GM134" s="21">
        <f>EXP(-LN(2)/25)*GM133+(1-EXP(-LN(2)/25))/(LN(2)/25)*Calculateur!GH134*Calculateur!GJ134*VLOOKUP('Données projet'!$B$17,Paramètres!$A$1:$I$89,3,0)*0.475*44/12</f>
        <v>0</v>
      </c>
      <c r="GN134" s="21">
        <f>EXP(-LN(2)/2)*GN133+(1-EXP(-LN(2)/2))/(LN(2)/2)*GH134*GK134*VLOOKUP('Données projet'!$B$17,Paramètres!$A$1:$I$89,3,0)*0.475*44/12</f>
        <v>0</v>
      </c>
      <c r="GO134" s="21">
        <f t="shared" si="135"/>
        <v>0</v>
      </c>
      <c r="GP134" s="75">
        <f>('Scénario référence'!$F$8+'Scénario référence'!$F$9+'Scénario référence'!$B$17+'Scénario référence'!$B$9+'Scénario référence'!$B$10)*70+IF((45+25*(1-EXP(-0.0175*A134)))&lt;70,'Scénario référence'!$B$16*(45+25*(1-EXP(-0.0175*A134))),70*'Scénario référence'!$B$16)+IF((32+38*(1-EXP(-0.0175*A134)))&lt;70,'Scénario référence'!$B$18*(32+38*(1-EXP(-0.0175*A134))),70*'Scénario référence'!$B$18)</f>
        <v>70</v>
      </c>
      <c r="GQ134" s="12">
        <f>IF(A134&gt;30,10,('Scénario référence'!$B$16+'Scénario référence'!$B$17+'Scénario référence'!$B$18+'Scénario référence'!$B$9+'Scénario référence'!$B$10)*A134*10/30+('Scénario référence'!$F$8+'Scénario référence'!$F$9)*10)</f>
        <v>10</v>
      </c>
      <c r="GR134" s="12">
        <f>VLOOKUP(A134,'Données projet'!$A$269:$I$289,2,0)</f>
        <v>110.91025641025641</v>
      </c>
      <c r="GS134" s="12">
        <f>VLOOKUP(A134,'Données projet'!$A$269:$I$289,9,0)</f>
        <v>1.5064102564102591</v>
      </c>
      <c r="GT134" s="12">
        <f t="array" ref="GT134">INDEX(GS:GS,MIN(IF(ISNUMBER(GS134:GS330),ROW(GS134:GS330),"")))</f>
        <v>1.5064102564102591</v>
      </c>
      <c r="GU134" s="12">
        <f>IF('Données projet'!$A$270&gt;35,GU133+GT134-HC133,IF(A134&lt;'Données projet'!$A$270,$GR$205^A134,IF(A134='Données projet'!$A$270,'Données projet'!$B$270,GU133+GT134-HC133)))</f>
        <v>110.91025641025686</v>
      </c>
      <c r="GV134" s="17">
        <f>GU134*VLOOKUP('Données projet'!$B$18,Paramètres!$A$1:$I$89,3,0)*VLOOKUP('Données projet'!$B$18,Paramètres!$A$1:$I$89,5,0)</f>
        <v>119.38380000000049</v>
      </c>
      <c r="GW134" s="13">
        <f t="shared" si="159"/>
        <v>31.531237729687437</v>
      </c>
      <c r="GX134" s="20">
        <f t="shared" si="136"/>
        <v>262.8436907125398</v>
      </c>
      <c r="GY134" s="59">
        <f t="shared" si="137"/>
        <v>556.17702404587317</v>
      </c>
      <c r="GZ134" s="59">
        <f ca="1">AVERAGE(OFFSET($GY$3,0,0,'Données projet'!$E$18+1,1))-AVERAGE(OFFSET($H$3,0,0,'Données projet'!$E$18+1,1))</f>
        <v>286.77702855541287</v>
      </c>
      <c r="HA134" s="59">
        <f t="shared" si="160"/>
        <v>227.12211541860779</v>
      </c>
      <c r="HB134" s="15">
        <f>IF(ISNA(VLOOKUP(A134,'Données projet'!$A$269:$I$289,3,0)),0,VLOOKUP(A134,'Données projet'!$A$269:$I$289,3,0))</f>
        <v>14</v>
      </c>
      <c r="HC134" s="15">
        <f>IF(ISNA(VLOOKUP(A134,'Données projet'!$A$269:$I$289,4,0)),0,VLOOKUP(A134,'Données projet'!$A$269:$I$289,4,0))</f>
        <v>110.91025641025641</v>
      </c>
      <c r="HD134" s="16">
        <f>IF(ISNA(VLOOKUP(A134,'Données projet'!$A$269:$I$289,5,0)),0%,VLOOKUP(A134,'Données projet'!$A$269:$I$289,5,0)*VLOOKUP('Données projet'!$B$18,Paramètres!$A$1:$I$89,7,0))</f>
        <v>0</v>
      </c>
      <c r="HE134" s="16">
        <f>IF(ISNA(VLOOKUP(A134,'Données projet'!$A$269:$I$289,6,0)),0%,VLOOKUP(A134,'Données projet'!$A$269:$I$289,6,0)*VLOOKUP('Données projet'!$B$18,Paramètres!$A$1:$I$89,7,0))</f>
        <v>0</v>
      </c>
      <c r="HF134" s="16">
        <f>IF(ISNA(VLOOKUP(A134,'Données projet'!$A$269:$I$289,7,0)),0%,VLOOKUP(A134,'Données projet'!$A$269:$I$289,7,0))</f>
        <v>0</v>
      </c>
      <c r="HG134" s="21">
        <f>EXP(-LN(2)/35)*HG133+(1-EXP(-LN(2)/35))/(LN(2)/35)*HC134*HD134*VLOOKUP('Données projet'!$B$18,Paramètres!$A$1:$I$89,3,0)*0.475*44/12</f>
        <v>0</v>
      </c>
      <c r="HH134" s="21">
        <f>EXP(-LN(2)/25)*HH133+(1-EXP(-LN(2)/25))/(LN(2)/25)*Calculateur!HC134*Calculateur!HE134*VLOOKUP('Données projet'!$B$18,Paramètres!$A$1:$I$89,3,0)*0.475*44/12</f>
        <v>0</v>
      </c>
      <c r="HI134" s="21">
        <f>EXP(-LN(2)/2)*HI133+(1-EXP(-LN(2)/2))/(LN(2)/2)*HC134*HF134*VLOOKUP('Données projet'!$B$18,Paramètres!$A$1:$I$89,3,0)*0.475*44/12</f>
        <v>0</v>
      </c>
      <c r="HJ134" s="22">
        <f t="shared" si="138"/>
        <v>0</v>
      </c>
    </row>
    <row r="135" spans="1:218" x14ac:dyDescent="0.25">
      <c r="A135" s="10">
        <f t="shared" si="139"/>
        <v>132</v>
      </c>
      <c r="B135" s="73">
        <f>'Scénario référence'!$B$16*5+'Scénario référence'!$B$17*0+'Scénario référence'!$B$18*5</f>
        <v>0</v>
      </c>
      <c r="C135" s="19">
        <f>Calculateur!C134+'Scénario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117.37440000000022</v>
      </c>
      <c r="D135" s="11">
        <f t="shared" si="140"/>
        <v>31.061834975351932</v>
      </c>
      <c r="E13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35" s="11">
        <f>IF(OR('Scénario référence'!$F$8&gt;0,'Scénario référence'!$F$9&gt;0),('Scénario référence'!$F$8+'Scénario référence'!$F$9)*10,0)</f>
        <v>10</v>
      </c>
      <c r="G135" s="11">
        <f>'Scénario référence'!$B$8*B135*44/12+'Scénario référence'!$B$9*(C135+D135)/0.475*44/12+'Scénario référence'!$B$10*(C135+D135)/0.475*44/12+'Scénario référence'!$F$8*(C135+D135)/0.475*44/12+'Scénario référence'!$F$9*(C135+D135)/0.475*44/12</f>
        <v>1145.8235682307889</v>
      </c>
      <c r="H135" s="67">
        <f t="shared" si="110"/>
        <v>551.85977591540495</v>
      </c>
      <c r="I135" s="70">
        <f>('Scénario référence'!$F$8+'Scénario référence'!$F$9+'Scénario référence'!$B$17+'Scénario référence'!$B$9+'Scénario référence'!$B$10)*70+IF((45+25*(1-EXP(-0.0175*A135)))&lt;70,'Scénario référence'!$B$16*(45+25*(1-EXP(-0.0175*A135))),70*'Scénario référence'!$B$16)+IF((32+38*(1-EXP(-0.0175*A135)))&lt;70,'Scénario référence'!$B$18*(32+38*(1-EXP(-0.0175*A135))),70*'Scénario référence'!$B$18)</f>
        <v>70</v>
      </c>
      <c r="J135" s="13">
        <f>IF(A135&gt;30,10,('Scénario référence'!$B$16+'Scénario référence'!$B$17+'Scénario référence'!$B$18+'Scénario référence'!$B$9+'Scénario référence'!$B$10)*A135*10/30+('Scénario référence'!$F$8+'Scénario référence'!$F$9)*10)</f>
        <v>10</v>
      </c>
      <c r="K135" s="12" t="e">
        <f>VLOOKUP(A135,'Données projet'!$A$35:$I$55,2,0)</f>
        <v>#N/A</v>
      </c>
      <c r="L135" s="12" t="e">
        <f>VLOOKUP(A135,'Données projet'!$A$35:$I$55,9,0)</f>
        <v>#N/A</v>
      </c>
      <c r="M135" s="12">
        <f t="array" ref="M135">INDEX(L:L,MIN(IF(ISNUMBER(L135:L331),ROW(L135:L331),"")))</f>
        <v>0</v>
      </c>
      <c r="N135" s="13">
        <f>IF('Données projet'!$A$36&gt;35,N134+M135-V134,IF(A135&lt;'Données projet'!$A$36,$K$205^A135,IF(A135='Données projet'!$A$36,'Données projet'!$B$36,N134+M135-V134)))</f>
        <v>-2.2737367544323206E-13</v>
      </c>
      <c r="O135" s="13">
        <f>N135*VLOOKUP('Données projet'!$B$9,Paramètres!$A$1:$I$89,3,0)*VLOOKUP('Données projet'!$B$9,Paramètres!$A$1:$I$89,5,0)</f>
        <v>-1.2710188457276673E-13</v>
      </c>
      <c r="P135" s="13" t="e">
        <f t="shared" si="141"/>
        <v>#NUM!</v>
      </c>
      <c r="Q135" s="20" t="e">
        <f t="shared" si="108"/>
        <v>#NUM!</v>
      </c>
      <c r="R135" s="59" t="e">
        <f t="shared" si="109"/>
        <v>#NUM!</v>
      </c>
      <c r="S135" s="59">
        <f ca="1">AVERAGE(OFFSET($R$3,0,0,'Données projet'!$E$9+1,1))-AVERAGE(OFFSET($H$3,0,0,'Données projet'!$E$9+1,1))</f>
        <v>255.5374979188561</v>
      </c>
      <c r="T135" s="59">
        <f t="shared" si="142"/>
        <v>343.10418468620901</v>
      </c>
      <c r="U135" s="15">
        <f>IF(ISNA(VLOOKUP(A135,'Données projet'!$A$35:$I$55,3,0)),0,VLOOKUP(A135,'Données projet'!$A$35:$I$55,3,0))</f>
        <v>0</v>
      </c>
      <c r="V135" s="15">
        <f>IF(ISNA(VLOOKUP(A135,'Données projet'!$A$35:$I$55,4,0)),0,VLOOKUP(A135,'Données projet'!$A$35:$I$55,4,0))</f>
        <v>0</v>
      </c>
      <c r="W135" s="16">
        <f>IF(ISNA(VLOOKUP(A135,'Données projet'!$A$35:$I$55,5,0)),0%,VLOOKUP(A135,'Données projet'!$A$35:$I$55,5,0)*VLOOKUP('Données projet'!$B$9,Paramètres!$A$1:$I$89,7,0))</f>
        <v>0</v>
      </c>
      <c r="X135" s="16">
        <f>IF(ISNA(VLOOKUP(A135,'Données projet'!$A$35:$I$55,6,0)),0%,VLOOKUP(A135,'Données projet'!$A$35:$I$55,6,0)*VLOOKUP('Données projet'!$B$9,Paramètres!$A$1:$I$89,7,0))</f>
        <v>0</v>
      </c>
      <c r="Y135" s="16">
        <f>IF(ISNA(VLOOKUP(A135,'Données projet'!$A$35:$I$55,7,0)),0%,VLOOKUP(A135,'Données projet'!$A$35:$I$55,7,0))</f>
        <v>0</v>
      </c>
      <c r="Z135" s="21">
        <f>EXP(-LN(2)/35)*Z134+(1-EXP(-LN(2)/35))/(LN(2)/35)*V135*W135*VLOOKUP('Données projet'!$B$9,Paramètres!$A$1:$I$89,3,0)*0.475*44/12</f>
        <v>0.40989894862445181</v>
      </c>
      <c r="AA135" s="21">
        <f>EXP(-LN(2)/25)*AA134+(1-EXP(-LN(2)/25))/(LN(2)/25)*Calculateur!V135*Calculateur!X135*VLOOKUP('Données projet'!$B$9,Paramètres!$A$1:$I$89,3,0)*0.475*44/12</f>
        <v>0.94370782461950542</v>
      </c>
      <c r="AB135" s="21">
        <f>EXP(-LN(2)/2)*AB134+(1-EXP(-LN(2)/2))/(LN(2)/2)*V135*Y135*VLOOKUP('Données projet'!$B$9,Paramètres!$A$1:$I$89,3,0)*0.475*44/12</f>
        <v>7.5168852451582159E-16</v>
      </c>
      <c r="AC135" s="22">
        <f t="shared" si="111"/>
        <v>1.3536067732439578</v>
      </c>
      <c r="AD135" s="13">
        <f>('Scénario référence'!$F$8+'Scénario référence'!$F$9+'Scénario référence'!$B$17+'Scénario référence'!$B$9+'Scénario référence'!$B$10)*70+IF((45+25*(1-EXP(-0.0175*A135)))&lt;70,'Scénario référence'!$B$16*(45+25*(1-EXP(-0.0175*A135))),70*'Scénario référence'!$B$16)+IF((32+38*(1-EXP(-0.0175*A135)))&lt;70,'Scénario référence'!$B$18*(32+38*(1-EXP(-0.0175*A135))),70*'Scénario référence'!$B$18)</f>
        <v>70</v>
      </c>
      <c r="AE135" s="13">
        <f>IF(A135&gt;30,10,('Scénario référence'!$B$16+'Scénario référence'!$B$17+'Scénario référence'!$B$18+'Scénario référence'!$B$9+'Scénario référence'!$B$10)*A135*10/30+('Scénario référence'!$F$8+'Scénario référence'!$F$9)*10)</f>
        <v>10</v>
      </c>
      <c r="AF135" s="12" t="e">
        <f>VLOOKUP(A135,'Données projet'!$A$61:$I$81,2,0)</f>
        <v>#N/A</v>
      </c>
      <c r="AG135" s="12" t="e">
        <f>VLOOKUP(A135,'Données projet'!$A$61:$I$81,9,0)</f>
        <v>#N/A</v>
      </c>
      <c r="AH135" s="12">
        <f t="array" ref="AH135">INDEX(AG:AG,MIN(IF(ISNUMBER(AG135:AG331),ROW(AG135:AG331),"")))</f>
        <v>0</v>
      </c>
      <c r="AI135" s="13">
        <f>IF('Données projet'!$A$62&gt;35,AI134+AH135-AQ134,IF(A135&lt;'Données projet'!$A$62,$AF$205^A135,IF(A135='Données projet'!$A$62,'Données projet'!$B$62,AI134+AH135-AQ134)))</f>
        <v>0</v>
      </c>
      <c r="AJ135" s="13">
        <f>AI135*VLOOKUP('Données projet'!$B$10,Paramètres!$A$1:$I$89,3,0)*VLOOKUP('Données projet'!$B$10,Paramètres!$A$1:$I$89,5,0)</f>
        <v>0</v>
      </c>
      <c r="AK135" s="13" t="e">
        <f t="shared" si="143"/>
        <v>#NUM!</v>
      </c>
      <c r="AL135" s="20" t="e">
        <f t="shared" si="112"/>
        <v>#NUM!</v>
      </c>
      <c r="AM135" s="59" t="e">
        <f t="shared" si="113"/>
        <v>#NUM!</v>
      </c>
      <c r="AN135" s="59">
        <f ca="1">AVERAGE(OFFSET($AM$3,0,0,'Données projet'!$E$10+1,1))-AVERAGE(OFFSET($H$3,0,0,'Données projet'!$E$10+1,1))</f>
        <v>261.78489480911571</v>
      </c>
      <c r="AO135" s="59">
        <f t="shared" si="144"/>
        <v>297.50513563712764</v>
      </c>
      <c r="AP135" s="15">
        <f>IF(ISNA(VLOOKUP(A135,'Données projet'!$A$61:$I$81,3,0)),0,VLOOKUP(A135,'Données projet'!$A$61:$I$81,3,0))</f>
        <v>0</v>
      </c>
      <c r="AQ135" s="15">
        <f>IF(ISNA(VLOOKUP(A135,'Données projet'!$A$61:$I$81,4,0)),0,VLOOKUP(A135,'Données projet'!$A$61:$I$81,4,0))</f>
        <v>0</v>
      </c>
      <c r="AR135" s="16">
        <f>IF(ISNA(VLOOKUP(A135,'Données projet'!$A$61:$I$81,5,0)),0%,VLOOKUP(A135,'Données projet'!$A$61:$I$81,5,0)*VLOOKUP('Données projet'!$B$10,Paramètres!$A$1:$I$89,7,0))</f>
        <v>0</v>
      </c>
      <c r="AS135" s="16">
        <f>IF(ISNA(VLOOKUP(A135,'Données projet'!$A$61:$I$81,6,0)),0%,VLOOKUP(A135,'Données projet'!$A$61:$I$81,6,0)*VLOOKUP('Données projet'!$B$10,Paramètres!$A$1:$I$89,7,0))</f>
        <v>0</v>
      </c>
      <c r="AT135" s="16">
        <f>IF(ISNA(VLOOKUP(A135,'Données projet'!$A$61:$I$81,7,0)),0%,VLOOKUP(A135,'Données projet'!$A$61:$I$81,7,0))</f>
        <v>0</v>
      </c>
      <c r="AU135" s="21">
        <f>EXP(-LN(2)/35)*AU134+(1-EXP(-LN(2)/35))/(LN(2)/35)*AQ135*AR135*VLOOKUP('Données projet'!$B$10,Paramètres!$A$1:$I$89,3,0)*0.475*44/12</f>
        <v>1.1068431006475499</v>
      </c>
      <c r="AV135" s="21">
        <f>EXP(-LN(2)/25)*AV134+(1-EXP(-LN(2)/25))/(LN(2)/25)*Calculateur!AQ135*Calculateur!AS135*VLOOKUP('Données projet'!$B$10,Paramètres!$A$1:$I$89,3,0)*0.475*44/12</f>
        <v>1.6479063412589556</v>
      </c>
      <c r="AW135" s="21">
        <f>EXP(-LN(2)/2)*AW134+(1-EXP(-LN(2)/2))/(LN(2)/2)*AQ135*AT135*VLOOKUP('Données projet'!$B$10,Paramètres!$A$1:$I$89,3,0)*0.475*44/12</f>
        <v>1.0836305691391548E-14</v>
      </c>
      <c r="AX135" s="21">
        <f t="shared" si="114"/>
        <v>2.7547494419065162</v>
      </c>
      <c r="AY135" s="74">
        <f>('Scénario référence'!$F$8+'Scénario référence'!$F$9+'Scénario référence'!$B$17+'Scénario référence'!$B$9+'Scénario référence'!$B$10)*70+IF((45+25*(1-EXP(-0.0175*A135)))&lt;70,'Scénario référence'!$B$16*(45+25*(1-EXP(-0.0175*A135))),70*'Scénario référence'!$B$16)+IF((32+38*(1-EXP(-0.0175*A135)))&lt;70,'Scénario référence'!$B$18*(32+38*(1-EXP(-0.0175*A135))),70*'Scénario référence'!$B$18)</f>
        <v>70</v>
      </c>
      <c r="AZ135" s="12">
        <f>IF(A135&gt;30,10,('Scénario référence'!$B$16+'Scénario référence'!$B$17+'Scénario référence'!$B$18+'Scénario référence'!$B$9+'Scénario référence'!$B$10)*A135*10/30+('Scénario référence'!$F$8+'Scénario référence'!$F$9)*10)</f>
        <v>10</v>
      </c>
      <c r="BA135" s="12" t="e">
        <f>VLOOKUP(A135,'Données projet'!$A$87:$I$107,2,0)</f>
        <v>#N/A</v>
      </c>
      <c r="BB135" s="12" t="e">
        <f>VLOOKUP(A135,'Données projet'!$A$87:$I$107,9,0)</f>
        <v>#N/A</v>
      </c>
      <c r="BC135" s="12">
        <f t="array" ref="BC135">INDEX(BB:BB,MIN(IF(ISNUMBER(BB135:BB331),ROW(BB135:BB331),"")))</f>
        <v>0</v>
      </c>
      <c r="BD135" s="12">
        <f>IF('Données projet'!$A$88&gt;35,BD134+BC135-BL134,IF(A135&lt;'Données projet'!$A$88,$BA$205^A135,IF(A135='Données projet'!$A$88,'Données projet'!$B$88,BD134+BC135-BL134)))</f>
        <v>553.99999999999955</v>
      </c>
      <c r="BE135" s="13">
        <f>BD135*VLOOKUP('Données projet'!$B$11,Paramètres!$A$1:$I$89,3,0)*VLOOKUP('Données projet'!$B$11,Paramètres!$A$1:$I$89,5,0)</f>
        <v>331.29199999999975</v>
      </c>
      <c r="BF135" s="13">
        <f t="shared" si="145"/>
        <v>77.698110787752</v>
      </c>
      <c r="BG135" s="20">
        <f t="shared" si="115"/>
        <v>712.32444295533423</v>
      </c>
      <c r="BH135" s="59">
        <f t="shared" si="116"/>
        <v>1005.6577762886675</v>
      </c>
      <c r="BI135" s="59">
        <f ca="1">AVERAGE(OFFSET($BH$3,0,0,'Données projet'!$E$11+1,1))-AVERAGE(OFFSET($H$3,0,0,'Données projet'!$E$11+1,1))</f>
        <v>316.58509520829671</v>
      </c>
      <c r="BJ135" s="59">
        <f t="shared" si="146"/>
        <v>240.71332110643596</v>
      </c>
      <c r="BK135" s="15">
        <f>IF(ISNA(VLOOKUP(A135,'Données projet'!$A$87:$I$107,3,0)),0,VLOOKUP(A135,'Données projet'!$A$87:$I$107,3,0))</f>
        <v>0</v>
      </c>
      <c r="BL135" s="15">
        <f>IF(ISNA(VLOOKUP(A135,'Données projet'!$A$87:$I$107,4,0)),0,VLOOKUP(A135,'Données projet'!$A$87:$I$107,4,0))</f>
        <v>0</v>
      </c>
      <c r="BM135" s="16">
        <f>IF(ISNA(VLOOKUP(A135,'Données projet'!$A$87:$I$107,5,0)),0%,VLOOKUP(A135,'Données projet'!$A$87:$I$107,5,0)*VLOOKUP('Données projet'!$B$11,Paramètres!$A$1:$I$89,7,0))</f>
        <v>0</v>
      </c>
      <c r="BN135" s="16">
        <f>IF(ISNA(VLOOKUP(A135,'Données projet'!$A$87:$I$107,6,0)),0%,VLOOKUP(A135,'Données projet'!$A$87:$I$107,6,0)*VLOOKUP('Données projet'!$B$11,Paramètres!$A$1:$I$89,7,0))</f>
        <v>0</v>
      </c>
      <c r="BO135" s="16">
        <f>IF(ISNA(VLOOKUP(A135,'Données projet'!$A$87:$I$107,7,0)),0%,VLOOKUP(A135,'Données projet'!$A$87:$I$107,7,0))</f>
        <v>0</v>
      </c>
      <c r="BP135" s="21">
        <f>EXP(-LN(2)/35)*BP134+(1-EXP(-LN(2)/35))/(LN(2)/35)*BL135*BM135*VLOOKUP('Données projet'!$B$11,Paramètres!$A$1:$I$89,3,0)*0.475*44/12</f>
        <v>0.3362118272614304</v>
      </c>
      <c r="BQ135" s="21">
        <f>EXP(-LN(2)/25)*BQ134+(1-EXP(-LN(2)/25))/(LN(2)/25)*Calculateur!BL135*Calculateur!BN135*VLOOKUP('Données projet'!$B$11,Paramètres!$A$1:$I$89,3,0)*0.475*44/12</f>
        <v>0.90277117647909155</v>
      </c>
      <c r="BR135" s="21">
        <f>EXP(-LN(2)/2)*BR134+(1-EXP(-LN(2)/2))/(LN(2)/2)*BL135*BO135*VLOOKUP('Données projet'!$B$11,Paramètres!$A$1:$I$89,3,0)*0.475*44/12</f>
        <v>9.7430255286483335E-15</v>
      </c>
      <c r="BS135" s="22">
        <f t="shared" si="117"/>
        <v>1.2389830037405316</v>
      </c>
      <c r="BT135" s="75">
        <f>('Scénario référence'!$F$8+'Scénario référence'!$F$9+'Scénario référence'!$B$17+'Scénario référence'!$B$9+'Scénario référence'!$B$10)*70+IF((45+25*(1-EXP(-0.0175*A135)))&lt;70,'Scénario référence'!$B$16*(45+25*(1-EXP(-0.0175*A135))),70*'Scénario référence'!$B$16)+IF((32+38*(1-EXP(-0.0175*A135)))&lt;70,'Scénario référence'!$B$18*(32+38*(1-EXP(-0.0175*A135))),70*'Scénario référence'!$B$18)</f>
        <v>70</v>
      </c>
      <c r="BU135" s="12">
        <f>IF(A135&gt;30,10,('Scénario référence'!$B$16+'Scénario référence'!$B$17+'Scénario référence'!$B$18+'Scénario référence'!$B$9+'Scénario référence'!$B$10)*A135*10/30+('Scénario référence'!$F$8+'Scénario référence'!$F$9)*10)</f>
        <v>10</v>
      </c>
      <c r="BV135" s="12" t="e">
        <f>VLOOKUP(A135,'Données projet'!$A$113:$I$133,2,0)</f>
        <v>#N/A</v>
      </c>
      <c r="BW135" s="12" t="e">
        <f>VLOOKUP(A135,'Données projet'!$A$113:$I$133,9,0)</f>
        <v>#N/A</v>
      </c>
      <c r="BX135" s="12">
        <f t="array" ref="BX135">INDEX(BW:BW,MIN(IF(ISNUMBER(BW135:BW331),ROW(BW135:BW331),"")))</f>
        <v>0</v>
      </c>
      <c r="BY135" s="12">
        <f>IF('Données projet'!$A$114&gt;35,BY134+BX135-CG134,IF(A135&lt;'Données projet'!$A$114,$BV$205^A135,IF(A135='Données projet'!$A$114,'Données projet'!$B$114,BY134+BX135-CG134)))</f>
        <v>333.99999999999977</v>
      </c>
      <c r="BZ135" s="13">
        <f>BY135*VLOOKUP('Données projet'!$B$12,Paramètres!$A$1:$I$89,3,0)*VLOOKUP('Données projet'!$B$12,Paramètres!$A$1:$I$89,5,0)</f>
        <v>191.04799999999986</v>
      </c>
      <c r="CA135" s="13">
        <f t="shared" si="147"/>
        <v>47.771576544305155</v>
      </c>
      <c r="CB135" s="20">
        <f t="shared" si="118"/>
        <v>415.94409581466454</v>
      </c>
      <c r="CC135" s="59">
        <f t="shared" si="119"/>
        <v>709.27742914799785</v>
      </c>
      <c r="CD135" s="59">
        <f ca="1">AVERAGE(OFFSET($CC$3,0,0,'Données projet'!$E$12+1,1))-AVERAGE(OFFSET($H$3,0,0,'Données projet'!$E$12+1,1))</f>
        <v>188.64374818906128</v>
      </c>
      <c r="CE135" s="59">
        <f t="shared" si="148"/>
        <v>211.95157880548652</v>
      </c>
      <c r="CF135" s="15">
        <f>IF(ISNA(VLOOKUP(A135,'Données projet'!$A$113:$I$133,3,0)),0,VLOOKUP(A135,'Données projet'!$A$113:$I$133,3,0))</f>
        <v>0</v>
      </c>
      <c r="CG135" s="15">
        <f>IF(ISNA(VLOOKUP(A135,'Données projet'!$A$113:$I$133,4,0)),0,VLOOKUP(A135,'Données projet'!$A$113:$I$133,4,0))</f>
        <v>0</v>
      </c>
      <c r="CH135" s="16">
        <f>IF(ISNA(VLOOKUP(A135,'Données projet'!$A$113:$I$133,5,0)),0%,VLOOKUP(A135,'Données projet'!$A$113:$I$133,5,0)*VLOOKUP('Données projet'!$B$12,Paramètres!$A$1:$I$89,7,0))</f>
        <v>0</v>
      </c>
      <c r="CI135" s="16">
        <f>IF(ISNA(VLOOKUP(A135,'Données projet'!$A$113:$I$133,6,0)),0%,VLOOKUP(A135,'Données projet'!$A$113:$I$133,6,0)*VLOOKUP('Données projet'!$B$12,Paramètres!$A$1:$I$89,7,0))</f>
        <v>0</v>
      </c>
      <c r="CJ135" s="16">
        <f>IF(ISNA(VLOOKUP(A135,'Données projet'!$A$113:$I$133,7,0)),0%,VLOOKUP(A135,'Données projet'!$A$113:$I$133,7,0))</f>
        <v>0</v>
      </c>
      <c r="CK135" s="21">
        <f>EXP(-LN(2)/35)*CK134+(1-EXP(-LN(2)/35))/(LN(2)/35)*CG135*CH135*VLOOKUP('Données projet'!$B$12,Paramètres!$A$1:$I$89,3,0)*0.475*44/12</f>
        <v>0.32612341358365288</v>
      </c>
      <c r="CL135" s="21">
        <f>EXP(-LN(2)/25)*CL134+(1-EXP(-LN(2)/25))/(LN(2)/25)*Calculateur!CG135*Calculateur!CI135*VLOOKUP('Données projet'!$B$12,Paramètres!$A$1:$I$89,3,0)*0.475*44/12</f>
        <v>0.84970867163289443</v>
      </c>
      <c r="CM135" s="21">
        <f>EXP(-LN(2)/2)*CM134+(1-EXP(-LN(2)/2))/(LN(2)/2)*CG135*CJ135*VLOOKUP('Données projet'!$B$12,Paramètres!$A$1:$I$89,3,0)*0.475*44/12</f>
        <v>9.4353579188571929E-15</v>
      </c>
      <c r="CN135" s="22">
        <f t="shared" si="120"/>
        <v>1.1758320852165567</v>
      </c>
      <c r="CO135" s="75">
        <f>('Scénario référence'!$F$8+'Scénario référence'!$F$9+'Scénario référence'!$B$17+'Scénario référence'!$B$9+'Scénario référence'!$B$10)*70+IF((45+25*(1-EXP(-0.0175*A135)))&lt;70,'Scénario référence'!$B$16*(45+25*(1-EXP(-0.0175*A135))),70*'Scénario référence'!$B$16)+IF((32+38*(1-EXP(-0.0175*A135)))&lt;70,'Scénario référence'!$B$18*(32+38*(1-EXP(-0.0175*A135))),70*'Scénario référence'!$B$18)</f>
        <v>70</v>
      </c>
      <c r="CP135" s="12">
        <f>IF(A135&gt;30,10,('Scénario référence'!$B$16+'Scénario référence'!$B$17+'Scénario référence'!$B$18+'Scénario référence'!$B$9+'Scénario référence'!$B$10)*A135*10/30+('Scénario référence'!$F$8+'Scénario référence'!$F$9)*10)</f>
        <v>10</v>
      </c>
      <c r="CQ135" s="12" t="e">
        <f>VLOOKUP(A135,'Données projet'!$A$139:$I$159,2,0)</f>
        <v>#N/A</v>
      </c>
      <c r="CR135" s="12" t="e">
        <f>VLOOKUP(A135,'Données projet'!$A$139:$I$159,9,0)</f>
        <v>#N/A</v>
      </c>
      <c r="CS135" s="12">
        <f t="array" ref="CS135">INDEX(CR:CR,MIN(IF(ISNUMBER(CR135:CR331),ROW(CR135:CR331),"")))</f>
        <v>0</v>
      </c>
      <c r="CT135" s="12">
        <f>IF('Données projet'!$A$140&gt;35,CT134+CS135-DB134,IF(A135&lt;'Données projet'!$A$140,$CQ$205^A135,IF(A135='Données projet'!$A$140,'Données projet'!$B$140,CT134+CS135-DB134)))</f>
        <v>0</v>
      </c>
      <c r="CU135" s="17" t="e">
        <f>CT135*VLOOKUP('Données projet'!$B$13,Paramètres!$A$1:$I$89,3,0)*VLOOKUP('Données projet'!$B$13,Paramètres!$A$1:$I$89,5,0)</f>
        <v>#N/A</v>
      </c>
      <c r="CV135" s="13" t="e">
        <f t="shared" si="149"/>
        <v>#N/A</v>
      </c>
      <c r="CW135" s="20" t="e">
        <f t="shared" si="121"/>
        <v>#N/A</v>
      </c>
      <c r="CX135" s="59" t="e">
        <f t="shared" si="122"/>
        <v>#N/A</v>
      </c>
      <c r="CY135" s="59" t="e">
        <f ca="1">AVERAGE(OFFSET($CX$3,0,0,'Données projet'!$E$13+1,1))-AVERAGE(OFFSET($H$3,0,0,'Données projet'!$E$13+1,1))</f>
        <v>#N/A</v>
      </c>
      <c r="CZ135" s="59" t="e">
        <f t="shared" si="150"/>
        <v>#N/A</v>
      </c>
      <c r="DA135" s="15">
        <f>IF(ISNA(VLOOKUP(A135,'Données projet'!$A$139:$I$159,3,0)),0,VLOOKUP(A135,'Données projet'!$A$139:$I$159,3,0))</f>
        <v>0</v>
      </c>
      <c r="DB135" s="15">
        <f>IF(ISNA(VLOOKUP(A135,'Données projet'!$A$139:$I$159,4,0)),0,VLOOKUP(A135,'Données projet'!$A$139:$I$159,4,0))</f>
        <v>0</v>
      </c>
      <c r="DC135" s="16">
        <f>IF(ISNA(VLOOKUP(A135,'Données projet'!$A$139:$I$159,5,0)),0%,VLOOKUP(A135,'Données projet'!$A$139:$I$159,5,0)*VLOOKUP('Données projet'!$B$13,Paramètres!$A$1:$I$89,7,0))</f>
        <v>0</v>
      </c>
      <c r="DD135" s="16">
        <f>IF(ISNA(VLOOKUP(A135,'Données projet'!$A$139:$I$159,6,0)),0%,VLOOKUP(A135,'Données projet'!$A$139:$I$159,6,0)*VLOOKUP('Données projet'!$B$13,Paramètres!$A$1:$I$89,7,0))</f>
        <v>0</v>
      </c>
      <c r="DE135" s="16">
        <f>IF(ISNA(VLOOKUP(A135,'Données projet'!$A$139:$I$159,7,0)),0%,VLOOKUP(A135,'Données projet'!$A$139:$I$159,7,0))</f>
        <v>0</v>
      </c>
      <c r="DF135" s="21" t="e">
        <f>EXP(-LN(2)/35)*DF134+(1-EXP(-LN(2)/35))/(LN(2)/35)*DB135*DC135*VLOOKUP('Données projet'!$B$13,Paramètres!$A$1:$I$89,3,0)*0.475*44/12</f>
        <v>#N/A</v>
      </c>
      <c r="DG135" s="21" t="e">
        <f>EXP(-LN(2)/25)*DG134+(1-EXP(-LN(2)/25))/(LN(2)/25)*Calculateur!DB135*Calculateur!DD135*VLOOKUP('Données projet'!$B$13,Paramètres!$A$1:$I$89,3,0)*0.475*44/12</f>
        <v>#N/A</v>
      </c>
      <c r="DH135" s="21" t="e">
        <f>EXP(-LN(2)/2)*DH134+(1-EXP(-LN(2)/2))/(LN(2)/2)*DB135*DE135*VLOOKUP('Données projet'!$B$13,Paramètres!$A$1:$I$89,3,0)*0.475*44/12</f>
        <v>#N/A</v>
      </c>
      <c r="DI135" s="22" t="e">
        <f t="shared" si="123"/>
        <v>#N/A</v>
      </c>
      <c r="DJ135" s="75">
        <f>('Scénario référence'!$F$8+'Scénario référence'!$F$9+'Scénario référence'!$B$17+'Scénario référence'!$B$9+'Scénario référence'!$B$10)*70+IF((45+25*(1-EXP(-0.0175*A135)))&lt;70,'Scénario référence'!$B$16*(45+25*(1-EXP(-0.0175*A135))),70*'Scénario référence'!$B$16)+IF((32+38*(1-EXP(-0.0175*A135)))&lt;70,'Scénario référence'!$B$18*(32+38*(1-EXP(-0.0175*A135))),70*'Scénario référence'!$B$18)</f>
        <v>70</v>
      </c>
      <c r="DK135" s="12">
        <f>IF(A135&gt;30,10,('Scénario référence'!$B$16+'Scénario référence'!$B$17+'Scénario référence'!$B$18+'Scénario référence'!$B$9+'Scénario référence'!$B$10)*A135*10/30+('Scénario référence'!$F$8+'Scénario référence'!$F$9)*10)</f>
        <v>10</v>
      </c>
      <c r="DL135" s="12" t="e">
        <f>VLOOKUP(A135,'Données projet'!$A$165:$I$185,2,0)</f>
        <v>#N/A</v>
      </c>
      <c r="DM135" s="12" t="e">
        <f>VLOOKUP(A135,'Données projet'!$A$165:$I$185,9,0)</f>
        <v>#N/A</v>
      </c>
      <c r="DN135" s="12">
        <f t="array" ref="DN135">INDEX(DM:DM,MIN(IF(ISNUMBER(DM135:DM331),ROW(DM135:DM331),"")))</f>
        <v>0</v>
      </c>
      <c r="DO135" s="12">
        <f>IF('Données projet'!$A$166&gt;35,DO134+DN135-DW134,IF(A135&lt;'Données projet'!$A$166,$DL$205^A135,IF(A135='Données projet'!$A$166,'Données projet'!$B$166,DO134+DN135-DW134)))</f>
        <v>268.00000000000017</v>
      </c>
      <c r="DP135" s="17">
        <f>DO135*VLOOKUP('Données projet'!$B$14,Paramètres!$A$1:$I$89,3,0)*VLOOKUP('Données projet'!$B$14,Paramètres!$A$1:$I$89,5,0)</f>
        <v>175.59360000000012</v>
      </c>
      <c r="DQ135" s="13">
        <f t="shared" si="151"/>
        <v>44.340433728638573</v>
      </c>
      <c r="DR135" s="20">
        <f t="shared" si="124"/>
        <v>383.05177541071242</v>
      </c>
      <c r="DS135" s="59">
        <f t="shared" si="125"/>
        <v>676.38510874404574</v>
      </c>
      <c r="DT135" s="59">
        <f ca="1">AVERAGE(OFFSET($DS$3,0,0,'Données projet'!$E$14+1,1))-AVERAGE(OFFSET($H$3,0,0,'Données projet'!$E$14+1,1))</f>
        <v>188.68915783955595</v>
      </c>
      <c r="DU135" s="59">
        <f t="shared" si="152"/>
        <v>240.82467772396944</v>
      </c>
      <c r="DV135" s="15">
        <f>IF(ISNA(VLOOKUP(A135,'Données projet'!$A$165:$I$185,3,0)),0,VLOOKUP(A135,'Données projet'!$A$165:$I$185,3,0))</f>
        <v>0</v>
      </c>
      <c r="DW135" s="15">
        <f>IF(ISNA(VLOOKUP(A135,'Données projet'!$A$165:$I$185,4,0)),0,VLOOKUP(A135,'Données projet'!$A$165:$I$185,4,0))</f>
        <v>0</v>
      </c>
      <c r="DX135" s="16">
        <f>IF(ISNA(VLOOKUP(A135,'Données projet'!$A$165:$I$185,5,0)),0%,VLOOKUP(A135,'Données projet'!$A$165:$I$185,5,0)*VLOOKUP('Données projet'!$B$14,Paramètres!$A$1:$I$89,7,0))</f>
        <v>0</v>
      </c>
      <c r="DY135" s="16">
        <f>IF(ISNA(VLOOKUP(A135,'Données projet'!$A$165:$I$185,6,0)),0%,VLOOKUP(A135,'Données projet'!$A$165:$I$185,6,0)*VLOOKUP('Données projet'!$B$14,Paramètres!$A$1:$I$89,7,0))</f>
        <v>0</v>
      </c>
      <c r="DZ135" s="16">
        <f>IF(ISNA(VLOOKUP(A135,'Données projet'!$A$165:$I$185,7,0)),0%,VLOOKUP(A135,'Données projet'!$A$165:$I$185,7,0))</f>
        <v>0</v>
      </c>
      <c r="EA135" s="21">
        <f>EXP(-LN(2)/35)*EA134+(1-EXP(-LN(2)/35))/(LN(2)/35)*DW135*DX135*VLOOKUP('Données projet'!$B$14,Paramètres!$A$1:$I$89,3,0)*0.475*44/12</f>
        <v>0.20657228006876993</v>
      </c>
      <c r="EB135" s="21">
        <f>EXP(-LN(2)/25)*EB134+(1-EXP(-LN(2)/25))/(LN(2)/25)*Calculateur!DW135*Calculateur!DY135*VLOOKUP('Données projet'!$B$14,Paramètres!$A$1:$I$89,3,0)*0.475*44/12</f>
        <v>0.47527743935704642</v>
      </c>
      <c r="EC135" s="21">
        <f>EXP(-LN(2)/2)*EC134+(1-EXP(-LN(2)/2))/(LN(2)/2)*DW135*DZ135*VLOOKUP('Données projet'!$B$14,Paramètres!$A$1:$I$89,3,0)*0.475*44/12</f>
        <v>6.2156537633338114E-15</v>
      </c>
      <c r="ED135" s="22">
        <f t="shared" si="126"/>
        <v>0.68184971942582262</v>
      </c>
      <c r="EE135" s="75">
        <f>('Scénario référence'!$F$8+'Scénario référence'!$F$9+'Scénario référence'!$B$17+'Scénario référence'!$B$9+'Scénario référence'!$B$10)*70+IF((45+25*(1-EXP(-0.0175*A135)))&lt;70,'Scénario référence'!$B$16*(45+25*(1-EXP(-0.0175*A135))),70*'Scénario référence'!$B$16)+IF((32+38*(1-EXP(-0.0175*A135)))&lt;70,'Scénario référence'!$B$18*(32+38*(1-EXP(-0.0175*A135))),70*'Scénario référence'!$B$18)</f>
        <v>70</v>
      </c>
      <c r="EF135" s="12">
        <f>IF(A135&gt;30,10,('Scénario référence'!$B$16+'Scénario référence'!$B$17+'Scénario référence'!$B$18+'Scénario référence'!$B$9+'Scénario référence'!$B$10)*A135*10/30+('Scénario référence'!$F$8+'Scénario référence'!$F$9)*10)</f>
        <v>10</v>
      </c>
      <c r="EG135" s="12" t="e">
        <f>VLOOKUP(A135,'Données projet'!$A$191:$I$211,2,0)</f>
        <v>#N/A</v>
      </c>
      <c r="EH135" s="12" t="e">
        <f>VLOOKUP(A135,'Données projet'!$A$191:$I$211,9,0)</f>
        <v>#N/A</v>
      </c>
      <c r="EI135" s="12">
        <f t="array" ref="EI135">INDEX(EH:EH,MIN(IF(ISNUMBER(EH135:EH331),ROW(EH135:EH331),"")))</f>
        <v>0</v>
      </c>
      <c r="EJ135" s="12">
        <f>IF('Données projet'!$A$192&gt;35,EJ134+EI135-ER134,IF(A135&lt;'Données projet'!$A$192,$EG$205^A135,IF(A135='Données projet'!$A$192,'Données projet'!$B$192,EJ134+EI135-ER134)))</f>
        <v>275.99999999999972</v>
      </c>
      <c r="EK135" s="17">
        <f>EJ135*VLOOKUP('Données projet'!$B$15,Paramètres!$A$1:$I$89,3,0)*VLOOKUP('Données projet'!$B$15,Paramètres!$A$1:$I$89,5,0)</f>
        <v>223.8911999999998</v>
      </c>
      <c r="EL135" s="13">
        <f t="shared" si="153"/>
        <v>54.95975389514858</v>
      </c>
      <c r="EM135" s="20">
        <f t="shared" si="127"/>
        <v>485.66541136738346</v>
      </c>
      <c r="EN135" s="59">
        <f t="shared" si="128"/>
        <v>778.99874470071677</v>
      </c>
      <c r="EO135" s="59">
        <f ca="1">AVERAGE(OFFSET($EN$3,0,0,'Données projet'!$E$15+1,1))-AVERAGE(OFFSET($H$3,0,0,'Données projet'!$E$15+1,1))</f>
        <v>205.5272583787887</v>
      </c>
      <c r="EP135" s="59">
        <f t="shared" si="154"/>
        <v>180.54762778843178</v>
      </c>
      <c r="EQ135" s="15">
        <f>IF(ISNA(VLOOKUP(A135,'Données projet'!$A$191:$I$211,3,0)),0,VLOOKUP(A135,'Données projet'!$A$191:$I$211,3,0))</f>
        <v>0</v>
      </c>
      <c r="ER135" s="15">
        <f>IF(ISNA(VLOOKUP(A135,'Données projet'!$A$191:$I$211,4,0)),0,VLOOKUP(A135,'Données projet'!$A$191:$I$211,4,0))</f>
        <v>0</v>
      </c>
      <c r="ES135" s="16">
        <f>IF(ISNA(VLOOKUP(A135,'Données projet'!$A$191:$I$211,5,0)),0%,VLOOKUP(A135,'Données projet'!$A$191:$I$211,5,0)*VLOOKUP('Données projet'!$B$15,Paramètres!$A$1:$I$89,7,0))</f>
        <v>0</v>
      </c>
      <c r="ET135" s="16">
        <f>IF(ISNA(VLOOKUP(A135,'Données projet'!$A$191:$I$211,6,0)),0%,VLOOKUP(A135,'Données projet'!$A$191:$I$211,6,0)*VLOOKUP('Données projet'!$B$15,Paramètres!$A$1:$I$89,7,0))</f>
        <v>0</v>
      </c>
      <c r="EU135" s="16">
        <f>IF(ISNA(VLOOKUP(A135,'Données projet'!$A$191:$I$211,7,0)),0%,VLOOKUP(A135,'Données projet'!$A$191:$I$211,7,0))</f>
        <v>0</v>
      </c>
      <c r="EV135" s="21">
        <f>EXP(-LN(2)/35)*EV134+(1-EXP(-LN(2)/35))/(LN(2)/35)*ER135*ES135*VLOOKUP('Données projet'!$B$15,Paramètres!$A$1:$I$89,3,0)*0.475*44/12</f>
        <v>0.13299320126332242</v>
      </c>
      <c r="EW135" s="21">
        <f>EXP(-LN(2)/25)*EW134+(1-EXP(-LN(2)/25))/(LN(2)/25)*Calculateur!ER135*Calculateur!ET135*VLOOKUP('Données projet'!$B$15,Paramètres!$A$1:$I$89,3,0)*0.475*44/12</f>
        <v>0.34316472921549601</v>
      </c>
      <c r="EX135" s="21">
        <f>EXP(-LN(2)/2)*EX134+(1-EXP(-LN(2)/2))/(LN(2)/2)*ER135*EU135*VLOOKUP('Données projet'!$B$15,Paramètres!$A$1:$I$89,3,0)*0.475*44/12</f>
        <v>4.0246404077759224E-15</v>
      </c>
      <c r="EY135" s="22">
        <f t="shared" si="129"/>
        <v>0.47615793047882249</v>
      </c>
      <c r="EZ135" s="75">
        <f>('Scénario référence'!$F$8+'Scénario référence'!$F$9+'Scénario référence'!$B$17+'Scénario référence'!$B$9+'Scénario référence'!$B$10)*70+IF((45+25*(1-EXP(-0.0175*A135)))&lt;70,'Scénario référence'!$B$16*(45+25*(1-EXP(-0.0175*A135))),70*'Scénario référence'!$B$16)+IF((32+38*(1-EXP(-0.0175*A135)))&lt;70,'Scénario référence'!$B$18*(32+38*(1-EXP(-0.0175*A135))),70*'Scénario référence'!$B$18)</f>
        <v>70</v>
      </c>
      <c r="FA135" s="12">
        <f>IF(A135&gt;30,10,('Scénario référence'!$B$16+'Scénario référence'!$B$17+'Scénario référence'!$B$18+'Scénario référence'!$B$9+'Scénario référence'!$B$10)*A135*10/30+('Scénario référence'!$F$8+'Scénario référence'!$F$9)*10)</f>
        <v>10</v>
      </c>
      <c r="FB135" s="12" t="e">
        <f>VLOOKUP(A135,'Données projet'!$A$217:$I$237,2,0)</f>
        <v>#N/A</v>
      </c>
      <c r="FC135" s="12" t="e">
        <f>VLOOKUP(A135,'Données projet'!$A$217:$I$237,9,0)</f>
        <v>#N/A</v>
      </c>
      <c r="FD135" s="12">
        <f t="array" ref="FD135">INDEX(FC:FC,MIN(IF(ISNUMBER(FC135:FC331),ROW(FC135:FC331),"")))</f>
        <v>5.5</v>
      </c>
      <c r="FE135" s="12">
        <f>IF('Données projet'!$A$218&gt;35,FE134+FD135-FM134,IF(A135&lt;'Données projet'!$A$218,$FB$205^A135,IF(A135='Données projet'!$A$218,'Données projet'!$B$218,FE134+FD135-FM134)))</f>
        <v>413.99999999999994</v>
      </c>
      <c r="FF135" s="17">
        <f>FE135*VLOOKUP('Données projet'!$B$16,Paramètres!$A$1:$I$89,3,0)*VLOOKUP('Données projet'!$B$16,Paramètres!$A$1:$I$89,5,0)</f>
        <v>355.21199999999999</v>
      </c>
      <c r="FG135" s="13">
        <f t="shared" si="155"/>
        <v>82.634791155027401</v>
      </c>
      <c r="FH135" s="20">
        <f t="shared" si="130"/>
        <v>762.58316126167267</v>
      </c>
      <c r="FI135" s="59">
        <f t="shared" si="131"/>
        <v>1055.916494595006</v>
      </c>
      <c r="FJ135" s="59">
        <f ca="1">AVERAGE(OFFSET($FI$3,0,0,'Données projet'!$E$16+1,1))-AVERAGE(OFFSET($H$3,0,0,'Données projet'!$E$16+1,1))</f>
        <v>383.97627237444709</v>
      </c>
      <c r="FK135" s="59">
        <f t="shared" si="156"/>
        <v>203.35476578922339</v>
      </c>
      <c r="FL135" s="15">
        <f>IF(ISNA(VLOOKUP(A135,'Données projet'!$A$217:$I$237,3,0)),0,VLOOKUP(A135,'Données projet'!$A$217:$I$237,3,0))</f>
        <v>0</v>
      </c>
      <c r="FM135" s="15">
        <f>IF(ISNA(VLOOKUP(A135,'Données projet'!$A$217:$I$237,4,0)),0,VLOOKUP(A135,'Données projet'!$A$217:$I$237,4,0))</f>
        <v>0</v>
      </c>
      <c r="FN135" s="16">
        <f>IF(ISNA(VLOOKUP(A135,'Données projet'!$A$217:$I$237,5,0)),0%,VLOOKUP(A135,'Données projet'!$A$217:$I$237,5,0)*VLOOKUP('Données projet'!$B$16,Paramètres!$A$1:$I$89,7,0))</f>
        <v>0</v>
      </c>
      <c r="FO135" s="16">
        <f>IF(ISNA(VLOOKUP(A135,'Données projet'!$A$217:$I$237,6,0)),0%,VLOOKUP(A135,'Données projet'!$A$217:$I$237,6,0)*VLOOKUP('Données projet'!$B$16,Paramètres!$A$1:$I$89,7,0))</f>
        <v>0</v>
      </c>
      <c r="FP135" s="16">
        <f>IF(ISNA(VLOOKUP(A135,'Données projet'!$A$217:$I$237,7,0)),0%,VLOOKUP(A135,'Données projet'!$A$217:$I$237,7,0))</f>
        <v>0</v>
      </c>
      <c r="FQ135" s="21">
        <f>EXP(-LN(2)/35)*FQ134+(1-EXP(-LN(2)/35))/(LN(2)/35)*FM135*FN135*VLOOKUP('Données projet'!$B$16,Paramètres!$A$1:$I$89,3,0)*0.475*44/12</f>
        <v>0.6835129028908945</v>
      </c>
      <c r="FR135" s="21">
        <f>EXP(-LN(2)/25)*FR134+(1-EXP(-LN(2)/25))/(LN(2)/25)*Calculateur!FM135*Calculateur!FO135*VLOOKUP('Données projet'!$B$16,Paramètres!$A$1:$I$89,3,0)*0.475*44/12</f>
        <v>0.34834766959940561</v>
      </c>
      <c r="FS135" s="21">
        <f>EXP(-LN(2)/2)*FS134+(1-EXP(-LN(2)/2))/(LN(2)/2)*FM135*FP135*VLOOKUP('Données projet'!$B$16,Paramètres!$A$1:$I$89,3,0)*0.475*44/12</f>
        <v>7.3924384532863616E-15</v>
      </c>
      <c r="FT135" s="22">
        <f t="shared" si="132"/>
        <v>1.0318605724903074</v>
      </c>
      <c r="FU135" s="75">
        <f>('Scénario référence'!$F$8+'Scénario référence'!$F$9+'Scénario référence'!$B$17+'Scénario référence'!$B$9+'Scénario référence'!$B$10)*70+IF((45+25*(1-EXP(-0.0175*A135)))&lt;70,'Scénario référence'!$B$16*(45+25*(1-EXP(-0.0175*A135))),70*'Scénario référence'!$B$16)+IF((32+38*(1-EXP(-0.0175*A135)))&lt;70,'Scénario référence'!$B$18*(32+38*(1-EXP(-0.0175*A135))),70*'Scénario référence'!$B$18)</f>
        <v>70</v>
      </c>
      <c r="FV135" s="12">
        <f>IF(A135&gt;30,10,('Scénario référence'!$B$16+'Scénario référence'!$B$17+'Scénario référence'!$B$18+'Scénario référence'!$B$9+'Scénario référence'!$B$10)*A135*10/30+('Scénario référence'!$F$8+'Scénario référence'!$F$9)*10)</f>
        <v>10</v>
      </c>
      <c r="FW135" s="12" t="e">
        <f>VLOOKUP(A135,'Données projet'!$A$243:$I$263,2,0)</f>
        <v>#N/A</v>
      </c>
      <c r="FX135" s="12" t="e">
        <f>VLOOKUP(A135,'Données projet'!$A$243:$I$263,9,0)</f>
        <v>#N/A</v>
      </c>
      <c r="FY135" s="12">
        <f t="array" ref="FY135">INDEX(FX:FX,MIN(IF(ISNUMBER(FX135:FX331),ROW(FX135:FX331),"")))</f>
        <v>0</v>
      </c>
      <c r="FZ135" s="12">
        <f>IF('Données projet'!$A$244&gt;35,FZ134+FY135-GH134,IF(A135&lt;'Données projet'!$A$244,$FW$205^A135,IF(A135='Données projet'!$A$244,'Données projet'!$B$244,FZ134+FY135-GH134)))</f>
        <v>4.5474735088646412E-13</v>
      </c>
      <c r="GA135" s="17">
        <f>FZ135*VLOOKUP('Données projet'!$B$17,Paramètres!$A$1:$I$89,3,0)*VLOOKUP('Données projet'!$B$17,Paramètres!$A$1:$I$89,5,0)</f>
        <v>4.8949004849418999E-13</v>
      </c>
      <c r="GB135" s="13">
        <f t="shared" si="157"/>
        <v>6.1123715499968684E-12</v>
      </c>
      <c r="GC135" s="20">
        <f t="shared" si="133"/>
        <v>1.1498242284038591E-11</v>
      </c>
      <c r="GD135" s="59">
        <f t="shared" si="134"/>
        <v>293.3333333333448</v>
      </c>
      <c r="GE135" s="59">
        <f ca="1">AVERAGE(OFFSET($GD$3,0,0,'Données projet'!$E$17+1,1))-AVERAGE(OFFSET($H$3,0,0,'Données projet'!$E$17+1,1))</f>
        <v>286.77702855541287</v>
      </c>
      <c r="GF135" s="59">
        <f t="shared" si="158"/>
        <v>227.12211541860779</v>
      </c>
      <c r="GG135" s="15">
        <f>IF(ISNA(VLOOKUP(A135,'Données projet'!$A$243:$I$263,3,0)),0,VLOOKUP(A135,'Données projet'!$A$243:$I$263,3,0))</f>
        <v>0</v>
      </c>
      <c r="GH135" s="15">
        <f>IF(ISNA(VLOOKUP(A135,'Données projet'!$A$243:$I$263,4,0)),0,VLOOKUP(A135,'Données projet'!$A$243:$I$263,4,0))</f>
        <v>0</v>
      </c>
      <c r="GI135" s="16">
        <f>IF(ISNA(VLOOKUP(A135,'Données projet'!$A$243:$I$263,5,0)),0%,VLOOKUP(A135,'Données projet'!$A$243:$I$263,5,0)*VLOOKUP('Données projet'!$B$17,Paramètres!$A$1:$I$89,7,0))</f>
        <v>0</v>
      </c>
      <c r="GJ135" s="16">
        <f>IF(ISNA(VLOOKUP(A135,'Données projet'!$A$243:$I$263,6,0)),0%,VLOOKUP(A135,'Données projet'!$A$243:$I$263,6,0)*VLOOKUP('Données projet'!$B$17,Paramètres!$A$1:$I$89,7,0))</f>
        <v>0</v>
      </c>
      <c r="GK135" s="16">
        <f>IF(ISNA(VLOOKUP(A135,'Données projet'!$A$243:$I$263,7,0)),0%,VLOOKUP(A135,'Données projet'!$A$243:$I$263,7,0))</f>
        <v>0</v>
      </c>
      <c r="GL135" s="21">
        <f>EXP(-LN(2)/35)*GL134+(1-EXP(-LN(2)/35))/(LN(2)/35)*GH135*GI135*VLOOKUP('Données projet'!$B$17,Paramètres!$A$1:$I$89,3,0)*0.475*44/12</f>
        <v>0</v>
      </c>
      <c r="GM135" s="21">
        <f>EXP(-LN(2)/25)*GM134+(1-EXP(-LN(2)/25))/(LN(2)/25)*Calculateur!GH135*Calculateur!GJ135*VLOOKUP('Données projet'!$B$17,Paramètres!$A$1:$I$89,3,0)*0.475*44/12</f>
        <v>0</v>
      </c>
      <c r="GN135" s="21">
        <f>EXP(-LN(2)/2)*GN134+(1-EXP(-LN(2)/2))/(LN(2)/2)*GH135*GK135*VLOOKUP('Données projet'!$B$17,Paramètres!$A$1:$I$89,3,0)*0.475*44/12</f>
        <v>0</v>
      </c>
      <c r="GO135" s="21">
        <f t="shared" si="135"/>
        <v>0</v>
      </c>
      <c r="GP135" s="75">
        <f>('Scénario référence'!$F$8+'Scénario référence'!$F$9+'Scénario référence'!$B$17+'Scénario référence'!$B$9+'Scénario référence'!$B$10)*70+IF((45+25*(1-EXP(-0.0175*A135)))&lt;70,'Scénario référence'!$B$16*(45+25*(1-EXP(-0.0175*A135))),70*'Scénario référence'!$B$16)+IF((32+38*(1-EXP(-0.0175*A135)))&lt;70,'Scénario référence'!$B$18*(32+38*(1-EXP(-0.0175*A135))),70*'Scénario référence'!$B$18)</f>
        <v>70</v>
      </c>
      <c r="GQ135" s="12">
        <f>IF(A135&gt;30,10,('Scénario référence'!$B$16+'Scénario référence'!$B$17+'Scénario référence'!$B$18+'Scénario référence'!$B$9+'Scénario référence'!$B$10)*A135*10/30+('Scénario référence'!$F$8+'Scénario référence'!$F$9)*10)</f>
        <v>10</v>
      </c>
      <c r="GR135" s="12" t="e">
        <f>VLOOKUP(A135,'Données projet'!$A$269:$I$289,2,0)</f>
        <v>#N/A</v>
      </c>
      <c r="GS135" s="12" t="e">
        <f>VLOOKUP(A135,'Données projet'!$A$269:$I$289,9,0)</f>
        <v>#N/A</v>
      </c>
      <c r="GT135" s="12">
        <f t="array" ref="GT135">INDEX(GS:GS,MIN(IF(ISNUMBER(GS135:GS331),ROW(GS135:GS331),"")))</f>
        <v>0</v>
      </c>
      <c r="GU135" s="12">
        <f>IF('Données projet'!$A$270&gt;35,GU134+GT135-HC134,IF(A135&lt;'Données projet'!$A$270,$GR$205^A135,IF(A135='Données projet'!$A$270,'Données projet'!$B$270,GU134+GT135-HC134)))</f>
        <v>4.5474735088646412E-13</v>
      </c>
      <c r="GV135" s="17">
        <f>GU135*VLOOKUP('Données projet'!$B$18,Paramètres!$A$1:$I$89,3,0)*VLOOKUP('Données projet'!$B$18,Paramètres!$A$1:$I$89,5,0)</f>
        <v>4.8949004849418999E-13</v>
      </c>
      <c r="GW135" s="13">
        <f t="shared" si="159"/>
        <v>6.1123715499968684E-12</v>
      </c>
      <c r="GX135" s="20">
        <f t="shared" si="136"/>
        <v>1.1498242284038591E-11</v>
      </c>
      <c r="GY135" s="59">
        <f t="shared" si="137"/>
        <v>293.3333333333448</v>
      </c>
      <c r="GZ135" s="59">
        <f ca="1">AVERAGE(OFFSET($GY$3,0,0,'Données projet'!$E$18+1,1))-AVERAGE(OFFSET($H$3,0,0,'Données projet'!$E$18+1,1))</f>
        <v>286.77702855541287</v>
      </c>
      <c r="HA135" s="59">
        <f t="shared" si="160"/>
        <v>227.12211541860779</v>
      </c>
      <c r="HB135" s="15">
        <f>IF(ISNA(VLOOKUP(A135,'Données projet'!$A$269:$I$289,3,0)),0,VLOOKUP(A135,'Données projet'!$A$269:$I$289,3,0))</f>
        <v>0</v>
      </c>
      <c r="HC135" s="15">
        <f>IF(ISNA(VLOOKUP(A135,'Données projet'!$A$269:$I$289,4,0)),0,VLOOKUP(A135,'Données projet'!$A$269:$I$289,4,0))</f>
        <v>0</v>
      </c>
      <c r="HD135" s="16">
        <f>IF(ISNA(VLOOKUP(A135,'Données projet'!$A$269:$I$289,5,0)),0%,VLOOKUP(A135,'Données projet'!$A$269:$I$289,5,0)*VLOOKUP('Données projet'!$B$18,Paramètres!$A$1:$I$89,7,0))</f>
        <v>0</v>
      </c>
      <c r="HE135" s="16">
        <f>IF(ISNA(VLOOKUP(A135,'Données projet'!$A$269:$I$289,6,0)),0%,VLOOKUP(A135,'Données projet'!$A$269:$I$289,6,0)*VLOOKUP('Données projet'!$B$18,Paramètres!$A$1:$I$89,7,0))</f>
        <v>0</v>
      </c>
      <c r="HF135" s="16">
        <f>IF(ISNA(VLOOKUP(A135,'Données projet'!$A$269:$I$289,7,0)),0%,VLOOKUP(A135,'Données projet'!$A$269:$I$289,7,0))</f>
        <v>0</v>
      </c>
      <c r="HG135" s="21">
        <f>EXP(-LN(2)/35)*HG134+(1-EXP(-LN(2)/35))/(LN(2)/35)*HC135*HD135*VLOOKUP('Données projet'!$B$18,Paramètres!$A$1:$I$89,3,0)*0.475*44/12</f>
        <v>0</v>
      </c>
      <c r="HH135" s="21">
        <f>EXP(-LN(2)/25)*HH134+(1-EXP(-LN(2)/25))/(LN(2)/25)*Calculateur!HC135*Calculateur!HE135*VLOOKUP('Données projet'!$B$18,Paramètres!$A$1:$I$89,3,0)*0.475*44/12</f>
        <v>0</v>
      </c>
      <c r="HI135" s="21">
        <f>EXP(-LN(2)/2)*HI134+(1-EXP(-LN(2)/2))/(LN(2)/2)*HC135*HF135*VLOOKUP('Données projet'!$B$18,Paramètres!$A$1:$I$89,3,0)*0.475*44/12</f>
        <v>0</v>
      </c>
      <c r="HJ135" s="22">
        <f t="shared" si="138"/>
        <v>0</v>
      </c>
    </row>
    <row r="136" spans="1:218" x14ac:dyDescent="0.25">
      <c r="A136" s="10">
        <f t="shared" si="139"/>
        <v>133</v>
      </c>
      <c r="B136" s="73">
        <f>'Scénario référence'!$B$16*5+'Scénario référence'!$B$17*0+'Scénario référence'!$B$18*5</f>
        <v>0</v>
      </c>
      <c r="C136" s="19">
        <f>Calculateur!C135+'Scénario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118.26360000000022</v>
      </c>
      <c r="D136" s="11">
        <f t="shared" si="140"/>
        <v>31.26966959708238</v>
      </c>
      <c r="E13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36" s="11">
        <f>IF(OR('Scénario référence'!$F$8&gt;0,'Scénario référence'!$F$9&gt;0),('Scénario référence'!$F$8+'Scénario référence'!$F$9)*10,0)</f>
        <v>10</v>
      </c>
      <c r="G136" s="11">
        <f>'Scénario référence'!$B$8*B136*44/12+'Scénario référence'!$B$9*(C136+D136)/0.475*44/12+'Scénario référence'!$B$10*(C136+D136)/0.475*44/12+'Scénario référence'!$F$8*(C136+D136)/0.475*44/12+'Scénario référence'!$F$9*(C136+D136)/0.475*44/12</f>
        <v>1154.2919056616904</v>
      </c>
      <c r="H136" s="67">
        <f t="shared" si="110"/>
        <v>553.77044454825227</v>
      </c>
      <c r="I136" s="70">
        <f>('Scénario référence'!$F$8+'Scénario référence'!$F$9+'Scénario référence'!$B$17+'Scénario référence'!$B$9+'Scénario référence'!$B$10)*70+IF((45+25*(1-EXP(-0.0175*A136)))&lt;70,'Scénario référence'!$B$16*(45+25*(1-EXP(-0.0175*A136))),70*'Scénario référence'!$B$16)+IF((32+38*(1-EXP(-0.0175*A136)))&lt;70,'Scénario référence'!$B$18*(32+38*(1-EXP(-0.0175*A136))),70*'Scénario référence'!$B$18)</f>
        <v>70</v>
      </c>
      <c r="J136" s="13">
        <f>IF(A136&gt;30,10,('Scénario référence'!$B$16+'Scénario référence'!$B$17+'Scénario référence'!$B$18+'Scénario référence'!$B$9+'Scénario référence'!$B$10)*A136*10/30+('Scénario référence'!$F$8+'Scénario référence'!$F$9)*10)</f>
        <v>10</v>
      </c>
      <c r="K136" s="12" t="e">
        <f>VLOOKUP(A136,'Données projet'!$A$35:$I$55,2,0)</f>
        <v>#N/A</v>
      </c>
      <c r="L136" s="12" t="e">
        <f>VLOOKUP(A136,'Données projet'!$A$35:$I$55,9,0)</f>
        <v>#N/A</v>
      </c>
      <c r="M136" s="12">
        <f t="array" ref="M136">INDEX(L:L,MIN(IF(ISNUMBER(L136:L332),ROW(L136:L332),"")))</f>
        <v>0</v>
      </c>
      <c r="N136" s="13">
        <f>IF('Données projet'!$A$36&gt;35,N135+M136-V135,IF(A136&lt;'Données projet'!$A$36,$K$205^A136,IF(A136='Données projet'!$A$36,'Données projet'!$B$36,N135+M136-V135)))</f>
        <v>-2.2737367544323206E-13</v>
      </c>
      <c r="O136" s="13">
        <f>N136*VLOOKUP('Données projet'!$B$9,Paramètres!$A$1:$I$89,3,0)*VLOOKUP('Données projet'!$B$9,Paramètres!$A$1:$I$89,5,0)</f>
        <v>-1.2710188457276673E-13</v>
      </c>
      <c r="P136" s="13" t="e">
        <f t="shared" si="141"/>
        <v>#NUM!</v>
      </c>
      <c r="Q136" s="20" t="e">
        <f t="shared" si="108"/>
        <v>#NUM!</v>
      </c>
      <c r="R136" s="59" t="e">
        <f t="shared" si="109"/>
        <v>#NUM!</v>
      </c>
      <c r="S136" s="59">
        <f ca="1">AVERAGE(OFFSET($R$3,0,0,'Données projet'!$E$9+1,1))-AVERAGE(OFFSET($H$3,0,0,'Données projet'!$E$9+1,1))</f>
        <v>255.5374979188561</v>
      </c>
      <c r="T136" s="59">
        <f t="shared" si="142"/>
        <v>343.10418468620901</v>
      </c>
      <c r="U136" s="15">
        <f>IF(ISNA(VLOOKUP(A136,'Données projet'!$A$35:$I$55,3,0)),0,VLOOKUP(A136,'Données projet'!$A$35:$I$55,3,0))</f>
        <v>0</v>
      </c>
      <c r="V136" s="15">
        <f>IF(ISNA(VLOOKUP(A136,'Données projet'!$A$35:$I$55,4,0)),0,VLOOKUP(A136,'Données projet'!$A$35:$I$55,4,0))</f>
        <v>0</v>
      </c>
      <c r="W136" s="16">
        <f>IF(ISNA(VLOOKUP(A136,'Données projet'!$A$35:$I$55,5,0)),0%,VLOOKUP(A136,'Données projet'!$A$35:$I$55,5,0)*VLOOKUP('Données projet'!$B$9,Paramètres!$A$1:$I$89,7,0))</f>
        <v>0</v>
      </c>
      <c r="X136" s="16">
        <f>IF(ISNA(VLOOKUP(A136,'Données projet'!$A$35:$I$55,6,0)),0%,VLOOKUP(A136,'Données projet'!$A$35:$I$55,6,0)*VLOOKUP('Données projet'!$B$9,Paramètres!$A$1:$I$89,7,0))</f>
        <v>0</v>
      </c>
      <c r="Y136" s="16">
        <f>IF(ISNA(VLOOKUP(A136,'Données projet'!$A$35:$I$55,7,0)),0%,VLOOKUP(A136,'Données projet'!$A$35:$I$55,7,0))</f>
        <v>0</v>
      </c>
      <c r="Z136" s="21">
        <f>EXP(-LN(2)/35)*Z135+(1-EXP(-LN(2)/35))/(LN(2)/35)*V136*W136*VLOOKUP('Données projet'!$B$9,Paramètres!$A$1:$I$89,3,0)*0.475*44/12</f>
        <v>0.40186108025559819</v>
      </c>
      <c r="AA136" s="21">
        <f>EXP(-LN(2)/25)*AA135+(1-EXP(-LN(2)/25))/(LN(2)/25)*Calculateur!V136*Calculateur!X136*VLOOKUP('Données projet'!$B$9,Paramètres!$A$1:$I$89,3,0)*0.475*44/12</f>
        <v>0.91790208452784738</v>
      </c>
      <c r="AB136" s="21">
        <f>EXP(-LN(2)/2)*AB135+(1-EXP(-LN(2)/2))/(LN(2)/2)*V136*Y136*VLOOKUP('Données projet'!$B$9,Paramètres!$A$1:$I$89,3,0)*0.475*44/12</f>
        <v>5.3152405302524782E-16</v>
      </c>
      <c r="AC136" s="22">
        <f t="shared" si="111"/>
        <v>1.319763164783446</v>
      </c>
      <c r="AD136" s="13">
        <f>('Scénario référence'!$F$8+'Scénario référence'!$F$9+'Scénario référence'!$B$17+'Scénario référence'!$B$9+'Scénario référence'!$B$10)*70+IF((45+25*(1-EXP(-0.0175*A136)))&lt;70,'Scénario référence'!$B$16*(45+25*(1-EXP(-0.0175*A136))),70*'Scénario référence'!$B$16)+IF((32+38*(1-EXP(-0.0175*A136)))&lt;70,'Scénario référence'!$B$18*(32+38*(1-EXP(-0.0175*A136))),70*'Scénario référence'!$B$18)</f>
        <v>70</v>
      </c>
      <c r="AE136" s="13">
        <f>IF(A136&gt;30,10,('Scénario référence'!$B$16+'Scénario référence'!$B$17+'Scénario référence'!$B$18+'Scénario référence'!$B$9+'Scénario référence'!$B$10)*A136*10/30+('Scénario référence'!$F$8+'Scénario référence'!$F$9)*10)</f>
        <v>10</v>
      </c>
      <c r="AF136" s="12" t="e">
        <f>VLOOKUP(A136,'Données projet'!$A$61:$I$81,2,0)</f>
        <v>#N/A</v>
      </c>
      <c r="AG136" s="12" t="e">
        <f>VLOOKUP(A136,'Données projet'!$A$61:$I$81,9,0)</f>
        <v>#N/A</v>
      </c>
      <c r="AH136" s="12">
        <f t="array" ref="AH136">INDEX(AG:AG,MIN(IF(ISNUMBER(AG136:AG332),ROW(AG136:AG332),"")))</f>
        <v>0</v>
      </c>
      <c r="AI136" s="13">
        <f>IF('Données projet'!$A$62&gt;35,AI135+AH136-AQ135,IF(A136&lt;'Données projet'!$A$62,$AF$205^A136,IF(A136='Données projet'!$A$62,'Données projet'!$B$62,AI135+AH136-AQ135)))</f>
        <v>0</v>
      </c>
      <c r="AJ136" s="13">
        <f>AI136*VLOOKUP('Données projet'!$B$10,Paramètres!$A$1:$I$89,3,0)*VLOOKUP('Données projet'!$B$10,Paramètres!$A$1:$I$89,5,0)</f>
        <v>0</v>
      </c>
      <c r="AK136" s="13" t="e">
        <f t="shared" si="143"/>
        <v>#NUM!</v>
      </c>
      <c r="AL136" s="20" t="e">
        <f t="shared" si="112"/>
        <v>#NUM!</v>
      </c>
      <c r="AM136" s="59" t="e">
        <f t="shared" si="113"/>
        <v>#NUM!</v>
      </c>
      <c r="AN136" s="59">
        <f ca="1">AVERAGE(OFFSET($AM$3,0,0,'Données projet'!$E$10+1,1))-AVERAGE(OFFSET($H$3,0,0,'Données projet'!$E$10+1,1))</f>
        <v>261.78489480911571</v>
      </c>
      <c r="AO136" s="59">
        <f t="shared" si="144"/>
        <v>297.50513563712764</v>
      </c>
      <c r="AP136" s="15">
        <f>IF(ISNA(VLOOKUP(A136,'Données projet'!$A$61:$I$81,3,0)),0,VLOOKUP(A136,'Données projet'!$A$61:$I$81,3,0))</f>
        <v>0</v>
      </c>
      <c r="AQ136" s="15">
        <f>IF(ISNA(VLOOKUP(A136,'Données projet'!$A$61:$I$81,4,0)),0,VLOOKUP(A136,'Données projet'!$A$61:$I$81,4,0))</f>
        <v>0</v>
      </c>
      <c r="AR136" s="16">
        <f>IF(ISNA(VLOOKUP(A136,'Données projet'!$A$61:$I$81,5,0)),0%,VLOOKUP(A136,'Données projet'!$A$61:$I$81,5,0)*VLOOKUP('Données projet'!$B$10,Paramètres!$A$1:$I$89,7,0))</f>
        <v>0</v>
      </c>
      <c r="AS136" s="16">
        <f>IF(ISNA(VLOOKUP(A136,'Données projet'!$A$61:$I$81,6,0)),0%,VLOOKUP(A136,'Données projet'!$A$61:$I$81,6,0)*VLOOKUP('Données projet'!$B$10,Paramètres!$A$1:$I$89,7,0))</f>
        <v>0</v>
      </c>
      <c r="AT136" s="16">
        <f>IF(ISNA(VLOOKUP(A136,'Données projet'!$A$61:$I$81,7,0)),0%,VLOOKUP(A136,'Données projet'!$A$61:$I$81,7,0))</f>
        <v>0</v>
      </c>
      <c r="AU136" s="21">
        <f>EXP(-LN(2)/35)*AU135+(1-EXP(-LN(2)/35))/(LN(2)/35)*AQ136*AR136*VLOOKUP('Données projet'!$B$10,Paramètres!$A$1:$I$89,3,0)*0.475*44/12</f>
        <v>1.0851385825514814</v>
      </c>
      <c r="AV136" s="21">
        <f>EXP(-LN(2)/25)*AV135+(1-EXP(-LN(2)/25))/(LN(2)/25)*Calculateur!AQ136*Calculateur!AS136*VLOOKUP('Données projet'!$B$10,Paramètres!$A$1:$I$89,3,0)*0.475*44/12</f>
        <v>1.6028442556976013</v>
      </c>
      <c r="AW136" s="21">
        <f>EXP(-LN(2)/2)*AW135+(1-EXP(-LN(2)/2))/(LN(2)/2)*AQ136*AT136*VLOOKUP('Données projet'!$B$10,Paramètres!$A$1:$I$89,3,0)*0.475*44/12</f>
        <v>7.6624252373933427E-15</v>
      </c>
      <c r="AX136" s="21">
        <f t="shared" si="114"/>
        <v>2.68798283824909</v>
      </c>
      <c r="AY136" s="74">
        <f>('Scénario référence'!$F$8+'Scénario référence'!$F$9+'Scénario référence'!$B$17+'Scénario référence'!$B$9+'Scénario référence'!$B$10)*70+IF((45+25*(1-EXP(-0.0175*A136)))&lt;70,'Scénario référence'!$B$16*(45+25*(1-EXP(-0.0175*A136))),70*'Scénario référence'!$B$16)+IF((32+38*(1-EXP(-0.0175*A136)))&lt;70,'Scénario référence'!$B$18*(32+38*(1-EXP(-0.0175*A136))),70*'Scénario référence'!$B$18)</f>
        <v>70</v>
      </c>
      <c r="AZ136" s="12">
        <f>IF(A136&gt;30,10,('Scénario référence'!$B$16+'Scénario référence'!$B$17+'Scénario référence'!$B$18+'Scénario référence'!$B$9+'Scénario référence'!$B$10)*A136*10/30+('Scénario référence'!$F$8+'Scénario référence'!$F$9)*10)</f>
        <v>10</v>
      </c>
      <c r="BA136" s="12" t="e">
        <f>VLOOKUP(A136,'Données projet'!$A$87:$I$107,2,0)</f>
        <v>#N/A</v>
      </c>
      <c r="BB136" s="12" t="e">
        <f>VLOOKUP(A136,'Données projet'!$A$87:$I$107,9,0)</f>
        <v>#N/A</v>
      </c>
      <c r="BC136" s="12">
        <f t="array" ref="BC136">INDEX(BB:BB,MIN(IF(ISNUMBER(BB136:BB332),ROW(BB136:BB332),"")))</f>
        <v>0</v>
      </c>
      <c r="BD136" s="12">
        <f>IF('Données projet'!$A$88&gt;35,BD135+BC136-BL135,IF(A136&lt;'Données projet'!$A$88,$BA$205^A136,IF(A136='Données projet'!$A$88,'Données projet'!$B$88,BD135+BC136-BL135)))</f>
        <v>553.99999999999955</v>
      </c>
      <c r="BE136" s="13">
        <f>BD136*VLOOKUP('Données projet'!$B$11,Paramètres!$A$1:$I$89,3,0)*VLOOKUP('Données projet'!$B$11,Paramètres!$A$1:$I$89,5,0)</f>
        <v>331.29199999999975</v>
      </c>
      <c r="BF136" s="13">
        <f t="shared" si="145"/>
        <v>77.698110787752</v>
      </c>
      <c r="BG136" s="20">
        <f t="shared" si="115"/>
        <v>712.32444295533423</v>
      </c>
      <c r="BH136" s="59">
        <f t="shared" si="116"/>
        <v>1005.6577762886675</v>
      </c>
      <c r="BI136" s="59">
        <f ca="1">AVERAGE(OFFSET($BH$3,0,0,'Données projet'!$E$11+1,1))-AVERAGE(OFFSET($H$3,0,0,'Données projet'!$E$11+1,1))</f>
        <v>316.58509520829671</v>
      </c>
      <c r="BJ136" s="59">
        <f t="shared" si="146"/>
        <v>240.71332110643596</v>
      </c>
      <c r="BK136" s="15">
        <f>IF(ISNA(VLOOKUP(A136,'Données projet'!$A$87:$I$107,3,0)),0,VLOOKUP(A136,'Données projet'!$A$87:$I$107,3,0))</f>
        <v>0</v>
      </c>
      <c r="BL136" s="15">
        <f>IF(ISNA(VLOOKUP(A136,'Données projet'!$A$87:$I$107,4,0)),0,VLOOKUP(A136,'Données projet'!$A$87:$I$107,4,0))</f>
        <v>0</v>
      </c>
      <c r="BM136" s="16">
        <f>IF(ISNA(VLOOKUP(A136,'Données projet'!$A$87:$I$107,5,0)),0%,VLOOKUP(A136,'Données projet'!$A$87:$I$107,5,0)*VLOOKUP('Données projet'!$B$11,Paramètres!$A$1:$I$89,7,0))</f>
        <v>0</v>
      </c>
      <c r="BN136" s="16">
        <f>IF(ISNA(VLOOKUP(A136,'Données projet'!$A$87:$I$107,6,0)),0%,VLOOKUP(A136,'Données projet'!$A$87:$I$107,6,0)*VLOOKUP('Données projet'!$B$11,Paramètres!$A$1:$I$89,7,0))</f>
        <v>0</v>
      </c>
      <c r="BO136" s="16">
        <f>IF(ISNA(VLOOKUP(A136,'Données projet'!$A$87:$I$107,7,0)),0%,VLOOKUP(A136,'Données projet'!$A$87:$I$107,7,0))</f>
        <v>0</v>
      </c>
      <c r="BP136" s="21">
        <f>EXP(-LN(2)/35)*BP135+(1-EXP(-LN(2)/35))/(LN(2)/35)*BL136*BM136*VLOOKUP('Données projet'!$B$11,Paramètres!$A$1:$I$89,3,0)*0.475*44/12</f>
        <v>0.3296189183977995</v>
      </c>
      <c r="BQ136" s="21">
        <f>EXP(-LN(2)/25)*BQ135+(1-EXP(-LN(2)/25))/(LN(2)/25)*Calculateur!BL136*Calculateur!BN136*VLOOKUP('Données projet'!$B$11,Paramètres!$A$1:$I$89,3,0)*0.475*44/12</f>
        <v>0.87808485118359791</v>
      </c>
      <c r="BR136" s="21">
        <f>EXP(-LN(2)/2)*BR135+(1-EXP(-LN(2)/2))/(LN(2)/2)*BL136*BO136*VLOOKUP('Données projet'!$B$11,Paramètres!$A$1:$I$89,3,0)*0.475*44/12</f>
        <v>6.8893594205808837E-15</v>
      </c>
      <c r="BS136" s="22">
        <f t="shared" si="117"/>
        <v>1.2077037695814044</v>
      </c>
      <c r="BT136" s="75">
        <f>('Scénario référence'!$F$8+'Scénario référence'!$F$9+'Scénario référence'!$B$17+'Scénario référence'!$B$9+'Scénario référence'!$B$10)*70+IF((45+25*(1-EXP(-0.0175*A136)))&lt;70,'Scénario référence'!$B$16*(45+25*(1-EXP(-0.0175*A136))),70*'Scénario référence'!$B$16)+IF((32+38*(1-EXP(-0.0175*A136)))&lt;70,'Scénario référence'!$B$18*(32+38*(1-EXP(-0.0175*A136))),70*'Scénario référence'!$B$18)</f>
        <v>70</v>
      </c>
      <c r="BU136" s="12">
        <f>IF(A136&gt;30,10,('Scénario référence'!$B$16+'Scénario référence'!$B$17+'Scénario référence'!$B$18+'Scénario référence'!$B$9+'Scénario référence'!$B$10)*A136*10/30+('Scénario référence'!$F$8+'Scénario référence'!$F$9)*10)</f>
        <v>10</v>
      </c>
      <c r="BV136" s="12" t="e">
        <f>VLOOKUP(A136,'Données projet'!$A$113:$I$133,2,0)</f>
        <v>#N/A</v>
      </c>
      <c r="BW136" s="12" t="e">
        <f>VLOOKUP(A136,'Données projet'!$A$113:$I$133,9,0)</f>
        <v>#N/A</v>
      </c>
      <c r="BX136" s="12">
        <f t="array" ref="BX136">INDEX(BW:BW,MIN(IF(ISNUMBER(BW136:BW332),ROW(BW136:BW332),"")))</f>
        <v>0</v>
      </c>
      <c r="BY136" s="12">
        <f>IF('Données projet'!$A$114&gt;35,BY135+BX136-CG135,IF(A136&lt;'Données projet'!$A$114,$BV$205^A136,IF(A136='Données projet'!$A$114,'Données projet'!$B$114,BY135+BX136-CG135)))</f>
        <v>333.99999999999977</v>
      </c>
      <c r="BZ136" s="13">
        <f>BY136*VLOOKUP('Données projet'!$B$12,Paramètres!$A$1:$I$89,3,0)*VLOOKUP('Données projet'!$B$12,Paramètres!$A$1:$I$89,5,0)</f>
        <v>191.04799999999986</v>
      </c>
      <c r="CA136" s="13">
        <f t="shared" si="147"/>
        <v>47.771576544305155</v>
      </c>
      <c r="CB136" s="20">
        <f t="shared" si="118"/>
        <v>415.94409581466454</v>
      </c>
      <c r="CC136" s="59">
        <f t="shared" si="119"/>
        <v>709.27742914799785</v>
      </c>
      <c r="CD136" s="59">
        <f ca="1">AVERAGE(OFFSET($CC$3,0,0,'Données projet'!$E$12+1,1))-AVERAGE(OFFSET($H$3,0,0,'Données projet'!$E$12+1,1))</f>
        <v>188.64374818906128</v>
      </c>
      <c r="CE136" s="59">
        <f t="shared" si="148"/>
        <v>211.95157880548652</v>
      </c>
      <c r="CF136" s="15">
        <f>IF(ISNA(VLOOKUP(A136,'Données projet'!$A$113:$I$133,3,0)),0,VLOOKUP(A136,'Données projet'!$A$113:$I$133,3,0))</f>
        <v>0</v>
      </c>
      <c r="CG136" s="15">
        <f>IF(ISNA(VLOOKUP(A136,'Données projet'!$A$113:$I$133,4,0)),0,VLOOKUP(A136,'Données projet'!$A$113:$I$133,4,0))</f>
        <v>0</v>
      </c>
      <c r="CH136" s="16">
        <f>IF(ISNA(VLOOKUP(A136,'Données projet'!$A$113:$I$133,5,0)),0%,VLOOKUP(A136,'Données projet'!$A$113:$I$133,5,0)*VLOOKUP('Données projet'!$B$12,Paramètres!$A$1:$I$89,7,0))</f>
        <v>0</v>
      </c>
      <c r="CI136" s="16">
        <f>IF(ISNA(VLOOKUP(A136,'Données projet'!$A$113:$I$133,6,0)),0%,VLOOKUP(A136,'Données projet'!$A$113:$I$133,6,0)*VLOOKUP('Données projet'!$B$12,Paramètres!$A$1:$I$89,7,0))</f>
        <v>0</v>
      </c>
      <c r="CJ136" s="16">
        <f>IF(ISNA(VLOOKUP(A136,'Données projet'!$A$113:$I$133,7,0)),0%,VLOOKUP(A136,'Données projet'!$A$113:$I$133,7,0))</f>
        <v>0</v>
      </c>
      <c r="CK136" s="21">
        <f>EXP(-LN(2)/35)*CK135+(1-EXP(-LN(2)/35))/(LN(2)/35)*CG136*CH136*VLOOKUP('Données projet'!$B$12,Paramètres!$A$1:$I$89,3,0)*0.475*44/12</f>
        <v>0.31972833235891845</v>
      </c>
      <c r="CL136" s="21">
        <f>EXP(-LN(2)/25)*CL135+(1-EXP(-LN(2)/25))/(LN(2)/25)*Calculateur!CG136*Calculateur!CI136*VLOOKUP('Données projet'!$B$12,Paramètres!$A$1:$I$89,3,0)*0.475*44/12</f>
        <v>0.82647334332285594</v>
      </c>
      <c r="CM136" s="21">
        <f>EXP(-LN(2)/2)*CM135+(1-EXP(-LN(2)/2))/(LN(2)/2)*CG136*CJ136*VLOOKUP('Données projet'!$B$12,Paramètres!$A$1:$I$89,3,0)*0.475*44/12</f>
        <v>6.6718055673461116E-15</v>
      </c>
      <c r="CN136" s="22">
        <f t="shared" si="120"/>
        <v>1.146201675681781</v>
      </c>
      <c r="CO136" s="75">
        <f>('Scénario référence'!$F$8+'Scénario référence'!$F$9+'Scénario référence'!$B$17+'Scénario référence'!$B$9+'Scénario référence'!$B$10)*70+IF((45+25*(1-EXP(-0.0175*A136)))&lt;70,'Scénario référence'!$B$16*(45+25*(1-EXP(-0.0175*A136))),70*'Scénario référence'!$B$16)+IF((32+38*(1-EXP(-0.0175*A136)))&lt;70,'Scénario référence'!$B$18*(32+38*(1-EXP(-0.0175*A136))),70*'Scénario référence'!$B$18)</f>
        <v>70</v>
      </c>
      <c r="CP136" s="12">
        <f>IF(A136&gt;30,10,('Scénario référence'!$B$16+'Scénario référence'!$B$17+'Scénario référence'!$B$18+'Scénario référence'!$B$9+'Scénario référence'!$B$10)*A136*10/30+('Scénario référence'!$F$8+'Scénario référence'!$F$9)*10)</f>
        <v>10</v>
      </c>
      <c r="CQ136" s="12" t="e">
        <f>VLOOKUP(A136,'Données projet'!$A$139:$I$159,2,0)</f>
        <v>#N/A</v>
      </c>
      <c r="CR136" s="12" t="e">
        <f>VLOOKUP(A136,'Données projet'!$A$139:$I$159,9,0)</f>
        <v>#N/A</v>
      </c>
      <c r="CS136" s="12">
        <f t="array" ref="CS136">INDEX(CR:CR,MIN(IF(ISNUMBER(CR136:CR332),ROW(CR136:CR332),"")))</f>
        <v>0</v>
      </c>
      <c r="CT136" s="12">
        <f>IF('Données projet'!$A$140&gt;35,CT135+CS136-DB135,IF(A136&lt;'Données projet'!$A$140,$CQ$205^A136,IF(A136='Données projet'!$A$140,'Données projet'!$B$140,CT135+CS136-DB135)))</f>
        <v>0</v>
      </c>
      <c r="CU136" s="17" t="e">
        <f>CT136*VLOOKUP('Données projet'!$B$13,Paramètres!$A$1:$I$89,3,0)*VLOOKUP('Données projet'!$B$13,Paramètres!$A$1:$I$89,5,0)</f>
        <v>#N/A</v>
      </c>
      <c r="CV136" s="13" t="e">
        <f t="shared" si="149"/>
        <v>#N/A</v>
      </c>
      <c r="CW136" s="20" t="e">
        <f t="shared" si="121"/>
        <v>#N/A</v>
      </c>
      <c r="CX136" s="59" t="e">
        <f t="shared" si="122"/>
        <v>#N/A</v>
      </c>
      <c r="CY136" s="59" t="e">
        <f ca="1">AVERAGE(OFFSET($CX$3,0,0,'Données projet'!$E$13+1,1))-AVERAGE(OFFSET($H$3,0,0,'Données projet'!$E$13+1,1))</f>
        <v>#N/A</v>
      </c>
      <c r="CZ136" s="59" t="e">
        <f t="shared" si="150"/>
        <v>#N/A</v>
      </c>
      <c r="DA136" s="15">
        <f>IF(ISNA(VLOOKUP(A136,'Données projet'!$A$139:$I$159,3,0)),0,VLOOKUP(A136,'Données projet'!$A$139:$I$159,3,0))</f>
        <v>0</v>
      </c>
      <c r="DB136" s="15">
        <f>IF(ISNA(VLOOKUP(A136,'Données projet'!$A$139:$I$159,4,0)),0,VLOOKUP(A136,'Données projet'!$A$139:$I$159,4,0))</f>
        <v>0</v>
      </c>
      <c r="DC136" s="16">
        <f>IF(ISNA(VLOOKUP(A136,'Données projet'!$A$139:$I$159,5,0)),0%,VLOOKUP(A136,'Données projet'!$A$139:$I$159,5,0)*VLOOKUP('Données projet'!$B$13,Paramètres!$A$1:$I$89,7,0))</f>
        <v>0</v>
      </c>
      <c r="DD136" s="16">
        <f>IF(ISNA(VLOOKUP(A136,'Données projet'!$A$139:$I$159,6,0)),0%,VLOOKUP(A136,'Données projet'!$A$139:$I$159,6,0)*VLOOKUP('Données projet'!$B$13,Paramètres!$A$1:$I$89,7,0))</f>
        <v>0</v>
      </c>
      <c r="DE136" s="16">
        <f>IF(ISNA(VLOOKUP(A136,'Données projet'!$A$139:$I$159,7,0)),0%,VLOOKUP(A136,'Données projet'!$A$139:$I$159,7,0))</f>
        <v>0</v>
      </c>
      <c r="DF136" s="21" t="e">
        <f>EXP(-LN(2)/35)*DF135+(1-EXP(-LN(2)/35))/(LN(2)/35)*DB136*DC136*VLOOKUP('Données projet'!$B$13,Paramètres!$A$1:$I$89,3,0)*0.475*44/12</f>
        <v>#N/A</v>
      </c>
      <c r="DG136" s="21" t="e">
        <f>EXP(-LN(2)/25)*DG135+(1-EXP(-LN(2)/25))/(LN(2)/25)*Calculateur!DB136*Calculateur!DD136*VLOOKUP('Données projet'!$B$13,Paramètres!$A$1:$I$89,3,0)*0.475*44/12</f>
        <v>#N/A</v>
      </c>
      <c r="DH136" s="21" t="e">
        <f>EXP(-LN(2)/2)*DH135+(1-EXP(-LN(2)/2))/(LN(2)/2)*DB136*DE136*VLOOKUP('Données projet'!$B$13,Paramètres!$A$1:$I$89,3,0)*0.475*44/12</f>
        <v>#N/A</v>
      </c>
      <c r="DI136" s="22" t="e">
        <f t="shared" si="123"/>
        <v>#N/A</v>
      </c>
      <c r="DJ136" s="75">
        <f>('Scénario référence'!$F$8+'Scénario référence'!$F$9+'Scénario référence'!$B$17+'Scénario référence'!$B$9+'Scénario référence'!$B$10)*70+IF((45+25*(1-EXP(-0.0175*A136)))&lt;70,'Scénario référence'!$B$16*(45+25*(1-EXP(-0.0175*A136))),70*'Scénario référence'!$B$16)+IF((32+38*(1-EXP(-0.0175*A136)))&lt;70,'Scénario référence'!$B$18*(32+38*(1-EXP(-0.0175*A136))),70*'Scénario référence'!$B$18)</f>
        <v>70</v>
      </c>
      <c r="DK136" s="12">
        <f>IF(A136&gt;30,10,('Scénario référence'!$B$16+'Scénario référence'!$B$17+'Scénario référence'!$B$18+'Scénario référence'!$B$9+'Scénario référence'!$B$10)*A136*10/30+('Scénario référence'!$F$8+'Scénario référence'!$F$9)*10)</f>
        <v>10</v>
      </c>
      <c r="DL136" s="12" t="e">
        <f>VLOOKUP(A136,'Données projet'!$A$165:$I$185,2,0)</f>
        <v>#N/A</v>
      </c>
      <c r="DM136" s="12" t="e">
        <f>VLOOKUP(A136,'Données projet'!$A$165:$I$185,9,0)</f>
        <v>#N/A</v>
      </c>
      <c r="DN136" s="12">
        <f t="array" ref="DN136">INDEX(DM:DM,MIN(IF(ISNUMBER(DM136:DM332),ROW(DM136:DM332),"")))</f>
        <v>0</v>
      </c>
      <c r="DO136" s="12">
        <f>IF('Données projet'!$A$166&gt;35,DO135+DN136-DW135,IF(A136&lt;'Données projet'!$A$166,$DL$205^A136,IF(A136='Données projet'!$A$166,'Données projet'!$B$166,DO135+DN136-DW135)))</f>
        <v>268.00000000000017</v>
      </c>
      <c r="DP136" s="17">
        <f>DO136*VLOOKUP('Données projet'!$B$14,Paramètres!$A$1:$I$89,3,0)*VLOOKUP('Données projet'!$B$14,Paramètres!$A$1:$I$89,5,0)</f>
        <v>175.59360000000012</v>
      </c>
      <c r="DQ136" s="13">
        <f t="shared" si="151"/>
        <v>44.340433728638573</v>
      </c>
      <c r="DR136" s="20">
        <f t="shared" si="124"/>
        <v>383.05177541071242</v>
      </c>
      <c r="DS136" s="59">
        <f t="shared" si="125"/>
        <v>676.38510874404574</v>
      </c>
      <c r="DT136" s="59">
        <f ca="1">AVERAGE(OFFSET($DS$3,0,0,'Données projet'!$E$14+1,1))-AVERAGE(OFFSET($H$3,0,0,'Données projet'!$E$14+1,1))</f>
        <v>188.68915783955595</v>
      </c>
      <c r="DU136" s="59">
        <f t="shared" si="152"/>
        <v>240.82467772396944</v>
      </c>
      <c r="DV136" s="15">
        <f>IF(ISNA(VLOOKUP(A136,'Données projet'!$A$165:$I$185,3,0)),0,VLOOKUP(A136,'Données projet'!$A$165:$I$185,3,0))</f>
        <v>0</v>
      </c>
      <c r="DW136" s="15">
        <f>IF(ISNA(VLOOKUP(A136,'Données projet'!$A$165:$I$185,4,0)),0,VLOOKUP(A136,'Données projet'!$A$165:$I$185,4,0))</f>
        <v>0</v>
      </c>
      <c r="DX136" s="16">
        <f>IF(ISNA(VLOOKUP(A136,'Données projet'!$A$165:$I$185,5,0)),0%,VLOOKUP(A136,'Données projet'!$A$165:$I$185,5,0)*VLOOKUP('Données projet'!$B$14,Paramètres!$A$1:$I$89,7,0))</f>
        <v>0</v>
      </c>
      <c r="DY136" s="16">
        <f>IF(ISNA(VLOOKUP(A136,'Données projet'!$A$165:$I$185,6,0)),0%,VLOOKUP(A136,'Données projet'!$A$165:$I$185,6,0)*VLOOKUP('Données projet'!$B$14,Paramètres!$A$1:$I$89,7,0))</f>
        <v>0</v>
      </c>
      <c r="DZ136" s="16">
        <f>IF(ISNA(VLOOKUP(A136,'Données projet'!$A$165:$I$185,7,0)),0%,VLOOKUP(A136,'Données projet'!$A$165:$I$185,7,0))</f>
        <v>0</v>
      </c>
      <c r="EA136" s="21">
        <f>EXP(-LN(2)/35)*EA135+(1-EXP(-LN(2)/35))/(LN(2)/35)*DW136*DX136*VLOOKUP('Données projet'!$B$14,Paramètres!$A$1:$I$89,3,0)*0.475*44/12</f>
        <v>0.20252152365327106</v>
      </c>
      <c r="EB136" s="21">
        <f>EXP(-LN(2)/25)*EB135+(1-EXP(-LN(2)/25))/(LN(2)/25)*Calculateur!DW136*Calculateur!DY136*VLOOKUP('Données projet'!$B$14,Paramètres!$A$1:$I$89,3,0)*0.475*44/12</f>
        <v>0.46228095278407372</v>
      </c>
      <c r="EC136" s="21">
        <f>EXP(-LN(2)/2)*EC135+(1-EXP(-LN(2)/2))/(LN(2)/2)*DW136*DZ136*VLOOKUP('Données projet'!$B$14,Paramètres!$A$1:$I$89,3,0)*0.475*44/12</f>
        <v>4.395130925561022E-15</v>
      </c>
      <c r="ED136" s="22">
        <f t="shared" si="126"/>
        <v>0.66480247643734924</v>
      </c>
      <c r="EE136" s="75">
        <f>('Scénario référence'!$F$8+'Scénario référence'!$F$9+'Scénario référence'!$B$17+'Scénario référence'!$B$9+'Scénario référence'!$B$10)*70+IF((45+25*(1-EXP(-0.0175*A136)))&lt;70,'Scénario référence'!$B$16*(45+25*(1-EXP(-0.0175*A136))),70*'Scénario référence'!$B$16)+IF((32+38*(1-EXP(-0.0175*A136)))&lt;70,'Scénario référence'!$B$18*(32+38*(1-EXP(-0.0175*A136))),70*'Scénario référence'!$B$18)</f>
        <v>70</v>
      </c>
      <c r="EF136" s="12">
        <f>IF(A136&gt;30,10,('Scénario référence'!$B$16+'Scénario référence'!$B$17+'Scénario référence'!$B$18+'Scénario référence'!$B$9+'Scénario référence'!$B$10)*A136*10/30+('Scénario référence'!$F$8+'Scénario référence'!$F$9)*10)</f>
        <v>10</v>
      </c>
      <c r="EG136" s="12" t="e">
        <f>VLOOKUP(A136,'Données projet'!$A$191:$I$211,2,0)</f>
        <v>#N/A</v>
      </c>
      <c r="EH136" s="12" t="e">
        <f>VLOOKUP(A136,'Données projet'!$A$191:$I$211,9,0)</f>
        <v>#N/A</v>
      </c>
      <c r="EI136" s="12">
        <f t="array" ref="EI136">INDEX(EH:EH,MIN(IF(ISNUMBER(EH136:EH332),ROW(EH136:EH332),"")))</f>
        <v>0</v>
      </c>
      <c r="EJ136" s="12">
        <f>IF('Données projet'!$A$192&gt;35,EJ135+EI136-ER135,IF(A136&lt;'Données projet'!$A$192,$EG$205^A136,IF(A136='Données projet'!$A$192,'Données projet'!$B$192,EJ135+EI136-ER135)))</f>
        <v>275.99999999999972</v>
      </c>
      <c r="EK136" s="17">
        <f>EJ136*VLOOKUP('Données projet'!$B$15,Paramètres!$A$1:$I$89,3,0)*VLOOKUP('Données projet'!$B$15,Paramètres!$A$1:$I$89,5,0)</f>
        <v>223.8911999999998</v>
      </c>
      <c r="EL136" s="13">
        <f t="shared" si="153"/>
        <v>54.95975389514858</v>
      </c>
      <c r="EM136" s="20">
        <f t="shared" si="127"/>
        <v>485.66541136738346</v>
      </c>
      <c r="EN136" s="59">
        <f t="shared" si="128"/>
        <v>778.99874470071677</v>
      </c>
      <c r="EO136" s="59">
        <f ca="1">AVERAGE(OFFSET($EN$3,0,0,'Données projet'!$E$15+1,1))-AVERAGE(OFFSET($H$3,0,0,'Données projet'!$E$15+1,1))</f>
        <v>205.5272583787887</v>
      </c>
      <c r="EP136" s="59">
        <f t="shared" si="154"/>
        <v>180.54762778843178</v>
      </c>
      <c r="EQ136" s="15">
        <f>IF(ISNA(VLOOKUP(A136,'Données projet'!$A$191:$I$211,3,0)),0,VLOOKUP(A136,'Données projet'!$A$191:$I$211,3,0))</f>
        <v>0</v>
      </c>
      <c r="ER136" s="15">
        <f>IF(ISNA(VLOOKUP(A136,'Données projet'!$A$191:$I$211,4,0)),0,VLOOKUP(A136,'Données projet'!$A$191:$I$211,4,0))</f>
        <v>0</v>
      </c>
      <c r="ES136" s="16">
        <f>IF(ISNA(VLOOKUP(A136,'Données projet'!$A$191:$I$211,5,0)),0%,VLOOKUP(A136,'Données projet'!$A$191:$I$211,5,0)*VLOOKUP('Données projet'!$B$15,Paramètres!$A$1:$I$89,7,0))</f>
        <v>0</v>
      </c>
      <c r="ET136" s="16">
        <f>IF(ISNA(VLOOKUP(A136,'Données projet'!$A$191:$I$211,6,0)),0%,VLOOKUP(A136,'Données projet'!$A$191:$I$211,6,0)*VLOOKUP('Données projet'!$B$15,Paramètres!$A$1:$I$89,7,0))</f>
        <v>0</v>
      </c>
      <c r="EU136" s="16">
        <f>IF(ISNA(VLOOKUP(A136,'Données projet'!$A$191:$I$211,7,0)),0%,VLOOKUP(A136,'Données projet'!$A$191:$I$211,7,0))</f>
        <v>0</v>
      </c>
      <c r="EV136" s="21">
        <f>EXP(-LN(2)/35)*EV135+(1-EXP(-LN(2)/35))/(LN(2)/35)*ER136*ES136*VLOOKUP('Données projet'!$B$15,Paramètres!$A$1:$I$89,3,0)*0.475*44/12</f>
        <v>0.13038528570439173</v>
      </c>
      <c r="EW136" s="21">
        <f>EXP(-LN(2)/25)*EW135+(1-EXP(-LN(2)/25))/(LN(2)/25)*Calculateur!ER136*Calculateur!ET136*VLOOKUP('Données projet'!$B$15,Paramètres!$A$1:$I$89,3,0)*0.475*44/12</f>
        <v>0.33378087164884945</v>
      </c>
      <c r="EX136" s="21">
        <f>EXP(-LN(2)/2)*EX135+(1-EXP(-LN(2)/2))/(LN(2)/2)*ER136*EU136*VLOOKUP('Données projet'!$B$15,Paramètres!$A$1:$I$89,3,0)*0.475*44/12</f>
        <v>2.8458505241757466E-15</v>
      </c>
      <c r="EY136" s="22">
        <f t="shared" si="129"/>
        <v>0.46416615735324401</v>
      </c>
      <c r="EZ136" s="75">
        <f>('Scénario référence'!$F$8+'Scénario référence'!$F$9+'Scénario référence'!$B$17+'Scénario référence'!$B$9+'Scénario référence'!$B$10)*70+IF((45+25*(1-EXP(-0.0175*A136)))&lt;70,'Scénario référence'!$B$16*(45+25*(1-EXP(-0.0175*A136))),70*'Scénario référence'!$B$16)+IF((32+38*(1-EXP(-0.0175*A136)))&lt;70,'Scénario référence'!$B$18*(32+38*(1-EXP(-0.0175*A136))),70*'Scénario référence'!$B$18)</f>
        <v>70</v>
      </c>
      <c r="FA136" s="12">
        <f>IF(A136&gt;30,10,('Scénario référence'!$B$16+'Scénario référence'!$B$17+'Scénario référence'!$B$18+'Scénario référence'!$B$9+'Scénario référence'!$B$10)*A136*10/30+('Scénario référence'!$F$8+'Scénario référence'!$F$9)*10)</f>
        <v>10</v>
      </c>
      <c r="FB136" s="12" t="e">
        <f>VLOOKUP(A136,'Données projet'!$A$217:$I$237,2,0)</f>
        <v>#N/A</v>
      </c>
      <c r="FC136" s="12" t="e">
        <f>VLOOKUP(A136,'Données projet'!$A$217:$I$237,9,0)</f>
        <v>#N/A</v>
      </c>
      <c r="FD136" s="12">
        <f t="array" ref="FD136">INDEX(FC:FC,MIN(IF(ISNUMBER(FC136:FC332),ROW(FC136:FC332),"")))</f>
        <v>5.5</v>
      </c>
      <c r="FE136" s="12">
        <f>IF('Données projet'!$A$218&gt;35,FE135+FD136-FM135,IF(A136&lt;'Données projet'!$A$218,$FB$205^A136,IF(A136='Données projet'!$A$218,'Données projet'!$B$218,FE135+FD136-FM135)))</f>
        <v>419.49999999999994</v>
      </c>
      <c r="FF136" s="17">
        <f>FE136*VLOOKUP('Données projet'!$B$16,Paramètres!$A$1:$I$89,3,0)*VLOOKUP('Données projet'!$B$16,Paramètres!$A$1:$I$89,5,0)</f>
        <v>359.93099999999998</v>
      </c>
      <c r="FG136" s="13">
        <f t="shared" si="155"/>
        <v>83.604065499965756</v>
      </c>
      <c r="FH136" s="20">
        <f t="shared" si="130"/>
        <v>772.49023907910703</v>
      </c>
      <c r="FI136" s="59">
        <f t="shared" si="131"/>
        <v>1065.8235724124404</v>
      </c>
      <c r="FJ136" s="59">
        <f ca="1">AVERAGE(OFFSET($FI$3,0,0,'Données projet'!$E$16+1,1))-AVERAGE(OFFSET($H$3,0,0,'Données projet'!$E$16+1,1))</f>
        <v>383.97627237444709</v>
      </c>
      <c r="FK136" s="59">
        <f t="shared" si="156"/>
        <v>203.35476578922339</v>
      </c>
      <c r="FL136" s="15">
        <f>IF(ISNA(VLOOKUP(A136,'Données projet'!$A$217:$I$237,3,0)),0,VLOOKUP(A136,'Données projet'!$A$217:$I$237,3,0))</f>
        <v>0</v>
      </c>
      <c r="FM136" s="15">
        <f>IF(ISNA(VLOOKUP(A136,'Données projet'!$A$217:$I$237,4,0)),0,VLOOKUP(A136,'Données projet'!$A$217:$I$237,4,0))</f>
        <v>0</v>
      </c>
      <c r="FN136" s="16">
        <f>IF(ISNA(VLOOKUP(A136,'Données projet'!$A$217:$I$237,5,0)),0%,VLOOKUP(A136,'Données projet'!$A$217:$I$237,5,0)*VLOOKUP('Données projet'!$B$16,Paramètres!$A$1:$I$89,7,0))</f>
        <v>0</v>
      </c>
      <c r="FO136" s="16">
        <f>IF(ISNA(VLOOKUP(A136,'Données projet'!$A$217:$I$237,6,0)),0%,VLOOKUP(A136,'Données projet'!$A$217:$I$237,6,0)*VLOOKUP('Données projet'!$B$16,Paramètres!$A$1:$I$89,7,0))</f>
        <v>0</v>
      </c>
      <c r="FP136" s="16">
        <f>IF(ISNA(VLOOKUP(A136,'Données projet'!$A$217:$I$237,7,0)),0%,VLOOKUP(A136,'Données projet'!$A$217:$I$237,7,0))</f>
        <v>0</v>
      </c>
      <c r="FQ136" s="21">
        <f>EXP(-LN(2)/35)*FQ135+(1-EXP(-LN(2)/35))/(LN(2)/35)*FM136*FN136*VLOOKUP('Données projet'!$B$16,Paramètres!$A$1:$I$89,3,0)*0.475*44/12</f>
        <v>0.67010963176690919</v>
      </c>
      <c r="FR136" s="21">
        <f>EXP(-LN(2)/25)*FR135+(1-EXP(-LN(2)/25))/(LN(2)/25)*Calculateur!FM136*Calculateur!FO136*VLOOKUP('Données projet'!$B$16,Paramètres!$A$1:$I$89,3,0)*0.475*44/12</f>
        <v>0.33882208425540206</v>
      </c>
      <c r="FS136" s="21">
        <f>EXP(-LN(2)/2)*FS135+(1-EXP(-LN(2)/2))/(LN(2)/2)*FM136*FP136*VLOOKUP('Données projet'!$B$16,Paramètres!$A$1:$I$89,3,0)*0.475*44/12</f>
        <v>5.2272433598229791E-15</v>
      </c>
      <c r="FT136" s="22">
        <f t="shared" si="132"/>
        <v>1.0089317160223166</v>
      </c>
      <c r="FU136" s="75">
        <f>('Scénario référence'!$F$8+'Scénario référence'!$F$9+'Scénario référence'!$B$17+'Scénario référence'!$B$9+'Scénario référence'!$B$10)*70+IF((45+25*(1-EXP(-0.0175*A136)))&lt;70,'Scénario référence'!$B$16*(45+25*(1-EXP(-0.0175*A136))),70*'Scénario référence'!$B$16)+IF((32+38*(1-EXP(-0.0175*A136)))&lt;70,'Scénario référence'!$B$18*(32+38*(1-EXP(-0.0175*A136))),70*'Scénario référence'!$B$18)</f>
        <v>70</v>
      </c>
      <c r="FV136" s="12">
        <f>IF(A136&gt;30,10,('Scénario référence'!$B$16+'Scénario référence'!$B$17+'Scénario référence'!$B$18+'Scénario référence'!$B$9+'Scénario référence'!$B$10)*A136*10/30+('Scénario référence'!$F$8+'Scénario référence'!$F$9)*10)</f>
        <v>10</v>
      </c>
      <c r="FW136" s="12" t="e">
        <f>VLOOKUP(A136,'Données projet'!$A$243:$I$263,2,0)</f>
        <v>#N/A</v>
      </c>
      <c r="FX136" s="12" t="e">
        <f>VLOOKUP(A136,'Données projet'!$A$243:$I$263,9,0)</f>
        <v>#N/A</v>
      </c>
      <c r="FY136" s="12">
        <f t="array" ref="FY136">INDEX(FX:FX,MIN(IF(ISNUMBER(FX136:FX332),ROW(FX136:FX332),"")))</f>
        <v>0</v>
      </c>
      <c r="FZ136" s="12">
        <f>IF('Données projet'!$A$244&gt;35,FZ135+FY136-GH135,IF(A136&lt;'Données projet'!$A$244,$FW$205^A136,IF(A136='Données projet'!$A$244,'Données projet'!$B$244,FZ135+FY136-GH135)))</f>
        <v>4.5474735088646412E-13</v>
      </c>
      <c r="GA136" s="17">
        <f>FZ136*VLOOKUP('Données projet'!$B$17,Paramètres!$A$1:$I$89,3,0)*VLOOKUP('Données projet'!$B$17,Paramètres!$A$1:$I$89,5,0)</f>
        <v>4.8949004849418999E-13</v>
      </c>
      <c r="GB136" s="13">
        <f t="shared" si="157"/>
        <v>6.1123715499968684E-12</v>
      </c>
      <c r="GC136" s="20">
        <f t="shared" si="133"/>
        <v>1.1498242284038591E-11</v>
      </c>
      <c r="GD136" s="59">
        <f t="shared" si="134"/>
        <v>293.3333333333448</v>
      </c>
      <c r="GE136" s="59">
        <f ca="1">AVERAGE(OFFSET($GD$3,0,0,'Données projet'!$E$17+1,1))-AVERAGE(OFFSET($H$3,0,0,'Données projet'!$E$17+1,1))</f>
        <v>286.77702855541287</v>
      </c>
      <c r="GF136" s="59">
        <f t="shared" si="158"/>
        <v>227.12211541860779</v>
      </c>
      <c r="GG136" s="15">
        <f>IF(ISNA(VLOOKUP(A136,'Données projet'!$A$243:$I$263,3,0)),0,VLOOKUP(A136,'Données projet'!$A$243:$I$263,3,0))</f>
        <v>0</v>
      </c>
      <c r="GH136" s="15">
        <f>IF(ISNA(VLOOKUP(A136,'Données projet'!$A$243:$I$263,4,0)),0,VLOOKUP(A136,'Données projet'!$A$243:$I$263,4,0))</f>
        <v>0</v>
      </c>
      <c r="GI136" s="16">
        <f>IF(ISNA(VLOOKUP(A136,'Données projet'!$A$243:$I$263,5,0)),0%,VLOOKUP(A136,'Données projet'!$A$243:$I$263,5,0)*VLOOKUP('Données projet'!$B$17,Paramètres!$A$1:$I$89,7,0))</f>
        <v>0</v>
      </c>
      <c r="GJ136" s="16">
        <f>IF(ISNA(VLOOKUP(A136,'Données projet'!$A$243:$I$263,6,0)),0%,VLOOKUP(A136,'Données projet'!$A$243:$I$263,6,0)*VLOOKUP('Données projet'!$B$17,Paramètres!$A$1:$I$89,7,0))</f>
        <v>0</v>
      </c>
      <c r="GK136" s="16">
        <f>IF(ISNA(VLOOKUP(A136,'Données projet'!$A$243:$I$263,7,0)),0%,VLOOKUP(A136,'Données projet'!$A$243:$I$263,7,0))</f>
        <v>0</v>
      </c>
      <c r="GL136" s="21">
        <f>EXP(-LN(2)/35)*GL135+(1-EXP(-LN(2)/35))/(LN(2)/35)*GH136*GI136*VLOOKUP('Données projet'!$B$17,Paramètres!$A$1:$I$89,3,0)*0.475*44/12</f>
        <v>0</v>
      </c>
      <c r="GM136" s="21">
        <f>EXP(-LN(2)/25)*GM135+(1-EXP(-LN(2)/25))/(LN(2)/25)*Calculateur!GH136*Calculateur!GJ136*VLOOKUP('Données projet'!$B$17,Paramètres!$A$1:$I$89,3,0)*0.475*44/12</f>
        <v>0</v>
      </c>
      <c r="GN136" s="21">
        <f>EXP(-LN(2)/2)*GN135+(1-EXP(-LN(2)/2))/(LN(2)/2)*GH136*GK136*VLOOKUP('Données projet'!$B$17,Paramètres!$A$1:$I$89,3,0)*0.475*44/12</f>
        <v>0</v>
      </c>
      <c r="GO136" s="21">
        <f t="shared" si="135"/>
        <v>0</v>
      </c>
      <c r="GP136" s="75">
        <f>('Scénario référence'!$F$8+'Scénario référence'!$F$9+'Scénario référence'!$B$17+'Scénario référence'!$B$9+'Scénario référence'!$B$10)*70+IF((45+25*(1-EXP(-0.0175*A136)))&lt;70,'Scénario référence'!$B$16*(45+25*(1-EXP(-0.0175*A136))),70*'Scénario référence'!$B$16)+IF((32+38*(1-EXP(-0.0175*A136)))&lt;70,'Scénario référence'!$B$18*(32+38*(1-EXP(-0.0175*A136))),70*'Scénario référence'!$B$18)</f>
        <v>70</v>
      </c>
      <c r="GQ136" s="12">
        <f>IF(A136&gt;30,10,('Scénario référence'!$B$16+'Scénario référence'!$B$17+'Scénario référence'!$B$18+'Scénario référence'!$B$9+'Scénario référence'!$B$10)*A136*10/30+('Scénario référence'!$F$8+'Scénario référence'!$F$9)*10)</f>
        <v>10</v>
      </c>
      <c r="GR136" s="12" t="e">
        <f>VLOOKUP(A136,'Données projet'!$A$269:$I$289,2,0)</f>
        <v>#N/A</v>
      </c>
      <c r="GS136" s="12" t="e">
        <f>VLOOKUP(A136,'Données projet'!$A$269:$I$289,9,0)</f>
        <v>#N/A</v>
      </c>
      <c r="GT136" s="12">
        <f t="array" ref="GT136">INDEX(GS:GS,MIN(IF(ISNUMBER(GS136:GS332),ROW(GS136:GS332),"")))</f>
        <v>0</v>
      </c>
      <c r="GU136" s="12">
        <f>IF('Données projet'!$A$270&gt;35,GU135+GT136-HC135,IF(A136&lt;'Données projet'!$A$270,$GR$205^A136,IF(A136='Données projet'!$A$270,'Données projet'!$B$270,GU135+GT136-HC135)))</f>
        <v>4.5474735088646412E-13</v>
      </c>
      <c r="GV136" s="17">
        <f>GU136*VLOOKUP('Données projet'!$B$18,Paramètres!$A$1:$I$89,3,0)*VLOOKUP('Données projet'!$B$18,Paramètres!$A$1:$I$89,5,0)</f>
        <v>4.8949004849418999E-13</v>
      </c>
      <c r="GW136" s="13">
        <f t="shared" si="159"/>
        <v>6.1123715499968684E-12</v>
      </c>
      <c r="GX136" s="20">
        <f t="shared" si="136"/>
        <v>1.1498242284038591E-11</v>
      </c>
      <c r="GY136" s="59">
        <f t="shared" si="137"/>
        <v>293.3333333333448</v>
      </c>
      <c r="GZ136" s="59">
        <f ca="1">AVERAGE(OFFSET($GY$3,0,0,'Données projet'!$E$18+1,1))-AVERAGE(OFFSET($H$3,0,0,'Données projet'!$E$18+1,1))</f>
        <v>286.77702855541287</v>
      </c>
      <c r="HA136" s="59">
        <f t="shared" si="160"/>
        <v>227.12211541860779</v>
      </c>
      <c r="HB136" s="15">
        <f>IF(ISNA(VLOOKUP(A136,'Données projet'!$A$269:$I$289,3,0)),0,VLOOKUP(A136,'Données projet'!$A$269:$I$289,3,0))</f>
        <v>0</v>
      </c>
      <c r="HC136" s="15">
        <f>IF(ISNA(VLOOKUP(A136,'Données projet'!$A$269:$I$289,4,0)),0,VLOOKUP(A136,'Données projet'!$A$269:$I$289,4,0))</f>
        <v>0</v>
      </c>
      <c r="HD136" s="16">
        <f>IF(ISNA(VLOOKUP(A136,'Données projet'!$A$269:$I$289,5,0)),0%,VLOOKUP(A136,'Données projet'!$A$269:$I$289,5,0)*VLOOKUP('Données projet'!$B$18,Paramètres!$A$1:$I$89,7,0))</f>
        <v>0</v>
      </c>
      <c r="HE136" s="16">
        <f>IF(ISNA(VLOOKUP(A136,'Données projet'!$A$269:$I$289,6,0)),0%,VLOOKUP(A136,'Données projet'!$A$269:$I$289,6,0)*VLOOKUP('Données projet'!$B$18,Paramètres!$A$1:$I$89,7,0))</f>
        <v>0</v>
      </c>
      <c r="HF136" s="16">
        <f>IF(ISNA(VLOOKUP(A136,'Données projet'!$A$269:$I$289,7,0)),0%,VLOOKUP(A136,'Données projet'!$A$269:$I$289,7,0))</f>
        <v>0</v>
      </c>
      <c r="HG136" s="21">
        <f>EXP(-LN(2)/35)*HG135+(1-EXP(-LN(2)/35))/(LN(2)/35)*HC136*HD136*VLOOKUP('Données projet'!$B$18,Paramètres!$A$1:$I$89,3,0)*0.475*44/12</f>
        <v>0</v>
      </c>
      <c r="HH136" s="21">
        <f>EXP(-LN(2)/25)*HH135+(1-EXP(-LN(2)/25))/(LN(2)/25)*Calculateur!HC136*Calculateur!HE136*VLOOKUP('Données projet'!$B$18,Paramètres!$A$1:$I$89,3,0)*0.475*44/12</f>
        <v>0</v>
      </c>
      <c r="HI136" s="21">
        <f>EXP(-LN(2)/2)*HI135+(1-EXP(-LN(2)/2))/(LN(2)/2)*HC136*HF136*VLOOKUP('Données projet'!$B$18,Paramètres!$A$1:$I$89,3,0)*0.475*44/12</f>
        <v>0</v>
      </c>
      <c r="HJ136" s="22">
        <f t="shared" si="138"/>
        <v>0</v>
      </c>
    </row>
    <row r="137" spans="1:218" x14ac:dyDescent="0.25">
      <c r="A137" s="10">
        <f t="shared" si="139"/>
        <v>134</v>
      </c>
      <c r="B137" s="73">
        <f>'Scénario référence'!$B$16*5+'Scénario référence'!$B$17*0+'Scénario référence'!$B$18*5</f>
        <v>0</v>
      </c>
      <c r="C137" s="19">
        <f>Calculateur!C136+'Scénario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119.15280000000023</v>
      </c>
      <c r="D137" s="11">
        <f t="shared" si="140"/>
        <v>31.477322402212781</v>
      </c>
      <c r="E13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37" s="11">
        <f>IF(OR('Scénario référence'!$F$8&gt;0,'Scénario référence'!$F$9&gt;0),('Scénario référence'!$F$8+'Scénario référence'!$F$9)*10,0)</f>
        <v>10</v>
      </c>
      <c r="G137" s="11">
        <f>'Scénario référence'!$B$8*B137*44/12+'Scénario référence'!$B$9*(C137+D137)/0.475*44/12+'Scénario référence'!$B$10*(C137+D137)/0.475*44/12+'Scénario référence'!$F$8*(C137+D137)/0.475*44/12+'Scénario référence'!$F$9*(C137+D137)/0.475*44/12</f>
        <v>1162.7588395960302</v>
      </c>
      <c r="H137" s="67">
        <f t="shared" si="110"/>
        <v>555.68079651718767</v>
      </c>
      <c r="I137" s="70">
        <f>('Scénario référence'!$F$8+'Scénario référence'!$F$9+'Scénario référence'!$B$17+'Scénario référence'!$B$9+'Scénario référence'!$B$10)*70+IF((45+25*(1-EXP(-0.0175*A137)))&lt;70,'Scénario référence'!$B$16*(45+25*(1-EXP(-0.0175*A137))),70*'Scénario référence'!$B$16)+IF((32+38*(1-EXP(-0.0175*A137)))&lt;70,'Scénario référence'!$B$18*(32+38*(1-EXP(-0.0175*A137))),70*'Scénario référence'!$B$18)</f>
        <v>70</v>
      </c>
      <c r="J137" s="13">
        <f>IF(A137&gt;30,10,('Scénario référence'!$B$16+'Scénario référence'!$B$17+'Scénario référence'!$B$18+'Scénario référence'!$B$9+'Scénario référence'!$B$10)*A137*10/30+('Scénario référence'!$F$8+'Scénario référence'!$F$9)*10)</f>
        <v>10</v>
      </c>
      <c r="K137" s="12" t="e">
        <f>VLOOKUP(A137,'Données projet'!$A$35:$I$55,2,0)</f>
        <v>#N/A</v>
      </c>
      <c r="L137" s="12" t="e">
        <f>VLOOKUP(A137,'Données projet'!$A$35:$I$55,9,0)</f>
        <v>#N/A</v>
      </c>
      <c r="M137" s="12">
        <f t="array" ref="M137">INDEX(L:L,MIN(IF(ISNUMBER(L137:L333),ROW(L137:L333),"")))</f>
        <v>0</v>
      </c>
      <c r="N137" s="13">
        <f>IF('Données projet'!$A$36&gt;35,N136+M137-V136,IF(A137&lt;'Données projet'!$A$36,$K$205^A137,IF(A137='Données projet'!$A$36,'Données projet'!$B$36,N136+M137-V136)))</f>
        <v>-2.2737367544323206E-13</v>
      </c>
      <c r="O137" s="13">
        <f>N137*VLOOKUP('Données projet'!$B$9,Paramètres!$A$1:$I$89,3,0)*VLOOKUP('Données projet'!$B$9,Paramètres!$A$1:$I$89,5,0)</f>
        <v>-1.2710188457276673E-13</v>
      </c>
      <c r="P137" s="13" t="e">
        <f t="shared" si="141"/>
        <v>#NUM!</v>
      </c>
      <c r="Q137" s="20" t="e">
        <f t="shared" si="108"/>
        <v>#NUM!</v>
      </c>
      <c r="R137" s="59" t="e">
        <f t="shared" si="109"/>
        <v>#NUM!</v>
      </c>
      <c r="S137" s="59">
        <f ca="1">AVERAGE(OFFSET($R$3,0,0,'Données projet'!$E$9+1,1))-AVERAGE(OFFSET($H$3,0,0,'Données projet'!$E$9+1,1))</f>
        <v>255.5374979188561</v>
      </c>
      <c r="T137" s="59">
        <f t="shared" si="142"/>
        <v>343.10418468620901</v>
      </c>
      <c r="U137" s="15">
        <f>IF(ISNA(VLOOKUP(A137,'Données projet'!$A$35:$I$55,3,0)),0,VLOOKUP(A137,'Données projet'!$A$35:$I$55,3,0))</f>
        <v>0</v>
      </c>
      <c r="V137" s="15">
        <f>IF(ISNA(VLOOKUP(A137,'Données projet'!$A$35:$I$55,4,0)),0,VLOOKUP(A137,'Données projet'!$A$35:$I$55,4,0))</f>
        <v>0</v>
      </c>
      <c r="W137" s="16">
        <f>IF(ISNA(VLOOKUP(A137,'Données projet'!$A$35:$I$55,5,0)),0%,VLOOKUP(A137,'Données projet'!$A$35:$I$55,5,0)*VLOOKUP('Données projet'!$B$9,Paramètres!$A$1:$I$89,7,0))</f>
        <v>0</v>
      </c>
      <c r="X137" s="16">
        <f>IF(ISNA(VLOOKUP(A137,'Données projet'!$A$35:$I$55,6,0)),0%,VLOOKUP(A137,'Données projet'!$A$35:$I$55,6,0)*VLOOKUP('Données projet'!$B$9,Paramètres!$A$1:$I$89,7,0))</f>
        <v>0</v>
      </c>
      <c r="Y137" s="16">
        <f>IF(ISNA(VLOOKUP(A137,'Données projet'!$A$35:$I$55,7,0)),0%,VLOOKUP(A137,'Données projet'!$A$35:$I$55,7,0))</f>
        <v>0</v>
      </c>
      <c r="Z137" s="21">
        <f>EXP(-LN(2)/35)*Z136+(1-EXP(-LN(2)/35))/(LN(2)/35)*V137*W137*VLOOKUP('Données projet'!$B$9,Paramètres!$A$1:$I$89,3,0)*0.475*44/12</f>
        <v>0.39398082958284214</v>
      </c>
      <c r="AA137" s="21">
        <f>EXP(-LN(2)/25)*AA136+(1-EXP(-LN(2)/25))/(LN(2)/25)*Calculateur!V137*Calculateur!X137*VLOOKUP('Données projet'!$B$9,Paramètres!$A$1:$I$89,3,0)*0.475*44/12</f>
        <v>0.89280200375606067</v>
      </c>
      <c r="AB137" s="21">
        <f>EXP(-LN(2)/2)*AB136+(1-EXP(-LN(2)/2))/(LN(2)/2)*V137*Y137*VLOOKUP('Données projet'!$B$9,Paramètres!$A$1:$I$89,3,0)*0.475*44/12</f>
        <v>3.758442622579108E-16</v>
      </c>
      <c r="AC137" s="22">
        <f t="shared" si="111"/>
        <v>1.2867828333389033</v>
      </c>
      <c r="AD137" s="13">
        <f>('Scénario référence'!$F$8+'Scénario référence'!$F$9+'Scénario référence'!$B$17+'Scénario référence'!$B$9+'Scénario référence'!$B$10)*70+IF((45+25*(1-EXP(-0.0175*A137)))&lt;70,'Scénario référence'!$B$16*(45+25*(1-EXP(-0.0175*A137))),70*'Scénario référence'!$B$16)+IF((32+38*(1-EXP(-0.0175*A137)))&lt;70,'Scénario référence'!$B$18*(32+38*(1-EXP(-0.0175*A137))),70*'Scénario référence'!$B$18)</f>
        <v>70</v>
      </c>
      <c r="AE137" s="13">
        <f>IF(A137&gt;30,10,('Scénario référence'!$B$16+'Scénario référence'!$B$17+'Scénario référence'!$B$18+'Scénario référence'!$B$9+'Scénario référence'!$B$10)*A137*10/30+('Scénario référence'!$F$8+'Scénario référence'!$F$9)*10)</f>
        <v>10</v>
      </c>
      <c r="AF137" s="12" t="e">
        <f>VLOOKUP(A137,'Données projet'!$A$61:$I$81,2,0)</f>
        <v>#N/A</v>
      </c>
      <c r="AG137" s="12" t="e">
        <f>VLOOKUP(A137,'Données projet'!$A$61:$I$81,9,0)</f>
        <v>#N/A</v>
      </c>
      <c r="AH137" s="12">
        <f t="array" ref="AH137">INDEX(AG:AG,MIN(IF(ISNUMBER(AG137:AG333),ROW(AG137:AG333),"")))</f>
        <v>0</v>
      </c>
      <c r="AI137" s="13">
        <f>IF('Données projet'!$A$62&gt;35,AI136+AH137-AQ136,IF(A137&lt;'Données projet'!$A$62,$AF$205^A137,IF(A137='Données projet'!$A$62,'Données projet'!$B$62,AI136+AH137-AQ136)))</f>
        <v>0</v>
      </c>
      <c r="AJ137" s="13">
        <f>AI137*VLOOKUP('Données projet'!$B$10,Paramètres!$A$1:$I$89,3,0)*VLOOKUP('Données projet'!$B$10,Paramètres!$A$1:$I$89,5,0)</f>
        <v>0</v>
      </c>
      <c r="AK137" s="13" t="e">
        <f t="shared" si="143"/>
        <v>#NUM!</v>
      </c>
      <c r="AL137" s="20" t="e">
        <f t="shared" si="112"/>
        <v>#NUM!</v>
      </c>
      <c r="AM137" s="59" t="e">
        <f t="shared" si="113"/>
        <v>#NUM!</v>
      </c>
      <c r="AN137" s="59">
        <f ca="1">AVERAGE(OFFSET($AM$3,0,0,'Données projet'!$E$10+1,1))-AVERAGE(OFFSET($H$3,0,0,'Données projet'!$E$10+1,1))</f>
        <v>261.78489480911571</v>
      </c>
      <c r="AO137" s="59">
        <f t="shared" si="144"/>
        <v>297.50513563712764</v>
      </c>
      <c r="AP137" s="15">
        <f>IF(ISNA(VLOOKUP(A137,'Données projet'!$A$61:$I$81,3,0)),0,VLOOKUP(A137,'Données projet'!$A$61:$I$81,3,0))</f>
        <v>0</v>
      </c>
      <c r="AQ137" s="15">
        <f>IF(ISNA(VLOOKUP(A137,'Données projet'!$A$61:$I$81,4,0)),0,VLOOKUP(A137,'Données projet'!$A$61:$I$81,4,0))</f>
        <v>0</v>
      </c>
      <c r="AR137" s="16">
        <f>IF(ISNA(VLOOKUP(A137,'Données projet'!$A$61:$I$81,5,0)),0%,VLOOKUP(A137,'Données projet'!$A$61:$I$81,5,0)*VLOOKUP('Données projet'!$B$10,Paramètres!$A$1:$I$89,7,0))</f>
        <v>0</v>
      </c>
      <c r="AS137" s="16">
        <f>IF(ISNA(VLOOKUP(A137,'Données projet'!$A$61:$I$81,6,0)),0%,VLOOKUP(A137,'Données projet'!$A$61:$I$81,6,0)*VLOOKUP('Données projet'!$B$10,Paramètres!$A$1:$I$89,7,0))</f>
        <v>0</v>
      </c>
      <c r="AT137" s="16">
        <f>IF(ISNA(VLOOKUP(A137,'Données projet'!$A$61:$I$81,7,0)),0%,VLOOKUP(A137,'Données projet'!$A$61:$I$81,7,0))</f>
        <v>0</v>
      </c>
      <c r="AU137" s="21">
        <f>EXP(-LN(2)/35)*AU136+(1-EXP(-LN(2)/35))/(LN(2)/35)*AQ137*AR137*VLOOKUP('Données projet'!$B$10,Paramètres!$A$1:$I$89,3,0)*0.475*44/12</f>
        <v>1.063859676816828</v>
      </c>
      <c r="AV137" s="21">
        <f>EXP(-LN(2)/25)*AV136+(1-EXP(-LN(2)/25))/(LN(2)/25)*Calculateur!AQ137*Calculateur!AS137*VLOOKUP('Données projet'!$B$10,Paramètres!$A$1:$I$89,3,0)*0.475*44/12</f>
        <v>1.5590143952356343</v>
      </c>
      <c r="AW137" s="21">
        <f>EXP(-LN(2)/2)*AW136+(1-EXP(-LN(2)/2))/(LN(2)/2)*AQ137*AT137*VLOOKUP('Données projet'!$B$10,Paramètres!$A$1:$I$89,3,0)*0.475*44/12</f>
        <v>5.4181528456957739E-15</v>
      </c>
      <c r="AX137" s="21">
        <f t="shared" si="114"/>
        <v>2.6228740720524675</v>
      </c>
      <c r="AY137" s="74">
        <f>('Scénario référence'!$F$8+'Scénario référence'!$F$9+'Scénario référence'!$B$17+'Scénario référence'!$B$9+'Scénario référence'!$B$10)*70+IF((45+25*(1-EXP(-0.0175*A137)))&lt;70,'Scénario référence'!$B$16*(45+25*(1-EXP(-0.0175*A137))),70*'Scénario référence'!$B$16)+IF((32+38*(1-EXP(-0.0175*A137)))&lt;70,'Scénario référence'!$B$18*(32+38*(1-EXP(-0.0175*A137))),70*'Scénario référence'!$B$18)</f>
        <v>70</v>
      </c>
      <c r="AZ137" s="12">
        <f>IF(A137&gt;30,10,('Scénario référence'!$B$16+'Scénario référence'!$B$17+'Scénario référence'!$B$18+'Scénario référence'!$B$9+'Scénario référence'!$B$10)*A137*10/30+('Scénario référence'!$F$8+'Scénario référence'!$F$9)*10)</f>
        <v>10</v>
      </c>
      <c r="BA137" s="12" t="e">
        <f>VLOOKUP(A137,'Données projet'!$A$87:$I$107,2,0)</f>
        <v>#N/A</v>
      </c>
      <c r="BB137" s="12" t="e">
        <f>VLOOKUP(A137,'Données projet'!$A$87:$I$107,9,0)</f>
        <v>#N/A</v>
      </c>
      <c r="BC137" s="12">
        <f t="array" ref="BC137">INDEX(BB:BB,MIN(IF(ISNUMBER(BB137:BB333),ROW(BB137:BB333),"")))</f>
        <v>0</v>
      </c>
      <c r="BD137" s="12">
        <f>IF('Données projet'!$A$88&gt;35,BD136+BC137-BL136,IF(A137&lt;'Données projet'!$A$88,$BA$205^A137,IF(A137='Données projet'!$A$88,'Données projet'!$B$88,BD136+BC137-BL136)))</f>
        <v>553.99999999999955</v>
      </c>
      <c r="BE137" s="13">
        <f>BD137*VLOOKUP('Données projet'!$B$11,Paramètres!$A$1:$I$89,3,0)*VLOOKUP('Données projet'!$B$11,Paramètres!$A$1:$I$89,5,0)</f>
        <v>331.29199999999975</v>
      </c>
      <c r="BF137" s="13">
        <f t="shared" si="145"/>
        <v>77.698110787752</v>
      </c>
      <c r="BG137" s="20">
        <f t="shared" si="115"/>
        <v>712.32444295533423</v>
      </c>
      <c r="BH137" s="59">
        <f t="shared" si="116"/>
        <v>1005.6577762886675</v>
      </c>
      <c r="BI137" s="59">
        <f ca="1">AVERAGE(OFFSET($BH$3,0,0,'Données projet'!$E$11+1,1))-AVERAGE(OFFSET($H$3,0,0,'Données projet'!$E$11+1,1))</f>
        <v>316.58509520829671</v>
      </c>
      <c r="BJ137" s="59">
        <f t="shared" si="146"/>
        <v>240.71332110643596</v>
      </c>
      <c r="BK137" s="15">
        <f>IF(ISNA(VLOOKUP(A137,'Données projet'!$A$87:$I$107,3,0)),0,VLOOKUP(A137,'Données projet'!$A$87:$I$107,3,0))</f>
        <v>0</v>
      </c>
      <c r="BL137" s="15">
        <f>IF(ISNA(VLOOKUP(A137,'Données projet'!$A$87:$I$107,4,0)),0,VLOOKUP(A137,'Données projet'!$A$87:$I$107,4,0))</f>
        <v>0</v>
      </c>
      <c r="BM137" s="16">
        <f>IF(ISNA(VLOOKUP(A137,'Données projet'!$A$87:$I$107,5,0)),0%,VLOOKUP(A137,'Données projet'!$A$87:$I$107,5,0)*VLOOKUP('Données projet'!$B$11,Paramètres!$A$1:$I$89,7,0))</f>
        <v>0</v>
      </c>
      <c r="BN137" s="16">
        <f>IF(ISNA(VLOOKUP(A137,'Données projet'!$A$87:$I$107,6,0)),0%,VLOOKUP(A137,'Données projet'!$A$87:$I$107,6,0)*VLOOKUP('Données projet'!$B$11,Paramètres!$A$1:$I$89,7,0))</f>
        <v>0</v>
      </c>
      <c r="BO137" s="16">
        <f>IF(ISNA(VLOOKUP(A137,'Données projet'!$A$87:$I$107,7,0)),0%,VLOOKUP(A137,'Données projet'!$A$87:$I$107,7,0))</f>
        <v>0</v>
      </c>
      <c r="BP137" s="21">
        <f>EXP(-LN(2)/35)*BP136+(1-EXP(-LN(2)/35))/(LN(2)/35)*BL137*BM137*VLOOKUP('Données projet'!$B$11,Paramètres!$A$1:$I$89,3,0)*0.475*44/12</f>
        <v>0.32315529245570707</v>
      </c>
      <c r="BQ137" s="21">
        <f>EXP(-LN(2)/25)*BQ136+(1-EXP(-LN(2)/25))/(LN(2)/25)*Calculateur!BL137*Calculateur!BN137*VLOOKUP('Données projet'!$B$11,Paramètres!$A$1:$I$89,3,0)*0.475*44/12</f>
        <v>0.85407357475150703</v>
      </c>
      <c r="BR137" s="21">
        <f>EXP(-LN(2)/2)*BR136+(1-EXP(-LN(2)/2))/(LN(2)/2)*BL137*BO137*VLOOKUP('Données projet'!$B$11,Paramètres!$A$1:$I$89,3,0)*0.475*44/12</f>
        <v>4.8715127643241667E-15</v>
      </c>
      <c r="BS137" s="22">
        <f t="shared" si="117"/>
        <v>1.1772288672072189</v>
      </c>
      <c r="BT137" s="75">
        <f>('Scénario référence'!$F$8+'Scénario référence'!$F$9+'Scénario référence'!$B$17+'Scénario référence'!$B$9+'Scénario référence'!$B$10)*70+IF((45+25*(1-EXP(-0.0175*A137)))&lt;70,'Scénario référence'!$B$16*(45+25*(1-EXP(-0.0175*A137))),70*'Scénario référence'!$B$16)+IF((32+38*(1-EXP(-0.0175*A137)))&lt;70,'Scénario référence'!$B$18*(32+38*(1-EXP(-0.0175*A137))),70*'Scénario référence'!$B$18)</f>
        <v>70</v>
      </c>
      <c r="BU137" s="12">
        <f>IF(A137&gt;30,10,('Scénario référence'!$B$16+'Scénario référence'!$B$17+'Scénario référence'!$B$18+'Scénario référence'!$B$9+'Scénario référence'!$B$10)*A137*10/30+('Scénario référence'!$F$8+'Scénario référence'!$F$9)*10)</f>
        <v>10</v>
      </c>
      <c r="BV137" s="12" t="e">
        <f>VLOOKUP(A137,'Données projet'!$A$113:$I$133,2,0)</f>
        <v>#N/A</v>
      </c>
      <c r="BW137" s="12" t="e">
        <f>VLOOKUP(A137,'Données projet'!$A$113:$I$133,9,0)</f>
        <v>#N/A</v>
      </c>
      <c r="BX137" s="12">
        <f t="array" ref="BX137">INDEX(BW:BW,MIN(IF(ISNUMBER(BW137:BW333),ROW(BW137:BW333),"")))</f>
        <v>0</v>
      </c>
      <c r="BY137" s="12">
        <f>IF('Données projet'!$A$114&gt;35,BY136+BX137-CG136,IF(A137&lt;'Données projet'!$A$114,$BV$205^A137,IF(A137='Données projet'!$A$114,'Données projet'!$B$114,BY136+BX137-CG136)))</f>
        <v>333.99999999999977</v>
      </c>
      <c r="BZ137" s="13">
        <f>BY137*VLOOKUP('Données projet'!$B$12,Paramètres!$A$1:$I$89,3,0)*VLOOKUP('Données projet'!$B$12,Paramètres!$A$1:$I$89,5,0)</f>
        <v>191.04799999999986</v>
      </c>
      <c r="CA137" s="13">
        <f t="shared" si="147"/>
        <v>47.771576544305155</v>
      </c>
      <c r="CB137" s="20">
        <f t="shared" si="118"/>
        <v>415.94409581466454</v>
      </c>
      <c r="CC137" s="59">
        <f t="shared" si="119"/>
        <v>709.27742914799785</v>
      </c>
      <c r="CD137" s="59">
        <f ca="1">AVERAGE(OFFSET($CC$3,0,0,'Données projet'!$E$12+1,1))-AVERAGE(OFFSET($H$3,0,0,'Données projet'!$E$12+1,1))</f>
        <v>188.64374818906128</v>
      </c>
      <c r="CE137" s="59">
        <f t="shared" si="148"/>
        <v>211.95157880548652</v>
      </c>
      <c r="CF137" s="15">
        <f>IF(ISNA(VLOOKUP(A137,'Données projet'!$A$113:$I$133,3,0)),0,VLOOKUP(A137,'Données projet'!$A$113:$I$133,3,0))</f>
        <v>0</v>
      </c>
      <c r="CG137" s="15">
        <f>IF(ISNA(VLOOKUP(A137,'Données projet'!$A$113:$I$133,4,0)),0,VLOOKUP(A137,'Données projet'!$A$113:$I$133,4,0))</f>
        <v>0</v>
      </c>
      <c r="CH137" s="16">
        <f>IF(ISNA(VLOOKUP(A137,'Données projet'!$A$113:$I$133,5,0)),0%,VLOOKUP(A137,'Données projet'!$A$113:$I$133,5,0)*VLOOKUP('Données projet'!$B$12,Paramètres!$A$1:$I$89,7,0))</f>
        <v>0</v>
      </c>
      <c r="CI137" s="16">
        <f>IF(ISNA(VLOOKUP(A137,'Données projet'!$A$113:$I$133,6,0)),0%,VLOOKUP(A137,'Données projet'!$A$113:$I$133,6,0)*VLOOKUP('Données projet'!$B$12,Paramètres!$A$1:$I$89,7,0))</f>
        <v>0</v>
      </c>
      <c r="CJ137" s="16">
        <f>IF(ISNA(VLOOKUP(A137,'Données projet'!$A$113:$I$133,7,0)),0%,VLOOKUP(A137,'Données projet'!$A$113:$I$133,7,0))</f>
        <v>0</v>
      </c>
      <c r="CK137" s="21">
        <f>EXP(-LN(2)/35)*CK136+(1-EXP(-LN(2)/35))/(LN(2)/35)*CG137*CH137*VLOOKUP('Données projet'!$B$12,Paramètres!$A$1:$I$89,3,0)*0.475*44/12</f>
        <v>0.31345865477638668</v>
      </c>
      <c r="CL137" s="21">
        <f>EXP(-LN(2)/25)*CL136+(1-EXP(-LN(2)/25))/(LN(2)/25)*Calculateur!CG137*Calculateur!CI137*VLOOKUP('Données projet'!$B$12,Paramètres!$A$1:$I$89,3,0)*0.475*44/12</f>
        <v>0.80387338628734828</v>
      </c>
      <c r="CM137" s="21">
        <f>EXP(-LN(2)/2)*CM136+(1-EXP(-LN(2)/2))/(LN(2)/2)*CG137*CJ137*VLOOKUP('Données projet'!$B$12,Paramètres!$A$1:$I$89,3,0)*0.475*44/12</f>
        <v>4.7176789594285965E-15</v>
      </c>
      <c r="CN137" s="22">
        <f t="shared" si="120"/>
        <v>1.1173320410637395</v>
      </c>
      <c r="CO137" s="75">
        <f>('Scénario référence'!$F$8+'Scénario référence'!$F$9+'Scénario référence'!$B$17+'Scénario référence'!$B$9+'Scénario référence'!$B$10)*70+IF((45+25*(1-EXP(-0.0175*A137)))&lt;70,'Scénario référence'!$B$16*(45+25*(1-EXP(-0.0175*A137))),70*'Scénario référence'!$B$16)+IF((32+38*(1-EXP(-0.0175*A137)))&lt;70,'Scénario référence'!$B$18*(32+38*(1-EXP(-0.0175*A137))),70*'Scénario référence'!$B$18)</f>
        <v>70</v>
      </c>
      <c r="CP137" s="12">
        <f>IF(A137&gt;30,10,('Scénario référence'!$B$16+'Scénario référence'!$B$17+'Scénario référence'!$B$18+'Scénario référence'!$B$9+'Scénario référence'!$B$10)*A137*10/30+('Scénario référence'!$F$8+'Scénario référence'!$F$9)*10)</f>
        <v>10</v>
      </c>
      <c r="CQ137" s="12" t="e">
        <f>VLOOKUP(A137,'Données projet'!$A$139:$I$159,2,0)</f>
        <v>#N/A</v>
      </c>
      <c r="CR137" s="12" t="e">
        <f>VLOOKUP(A137,'Données projet'!$A$139:$I$159,9,0)</f>
        <v>#N/A</v>
      </c>
      <c r="CS137" s="12">
        <f t="array" ref="CS137">INDEX(CR:CR,MIN(IF(ISNUMBER(CR137:CR333),ROW(CR137:CR333),"")))</f>
        <v>0</v>
      </c>
      <c r="CT137" s="12">
        <f>IF('Données projet'!$A$140&gt;35,CT136+CS137-DB136,IF(A137&lt;'Données projet'!$A$140,$CQ$205^A137,IF(A137='Données projet'!$A$140,'Données projet'!$B$140,CT136+CS137-DB136)))</f>
        <v>0</v>
      </c>
      <c r="CU137" s="17" t="e">
        <f>CT137*VLOOKUP('Données projet'!$B$13,Paramètres!$A$1:$I$89,3,0)*VLOOKUP('Données projet'!$B$13,Paramètres!$A$1:$I$89,5,0)</f>
        <v>#N/A</v>
      </c>
      <c r="CV137" s="13" t="e">
        <f t="shared" si="149"/>
        <v>#N/A</v>
      </c>
      <c r="CW137" s="20" t="e">
        <f t="shared" si="121"/>
        <v>#N/A</v>
      </c>
      <c r="CX137" s="59" t="e">
        <f t="shared" si="122"/>
        <v>#N/A</v>
      </c>
      <c r="CY137" s="59" t="e">
        <f ca="1">AVERAGE(OFFSET($CX$3,0,0,'Données projet'!$E$13+1,1))-AVERAGE(OFFSET($H$3,0,0,'Données projet'!$E$13+1,1))</f>
        <v>#N/A</v>
      </c>
      <c r="CZ137" s="59" t="e">
        <f t="shared" si="150"/>
        <v>#N/A</v>
      </c>
      <c r="DA137" s="15">
        <f>IF(ISNA(VLOOKUP(A137,'Données projet'!$A$139:$I$159,3,0)),0,VLOOKUP(A137,'Données projet'!$A$139:$I$159,3,0))</f>
        <v>0</v>
      </c>
      <c r="DB137" s="15">
        <f>IF(ISNA(VLOOKUP(A137,'Données projet'!$A$139:$I$159,4,0)),0,VLOOKUP(A137,'Données projet'!$A$139:$I$159,4,0))</f>
        <v>0</v>
      </c>
      <c r="DC137" s="16">
        <f>IF(ISNA(VLOOKUP(A137,'Données projet'!$A$139:$I$159,5,0)),0%,VLOOKUP(A137,'Données projet'!$A$139:$I$159,5,0)*VLOOKUP('Données projet'!$B$13,Paramètres!$A$1:$I$89,7,0))</f>
        <v>0</v>
      </c>
      <c r="DD137" s="16">
        <f>IF(ISNA(VLOOKUP(A137,'Données projet'!$A$139:$I$159,6,0)),0%,VLOOKUP(A137,'Données projet'!$A$139:$I$159,6,0)*VLOOKUP('Données projet'!$B$13,Paramètres!$A$1:$I$89,7,0))</f>
        <v>0</v>
      </c>
      <c r="DE137" s="16">
        <f>IF(ISNA(VLOOKUP(A137,'Données projet'!$A$139:$I$159,7,0)),0%,VLOOKUP(A137,'Données projet'!$A$139:$I$159,7,0))</f>
        <v>0</v>
      </c>
      <c r="DF137" s="21" t="e">
        <f>EXP(-LN(2)/35)*DF136+(1-EXP(-LN(2)/35))/(LN(2)/35)*DB137*DC137*VLOOKUP('Données projet'!$B$13,Paramètres!$A$1:$I$89,3,0)*0.475*44/12</f>
        <v>#N/A</v>
      </c>
      <c r="DG137" s="21" t="e">
        <f>EXP(-LN(2)/25)*DG136+(1-EXP(-LN(2)/25))/(LN(2)/25)*Calculateur!DB137*Calculateur!DD137*VLOOKUP('Données projet'!$B$13,Paramètres!$A$1:$I$89,3,0)*0.475*44/12</f>
        <v>#N/A</v>
      </c>
      <c r="DH137" s="21" t="e">
        <f>EXP(-LN(2)/2)*DH136+(1-EXP(-LN(2)/2))/(LN(2)/2)*DB137*DE137*VLOOKUP('Données projet'!$B$13,Paramètres!$A$1:$I$89,3,0)*0.475*44/12</f>
        <v>#N/A</v>
      </c>
      <c r="DI137" s="22" t="e">
        <f t="shared" si="123"/>
        <v>#N/A</v>
      </c>
      <c r="DJ137" s="75">
        <f>('Scénario référence'!$F$8+'Scénario référence'!$F$9+'Scénario référence'!$B$17+'Scénario référence'!$B$9+'Scénario référence'!$B$10)*70+IF((45+25*(1-EXP(-0.0175*A137)))&lt;70,'Scénario référence'!$B$16*(45+25*(1-EXP(-0.0175*A137))),70*'Scénario référence'!$B$16)+IF((32+38*(1-EXP(-0.0175*A137)))&lt;70,'Scénario référence'!$B$18*(32+38*(1-EXP(-0.0175*A137))),70*'Scénario référence'!$B$18)</f>
        <v>70</v>
      </c>
      <c r="DK137" s="12">
        <f>IF(A137&gt;30,10,('Scénario référence'!$B$16+'Scénario référence'!$B$17+'Scénario référence'!$B$18+'Scénario référence'!$B$9+'Scénario référence'!$B$10)*A137*10/30+('Scénario référence'!$F$8+'Scénario référence'!$F$9)*10)</f>
        <v>10</v>
      </c>
      <c r="DL137" s="12" t="e">
        <f>VLOOKUP(A137,'Données projet'!$A$165:$I$185,2,0)</f>
        <v>#N/A</v>
      </c>
      <c r="DM137" s="12" t="e">
        <f>VLOOKUP(A137,'Données projet'!$A$165:$I$185,9,0)</f>
        <v>#N/A</v>
      </c>
      <c r="DN137" s="12">
        <f t="array" ref="DN137">INDEX(DM:DM,MIN(IF(ISNUMBER(DM137:DM333),ROW(DM137:DM333),"")))</f>
        <v>0</v>
      </c>
      <c r="DO137" s="12">
        <f>IF('Données projet'!$A$166&gt;35,DO136+DN137-DW136,IF(A137&lt;'Données projet'!$A$166,$DL$205^A137,IF(A137='Données projet'!$A$166,'Données projet'!$B$166,DO136+DN137-DW136)))</f>
        <v>268.00000000000017</v>
      </c>
      <c r="DP137" s="17">
        <f>DO137*VLOOKUP('Données projet'!$B$14,Paramètres!$A$1:$I$89,3,0)*VLOOKUP('Données projet'!$B$14,Paramètres!$A$1:$I$89,5,0)</f>
        <v>175.59360000000012</v>
      </c>
      <c r="DQ137" s="13">
        <f t="shared" si="151"/>
        <v>44.340433728638573</v>
      </c>
      <c r="DR137" s="20">
        <f t="shared" si="124"/>
        <v>383.05177541071242</v>
      </c>
      <c r="DS137" s="59">
        <f t="shared" si="125"/>
        <v>676.38510874404574</v>
      </c>
      <c r="DT137" s="59">
        <f ca="1">AVERAGE(OFFSET($DS$3,0,0,'Données projet'!$E$14+1,1))-AVERAGE(OFFSET($H$3,0,0,'Données projet'!$E$14+1,1))</f>
        <v>188.68915783955595</v>
      </c>
      <c r="DU137" s="59">
        <f t="shared" si="152"/>
        <v>240.82467772396944</v>
      </c>
      <c r="DV137" s="15">
        <f>IF(ISNA(VLOOKUP(A137,'Données projet'!$A$165:$I$185,3,0)),0,VLOOKUP(A137,'Données projet'!$A$165:$I$185,3,0))</f>
        <v>0</v>
      </c>
      <c r="DW137" s="15">
        <f>IF(ISNA(VLOOKUP(A137,'Données projet'!$A$165:$I$185,4,0)),0,VLOOKUP(A137,'Données projet'!$A$165:$I$185,4,0))</f>
        <v>0</v>
      </c>
      <c r="DX137" s="16">
        <f>IF(ISNA(VLOOKUP(A137,'Données projet'!$A$165:$I$185,5,0)),0%,VLOOKUP(A137,'Données projet'!$A$165:$I$185,5,0)*VLOOKUP('Données projet'!$B$14,Paramètres!$A$1:$I$89,7,0))</f>
        <v>0</v>
      </c>
      <c r="DY137" s="16">
        <f>IF(ISNA(VLOOKUP(A137,'Données projet'!$A$165:$I$185,6,0)),0%,VLOOKUP(A137,'Données projet'!$A$165:$I$185,6,0)*VLOOKUP('Données projet'!$B$14,Paramètres!$A$1:$I$89,7,0))</f>
        <v>0</v>
      </c>
      <c r="DZ137" s="16">
        <f>IF(ISNA(VLOOKUP(A137,'Données projet'!$A$165:$I$185,7,0)),0%,VLOOKUP(A137,'Données projet'!$A$165:$I$185,7,0))</f>
        <v>0</v>
      </c>
      <c r="EA137" s="21">
        <f>EXP(-LN(2)/35)*EA136+(1-EXP(-LN(2)/35))/(LN(2)/35)*DW137*DX137*VLOOKUP('Données projet'!$B$14,Paramètres!$A$1:$I$89,3,0)*0.475*44/12</f>
        <v>0.19855020010036267</v>
      </c>
      <c r="EB137" s="21">
        <f>EXP(-LN(2)/25)*EB136+(1-EXP(-LN(2)/25))/(LN(2)/25)*Calculateur!DW137*Calculateur!DY137*VLOOKUP('Données projet'!$B$14,Paramètres!$A$1:$I$89,3,0)*0.475*44/12</f>
        <v>0.44963985581989446</v>
      </c>
      <c r="EC137" s="21">
        <f>EXP(-LN(2)/2)*EC136+(1-EXP(-LN(2)/2))/(LN(2)/2)*DW137*DZ137*VLOOKUP('Données projet'!$B$14,Paramètres!$A$1:$I$89,3,0)*0.475*44/12</f>
        <v>3.1078268816669057E-15</v>
      </c>
      <c r="ED137" s="22">
        <f t="shared" si="126"/>
        <v>0.64819005592026024</v>
      </c>
      <c r="EE137" s="75">
        <f>('Scénario référence'!$F$8+'Scénario référence'!$F$9+'Scénario référence'!$B$17+'Scénario référence'!$B$9+'Scénario référence'!$B$10)*70+IF((45+25*(1-EXP(-0.0175*A137)))&lt;70,'Scénario référence'!$B$16*(45+25*(1-EXP(-0.0175*A137))),70*'Scénario référence'!$B$16)+IF((32+38*(1-EXP(-0.0175*A137)))&lt;70,'Scénario référence'!$B$18*(32+38*(1-EXP(-0.0175*A137))),70*'Scénario référence'!$B$18)</f>
        <v>70</v>
      </c>
      <c r="EF137" s="12">
        <f>IF(A137&gt;30,10,('Scénario référence'!$B$16+'Scénario référence'!$B$17+'Scénario référence'!$B$18+'Scénario référence'!$B$9+'Scénario référence'!$B$10)*A137*10/30+('Scénario référence'!$F$8+'Scénario référence'!$F$9)*10)</f>
        <v>10</v>
      </c>
      <c r="EG137" s="12" t="e">
        <f>VLOOKUP(A137,'Données projet'!$A$191:$I$211,2,0)</f>
        <v>#N/A</v>
      </c>
      <c r="EH137" s="12" t="e">
        <f>VLOOKUP(A137,'Données projet'!$A$191:$I$211,9,0)</f>
        <v>#N/A</v>
      </c>
      <c r="EI137" s="12">
        <f t="array" ref="EI137">INDEX(EH:EH,MIN(IF(ISNUMBER(EH137:EH333),ROW(EH137:EH333),"")))</f>
        <v>0</v>
      </c>
      <c r="EJ137" s="12">
        <f>IF('Données projet'!$A$192&gt;35,EJ136+EI137-ER136,IF(A137&lt;'Données projet'!$A$192,$EG$205^A137,IF(A137='Données projet'!$A$192,'Données projet'!$B$192,EJ136+EI137-ER136)))</f>
        <v>275.99999999999972</v>
      </c>
      <c r="EK137" s="17">
        <f>EJ137*VLOOKUP('Données projet'!$B$15,Paramètres!$A$1:$I$89,3,0)*VLOOKUP('Données projet'!$B$15,Paramètres!$A$1:$I$89,5,0)</f>
        <v>223.8911999999998</v>
      </c>
      <c r="EL137" s="13">
        <f t="shared" si="153"/>
        <v>54.95975389514858</v>
      </c>
      <c r="EM137" s="20">
        <f t="shared" si="127"/>
        <v>485.66541136738346</v>
      </c>
      <c r="EN137" s="59">
        <f t="shared" si="128"/>
        <v>778.99874470071677</v>
      </c>
      <c r="EO137" s="59">
        <f ca="1">AVERAGE(OFFSET($EN$3,0,0,'Données projet'!$E$15+1,1))-AVERAGE(OFFSET($H$3,0,0,'Données projet'!$E$15+1,1))</f>
        <v>205.5272583787887</v>
      </c>
      <c r="EP137" s="59">
        <f t="shared" si="154"/>
        <v>180.54762778843178</v>
      </c>
      <c r="EQ137" s="15">
        <f>IF(ISNA(VLOOKUP(A137,'Données projet'!$A$191:$I$211,3,0)),0,VLOOKUP(A137,'Données projet'!$A$191:$I$211,3,0))</f>
        <v>0</v>
      </c>
      <c r="ER137" s="15">
        <f>IF(ISNA(VLOOKUP(A137,'Données projet'!$A$191:$I$211,4,0)),0,VLOOKUP(A137,'Données projet'!$A$191:$I$211,4,0))</f>
        <v>0</v>
      </c>
      <c r="ES137" s="16">
        <f>IF(ISNA(VLOOKUP(A137,'Données projet'!$A$191:$I$211,5,0)),0%,VLOOKUP(A137,'Données projet'!$A$191:$I$211,5,0)*VLOOKUP('Données projet'!$B$15,Paramètres!$A$1:$I$89,7,0))</f>
        <v>0</v>
      </c>
      <c r="ET137" s="16">
        <f>IF(ISNA(VLOOKUP(A137,'Données projet'!$A$191:$I$211,6,0)),0%,VLOOKUP(A137,'Données projet'!$A$191:$I$211,6,0)*VLOOKUP('Données projet'!$B$15,Paramètres!$A$1:$I$89,7,0))</f>
        <v>0</v>
      </c>
      <c r="EU137" s="16">
        <f>IF(ISNA(VLOOKUP(A137,'Données projet'!$A$191:$I$211,7,0)),0%,VLOOKUP(A137,'Données projet'!$A$191:$I$211,7,0))</f>
        <v>0</v>
      </c>
      <c r="EV137" s="21">
        <f>EXP(-LN(2)/35)*EV136+(1-EXP(-LN(2)/35))/(LN(2)/35)*ER137*ES137*VLOOKUP('Données projet'!$B$15,Paramètres!$A$1:$I$89,3,0)*0.475*44/12</f>
        <v>0.12782850977890023</v>
      </c>
      <c r="EW137" s="21">
        <f>EXP(-LN(2)/25)*EW136+(1-EXP(-LN(2)/25))/(LN(2)/25)*Calculateur!ER137*Calculateur!ET137*VLOOKUP('Données projet'!$B$15,Paramètres!$A$1:$I$89,3,0)*0.475*44/12</f>
        <v>0.32465361616083849</v>
      </c>
      <c r="EX137" s="21">
        <f>EXP(-LN(2)/2)*EX136+(1-EXP(-LN(2)/2))/(LN(2)/2)*ER137*EU137*VLOOKUP('Données projet'!$B$15,Paramètres!$A$1:$I$89,3,0)*0.475*44/12</f>
        <v>2.0123202038879612E-15</v>
      </c>
      <c r="EY137" s="22">
        <f t="shared" si="129"/>
        <v>0.45248212593974069</v>
      </c>
      <c r="EZ137" s="75">
        <f>('Scénario référence'!$F$8+'Scénario référence'!$F$9+'Scénario référence'!$B$17+'Scénario référence'!$B$9+'Scénario référence'!$B$10)*70+IF((45+25*(1-EXP(-0.0175*A137)))&lt;70,'Scénario référence'!$B$16*(45+25*(1-EXP(-0.0175*A137))),70*'Scénario référence'!$B$16)+IF((32+38*(1-EXP(-0.0175*A137)))&lt;70,'Scénario référence'!$B$18*(32+38*(1-EXP(-0.0175*A137))),70*'Scénario référence'!$B$18)</f>
        <v>70</v>
      </c>
      <c r="FA137" s="12">
        <f>IF(A137&gt;30,10,('Scénario référence'!$B$16+'Scénario référence'!$B$17+'Scénario référence'!$B$18+'Scénario référence'!$B$9+'Scénario référence'!$B$10)*A137*10/30+('Scénario référence'!$F$8+'Scénario référence'!$F$9)*10)</f>
        <v>10</v>
      </c>
      <c r="FB137" s="12" t="e">
        <f>VLOOKUP(A137,'Données projet'!$A$217:$I$237,2,0)</f>
        <v>#N/A</v>
      </c>
      <c r="FC137" s="12" t="e">
        <f>VLOOKUP(A137,'Données projet'!$A$217:$I$237,9,0)</f>
        <v>#N/A</v>
      </c>
      <c r="FD137" s="12">
        <f t="array" ref="FD137">INDEX(FC:FC,MIN(IF(ISNUMBER(FC137:FC333),ROW(FC137:FC333),"")))</f>
        <v>5.5</v>
      </c>
      <c r="FE137" s="12">
        <f>IF('Données projet'!$A$218&gt;35,FE136+FD137-FM136,IF(A137&lt;'Données projet'!$A$218,$FB$205^A137,IF(A137='Données projet'!$A$218,'Données projet'!$B$218,FE136+FD137-FM136)))</f>
        <v>424.99999999999994</v>
      </c>
      <c r="FF137" s="17">
        <f>FE137*VLOOKUP('Données projet'!$B$16,Paramètres!$A$1:$I$89,3,0)*VLOOKUP('Données projet'!$B$16,Paramètres!$A$1:$I$89,5,0)</f>
        <v>364.65000000000003</v>
      </c>
      <c r="FG137" s="13">
        <f t="shared" si="155"/>
        <v>84.57186171626158</v>
      </c>
      <c r="FH137" s="20">
        <f t="shared" si="130"/>
        <v>782.39474248915565</v>
      </c>
      <c r="FI137" s="59">
        <f t="shared" si="131"/>
        <v>1075.728075822489</v>
      </c>
      <c r="FJ137" s="59">
        <f ca="1">AVERAGE(OFFSET($FI$3,0,0,'Données projet'!$E$16+1,1))-AVERAGE(OFFSET($H$3,0,0,'Données projet'!$E$16+1,1))</f>
        <v>383.97627237444709</v>
      </c>
      <c r="FK137" s="59">
        <f t="shared" si="156"/>
        <v>203.35476578922339</v>
      </c>
      <c r="FL137" s="15">
        <f>IF(ISNA(VLOOKUP(A137,'Données projet'!$A$217:$I$237,3,0)),0,VLOOKUP(A137,'Données projet'!$A$217:$I$237,3,0))</f>
        <v>0</v>
      </c>
      <c r="FM137" s="15">
        <f>IF(ISNA(VLOOKUP(A137,'Données projet'!$A$217:$I$237,4,0)),0,VLOOKUP(A137,'Données projet'!$A$217:$I$237,4,0))</f>
        <v>0</v>
      </c>
      <c r="FN137" s="16">
        <f>IF(ISNA(VLOOKUP(A137,'Données projet'!$A$217:$I$237,5,0)),0%,VLOOKUP(A137,'Données projet'!$A$217:$I$237,5,0)*VLOOKUP('Données projet'!$B$16,Paramètres!$A$1:$I$89,7,0))</f>
        <v>0</v>
      </c>
      <c r="FO137" s="16">
        <f>IF(ISNA(VLOOKUP(A137,'Données projet'!$A$217:$I$237,6,0)),0%,VLOOKUP(A137,'Données projet'!$A$217:$I$237,6,0)*VLOOKUP('Données projet'!$B$16,Paramètres!$A$1:$I$89,7,0))</f>
        <v>0</v>
      </c>
      <c r="FP137" s="16">
        <f>IF(ISNA(VLOOKUP(A137,'Données projet'!$A$217:$I$237,7,0)),0%,VLOOKUP(A137,'Données projet'!$A$217:$I$237,7,0))</f>
        <v>0</v>
      </c>
      <c r="FQ137" s="21">
        <f>EXP(-LN(2)/35)*FQ136+(1-EXP(-LN(2)/35))/(LN(2)/35)*FM137*FN137*VLOOKUP('Données projet'!$B$16,Paramètres!$A$1:$I$89,3,0)*0.475*44/12</f>
        <v>0.65696919061447712</v>
      </c>
      <c r="FR137" s="21">
        <f>EXP(-LN(2)/25)*FR136+(1-EXP(-LN(2)/25))/(LN(2)/25)*Calculateur!FM137*Calculateur!FO137*VLOOKUP('Données projet'!$B$16,Paramètres!$A$1:$I$89,3,0)*0.475*44/12</f>
        <v>0.32955697654355909</v>
      </c>
      <c r="FS137" s="21">
        <f>EXP(-LN(2)/2)*FS136+(1-EXP(-LN(2)/2))/(LN(2)/2)*FM137*FP137*VLOOKUP('Données projet'!$B$16,Paramètres!$A$1:$I$89,3,0)*0.475*44/12</f>
        <v>3.6962192266431808E-15</v>
      </c>
      <c r="FT137" s="22">
        <f t="shared" si="132"/>
        <v>0.98652616715803987</v>
      </c>
      <c r="FU137" s="75">
        <f>('Scénario référence'!$F$8+'Scénario référence'!$F$9+'Scénario référence'!$B$17+'Scénario référence'!$B$9+'Scénario référence'!$B$10)*70+IF((45+25*(1-EXP(-0.0175*A137)))&lt;70,'Scénario référence'!$B$16*(45+25*(1-EXP(-0.0175*A137))),70*'Scénario référence'!$B$16)+IF((32+38*(1-EXP(-0.0175*A137)))&lt;70,'Scénario référence'!$B$18*(32+38*(1-EXP(-0.0175*A137))),70*'Scénario référence'!$B$18)</f>
        <v>70</v>
      </c>
      <c r="FV137" s="12">
        <f>IF(A137&gt;30,10,('Scénario référence'!$B$16+'Scénario référence'!$B$17+'Scénario référence'!$B$18+'Scénario référence'!$B$9+'Scénario référence'!$B$10)*A137*10/30+('Scénario référence'!$F$8+'Scénario référence'!$F$9)*10)</f>
        <v>10</v>
      </c>
      <c r="FW137" s="12" t="e">
        <f>VLOOKUP(A137,'Données projet'!$A$243:$I$263,2,0)</f>
        <v>#N/A</v>
      </c>
      <c r="FX137" s="12" t="e">
        <f>VLOOKUP(A137,'Données projet'!$A$243:$I$263,9,0)</f>
        <v>#N/A</v>
      </c>
      <c r="FY137" s="12">
        <f t="array" ref="FY137">INDEX(FX:FX,MIN(IF(ISNUMBER(FX137:FX333),ROW(FX137:FX333),"")))</f>
        <v>0</v>
      </c>
      <c r="FZ137" s="12">
        <f>IF('Données projet'!$A$244&gt;35,FZ136+FY137-GH136,IF(A137&lt;'Données projet'!$A$244,$FW$205^A137,IF(A137='Données projet'!$A$244,'Données projet'!$B$244,FZ136+FY137-GH136)))</f>
        <v>4.5474735088646412E-13</v>
      </c>
      <c r="GA137" s="17">
        <f>FZ137*VLOOKUP('Données projet'!$B$17,Paramètres!$A$1:$I$89,3,0)*VLOOKUP('Données projet'!$B$17,Paramètres!$A$1:$I$89,5,0)</f>
        <v>4.8949004849418999E-13</v>
      </c>
      <c r="GB137" s="13">
        <f t="shared" si="157"/>
        <v>6.1123715499968684E-12</v>
      </c>
      <c r="GC137" s="20">
        <f t="shared" si="133"/>
        <v>1.1498242284038591E-11</v>
      </c>
      <c r="GD137" s="59">
        <f t="shared" si="134"/>
        <v>293.3333333333448</v>
      </c>
      <c r="GE137" s="59">
        <f ca="1">AVERAGE(OFFSET($GD$3,0,0,'Données projet'!$E$17+1,1))-AVERAGE(OFFSET($H$3,0,0,'Données projet'!$E$17+1,1))</f>
        <v>286.77702855541287</v>
      </c>
      <c r="GF137" s="59">
        <f t="shared" si="158"/>
        <v>227.12211541860779</v>
      </c>
      <c r="GG137" s="15">
        <f>IF(ISNA(VLOOKUP(A137,'Données projet'!$A$243:$I$263,3,0)),0,VLOOKUP(A137,'Données projet'!$A$243:$I$263,3,0))</f>
        <v>0</v>
      </c>
      <c r="GH137" s="15">
        <f>IF(ISNA(VLOOKUP(A137,'Données projet'!$A$243:$I$263,4,0)),0,VLOOKUP(A137,'Données projet'!$A$243:$I$263,4,0))</f>
        <v>0</v>
      </c>
      <c r="GI137" s="16">
        <f>IF(ISNA(VLOOKUP(A137,'Données projet'!$A$243:$I$263,5,0)),0%,VLOOKUP(A137,'Données projet'!$A$243:$I$263,5,0)*VLOOKUP('Données projet'!$B$17,Paramètres!$A$1:$I$89,7,0))</f>
        <v>0</v>
      </c>
      <c r="GJ137" s="16">
        <f>IF(ISNA(VLOOKUP(A137,'Données projet'!$A$243:$I$263,6,0)),0%,VLOOKUP(A137,'Données projet'!$A$243:$I$263,6,0)*VLOOKUP('Données projet'!$B$17,Paramètres!$A$1:$I$89,7,0))</f>
        <v>0</v>
      </c>
      <c r="GK137" s="16">
        <f>IF(ISNA(VLOOKUP(A137,'Données projet'!$A$243:$I$263,7,0)),0%,VLOOKUP(A137,'Données projet'!$A$243:$I$263,7,0))</f>
        <v>0</v>
      </c>
      <c r="GL137" s="21">
        <f>EXP(-LN(2)/35)*GL136+(1-EXP(-LN(2)/35))/(LN(2)/35)*GH137*GI137*VLOOKUP('Données projet'!$B$17,Paramètres!$A$1:$I$89,3,0)*0.475*44/12</f>
        <v>0</v>
      </c>
      <c r="GM137" s="21">
        <f>EXP(-LN(2)/25)*GM136+(1-EXP(-LN(2)/25))/(LN(2)/25)*Calculateur!GH137*Calculateur!GJ137*VLOOKUP('Données projet'!$B$17,Paramètres!$A$1:$I$89,3,0)*0.475*44/12</f>
        <v>0</v>
      </c>
      <c r="GN137" s="21">
        <f>EXP(-LN(2)/2)*GN136+(1-EXP(-LN(2)/2))/(LN(2)/2)*GH137*GK137*VLOOKUP('Données projet'!$B$17,Paramètres!$A$1:$I$89,3,0)*0.475*44/12</f>
        <v>0</v>
      </c>
      <c r="GO137" s="21">
        <f t="shared" si="135"/>
        <v>0</v>
      </c>
      <c r="GP137" s="75">
        <f>('Scénario référence'!$F$8+'Scénario référence'!$F$9+'Scénario référence'!$B$17+'Scénario référence'!$B$9+'Scénario référence'!$B$10)*70+IF((45+25*(1-EXP(-0.0175*A137)))&lt;70,'Scénario référence'!$B$16*(45+25*(1-EXP(-0.0175*A137))),70*'Scénario référence'!$B$16)+IF((32+38*(1-EXP(-0.0175*A137)))&lt;70,'Scénario référence'!$B$18*(32+38*(1-EXP(-0.0175*A137))),70*'Scénario référence'!$B$18)</f>
        <v>70</v>
      </c>
      <c r="GQ137" s="12">
        <f>IF(A137&gt;30,10,('Scénario référence'!$B$16+'Scénario référence'!$B$17+'Scénario référence'!$B$18+'Scénario référence'!$B$9+'Scénario référence'!$B$10)*A137*10/30+('Scénario référence'!$F$8+'Scénario référence'!$F$9)*10)</f>
        <v>10</v>
      </c>
      <c r="GR137" s="12" t="e">
        <f>VLOOKUP(A137,'Données projet'!$A$269:$I$289,2,0)</f>
        <v>#N/A</v>
      </c>
      <c r="GS137" s="12" t="e">
        <f>VLOOKUP(A137,'Données projet'!$A$269:$I$289,9,0)</f>
        <v>#N/A</v>
      </c>
      <c r="GT137" s="12">
        <f t="array" ref="GT137">INDEX(GS:GS,MIN(IF(ISNUMBER(GS137:GS333),ROW(GS137:GS333),"")))</f>
        <v>0</v>
      </c>
      <c r="GU137" s="12">
        <f>IF('Données projet'!$A$270&gt;35,GU136+GT137-HC136,IF(A137&lt;'Données projet'!$A$270,$GR$205^A137,IF(A137='Données projet'!$A$270,'Données projet'!$B$270,GU136+GT137-HC136)))</f>
        <v>4.5474735088646412E-13</v>
      </c>
      <c r="GV137" s="17">
        <f>GU137*VLOOKUP('Données projet'!$B$18,Paramètres!$A$1:$I$89,3,0)*VLOOKUP('Données projet'!$B$18,Paramètres!$A$1:$I$89,5,0)</f>
        <v>4.8949004849418999E-13</v>
      </c>
      <c r="GW137" s="13">
        <f t="shared" si="159"/>
        <v>6.1123715499968684E-12</v>
      </c>
      <c r="GX137" s="20">
        <f t="shared" si="136"/>
        <v>1.1498242284038591E-11</v>
      </c>
      <c r="GY137" s="59">
        <f t="shared" si="137"/>
        <v>293.3333333333448</v>
      </c>
      <c r="GZ137" s="59">
        <f ca="1">AVERAGE(OFFSET($GY$3,0,0,'Données projet'!$E$18+1,1))-AVERAGE(OFFSET($H$3,0,0,'Données projet'!$E$18+1,1))</f>
        <v>286.77702855541287</v>
      </c>
      <c r="HA137" s="59">
        <f t="shared" si="160"/>
        <v>227.12211541860779</v>
      </c>
      <c r="HB137" s="15">
        <f>IF(ISNA(VLOOKUP(A137,'Données projet'!$A$269:$I$289,3,0)),0,VLOOKUP(A137,'Données projet'!$A$269:$I$289,3,0))</f>
        <v>0</v>
      </c>
      <c r="HC137" s="15">
        <f>IF(ISNA(VLOOKUP(A137,'Données projet'!$A$269:$I$289,4,0)),0,VLOOKUP(A137,'Données projet'!$A$269:$I$289,4,0))</f>
        <v>0</v>
      </c>
      <c r="HD137" s="16">
        <f>IF(ISNA(VLOOKUP(A137,'Données projet'!$A$269:$I$289,5,0)),0%,VLOOKUP(A137,'Données projet'!$A$269:$I$289,5,0)*VLOOKUP('Données projet'!$B$18,Paramètres!$A$1:$I$89,7,0))</f>
        <v>0</v>
      </c>
      <c r="HE137" s="16">
        <f>IF(ISNA(VLOOKUP(A137,'Données projet'!$A$269:$I$289,6,0)),0%,VLOOKUP(A137,'Données projet'!$A$269:$I$289,6,0)*VLOOKUP('Données projet'!$B$18,Paramètres!$A$1:$I$89,7,0))</f>
        <v>0</v>
      </c>
      <c r="HF137" s="16">
        <f>IF(ISNA(VLOOKUP(A137,'Données projet'!$A$269:$I$289,7,0)),0%,VLOOKUP(A137,'Données projet'!$A$269:$I$289,7,0))</f>
        <v>0</v>
      </c>
      <c r="HG137" s="21">
        <f>EXP(-LN(2)/35)*HG136+(1-EXP(-LN(2)/35))/(LN(2)/35)*HC137*HD137*VLOOKUP('Données projet'!$B$18,Paramètres!$A$1:$I$89,3,0)*0.475*44/12</f>
        <v>0</v>
      </c>
      <c r="HH137" s="21">
        <f>EXP(-LN(2)/25)*HH136+(1-EXP(-LN(2)/25))/(LN(2)/25)*Calculateur!HC137*Calculateur!HE137*VLOOKUP('Données projet'!$B$18,Paramètres!$A$1:$I$89,3,0)*0.475*44/12</f>
        <v>0</v>
      </c>
      <c r="HI137" s="21">
        <f>EXP(-LN(2)/2)*HI136+(1-EXP(-LN(2)/2))/(LN(2)/2)*HC137*HF137*VLOOKUP('Données projet'!$B$18,Paramètres!$A$1:$I$89,3,0)*0.475*44/12</f>
        <v>0</v>
      </c>
      <c r="HJ137" s="22">
        <f t="shared" si="138"/>
        <v>0</v>
      </c>
    </row>
    <row r="138" spans="1:218" x14ac:dyDescent="0.25">
      <c r="A138" s="10">
        <f t="shared" si="139"/>
        <v>135</v>
      </c>
      <c r="B138" s="73">
        <f>'Scénario référence'!$B$16*5+'Scénario référence'!$B$17*0+'Scénario référence'!$B$18*5</f>
        <v>0</v>
      </c>
      <c r="C138" s="19">
        <f>Calculateur!C137+'Scénario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120.04200000000023</v>
      </c>
      <c r="D138" s="11">
        <f t="shared" si="140"/>
        <v>31.68479490489014</v>
      </c>
      <c r="E13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38" s="11">
        <f>IF(OR('Scénario référence'!$F$8&gt;0,'Scénario référence'!$F$9&gt;0),('Scénario référence'!$F$8+'Scénario référence'!$F$9)*10,0)</f>
        <v>10</v>
      </c>
      <c r="G138" s="11">
        <f>'Scénario référence'!$B$8*B138*44/12+'Scénario référence'!$B$9*(C138+D138)/0.475*44/12+'Scénario référence'!$B$10*(C138+D138)/0.475*44/12+'Scénario référence'!$F$8*(C138+D138)/0.475*44/12+'Scénario référence'!$F$9*(C138+D138)/0.475*44/12</f>
        <v>1171.2243817219608</v>
      </c>
      <c r="H138" s="67">
        <f t="shared" si="110"/>
        <v>557.59083445935073</v>
      </c>
      <c r="I138" s="70">
        <f>('Scénario référence'!$F$8+'Scénario référence'!$F$9+'Scénario référence'!$B$17+'Scénario référence'!$B$9+'Scénario référence'!$B$10)*70+IF((45+25*(1-EXP(-0.0175*A138)))&lt;70,'Scénario référence'!$B$16*(45+25*(1-EXP(-0.0175*A138))),70*'Scénario référence'!$B$16)+IF((32+38*(1-EXP(-0.0175*A138)))&lt;70,'Scénario référence'!$B$18*(32+38*(1-EXP(-0.0175*A138))),70*'Scénario référence'!$B$18)</f>
        <v>70</v>
      </c>
      <c r="J138" s="13">
        <f>IF(A138&gt;30,10,('Scénario référence'!$B$16+'Scénario référence'!$B$17+'Scénario référence'!$B$18+'Scénario référence'!$B$9+'Scénario référence'!$B$10)*A138*10/30+('Scénario référence'!$F$8+'Scénario référence'!$F$9)*10)</f>
        <v>10</v>
      </c>
      <c r="K138" s="12" t="e">
        <f>VLOOKUP(A138,'Données projet'!$A$35:$I$55,2,0)</f>
        <v>#N/A</v>
      </c>
      <c r="L138" s="12" t="e">
        <f>VLOOKUP(A138,'Données projet'!$A$35:$I$55,9,0)</f>
        <v>#N/A</v>
      </c>
      <c r="M138" s="12">
        <f t="array" ref="M138">INDEX(L:L,MIN(IF(ISNUMBER(L138:L334),ROW(L138:L334),"")))</f>
        <v>0</v>
      </c>
      <c r="N138" s="13">
        <f>IF('Données projet'!$A$36&gt;35,N137+M138-V137,IF(A138&lt;'Données projet'!$A$36,$K$205^A138,IF(A138='Données projet'!$A$36,'Données projet'!$B$36,N137+M138-V137)))</f>
        <v>-2.2737367544323206E-13</v>
      </c>
      <c r="O138" s="13">
        <f>N138*VLOOKUP('Données projet'!$B$9,Paramètres!$A$1:$I$89,3,0)*VLOOKUP('Données projet'!$B$9,Paramètres!$A$1:$I$89,5,0)</f>
        <v>-1.2710188457276673E-13</v>
      </c>
      <c r="P138" s="13" t="e">
        <f t="shared" si="141"/>
        <v>#NUM!</v>
      </c>
      <c r="Q138" s="20" t="e">
        <f t="shared" si="108"/>
        <v>#NUM!</v>
      </c>
      <c r="R138" s="59" t="e">
        <f t="shared" si="109"/>
        <v>#NUM!</v>
      </c>
      <c r="S138" s="59">
        <f ca="1">AVERAGE(OFFSET($R$3,0,0,'Données projet'!$E$9+1,1))-AVERAGE(OFFSET($H$3,0,0,'Données projet'!$E$9+1,1))</f>
        <v>255.5374979188561</v>
      </c>
      <c r="T138" s="59">
        <f t="shared" si="142"/>
        <v>343.10418468620901</v>
      </c>
      <c r="U138" s="15">
        <f>IF(ISNA(VLOOKUP(A138,'Données projet'!$A$35:$I$55,3,0)),0,VLOOKUP(A138,'Données projet'!$A$35:$I$55,3,0))</f>
        <v>0</v>
      </c>
      <c r="V138" s="15">
        <f>IF(ISNA(VLOOKUP(A138,'Données projet'!$A$35:$I$55,4,0)),0,VLOOKUP(A138,'Données projet'!$A$35:$I$55,4,0))</f>
        <v>0</v>
      </c>
      <c r="W138" s="16">
        <f>IF(ISNA(VLOOKUP(A138,'Données projet'!$A$35:$I$55,5,0)),0%,VLOOKUP(A138,'Données projet'!$A$35:$I$55,5,0)*VLOOKUP('Données projet'!$B$9,Paramètres!$A$1:$I$89,7,0))</f>
        <v>0</v>
      </c>
      <c r="X138" s="16">
        <f>IF(ISNA(VLOOKUP(A138,'Données projet'!$A$35:$I$55,6,0)),0%,VLOOKUP(A138,'Données projet'!$A$35:$I$55,6,0)*VLOOKUP('Données projet'!$B$9,Paramètres!$A$1:$I$89,7,0))</f>
        <v>0</v>
      </c>
      <c r="Y138" s="16">
        <f>IF(ISNA(VLOOKUP(A138,'Données projet'!$A$35:$I$55,7,0)),0%,VLOOKUP(A138,'Données projet'!$A$35:$I$55,7,0))</f>
        <v>0</v>
      </c>
      <c r="Z138" s="21">
        <f>EXP(-LN(2)/35)*Z137+(1-EXP(-LN(2)/35))/(LN(2)/35)*V138*W138*VLOOKUP('Données projet'!$B$9,Paramètres!$A$1:$I$89,3,0)*0.475*44/12</f>
        <v>0.38625510581930056</v>
      </c>
      <c r="AA138" s="21">
        <f>EXP(-LN(2)/25)*AA137+(1-EXP(-LN(2)/25))/(LN(2)/25)*Calculateur!V138*Calculateur!X138*VLOOKUP('Données projet'!$B$9,Paramètres!$A$1:$I$89,3,0)*0.475*44/12</f>
        <v>0.86838828601293439</v>
      </c>
      <c r="AB138" s="21">
        <f>EXP(-LN(2)/2)*AB137+(1-EXP(-LN(2)/2))/(LN(2)/2)*V138*Y138*VLOOKUP('Données projet'!$B$9,Paramètres!$A$1:$I$89,3,0)*0.475*44/12</f>
        <v>2.6576202651262391E-16</v>
      </c>
      <c r="AC138" s="22">
        <f t="shared" si="111"/>
        <v>1.2546433918322351</v>
      </c>
      <c r="AD138" s="13">
        <f>('Scénario référence'!$F$8+'Scénario référence'!$F$9+'Scénario référence'!$B$17+'Scénario référence'!$B$9+'Scénario référence'!$B$10)*70+IF((45+25*(1-EXP(-0.0175*A138)))&lt;70,'Scénario référence'!$B$16*(45+25*(1-EXP(-0.0175*A138))),70*'Scénario référence'!$B$16)+IF((32+38*(1-EXP(-0.0175*A138)))&lt;70,'Scénario référence'!$B$18*(32+38*(1-EXP(-0.0175*A138))),70*'Scénario référence'!$B$18)</f>
        <v>70</v>
      </c>
      <c r="AE138" s="13">
        <f>IF(A138&gt;30,10,('Scénario référence'!$B$16+'Scénario référence'!$B$17+'Scénario référence'!$B$18+'Scénario référence'!$B$9+'Scénario référence'!$B$10)*A138*10/30+('Scénario référence'!$F$8+'Scénario référence'!$F$9)*10)</f>
        <v>10</v>
      </c>
      <c r="AF138" s="12" t="e">
        <f>VLOOKUP(A138,'Données projet'!$A$61:$I$81,2,0)</f>
        <v>#N/A</v>
      </c>
      <c r="AG138" s="12" t="e">
        <f>VLOOKUP(A138,'Données projet'!$A$61:$I$81,9,0)</f>
        <v>#N/A</v>
      </c>
      <c r="AH138" s="12">
        <f t="array" ref="AH138">INDEX(AG:AG,MIN(IF(ISNUMBER(AG138:AG334),ROW(AG138:AG334),"")))</f>
        <v>0</v>
      </c>
      <c r="AI138" s="13">
        <f>IF('Données projet'!$A$62&gt;35,AI137+AH138-AQ137,IF(A138&lt;'Données projet'!$A$62,$AF$205^A138,IF(A138='Données projet'!$A$62,'Données projet'!$B$62,AI137+AH138-AQ137)))</f>
        <v>0</v>
      </c>
      <c r="AJ138" s="13">
        <f>AI138*VLOOKUP('Données projet'!$B$10,Paramètres!$A$1:$I$89,3,0)*VLOOKUP('Données projet'!$B$10,Paramètres!$A$1:$I$89,5,0)</f>
        <v>0</v>
      </c>
      <c r="AK138" s="13" t="e">
        <f t="shared" si="143"/>
        <v>#NUM!</v>
      </c>
      <c r="AL138" s="20" t="e">
        <f t="shared" si="112"/>
        <v>#NUM!</v>
      </c>
      <c r="AM138" s="59" t="e">
        <f t="shared" si="113"/>
        <v>#NUM!</v>
      </c>
      <c r="AN138" s="59">
        <f ca="1">AVERAGE(OFFSET($AM$3,0,0,'Données projet'!$E$10+1,1))-AVERAGE(OFFSET($H$3,0,0,'Données projet'!$E$10+1,1))</f>
        <v>261.78489480911571</v>
      </c>
      <c r="AO138" s="59">
        <f t="shared" si="144"/>
        <v>297.50513563712764</v>
      </c>
      <c r="AP138" s="15">
        <f>IF(ISNA(VLOOKUP(A138,'Données projet'!$A$61:$I$81,3,0)),0,VLOOKUP(A138,'Données projet'!$A$61:$I$81,3,0))</f>
        <v>0</v>
      </c>
      <c r="AQ138" s="15">
        <f>IF(ISNA(VLOOKUP(A138,'Données projet'!$A$61:$I$81,4,0)),0,VLOOKUP(A138,'Données projet'!$A$61:$I$81,4,0))</f>
        <v>0</v>
      </c>
      <c r="AR138" s="16">
        <f>IF(ISNA(VLOOKUP(A138,'Données projet'!$A$61:$I$81,5,0)),0%,VLOOKUP(A138,'Données projet'!$A$61:$I$81,5,0)*VLOOKUP('Données projet'!$B$10,Paramètres!$A$1:$I$89,7,0))</f>
        <v>0</v>
      </c>
      <c r="AS138" s="16">
        <f>IF(ISNA(VLOOKUP(A138,'Données projet'!$A$61:$I$81,6,0)),0%,VLOOKUP(A138,'Données projet'!$A$61:$I$81,6,0)*VLOOKUP('Données projet'!$B$10,Paramètres!$A$1:$I$89,7,0))</f>
        <v>0</v>
      </c>
      <c r="AT138" s="16">
        <f>IF(ISNA(VLOOKUP(A138,'Données projet'!$A$61:$I$81,7,0)),0%,VLOOKUP(A138,'Données projet'!$A$61:$I$81,7,0))</f>
        <v>0</v>
      </c>
      <c r="AU138" s="21">
        <f>EXP(-LN(2)/35)*AU137+(1-EXP(-LN(2)/35))/(LN(2)/35)*AQ138*AR138*VLOOKUP('Données projet'!$B$10,Paramètres!$A$1:$I$89,3,0)*0.475*44/12</f>
        <v>1.0429980374447803</v>
      </c>
      <c r="AV138" s="21">
        <f>EXP(-LN(2)/25)*AV137+(1-EXP(-LN(2)/25))/(LN(2)/25)*Calculateur!AQ138*Calculateur!AS138*VLOOKUP('Données projet'!$B$10,Paramètres!$A$1:$I$89,3,0)*0.475*44/12</f>
        <v>1.5163830646129119</v>
      </c>
      <c r="AW138" s="21">
        <f>EXP(-LN(2)/2)*AW137+(1-EXP(-LN(2)/2))/(LN(2)/2)*AQ138*AT138*VLOOKUP('Données projet'!$B$10,Paramètres!$A$1:$I$89,3,0)*0.475*44/12</f>
        <v>3.8312126186966713E-15</v>
      </c>
      <c r="AX138" s="21">
        <f t="shared" si="114"/>
        <v>2.5593811020576962</v>
      </c>
      <c r="AY138" s="74">
        <f>('Scénario référence'!$F$8+'Scénario référence'!$F$9+'Scénario référence'!$B$17+'Scénario référence'!$B$9+'Scénario référence'!$B$10)*70+IF((45+25*(1-EXP(-0.0175*A138)))&lt;70,'Scénario référence'!$B$16*(45+25*(1-EXP(-0.0175*A138))),70*'Scénario référence'!$B$16)+IF((32+38*(1-EXP(-0.0175*A138)))&lt;70,'Scénario référence'!$B$18*(32+38*(1-EXP(-0.0175*A138))),70*'Scénario référence'!$B$18)</f>
        <v>70</v>
      </c>
      <c r="AZ138" s="12">
        <f>IF(A138&gt;30,10,('Scénario référence'!$B$16+'Scénario référence'!$B$17+'Scénario référence'!$B$18+'Scénario référence'!$B$9+'Scénario référence'!$B$10)*A138*10/30+('Scénario référence'!$F$8+'Scénario référence'!$F$9)*10)</f>
        <v>10</v>
      </c>
      <c r="BA138" s="12" t="e">
        <f>VLOOKUP(A138,'Données projet'!$A$87:$I$107,2,0)</f>
        <v>#N/A</v>
      </c>
      <c r="BB138" s="12" t="e">
        <f>VLOOKUP(A138,'Données projet'!$A$87:$I$107,9,0)</f>
        <v>#N/A</v>
      </c>
      <c r="BC138" s="12">
        <f t="array" ref="BC138">INDEX(BB:BB,MIN(IF(ISNUMBER(BB138:BB334),ROW(BB138:BB334),"")))</f>
        <v>0</v>
      </c>
      <c r="BD138" s="12">
        <f>IF('Données projet'!$A$88&gt;35,BD137+BC138-BL137,IF(A138&lt;'Données projet'!$A$88,$BA$205^A138,IF(A138='Données projet'!$A$88,'Données projet'!$B$88,BD137+BC138-BL137)))</f>
        <v>553.99999999999955</v>
      </c>
      <c r="BE138" s="13">
        <f>BD138*VLOOKUP('Données projet'!$B$11,Paramètres!$A$1:$I$89,3,0)*VLOOKUP('Données projet'!$B$11,Paramètres!$A$1:$I$89,5,0)</f>
        <v>331.29199999999975</v>
      </c>
      <c r="BF138" s="13">
        <f t="shared" si="145"/>
        <v>77.698110787752</v>
      </c>
      <c r="BG138" s="20">
        <f t="shared" si="115"/>
        <v>712.32444295533423</v>
      </c>
      <c r="BH138" s="59">
        <f t="shared" si="116"/>
        <v>1005.6577762886675</v>
      </c>
      <c r="BI138" s="59">
        <f ca="1">AVERAGE(OFFSET($BH$3,0,0,'Données projet'!$E$11+1,1))-AVERAGE(OFFSET($H$3,0,0,'Données projet'!$E$11+1,1))</f>
        <v>316.58509520829671</v>
      </c>
      <c r="BJ138" s="59">
        <f t="shared" si="146"/>
        <v>240.71332110643596</v>
      </c>
      <c r="BK138" s="15">
        <f>IF(ISNA(VLOOKUP(A138,'Données projet'!$A$87:$I$107,3,0)),0,VLOOKUP(A138,'Données projet'!$A$87:$I$107,3,0))</f>
        <v>0</v>
      </c>
      <c r="BL138" s="15">
        <f>IF(ISNA(VLOOKUP(A138,'Données projet'!$A$87:$I$107,4,0)),0,VLOOKUP(A138,'Données projet'!$A$87:$I$107,4,0))</f>
        <v>0</v>
      </c>
      <c r="BM138" s="16">
        <f>IF(ISNA(VLOOKUP(A138,'Données projet'!$A$87:$I$107,5,0)),0%,VLOOKUP(A138,'Données projet'!$A$87:$I$107,5,0)*VLOOKUP('Données projet'!$B$11,Paramètres!$A$1:$I$89,7,0))</f>
        <v>0</v>
      </c>
      <c r="BN138" s="16">
        <f>IF(ISNA(VLOOKUP(A138,'Données projet'!$A$87:$I$107,6,0)),0%,VLOOKUP(A138,'Données projet'!$A$87:$I$107,6,0)*VLOOKUP('Données projet'!$B$11,Paramètres!$A$1:$I$89,7,0))</f>
        <v>0</v>
      </c>
      <c r="BO138" s="16">
        <f>IF(ISNA(VLOOKUP(A138,'Données projet'!$A$87:$I$107,7,0)),0%,VLOOKUP(A138,'Données projet'!$A$87:$I$107,7,0))</f>
        <v>0</v>
      </c>
      <c r="BP138" s="21">
        <f>EXP(-LN(2)/35)*BP137+(1-EXP(-LN(2)/35))/(LN(2)/35)*BL138*BM138*VLOOKUP('Données projet'!$B$11,Paramètres!$A$1:$I$89,3,0)*0.475*44/12</f>
        <v>0.3168184142759165</v>
      </c>
      <c r="BQ138" s="21">
        <f>EXP(-LN(2)/25)*BQ137+(1-EXP(-LN(2)/25))/(LN(2)/25)*Calculateur!BL138*Calculateur!BN138*VLOOKUP('Données projet'!$B$11,Paramètres!$A$1:$I$89,3,0)*0.475*44/12</f>
        <v>0.83071888793614979</v>
      </c>
      <c r="BR138" s="21">
        <f>EXP(-LN(2)/2)*BR137+(1-EXP(-LN(2)/2))/(LN(2)/2)*BL138*BO138*VLOOKUP('Données projet'!$B$11,Paramètres!$A$1:$I$89,3,0)*0.475*44/12</f>
        <v>3.4446797102904419E-15</v>
      </c>
      <c r="BS138" s="22">
        <f t="shared" si="117"/>
        <v>1.1475373022120698</v>
      </c>
      <c r="BT138" s="75">
        <f>('Scénario référence'!$F$8+'Scénario référence'!$F$9+'Scénario référence'!$B$17+'Scénario référence'!$B$9+'Scénario référence'!$B$10)*70+IF((45+25*(1-EXP(-0.0175*A138)))&lt;70,'Scénario référence'!$B$16*(45+25*(1-EXP(-0.0175*A138))),70*'Scénario référence'!$B$16)+IF((32+38*(1-EXP(-0.0175*A138)))&lt;70,'Scénario référence'!$B$18*(32+38*(1-EXP(-0.0175*A138))),70*'Scénario référence'!$B$18)</f>
        <v>70</v>
      </c>
      <c r="BU138" s="12">
        <f>IF(A138&gt;30,10,('Scénario référence'!$B$16+'Scénario référence'!$B$17+'Scénario référence'!$B$18+'Scénario référence'!$B$9+'Scénario référence'!$B$10)*A138*10/30+('Scénario référence'!$F$8+'Scénario référence'!$F$9)*10)</f>
        <v>10</v>
      </c>
      <c r="BV138" s="12" t="e">
        <f>VLOOKUP(A138,'Données projet'!$A$113:$I$133,2,0)</f>
        <v>#N/A</v>
      </c>
      <c r="BW138" s="12" t="e">
        <f>VLOOKUP(A138,'Données projet'!$A$113:$I$133,9,0)</f>
        <v>#N/A</v>
      </c>
      <c r="BX138" s="12">
        <f t="array" ref="BX138">INDEX(BW:BW,MIN(IF(ISNUMBER(BW138:BW334),ROW(BW138:BW334),"")))</f>
        <v>0</v>
      </c>
      <c r="BY138" s="12">
        <f>IF('Données projet'!$A$114&gt;35,BY137+BX138-CG137,IF(A138&lt;'Données projet'!$A$114,$BV$205^A138,IF(A138='Données projet'!$A$114,'Données projet'!$B$114,BY137+BX138-CG137)))</f>
        <v>333.99999999999977</v>
      </c>
      <c r="BZ138" s="13">
        <f>BY138*VLOOKUP('Données projet'!$B$12,Paramètres!$A$1:$I$89,3,0)*VLOOKUP('Données projet'!$B$12,Paramètres!$A$1:$I$89,5,0)</f>
        <v>191.04799999999986</v>
      </c>
      <c r="CA138" s="13">
        <f t="shared" si="147"/>
        <v>47.771576544305155</v>
      </c>
      <c r="CB138" s="20">
        <f t="shared" si="118"/>
        <v>415.94409581466454</v>
      </c>
      <c r="CC138" s="59">
        <f t="shared" si="119"/>
        <v>709.27742914799785</v>
      </c>
      <c r="CD138" s="59">
        <f ca="1">AVERAGE(OFFSET($CC$3,0,0,'Données projet'!$E$12+1,1))-AVERAGE(OFFSET($H$3,0,0,'Données projet'!$E$12+1,1))</f>
        <v>188.64374818906128</v>
      </c>
      <c r="CE138" s="59">
        <f t="shared" si="148"/>
        <v>211.95157880548652</v>
      </c>
      <c r="CF138" s="15">
        <f>IF(ISNA(VLOOKUP(A138,'Données projet'!$A$113:$I$133,3,0)),0,VLOOKUP(A138,'Données projet'!$A$113:$I$133,3,0))</f>
        <v>0</v>
      </c>
      <c r="CG138" s="15">
        <f>IF(ISNA(VLOOKUP(A138,'Données projet'!$A$113:$I$133,4,0)),0,VLOOKUP(A138,'Données projet'!$A$113:$I$133,4,0))</f>
        <v>0</v>
      </c>
      <c r="CH138" s="16">
        <f>IF(ISNA(VLOOKUP(A138,'Données projet'!$A$113:$I$133,5,0)),0%,VLOOKUP(A138,'Données projet'!$A$113:$I$133,5,0)*VLOOKUP('Données projet'!$B$12,Paramètres!$A$1:$I$89,7,0))</f>
        <v>0</v>
      </c>
      <c r="CI138" s="16">
        <f>IF(ISNA(VLOOKUP(A138,'Données projet'!$A$113:$I$133,6,0)),0%,VLOOKUP(A138,'Données projet'!$A$113:$I$133,6,0)*VLOOKUP('Données projet'!$B$12,Paramètres!$A$1:$I$89,7,0))</f>
        <v>0</v>
      </c>
      <c r="CJ138" s="16">
        <f>IF(ISNA(VLOOKUP(A138,'Données projet'!$A$113:$I$133,7,0)),0%,VLOOKUP(A138,'Données projet'!$A$113:$I$133,7,0))</f>
        <v>0</v>
      </c>
      <c r="CK138" s="21">
        <f>EXP(-LN(2)/35)*CK137+(1-EXP(-LN(2)/35))/(LN(2)/35)*CG138*CH138*VLOOKUP('Données projet'!$B$12,Paramètres!$A$1:$I$89,3,0)*0.475*44/12</f>
        <v>0.30731192174712263</v>
      </c>
      <c r="CL138" s="21">
        <f>EXP(-LN(2)/25)*CL137+(1-EXP(-LN(2)/25))/(LN(2)/25)*Calculateur!CG138*Calculateur!CI138*VLOOKUP('Données projet'!$B$12,Paramètres!$A$1:$I$89,3,0)*0.475*44/12</f>
        <v>0.7818914262654566</v>
      </c>
      <c r="CM138" s="21">
        <f>EXP(-LN(2)/2)*CM137+(1-EXP(-LN(2)/2))/(LN(2)/2)*CG138*CJ138*VLOOKUP('Données projet'!$B$12,Paramètres!$A$1:$I$89,3,0)*0.475*44/12</f>
        <v>3.3359027836730558E-15</v>
      </c>
      <c r="CN138" s="22">
        <f t="shared" si="120"/>
        <v>1.0892033480125825</v>
      </c>
      <c r="CO138" s="75">
        <f>('Scénario référence'!$F$8+'Scénario référence'!$F$9+'Scénario référence'!$B$17+'Scénario référence'!$B$9+'Scénario référence'!$B$10)*70+IF((45+25*(1-EXP(-0.0175*A138)))&lt;70,'Scénario référence'!$B$16*(45+25*(1-EXP(-0.0175*A138))),70*'Scénario référence'!$B$16)+IF((32+38*(1-EXP(-0.0175*A138)))&lt;70,'Scénario référence'!$B$18*(32+38*(1-EXP(-0.0175*A138))),70*'Scénario référence'!$B$18)</f>
        <v>70</v>
      </c>
      <c r="CP138" s="12">
        <f>IF(A138&gt;30,10,('Scénario référence'!$B$16+'Scénario référence'!$B$17+'Scénario référence'!$B$18+'Scénario référence'!$B$9+'Scénario référence'!$B$10)*A138*10/30+('Scénario référence'!$F$8+'Scénario référence'!$F$9)*10)</f>
        <v>10</v>
      </c>
      <c r="CQ138" s="12" t="e">
        <f>VLOOKUP(A138,'Données projet'!$A$139:$I$159,2,0)</f>
        <v>#N/A</v>
      </c>
      <c r="CR138" s="12" t="e">
        <f>VLOOKUP(A138,'Données projet'!$A$139:$I$159,9,0)</f>
        <v>#N/A</v>
      </c>
      <c r="CS138" s="12">
        <f t="array" ref="CS138">INDEX(CR:CR,MIN(IF(ISNUMBER(CR138:CR334),ROW(CR138:CR334),"")))</f>
        <v>0</v>
      </c>
      <c r="CT138" s="12">
        <f>IF('Données projet'!$A$140&gt;35,CT137+CS138-DB137,IF(A138&lt;'Données projet'!$A$140,$CQ$205^A138,IF(A138='Données projet'!$A$140,'Données projet'!$B$140,CT137+CS138-DB137)))</f>
        <v>0</v>
      </c>
      <c r="CU138" s="17" t="e">
        <f>CT138*VLOOKUP('Données projet'!$B$13,Paramètres!$A$1:$I$89,3,0)*VLOOKUP('Données projet'!$B$13,Paramètres!$A$1:$I$89,5,0)</f>
        <v>#N/A</v>
      </c>
      <c r="CV138" s="13" t="e">
        <f t="shared" si="149"/>
        <v>#N/A</v>
      </c>
      <c r="CW138" s="20" t="e">
        <f t="shared" si="121"/>
        <v>#N/A</v>
      </c>
      <c r="CX138" s="59" t="e">
        <f t="shared" si="122"/>
        <v>#N/A</v>
      </c>
      <c r="CY138" s="59" t="e">
        <f ca="1">AVERAGE(OFFSET($CX$3,0,0,'Données projet'!$E$13+1,1))-AVERAGE(OFFSET($H$3,0,0,'Données projet'!$E$13+1,1))</f>
        <v>#N/A</v>
      </c>
      <c r="CZ138" s="59" t="e">
        <f t="shared" si="150"/>
        <v>#N/A</v>
      </c>
      <c r="DA138" s="15">
        <f>IF(ISNA(VLOOKUP(A138,'Données projet'!$A$139:$I$159,3,0)),0,VLOOKUP(A138,'Données projet'!$A$139:$I$159,3,0))</f>
        <v>0</v>
      </c>
      <c r="DB138" s="15">
        <f>IF(ISNA(VLOOKUP(A138,'Données projet'!$A$139:$I$159,4,0)),0,VLOOKUP(A138,'Données projet'!$A$139:$I$159,4,0))</f>
        <v>0</v>
      </c>
      <c r="DC138" s="16">
        <f>IF(ISNA(VLOOKUP(A138,'Données projet'!$A$139:$I$159,5,0)),0%,VLOOKUP(A138,'Données projet'!$A$139:$I$159,5,0)*VLOOKUP('Données projet'!$B$13,Paramètres!$A$1:$I$89,7,0))</f>
        <v>0</v>
      </c>
      <c r="DD138" s="16">
        <f>IF(ISNA(VLOOKUP(A138,'Données projet'!$A$139:$I$159,6,0)),0%,VLOOKUP(A138,'Données projet'!$A$139:$I$159,6,0)*VLOOKUP('Données projet'!$B$13,Paramètres!$A$1:$I$89,7,0))</f>
        <v>0</v>
      </c>
      <c r="DE138" s="16">
        <f>IF(ISNA(VLOOKUP(A138,'Données projet'!$A$139:$I$159,7,0)),0%,VLOOKUP(A138,'Données projet'!$A$139:$I$159,7,0))</f>
        <v>0</v>
      </c>
      <c r="DF138" s="21" t="e">
        <f>EXP(-LN(2)/35)*DF137+(1-EXP(-LN(2)/35))/(LN(2)/35)*DB138*DC138*VLOOKUP('Données projet'!$B$13,Paramètres!$A$1:$I$89,3,0)*0.475*44/12</f>
        <v>#N/A</v>
      </c>
      <c r="DG138" s="21" t="e">
        <f>EXP(-LN(2)/25)*DG137+(1-EXP(-LN(2)/25))/(LN(2)/25)*Calculateur!DB138*Calculateur!DD138*VLOOKUP('Données projet'!$B$13,Paramètres!$A$1:$I$89,3,0)*0.475*44/12</f>
        <v>#N/A</v>
      </c>
      <c r="DH138" s="21" t="e">
        <f>EXP(-LN(2)/2)*DH137+(1-EXP(-LN(2)/2))/(LN(2)/2)*DB138*DE138*VLOOKUP('Données projet'!$B$13,Paramètres!$A$1:$I$89,3,0)*0.475*44/12</f>
        <v>#N/A</v>
      </c>
      <c r="DI138" s="22" t="e">
        <f t="shared" si="123"/>
        <v>#N/A</v>
      </c>
      <c r="DJ138" s="75">
        <f>('Scénario référence'!$F$8+'Scénario référence'!$F$9+'Scénario référence'!$B$17+'Scénario référence'!$B$9+'Scénario référence'!$B$10)*70+IF((45+25*(1-EXP(-0.0175*A138)))&lt;70,'Scénario référence'!$B$16*(45+25*(1-EXP(-0.0175*A138))),70*'Scénario référence'!$B$16)+IF((32+38*(1-EXP(-0.0175*A138)))&lt;70,'Scénario référence'!$B$18*(32+38*(1-EXP(-0.0175*A138))),70*'Scénario référence'!$B$18)</f>
        <v>70</v>
      </c>
      <c r="DK138" s="12">
        <f>IF(A138&gt;30,10,('Scénario référence'!$B$16+'Scénario référence'!$B$17+'Scénario référence'!$B$18+'Scénario référence'!$B$9+'Scénario référence'!$B$10)*A138*10/30+('Scénario référence'!$F$8+'Scénario référence'!$F$9)*10)</f>
        <v>10</v>
      </c>
      <c r="DL138" s="12" t="e">
        <f>VLOOKUP(A138,'Données projet'!$A$165:$I$185,2,0)</f>
        <v>#N/A</v>
      </c>
      <c r="DM138" s="12" t="e">
        <f>VLOOKUP(A138,'Données projet'!$A$165:$I$185,9,0)</f>
        <v>#N/A</v>
      </c>
      <c r="DN138" s="12">
        <f t="array" ref="DN138">INDEX(DM:DM,MIN(IF(ISNUMBER(DM138:DM334),ROW(DM138:DM334),"")))</f>
        <v>0</v>
      </c>
      <c r="DO138" s="12">
        <f>IF('Données projet'!$A$166&gt;35,DO137+DN138-DW137,IF(A138&lt;'Données projet'!$A$166,$DL$205^A138,IF(A138='Données projet'!$A$166,'Données projet'!$B$166,DO137+DN138-DW137)))</f>
        <v>268.00000000000017</v>
      </c>
      <c r="DP138" s="17">
        <f>DO138*VLOOKUP('Données projet'!$B$14,Paramètres!$A$1:$I$89,3,0)*VLOOKUP('Données projet'!$B$14,Paramètres!$A$1:$I$89,5,0)</f>
        <v>175.59360000000012</v>
      </c>
      <c r="DQ138" s="13">
        <f t="shared" si="151"/>
        <v>44.340433728638573</v>
      </c>
      <c r="DR138" s="20">
        <f t="shared" si="124"/>
        <v>383.05177541071242</v>
      </c>
      <c r="DS138" s="59">
        <f t="shared" si="125"/>
        <v>676.38510874404574</v>
      </c>
      <c r="DT138" s="59">
        <f ca="1">AVERAGE(OFFSET($DS$3,0,0,'Données projet'!$E$14+1,1))-AVERAGE(OFFSET($H$3,0,0,'Données projet'!$E$14+1,1))</f>
        <v>188.68915783955595</v>
      </c>
      <c r="DU138" s="59">
        <f t="shared" si="152"/>
        <v>240.82467772396944</v>
      </c>
      <c r="DV138" s="15">
        <f>IF(ISNA(VLOOKUP(A138,'Données projet'!$A$165:$I$185,3,0)),0,VLOOKUP(A138,'Données projet'!$A$165:$I$185,3,0))</f>
        <v>0</v>
      </c>
      <c r="DW138" s="15">
        <f>IF(ISNA(VLOOKUP(A138,'Données projet'!$A$165:$I$185,4,0)),0,VLOOKUP(A138,'Données projet'!$A$165:$I$185,4,0))</f>
        <v>0</v>
      </c>
      <c r="DX138" s="16">
        <f>IF(ISNA(VLOOKUP(A138,'Données projet'!$A$165:$I$185,5,0)),0%,VLOOKUP(A138,'Données projet'!$A$165:$I$185,5,0)*VLOOKUP('Données projet'!$B$14,Paramètres!$A$1:$I$89,7,0))</f>
        <v>0</v>
      </c>
      <c r="DY138" s="16">
        <f>IF(ISNA(VLOOKUP(A138,'Données projet'!$A$165:$I$185,6,0)),0%,VLOOKUP(A138,'Données projet'!$A$165:$I$185,6,0)*VLOOKUP('Données projet'!$B$14,Paramètres!$A$1:$I$89,7,0))</f>
        <v>0</v>
      </c>
      <c r="DZ138" s="16">
        <f>IF(ISNA(VLOOKUP(A138,'Données projet'!$A$165:$I$185,7,0)),0%,VLOOKUP(A138,'Données projet'!$A$165:$I$185,7,0))</f>
        <v>0</v>
      </c>
      <c r="EA138" s="21">
        <f>EXP(-LN(2)/35)*EA137+(1-EXP(-LN(2)/35))/(LN(2)/35)*DW138*DX138*VLOOKUP('Données projet'!$B$14,Paramètres!$A$1:$I$89,3,0)*0.475*44/12</f>
        <v>0.19465675178005862</v>
      </c>
      <c r="EB138" s="21">
        <f>EXP(-LN(2)/25)*EB137+(1-EXP(-LN(2)/25))/(LN(2)/25)*Calculateur!DW138*Calculateur!DY138*VLOOKUP('Données projet'!$B$14,Paramètres!$A$1:$I$89,3,0)*0.475*44/12</f>
        <v>0.43734443031696707</v>
      </c>
      <c r="EC138" s="21">
        <f>EXP(-LN(2)/2)*EC137+(1-EXP(-LN(2)/2))/(LN(2)/2)*DW138*DZ138*VLOOKUP('Données projet'!$B$14,Paramètres!$A$1:$I$89,3,0)*0.475*44/12</f>
        <v>2.197565462780511E-15</v>
      </c>
      <c r="ED138" s="22">
        <f t="shared" si="126"/>
        <v>0.63200118209702794</v>
      </c>
      <c r="EE138" s="75">
        <f>('Scénario référence'!$F$8+'Scénario référence'!$F$9+'Scénario référence'!$B$17+'Scénario référence'!$B$9+'Scénario référence'!$B$10)*70+IF((45+25*(1-EXP(-0.0175*A138)))&lt;70,'Scénario référence'!$B$16*(45+25*(1-EXP(-0.0175*A138))),70*'Scénario référence'!$B$16)+IF((32+38*(1-EXP(-0.0175*A138)))&lt;70,'Scénario référence'!$B$18*(32+38*(1-EXP(-0.0175*A138))),70*'Scénario référence'!$B$18)</f>
        <v>70</v>
      </c>
      <c r="EF138" s="12">
        <f>IF(A138&gt;30,10,('Scénario référence'!$B$16+'Scénario référence'!$B$17+'Scénario référence'!$B$18+'Scénario référence'!$B$9+'Scénario référence'!$B$10)*A138*10/30+('Scénario référence'!$F$8+'Scénario référence'!$F$9)*10)</f>
        <v>10</v>
      </c>
      <c r="EG138" s="12" t="e">
        <f>VLOOKUP(A138,'Données projet'!$A$191:$I$211,2,0)</f>
        <v>#N/A</v>
      </c>
      <c r="EH138" s="12" t="e">
        <f>VLOOKUP(A138,'Données projet'!$A$191:$I$211,9,0)</f>
        <v>#N/A</v>
      </c>
      <c r="EI138" s="12">
        <f t="array" ref="EI138">INDEX(EH:EH,MIN(IF(ISNUMBER(EH138:EH334),ROW(EH138:EH334),"")))</f>
        <v>0</v>
      </c>
      <c r="EJ138" s="12">
        <f>IF('Données projet'!$A$192&gt;35,EJ137+EI138-ER137,IF(A138&lt;'Données projet'!$A$192,$EG$205^A138,IF(A138='Données projet'!$A$192,'Données projet'!$B$192,EJ137+EI138-ER137)))</f>
        <v>275.99999999999972</v>
      </c>
      <c r="EK138" s="17">
        <f>EJ138*VLOOKUP('Données projet'!$B$15,Paramètres!$A$1:$I$89,3,0)*VLOOKUP('Données projet'!$B$15,Paramètres!$A$1:$I$89,5,0)</f>
        <v>223.8911999999998</v>
      </c>
      <c r="EL138" s="13">
        <f t="shared" si="153"/>
        <v>54.95975389514858</v>
      </c>
      <c r="EM138" s="20">
        <f t="shared" si="127"/>
        <v>485.66541136738346</v>
      </c>
      <c r="EN138" s="59">
        <f t="shared" si="128"/>
        <v>778.99874470071677</v>
      </c>
      <c r="EO138" s="59">
        <f ca="1">AVERAGE(OFFSET($EN$3,0,0,'Données projet'!$E$15+1,1))-AVERAGE(OFFSET($H$3,0,0,'Données projet'!$E$15+1,1))</f>
        <v>205.5272583787887</v>
      </c>
      <c r="EP138" s="59">
        <f t="shared" si="154"/>
        <v>180.54762778843178</v>
      </c>
      <c r="EQ138" s="15">
        <f>IF(ISNA(VLOOKUP(A138,'Données projet'!$A$191:$I$211,3,0)),0,VLOOKUP(A138,'Données projet'!$A$191:$I$211,3,0))</f>
        <v>0</v>
      </c>
      <c r="ER138" s="15">
        <f>IF(ISNA(VLOOKUP(A138,'Données projet'!$A$191:$I$211,4,0)),0,VLOOKUP(A138,'Données projet'!$A$191:$I$211,4,0))</f>
        <v>0</v>
      </c>
      <c r="ES138" s="16">
        <f>IF(ISNA(VLOOKUP(A138,'Données projet'!$A$191:$I$211,5,0)),0%,VLOOKUP(A138,'Données projet'!$A$191:$I$211,5,0)*VLOOKUP('Données projet'!$B$15,Paramètres!$A$1:$I$89,7,0))</f>
        <v>0</v>
      </c>
      <c r="ET138" s="16">
        <f>IF(ISNA(VLOOKUP(A138,'Données projet'!$A$191:$I$211,6,0)),0%,VLOOKUP(A138,'Données projet'!$A$191:$I$211,6,0)*VLOOKUP('Données projet'!$B$15,Paramètres!$A$1:$I$89,7,0))</f>
        <v>0</v>
      </c>
      <c r="EU138" s="16">
        <f>IF(ISNA(VLOOKUP(A138,'Données projet'!$A$191:$I$211,7,0)),0%,VLOOKUP(A138,'Données projet'!$A$191:$I$211,7,0))</f>
        <v>0</v>
      </c>
      <c r="EV138" s="21">
        <f>EXP(-LN(2)/35)*EV137+(1-EXP(-LN(2)/35))/(LN(2)/35)*ER138*ES138*VLOOKUP('Données projet'!$B$15,Paramètres!$A$1:$I$89,3,0)*0.475*44/12</f>
        <v>0.12532187066982828</v>
      </c>
      <c r="EW138" s="21">
        <f>EXP(-LN(2)/25)*EW137+(1-EXP(-LN(2)/25))/(LN(2)/25)*Calculateur!ER138*Calculateur!ET138*VLOOKUP('Données projet'!$B$15,Paramètres!$A$1:$I$89,3,0)*0.475*44/12</f>
        <v>0.31577594595412867</v>
      </c>
      <c r="EX138" s="21">
        <f>EXP(-LN(2)/2)*EX137+(1-EXP(-LN(2)/2))/(LN(2)/2)*ER138*EU138*VLOOKUP('Données projet'!$B$15,Paramètres!$A$1:$I$89,3,0)*0.475*44/12</f>
        <v>1.4229252620878733E-15</v>
      </c>
      <c r="EY138" s="22">
        <f t="shared" si="129"/>
        <v>0.44109781662395842</v>
      </c>
      <c r="EZ138" s="75">
        <f>('Scénario référence'!$F$8+'Scénario référence'!$F$9+'Scénario référence'!$B$17+'Scénario référence'!$B$9+'Scénario référence'!$B$10)*70+IF((45+25*(1-EXP(-0.0175*A138)))&lt;70,'Scénario référence'!$B$16*(45+25*(1-EXP(-0.0175*A138))),70*'Scénario référence'!$B$16)+IF((32+38*(1-EXP(-0.0175*A138)))&lt;70,'Scénario référence'!$B$18*(32+38*(1-EXP(-0.0175*A138))),70*'Scénario référence'!$B$18)</f>
        <v>70</v>
      </c>
      <c r="FA138" s="12">
        <f>IF(A138&gt;30,10,('Scénario référence'!$B$16+'Scénario référence'!$B$17+'Scénario référence'!$B$18+'Scénario référence'!$B$9+'Scénario référence'!$B$10)*A138*10/30+('Scénario référence'!$F$8+'Scénario référence'!$F$9)*10)</f>
        <v>10</v>
      </c>
      <c r="FB138" s="12" t="e">
        <f>VLOOKUP(A138,'Données projet'!$A$217:$I$237,2,0)</f>
        <v>#N/A</v>
      </c>
      <c r="FC138" s="12" t="e">
        <f>VLOOKUP(A138,'Données projet'!$A$217:$I$237,9,0)</f>
        <v>#N/A</v>
      </c>
      <c r="FD138" s="12">
        <f t="array" ref="FD138">INDEX(FC:FC,MIN(IF(ISNUMBER(FC138:FC334),ROW(FC138:FC334),"")))</f>
        <v>5.5</v>
      </c>
      <c r="FE138" s="12">
        <f>IF('Données projet'!$A$218&gt;35,FE137+FD138-FM137,IF(A138&lt;'Données projet'!$A$218,$FB$205^A138,IF(A138='Données projet'!$A$218,'Données projet'!$B$218,FE137+FD138-FM137)))</f>
        <v>430.49999999999994</v>
      </c>
      <c r="FF138" s="17">
        <f>FE138*VLOOKUP('Données projet'!$B$16,Paramètres!$A$1:$I$89,3,0)*VLOOKUP('Données projet'!$B$16,Paramètres!$A$1:$I$89,5,0)</f>
        <v>369.36899999999997</v>
      </c>
      <c r="FG138" s="13">
        <f t="shared" si="155"/>
        <v>85.538201144343986</v>
      </c>
      <c r="FH138" s="20">
        <f t="shared" si="130"/>
        <v>792.2967086597323</v>
      </c>
      <c r="FI138" s="59">
        <f t="shared" si="131"/>
        <v>1085.6300419930656</v>
      </c>
      <c r="FJ138" s="59">
        <f ca="1">AVERAGE(OFFSET($FI$3,0,0,'Données projet'!$E$16+1,1))-AVERAGE(OFFSET($H$3,0,0,'Données projet'!$E$16+1,1))</f>
        <v>383.97627237444709</v>
      </c>
      <c r="FK138" s="59">
        <f t="shared" si="156"/>
        <v>203.35476578922339</v>
      </c>
      <c r="FL138" s="15">
        <f>IF(ISNA(VLOOKUP(A138,'Données projet'!$A$217:$I$237,3,0)),0,VLOOKUP(A138,'Données projet'!$A$217:$I$237,3,0))</f>
        <v>0</v>
      </c>
      <c r="FM138" s="15">
        <f>IF(ISNA(VLOOKUP(A138,'Données projet'!$A$217:$I$237,4,0)),0,VLOOKUP(A138,'Données projet'!$A$217:$I$237,4,0))</f>
        <v>0</v>
      </c>
      <c r="FN138" s="16">
        <f>IF(ISNA(VLOOKUP(A138,'Données projet'!$A$217:$I$237,5,0)),0%,VLOOKUP(A138,'Données projet'!$A$217:$I$237,5,0)*VLOOKUP('Données projet'!$B$16,Paramètres!$A$1:$I$89,7,0))</f>
        <v>0</v>
      </c>
      <c r="FO138" s="16">
        <f>IF(ISNA(VLOOKUP(A138,'Données projet'!$A$217:$I$237,6,0)),0%,VLOOKUP(A138,'Données projet'!$A$217:$I$237,6,0)*VLOOKUP('Données projet'!$B$16,Paramètres!$A$1:$I$89,7,0))</f>
        <v>0</v>
      </c>
      <c r="FP138" s="16">
        <f>IF(ISNA(VLOOKUP(A138,'Données projet'!$A$217:$I$237,7,0)),0%,VLOOKUP(A138,'Données projet'!$A$217:$I$237,7,0))</f>
        <v>0</v>
      </c>
      <c r="FQ138" s="21">
        <f>EXP(-LN(2)/35)*FQ137+(1-EXP(-LN(2)/35))/(LN(2)/35)*FM138*FN138*VLOOKUP('Données projet'!$B$16,Paramètres!$A$1:$I$89,3,0)*0.475*44/12</f>
        <v>0.64408642549816653</v>
      </c>
      <c r="FR138" s="21">
        <f>EXP(-LN(2)/25)*FR137+(1-EXP(-LN(2)/25))/(LN(2)/25)*Calculateur!FM138*Calculateur!FO138*VLOOKUP('Données projet'!$B$16,Paramètres!$A$1:$I$89,3,0)*0.475*44/12</f>
        <v>0.32054522368932731</v>
      </c>
      <c r="FS138" s="21">
        <f>EXP(-LN(2)/2)*FS137+(1-EXP(-LN(2)/2))/(LN(2)/2)*FM138*FP138*VLOOKUP('Données projet'!$B$16,Paramètres!$A$1:$I$89,3,0)*0.475*44/12</f>
        <v>2.6136216799114896E-15</v>
      </c>
      <c r="FT138" s="22">
        <f t="shared" si="132"/>
        <v>0.96463164918749644</v>
      </c>
      <c r="FU138" s="75">
        <f>('Scénario référence'!$F$8+'Scénario référence'!$F$9+'Scénario référence'!$B$17+'Scénario référence'!$B$9+'Scénario référence'!$B$10)*70+IF((45+25*(1-EXP(-0.0175*A138)))&lt;70,'Scénario référence'!$B$16*(45+25*(1-EXP(-0.0175*A138))),70*'Scénario référence'!$B$16)+IF((32+38*(1-EXP(-0.0175*A138)))&lt;70,'Scénario référence'!$B$18*(32+38*(1-EXP(-0.0175*A138))),70*'Scénario référence'!$B$18)</f>
        <v>70</v>
      </c>
      <c r="FV138" s="12">
        <f>IF(A138&gt;30,10,('Scénario référence'!$B$16+'Scénario référence'!$B$17+'Scénario référence'!$B$18+'Scénario référence'!$B$9+'Scénario référence'!$B$10)*A138*10/30+('Scénario référence'!$F$8+'Scénario référence'!$F$9)*10)</f>
        <v>10</v>
      </c>
      <c r="FW138" s="12" t="e">
        <f>VLOOKUP(A138,'Données projet'!$A$243:$I$263,2,0)</f>
        <v>#N/A</v>
      </c>
      <c r="FX138" s="12" t="e">
        <f>VLOOKUP(A138,'Données projet'!$A$243:$I$263,9,0)</f>
        <v>#N/A</v>
      </c>
      <c r="FY138" s="12">
        <f t="array" ref="FY138">INDEX(FX:FX,MIN(IF(ISNUMBER(FX138:FX334),ROW(FX138:FX334),"")))</f>
        <v>0</v>
      </c>
      <c r="FZ138" s="12">
        <f>IF('Données projet'!$A$244&gt;35,FZ137+FY138-GH137,IF(A138&lt;'Données projet'!$A$244,$FW$205^A138,IF(A138='Données projet'!$A$244,'Données projet'!$B$244,FZ137+FY138-GH137)))</f>
        <v>4.5474735088646412E-13</v>
      </c>
      <c r="GA138" s="17">
        <f>FZ138*VLOOKUP('Données projet'!$B$17,Paramètres!$A$1:$I$89,3,0)*VLOOKUP('Données projet'!$B$17,Paramètres!$A$1:$I$89,5,0)</f>
        <v>4.8949004849418999E-13</v>
      </c>
      <c r="GB138" s="13">
        <f t="shared" si="157"/>
        <v>6.1123715499968684E-12</v>
      </c>
      <c r="GC138" s="20">
        <f t="shared" si="133"/>
        <v>1.1498242284038591E-11</v>
      </c>
      <c r="GD138" s="59">
        <f t="shared" si="134"/>
        <v>293.3333333333448</v>
      </c>
      <c r="GE138" s="59">
        <f ca="1">AVERAGE(OFFSET($GD$3,0,0,'Données projet'!$E$17+1,1))-AVERAGE(OFFSET($H$3,0,0,'Données projet'!$E$17+1,1))</f>
        <v>286.77702855541287</v>
      </c>
      <c r="GF138" s="59">
        <f t="shared" si="158"/>
        <v>227.12211541860779</v>
      </c>
      <c r="GG138" s="15">
        <f>IF(ISNA(VLOOKUP(A138,'Données projet'!$A$243:$I$263,3,0)),0,VLOOKUP(A138,'Données projet'!$A$243:$I$263,3,0))</f>
        <v>0</v>
      </c>
      <c r="GH138" s="15">
        <f>IF(ISNA(VLOOKUP(A138,'Données projet'!$A$243:$I$263,4,0)),0,VLOOKUP(A138,'Données projet'!$A$243:$I$263,4,0))</f>
        <v>0</v>
      </c>
      <c r="GI138" s="16">
        <f>IF(ISNA(VLOOKUP(A138,'Données projet'!$A$243:$I$263,5,0)),0%,VLOOKUP(A138,'Données projet'!$A$243:$I$263,5,0)*VLOOKUP('Données projet'!$B$17,Paramètres!$A$1:$I$89,7,0))</f>
        <v>0</v>
      </c>
      <c r="GJ138" s="16">
        <f>IF(ISNA(VLOOKUP(A138,'Données projet'!$A$243:$I$263,6,0)),0%,VLOOKUP(A138,'Données projet'!$A$243:$I$263,6,0)*VLOOKUP('Données projet'!$B$17,Paramètres!$A$1:$I$89,7,0))</f>
        <v>0</v>
      </c>
      <c r="GK138" s="16">
        <f>IF(ISNA(VLOOKUP(A138,'Données projet'!$A$243:$I$263,7,0)),0%,VLOOKUP(A138,'Données projet'!$A$243:$I$263,7,0))</f>
        <v>0</v>
      </c>
      <c r="GL138" s="21">
        <f>EXP(-LN(2)/35)*GL137+(1-EXP(-LN(2)/35))/(LN(2)/35)*GH138*GI138*VLOOKUP('Données projet'!$B$17,Paramètres!$A$1:$I$89,3,0)*0.475*44/12</f>
        <v>0</v>
      </c>
      <c r="GM138" s="21">
        <f>EXP(-LN(2)/25)*GM137+(1-EXP(-LN(2)/25))/(LN(2)/25)*Calculateur!GH138*Calculateur!GJ138*VLOOKUP('Données projet'!$B$17,Paramètres!$A$1:$I$89,3,0)*0.475*44/12</f>
        <v>0</v>
      </c>
      <c r="GN138" s="21">
        <f>EXP(-LN(2)/2)*GN137+(1-EXP(-LN(2)/2))/(LN(2)/2)*GH138*GK138*VLOOKUP('Données projet'!$B$17,Paramètres!$A$1:$I$89,3,0)*0.475*44/12</f>
        <v>0</v>
      </c>
      <c r="GO138" s="21">
        <f t="shared" si="135"/>
        <v>0</v>
      </c>
      <c r="GP138" s="75">
        <f>('Scénario référence'!$F$8+'Scénario référence'!$F$9+'Scénario référence'!$B$17+'Scénario référence'!$B$9+'Scénario référence'!$B$10)*70+IF((45+25*(1-EXP(-0.0175*A138)))&lt;70,'Scénario référence'!$B$16*(45+25*(1-EXP(-0.0175*A138))),70*'Scénario référence'!$B$16)+IF((32+38*(1-EXP(-0.0175*A138)))&lt;70,'Scénario référence'!$B$18*(32+38*(1-EXP(-0.0175*A138))),70*'Scénario référence'!$B$18)</f>
        <v>70</v>
      </c>
      <c r="GQ138" s="12">
        <f>IF(A138&gt;30,10,('Scénario référence'!$B$16+'Scénario référence'!$B$17+'Scénario référence'!$B$18+'Scénario référence'!$B$9+'Scénario référence'!$B$10)*A138*10/30+('Scénario référence'!$F$8+'Scénario référence'!$F$9)*10)</f>
        <v>10</v>
      </c>
      <c r="GR138" s="12" t="e">
        <f>VLOOKUP(A138,'Données projet'!$A$269:$I$289,2,0)</f>
        <v>#N/A</v>
      </c>
      <c r="GS138" s="12" t="e">
        <f>VLOOKUP(A138,'Données projet'!$A$269:$I$289,9,0)</f>
        <v>#N/A</v>
      </c>
      <c r="GT138" s="12">
        <f t="array" ref="GT138">INDEX(GS:GS,MIN(IF(ISNUMBER(GS138:GS334),ROW(GS138:GS334),"")))</f>
        <v>0</v>
      </c>
      <c r="GU138" s="12">
        <f>IF('Données projet'!$A$270&gt;35,GU137+GT138-HC137,IF(A138&lt;'Données projet'!$A$270,$GR$205^A138,IF(A138='Données projet'!$A$270,'Données projet'!$B$270,GU137+GT138-HC137)))</f>
        <v>4.5474735088646412E-13</v>
      </c>
      <c r="GV138" s="17">
        <f>GU138*VLOOKUP('Données projet'!$B$18,Paramètres!$A$1:$I$89,3,0)*VLOOKUP('Données projet'!$B$18,Paramètres!$A$1:$I$89,5,0)</f>
        <v>4.8949004849418999E-13</v>
      </c>
      <c r="GW138" s="13">
        <f t="shared" si="159"/>
        <v>6.1123715499968684E-12</v>
      </c>
      <c r="GX138" s="20">
        <f t="shared" si="136"/>
        <v>1.1498242284038591E-11</v>
      </c>
      <c r="GY138" s="59">
        <f t="shared" si="137"/>
        <v>293.3333333333448</v>
      </c>
      <c r="GZ138" s="59">
        <f ca="1">AVERAGE(OFFSET($GY$3,0,0,'Données projet'!$E$18+1,1))-AVERAGE(OFFSET($H$3,0,0,'Données projet'!$E$18+1,1))</f>
        <v>286.77702855541287</v>
      </c>
      <c r="HA138" s="59">
        <f t="shared" si="160"/>
        <v>227.12211541860779</v>
      </c>
      <c r="HB138" s="15">
        <f>IF(ISNA(VLOOKUP(A138,'Données projet'!$A$269:$I$289,3,0)),0,VLOOKUP(A138,'Données projet'!$A$269:$I$289,3,0))</f>
        <v>0</v>
      </c>
      <c r="HC138" s="15">
        <f>IF(ISNA(VLOOKUP(A138,'Données projet'!$A$269:$I$289,4,0)),0,VLOOKUP(A138,'Données projet'!$A$269:$I$289,4,0))</f>
        <v>0</v>
      </c>
      <c r="HD138" s="16">
        <f>IF(ISNA(VLOOKUP(A138,'Données projet'!$A$269:$I$289,5,0)),0%,VLOOKUP(A138,'Données projet'!$A$269:$I$289,5,0)*VLOOKUP('Données projet'!$B$18,Paramètres!$A$1:$I$89,7,0))</f>
        <v>0</v>
      </c>
      <c r="HE138" s="16">
        <f>IF(ISNA(VLOOKUP(A138,'Données projet'!$A$269:$I$289,6,0)),0%,VLOOKUP(A138,'Données projet'!$A$269:$I$289,6,0)*VLOOKUP('Données projet'!$B$18,Paramètres!$A$1:$I$89,7,0))</f>
        <v>0</v>
      </c>
      <c r="HF138" s="16">
        <f>IF(ISNA(VLOOKUP(A138,'Données projet'!$A$269:$I$289,7,0)),0%,VLOOKUP(A138,'Données projet'!$A$269:$I$289,7,0))</f>
        <v>0</v>
      </c>
      <c r="HG138" s="21">
        <f>EXP(-LN(2)/35)*HG137+(1-EXP(-LN(2)/35))/(LN(2)/35)*HC138*HD138*VLOOKUP('Données projet'!$B$18,Paramètres!$A$1:$I$89,3,0)*0.475*44/12</f>
        <v>0</v>
      </c>
      <c r="HH138" s="21">
        <f>EXP(-LN(2)/25)*HH137+(1-EXP(-LN(2)/25))/(LN(2)/25)*Calculateur!HC138*Calculateur!HE138*VLOOKUP('Données projet'!$B$18,Paramètres!$A$1:$I$89,3,0)*0.475*44/12</f>
        <v>0</v>
      </c>
      <c r="HI138" s="21">
        <f>EXP(-LN(2)/2)*HI137+(1-EXP(-LN(2)/2))/(LN(2)/2)*HC138*HF138*VLOOKUP('Données projet'!$B$18,Paramètres!$A$1:$I$89,3,0)*0.475*44/12</f>
        <v>0</v>
      </c>
      <c r="HJ138" s="22">
        <f t="shared" si="138"/>
        <v>0</v>
      </c>
    </row>
    <row r="139" spans="1:218" x14ac:dyDescent="0.25">
      <c r="A139" s="10">
        <f t="shared" si="139"/>
        <v>136</v>
      </c>
      <c r="B139" s="73">
        <f>'Scénario référence'!$B$16*5+'Scénario référence'!$B$17*0+'Scénario référence'!$B$18*5</f>
        <v>0</v>
      </c>
      <c r="C139" s="19">
        <f>Calculateur!C138+'Scénario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120.93120000000023</v>
      </c>
      <c r="D139" s="11">
        <f t="shared" si="140"/>
        <v>31.892088595533707</v>
      </c>
      <c r="E13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39" s="11">
        <f>IF(OR('Scénario référence'!$F$8&gt;0,'Scénario référence'!$F$9&gt;0),('Scénario référence'!$F$8+'Scénario référence'!$F$9)*10,0)</f>
        <v>10</v>
      </c>
      <c r="G139" s="11">
        <f>'Scénario référence'!$B$8*B139*44/12+'Scénario référence'!$B$9*(C139+D139)/0.475*44/12+'Scénario référence'!$B$10*(C139+D139)/0.475*44/12+'Scénario référence'!$F$8*(C139+D139)/0.475*44/12+'Scénario référence'!$F$9*(C139+D139)/0.475*44/12</f>
        <v>1179.6885435444726</v>
      </c>
      <c r="H139" s="67">
        <f t="shared" si="110"/>
        <v>559.50056097055494</v>
      </c>
      <c r="I139" s="70">
        <f>('Scénario référence'!$F$8+'Scénario référence'!$F$9+'Scénario référence'!$B$17+'Scénario référence'!$B$9+'Scénario référence'!$B$10)*70+IF((45+25*(1-EXP(-0.0175*A139)))&lt;70,'Scénario référence'!$B$16*(45+25*(1-EXP(-0.0175*A139))),70*'Scénario référence'!$B$16)+IF((32+38*(1-EXP(-0.0175*A139)))&lt;70,'Scénario référence'!$B$18*(32+38*(1-EXP(-0.0175*A139))),70*'Scénario référence'!$B$18)</f>
        <v>70</v>
      </c>
      <c r="J139" s="13">
        <f>IF(A139&gt;30,10,('Scénario référence'!$B$16+'Scénario référence'!$B$17+'Scénario référence'!$B$18+'Scénario référence'!$B$9+'Scénario référence'!$B$10)*A139*10/30+('Scénario référence'!$F$8+'Scénario référence'!$F$9)*10)</f>
        <v>10</v>
      </c>
      <c r="K139" s="12" t="e">
        <f>VLOOKUP(A139,'Données projet'!$A$35:$I$55,2,0)</f>
        <v>#N/A</v>
      </c>
      <c r="L139" s="12" t="e">
        <f>VLOOKUP(A139,'Données projet'!$A$35:$I$55,9,0)</f>
        <v>#N/A</v>
      </c>
      <c r="M139" s="12">
        <f t="array" ref="M139">INDEX(L:L,MIN(IF(ISNUMBER(L139:L335),ROW(L139:L335),"")))</f>
        <v>0</v>
      </c>
      <c r="N139" s="13">
        <f>IF('Données projet'!$A$36&gt;35,N138+M139-V138,IF(A139&lt;'Données projet'!$A$36,$K$205^A139,IF(A139='Données projet'!$A$36,'Données projet'!$B$36,N138+M139-V138)))</f>
        <v>-2.2737367544323206E-13</v>
      </c>
      <c r="O139" s="13">
        <f>N139*VLOOKUP('Données projet'!$B$9,Paramètres!$A$1:$I$89,3,0)*VLOOKUP('Données projet'!$B$9,Paramètres!$A$1:$I$89,5,0)</f>
        <v>-1.2710188457276673E-13</v>
      </c>
      <c r="P139" s="13" t="e">
        <f t="shared" si="141"/>
        <v>#NUM!</v>
      </c>
      <c r="Q139" s="20" t="e">
        <f t="shared" si="108"/>
        <v>#NUM!</v>
      </c>
      <c r="R139" s="59" t="e">
        <f t="shared" si="109"/>
        <v>#NUM!</v>
      </c>
      <c r="S139" s="59">
        <f ca="1">AVERAGE(OFFSET($R$3,0,0,'Données projet'!$E$9+1,1))-AVERAGE(OFFSET($H$3,0,0,'Données projet'!$E$9+1,1))</f>
        <v>255.5374979188561</v>
      </c>
      <c r="T139" s="59">
        <f t="shared" si="142"/>
        <v>343.10418468620901</v>
      </c>
      <c r="U139" s="15">
        <f>IF(ISNA(VLOOKUP(A139,'Données projet'!$A$35:$I$55,3,0)),0,VLOOKUP(A139,'Données projet'!$A$35:$I$55,3,0))</f>
        <v>0</v>
      </c>
      <c r="V139" s="15">
        <f>IF(ISNA(VLOOKUP(A139,'Données projet'!$A$35:$I$55,4,0)),0,VLOOKUP(A139,'Données projet'!$A$35:$I$55,4,0))</f>
        <v>0</v>
      </c>
      <c r="W139" s="16">
        <f>IF(ISNA(VLOOKUP(A139,'Données projet'!$A$35:$I$55,5,0)),0%,VLOOKUP(A139,'Données projet'!$A$35:$I$55,5,0)*VLOOKUP('Données projet'!$B$9,Paramètres!$A$1:$I$89,7,0))</f>
        <v>0</v>
      </c>
      <c r="X139" s="16">
        <f>IF(ISNA(VLOOKUP(A139,'Données projet'!$A$35:$I$55,6,0)),0%,VLOOKUP(A139,'Données projet'!$A$35:$I$55,6,0)*VLOOKUP('Données projet'!$B$9,Paramètres!$A$1:$I$89,7,0))</f>
        <v>0</v>
      </c>
      <c r="Y139" s="16">
        <f>IF(ISNA(VLOOKUP(A139,'Données projet'!$A$35:$I$55,7,0)),0%,VLOOKUP(A139,'Données projet'!$A$35:$I$55,7,0))</f>
        <v>0</v>
      </c>
      <c r="Z139" s="21">
        <f>EXP(-LN(2)/35)*Z138+(1-EXP(-LN(2)/35))/(LN(2)/35)*V139*W139*VLOOKUP('Données projet'!$B$9,Paramètres!$A$1:$I$89,3,0)*0.475*44/12</f>
        <v>0.37868087878653584</v>
      </c>
      <c r="AA139" s="21">
        <f>EXP(-LN(2)/25)*AA138+(1-EXP(-LN(2)/25))/(LN(2)/25)*Calculateur!V139*Calculateur!X139*VLOOKUP('Données projet'!$B$9,Paramètres!$A$1:$I$89,3,0)*0.475*44/12</f>
        <v>0.84464216266535541</v>
      </c>
      <c r="AB139" s="21">
        <f>EXP(-LN(2)/2)*AB138+(1-EXP(-LN(2)/2))/(LN(2)/2)*V139*Y139*VLOOKUP('Données projet'!$B$9,Paramètres!$A$1:$I$89,3,0)*0.475*44/12</f>
        <v>1.879221311289554E-16</v>
      </c>
      <c r="AC139" s="22">
        <f t="shared" si="111"/>
        <v>1.2233230414518914</v>
      </c>
      <c r="AD139" s="13">
        <f>('Scénario référence'!$F$8+'Scénario référence'!$F$9+'Scénario référence'!$B$17+'Scénario référence'!$B$9+'Scénario référence'!$B$10)*70+IF((45+25*(1-EXP(-0.0175*A139)))&lt;70,'Scénario référence'!$B$16*(45+25*(1-EXP(-0.0175*A139))),70*'Scénario référence'!$B$16)+IF((32+38*(1-EXP(-0.0175*A139)))&lt;70,'Scénario référence'!$B$18*(32+38*(1-EXP(-0.0175*A139))),70*'Scénario référence'!$B$18)</f>
        <v>70</v>
      </c>
      <c r="AE139" s="13">
        <f>IF(A139&gt;30,10,('Scénario référence'!$B$16+'Scénario référence'!$B$17+'Scénario référence'!$B$18+'Scénario référence'!$B$9+'Scénario référence'!$B$10)*A139*10/30+('Scénario référence'!$F$8+'Scénario référence'!$F$9)*10)</f>
        <v>10</v>
      </c>
      <c r="AF139" s="12" t="e">
        <f>VLOOKUP(A139,'Données projet'!$A$61:$I$81,2,0)</f>
        <v>#N/A</v>
      </c>
      <c r="AG139" s="12" t="e">
        <f>VLOOKUP(A139,'Données projet'!$A$61:$I$81,9,0)</f>
        <v>#N/A</v>
      </c>
      <c r="AH139" s="12">
        <f t="array" ref="AH139">INDEX(AG:AG,MIN(IF(ISNUMBER(AG139:AG335),ROW(AG139:AG335),"")))</f>
        <v>0</v>
      </c>
      <c r="AI139" s="13">
        <f>IF('Données projet'!$A$62&gt;35,AI138+AH139-AQ138,IF(A139&lt;'Données projet'!$A$62,$AF$205^A139,IF(A139='Données projet'!$A$62,'Données projet'!$B$62,AI138+AH139-AQ138)))</f>
        <v>0</v>
      </c>
      <c r="AJ139" s="13">
        <f>AI139*VLOOKUP('Données projet'!$B$10,Paramètres!$A$1:$I$89,3,0)*VLOOKUP('Données projet'!$B$10,Paramètres!$A$1:$I$89,5,0)</f>
        <v>0</v>
      </c>
      <c r="AK139" s="13" t="e">
        <f t="shared" si="143"/>
        <v>#NUM!</v>
      </c>
      <c r="AL139" s="20" t="e">
        <f t="shared" si="112"/>
        <v>#NUM!</v>
      </c>
      <c r="AM139" s="59" t="e">
        <f t="shared" si="113"/>
        <v>#NUM!</v>
      </c>
      <c r="AN139" s="59">
        <f ca="1">AVERAGE(OFFSET($AM$3,0,0,'Données projet'!$E$10+1,1))-AVERAGE(OFFSET($H$3,0,0,'Données projet'!$E$10+1,1))</f>
        <v>261.78489480911571</v>
      </c>
      <c r="AO139" s="59">
        <f t="shared" si="144"/>
        <v>297.50513563712764</v>
      </c>
      <c r="AP139" s="15">
        <f>IF(ISNA(VLOOKUP(A139,'Données projet'!$A$61:$I$81,3,0)),0,VLOOKUP(A139,'Données projet'!$A$61:$I$81,3,0))</f>
        <v>0</v>
      </c>
      <c r="AQ139" s="15">
        <f>IF(ISNA(VLOOKUP(A139,'Données projet'!$A$61:$I$81,4,0)),0,VLOOKUP(A139,'Données projet'!$A$61:$I$81,4,0))</f>
        <v>0</v>
      </c>
      <c r="AR139" s="16">
        <f>IF(ISNA(VLOOKUP(A139,'Données projet'!$A$61:$I$81,5,0)),0%,VLOOKUP(A139,'Données projet'!$A$61:$I$81,5,0)*VLOOKUP('Données projet'!$B$10,Paramètres!$A$1:$I$89,7,0))</f>
        <v>0</v>
      </c>
      <c r="AS139" s="16">
        <f>IF(ISNA(VLOOKUP(A139,'Données projet'!$A$61:$I$81,6,0)),0%,VLOOKUP(A139,'Données projet'!$A$61:$I$81,6,0)*VLOOKUP('Données projet'!$B$10,Paramètres!$A$1:$I$89,7,0))</f>
        <v>0</v>
      </c>
      <c r="AT139" s="16">
        <f>IF(ISNA(VLOOKUP(A139,'Données projet'!$A$61:$I$81,7,0)),0%,VLOOKUP(A139,'Données projet'!$A$61:$I$81,7,0))</f>
        <v>0</v>
      </c>
      <c r="AU139" s="21">
        <f>EXP(-LN(2)/35)*AU138+(1-EXP(-LN(2)/35))/(LN(2)/35)*AQ139*AR139*VLOOKUP('Données projet'!$B$10,Paramètres!$A$1:$I$89,3,0)*0.475*44/12</f>
        <v>1.0225454820964748</v>
      </c>
      <c r="AV139" s="21">
        <f>EXP(-LN(2)/25)*AV138+(1-EXP(-LN(2)/25))/(LN(2)/25)*Calculateur!AQ139*Calculateur!AS139*VLOOKUP('Données projet'!$B$10,Paramètres!$A$1:$I$89,3,0)*0.475*44/12</f>
        <v>1.4749174899679522</v>
      </c>
      <c r="AW139" s="21">
        <f>EXP(-LN(2)/2)*AW138+(1-EXP(-LN(2)/2))/(LN(2)/2)*AQ139*AT139*VLOOKUP('Données projet'!$B$10,Paramètres!$A$1:$I$89,3,0)*0.475*44/12</f>
        <v>2.709076422847887E-15</v>
      </c>
      <c r="AX139" s="21">
        <f t="shared" si="114"/>
        <v>2.4974629720644295</v>
      </c>
      <c r="AY139" s="74">
        <f>('Scénario référence'!$F$8+'Scénario référence'!$F$9+'Scénario référence'!$B$17+'Scénario référence'!$B$9+'Scénario référence'!$B$10)*70+IF((45+25*(1-EXP(-0.0175*A139)))&lt;70,'Scénario référence'!$B$16*(45+25*(1-EXP(-0.0175*A139))),70*'Scénario référence'!$B$16)+IF((32+38*(1-EXP(-0.0175*A139)))&lt;70,'Scénario référence'!$B$18*(32+38*(1-EXP(-0.0175*A139))),70*'Scénario référence'!$B$18)</f>
        <v>70</v>
      </c>
      <c r="AZ139" s="12">
        <f>IF(A139&gt;30,10,('Scénario référence'!$B$16+'Scénario référence'!$B$17+'Scénario référence'!$B$18+'Scénario référence'!$B$9+'Scénario référence'!$B$10)*A139*10/30+('Scénario référence'!$F$8+'Scénario référence'!$F$9)*10)</f>
        <v>10</v>
      </c>
      <c r="BA139" s="12" t="e">
        <f>VLOOKUP(A139,'Données projet'!$A$87:$I$107,2,0)</f>
        <v>#N/A</v>
      </c>
      <c r="BB139" s="12" t="e">
        <f>VLOOKUP(A139,'Données projet'!$A$87:$I$107,9,0)</f>
        <v>#N/A</v>
      </c>
      <c r="BC139" s="12">
        <f t="array" ref="BC139">INDEX(BB:BB,MIN(IF(ISNUMBER(BB139:BB335),ROW(BB139:BB335),"")))</f>
        <v>0</v>
      </c>
      <c r="BD139" s="12">
        <f>IF('Données projet'!$A$88&gt;35,BD138+BC139-BL138,IF(A139&lt;'Données projet'!$A$88,$BA$205^A139,IF(A139='Données projet'!$A$88,'Données projet'!$B$88,BD138+BC139-BL138)))</f>
        <v>553.99999999999955</v>
      </c>
      <c r="BE139" s="13">
        <f>BD139*VLOOKUP('Données projet'!$B$11,Paramètres!$A$1:$I$89,3,0)*VLOOKUP('Données projet'!$B$11,Paramètres!$A$1:$I$89,5,0)</f>
        <v>331.29199999999975</v>
      </c>
      <c r="BF139" s="13">
        <f t="shared" si="145"/>
        <v>77.698110787752</v>
      </c>
      <c r="BG139" s="20">
        <f t="shared" si="115"/>
        <v>712.32444295533423</v>
      </c>
      <c r="BH139" s="59">
        <f t="shared" si="116"/>
        <v>1005.6577762886675</v>
      </c>
      <c r="BI139" s="59">
        <f ca="1">AVERAGE(OFFSET($BH$3,0,0,'Données projet'!$E$11+1,1))-AVERAGE(OFFSET($H$3,0,0,'Données projet'!$E$11+1,1))</f>
        <v>316.58509520829671</v>
      </c>
      <c r="BJ139" s="59">
        <f t="shared" si="146"/>
        <v>240.71332110643596</v>
      </c>
      <c r="BK139" s="15">
        <f>IF(ISNA(VLOOKUP(A139,'Données projet'!$A$87:$I$107,3,0)),0,VLOOKUP(A139,'Données projet'!$A$87:$I$107,3,0))</f>
        <v>0</v>
      </c>
      <c r="BL139" s="15">
        <f>IF(ISNA(VLOOKUP(A139,'Données projet'!$A$87:$I$107,4,0)),0,VLOOKUP(A139,'Données projet'!$A$87:$I$107,4,0))</f>
        <v>0</v>
      </c>
      <c r="BM139" s="16">
        <f>IF(ISNA(VLOOKUP(A139,'Données projet'!$A$87:$I$107,5,0)),0%,VLOOKUP(A139,'Données projet'!$A$87:$I$107,5,0)*VLOOKUP('Données projet'!$B$11,Paramètres!$A$1:$I$89,7,0))</f>
        <v>0</v>
      </c>
      <c r="BN139" s="16">
        <f>IF(ISNA(VLOOKUP(A139,'Données projet'!$A$87:$I$107,6,0)),0%,VLOOKUP(A139,'Données projet'!$A$87:$I$107,6,0)*VLOOKUP('Données projet'!$B$11,Paramètres!$A$1:$I$89,7,0))</f>
        <v>0</v>
      </c>
      <c r="BO139" s="16">
        <f>IF(ISNA(VLOOKUP(A139,'Données projet'!$A$87:$I$107,7,0)),0%,VLOOKUP(A139,'Données projet'!$A$87:$I$107,7,0))</f>
        <v>0</v>
      </c>
      <c r="BP139" s="21">
        <f>EXP(-LN(2)/35)*BP138+(1-EXP(-LN(2)/35))/(LN(2)/35)*BL139*BM139*VLOOKUP('Données projet'!$B$11,Paramètres!$A$1:$I$89,3,0)*0.475*44/12</f>
        <v>0.31060579841211761</v>
      </c>
      <c r="BQ139" s="21">
        <f>EXP(-LN(2)/25)*BQ138+(1-EXP(-LN(2)/25))/(LN(2)/25)*Calculateur!BL139*Calculateur!BN139*VLOOKUP('Données projet'!$B$11,Paramètres!$A$1:$I$89,3,0)*0.475*44/12</f>
        <v>0.80800283625992808</v>
      </c>
      <c r="BR139" s="21">
        <f>EXP(-LN(2)/2)*BR138+(1-EXP(-LN(2)/2))/(LN(2)/2)*BL139*BO139*VLOOKUP('Données projet'!$B$11,Paramètres!$A$1:$I$89,3,0)*0.475*44/12</f>
        <v>2.4357563821620834E-15</v>
      </c>
      <c r="BS139" s="22">
        <f t="shared" si="117"/>
        <v>1.1186086346720481</v>
      </c>
      <c r="BT139" s="75">
        <f>('Scénario référence'!$F$8+'Scénario référence'!$F$9+'Scénario référence'!$B$17+'Scénario référence'!$B$9+'Scénario référence'!$B$10)*70+IF((45+25*(1-EXP(-0.0175*A139)))&lt;70,'Scénario référence'!$B$16*(45+25*(1-EXP(-0.0175*A139))),70*'Scénario référence'!$B$16)+IF((32+38*(1-EXP(-0.0175*A139)))&lt;70,'Scénario référence'!$B$18*(32+38*(1-EXP(-0.0175*A139))),70*'Scénario référence'!$B$18)</f>
        <v>70</v>
      </c>
      <c r="BU139" s="12">
        <f>IF(A139&gt;30,10,('Scénario référence'!$B$16+'Scénario référence'!$B$17+'Scénario référence'!$B$18+'Scénario référence'!$B$9+'Scénario référence'!$B$10)*A139*10/30+('Scénario référence'!$F$8+'Scénario référence'!$F$9)*10)</f>
        <v>10</v>
      </c>
      <c r="BV139" s="12" t="e">
        <f>VLOOKUP(A139,'Données projet'!$A$113:$I$133,2,0)</f>
        <v>#N/A</v>
      </c>
      <c r="BW139" s="12" t="e">
        <f>VLOOKUP(A139,'Données projet'!$A$113:$I$133,9,0)</f>
        <v>#N/A</v>
      </c>
      <c r="BX139" s="12">
        <f t="array" ref="BX139">INDEX(BW:BW,MIN(IF(ISNUMBER(BW139:BW335),ROW(BW139:BW335),"")))</f>
        <v>0</v>
      </c>
      <c r="BY139" s="12">
        <f>IF('Données projet'!$A$114&gt;35,BY138+BX139-CG138,IF(A139&lt;'Données projet'!$A$114,$BV$205^A139,IF(A139='Données projet'!$A$114,'Données projet'!$B$114,BY138+BX139-CG138)))</f>
        <v>333.99999999999977</v>
      </c>
      <c r="BZ139" s="13">
        <f>BY139*VLOOKUP('Données projet'!$B$12,Paramètres!$A$1:$I$89,3,0)*VLOOKUP('Données projet'!$B$12,Paramètres!$A$1:$I$89,5,0)</f>
        <v>191.04799999999986</v>
      </c>
      <c r="CA139" s="13">
        <f t="shared" si="147"/>
        <v>47.771576544305155</v>
      </c>
      <c r="CB139" s="20">
        <f t="shared" si="118"/>
        <v>415.94409581466454</v>
      </c>
      <c r="CC139" s="59">
        <f t="shared" si="119"/>
        <v>709.27742914799785</v>
      </c>
      <c r="CD139" s="59">
        <f ca="1">AVERAGE(OFFSET($CC$3,0,0,'Données projet'!$E$12+1,1))-AVERAGE(OFFSET($H$3,0,0,'Données projet'!$E$12+1,1))</f>
        <v>188.64374818906128</v>
      </c>
      <c r="CE139" s="59">
        <f t="shared" si="148"/>
        <v>211.95157880548652</v>
      </c>
      <c r="CF139" s="15">
        <f>IF(ISNA(VLOOKUP(A139,'Données projet'!$A$113:$I$133,3,0)),0,VLOOKUP(A139,'Données projet'!$A$113:$I$133,3,0))</f>
        <v>0</v>
      </c>
      <c r="CG139" s="15">
        <f>IF(ISNA(VLOOKUP(A139,'Données projet'!$A$113:$I$133,4,0)),0,VLOOKUP(A139,'Données projet'!$A$113:$I$133,4,0))</f>
        <v>0</v>
      </c>
      <c r="CH139" s="16">
        <f>IF(ISNA(VLOOKUP(A139,'Données projet'!$A$113:$I$133,5,0)),0%,VLOOKUP(A139,'Données projet'!$A$113:$I$133,5,0)*VLOOKUP('Données projet'!$B$12,Paramètres!$A$1:$I$89,7,0))</f>
        <v>0</v>
      </c>
      <c r="CI139" s="16">
        <f>IF(ISNA(VLOOKUP(A139,'Données projet'!$A$113:$I$133,6,0)),0%,VLOOKUP(A139,'Données projet'!$A$113:$I$133,6,0)*VLOOKUP('Données projet'!$B$12,Paramètres!$A$1:$I$89,7,0))</f>
        <v>0</v>
      </c>
      <c r="CJ139" s="16">
        <f>IF(ISNA(VLOOKUP(A139,'Données projet'!$A$113:$I$133,7,0)),0%,VLOOKUP(A139,'Données projet'!$A$113:$I$133,7,0))</f>
        <v>0</v>
      </c>
      <c r="CK139" s="21">
        <f>EXP(-LN(2)/35)*CK138+(1-EXP(-LN(2)/35))/(LN(2)/35)*CG139*CH139*VLOOKUP('Données projet'!$B$12,Paramètres!$A$1:$I$89,3,0)*0.475*44/12</f>
        <v>0.30128572240342549</v>
      </c>
      <c r="CL139" s="21">
        <f>EXP(-LN(2)/25)*CL138+(1-EXP(-LN(2)/25))/(LN(2)/25)*Calculateur!CG139*Calculateur!CI139*VLOOKUP('Données projet'!$B$12,Paramètres!$A$1:$I$89,3,0)*0.475*44/12</f>
        <v>0.76051056409634465</v>
      </c>
      <c r="CM139" s="21">
        <f>EXP(-LN(2)/2)*CM138+(1-EXP(-LN(2)/2))/(LN(2)/2)*CG139*CJ139*VLOOKUP('Données projet'!$B$12,Paramètres!$A$1:$I$89,3,0)*0.475*44/12</f>
        <v>2.3588394797142982E-15</v>
      </c>
      <c r="CN139" s="22">
        <f t="shared" si="120"/>
        <v>1.0617962864997725</v>
      </c>
      <c r="CO139" s="75">
        <f>('Scénario référence'!$F$8+'Scénario référence'!$F$9+'Scénario référence'!$B$17+'Scénario référence'!$B$9+'Scénario référence'!$B$10)*70+IF((45+25*(1-EXP(-0.0175*A139)))&lt;70,'Scénario référence'!$B$16*(45+25*(1-EXP(-0.0175*A139))),70*'Scénario référence'!$B$16)+IF((32+38*(1-EXP(-0.0175*A139)))&lt;70,'Scénario référence'!$B$18*(32+38*(1-EXP(-0.0175*A139))),70*'Scénario référence'!$B$18)</f>
        <v>70</v>
      </c>
      <c r="CP139" s="12">
        <f>IF(A139&gt;30,10,('Scénario référence'!$B$16+'Scénario référence'!$B$17+'Scénario référence'!$B$18+'Scénario référence'!$B$9+'Scénario référence'!$B$10)*A139*10/30+('Scénario référence'!$F$8+'Scénario référence'!$F$9)*10)</f>
        <v>10</v>
      </c>
      <c r="CQ139" s="12" t="e">
        <f>VLOOKUP(A139,'Données projet'!$A$139:$I$159,2,0)</f>
        <v>#N/A</v>
      </c>
      <c r="CR139" s="12" t="e">
        <f>VLOOKUP(A139,'Données projet'!$A$139:$I$159,9,0)</f>
        <v>#N/A</v>
      </c>
      <c r="CS139" s="12">
        <f t="array" ref="CS139">INDEX(CR:CR,MIN(IF(ISNUMBER(CR139:CR335),ROW(CR139:CR335),"")))</f>
        <v>0</v>
      </c>
      <c r="CT139" s="12">
        <f>IF('Données projet'!$A$140&gt;35,CT138+CS139-DB138,IF(A139&lt;'Données projet'!$A$140,$CQ$205^A139,IF(A139='Données projet'!$A$140,'Données projet'!$B$140,CT138+CS139-DB138)))</f>
        <v>0</v>
      </c>
      <c r="CU139" s="17" t="e">
        <f>CT139*VLOOKUP('Données projet'!$B$13,Paramètres!$A$1:$I$89,3,0)*VLOOKUP('Données projet'!$B$13,Paramètres!$A$1:$I$89,5,0)</f>
        <v>#N/A</v>
      </c>
      <c r="CV139" s="13" t="e">
        <f t="shared" si="149"/>
        <v>#N/A</v>
      </c>
      <c r="CW139" s="20" t="e">
        <f t="shared" si="121"/>
        <v>#N/A</v>
      </c>
      <c r="CX139" s="59" t="e">
        <f t="shared" si="122"/>
        <v>#N/A</v>
      </c>
      <c r="CY139" s="59" t="e">
        <f ca="1">AVERAGE(OFFSET($CX$3,0,0,'Données projet'!$E$13+1,1))-AVERAGE(OFFSET($H$3,0,0,'Données projet'!$E$13+1,1))</f>
        <v>#N/A</v>
      </c>
      <c r="CZ139" s="59" t="e">
        <f t="shared" si="150"/>
        <v>#N/A</v>
      </c>
      <c r="DA139" s="15">
        <f>IF(ISNA(VLOOKUP(A139,'Données projet'!$A$139:$I$159,3,0)),0,VLOOKUP(A139,'Données projet'!$A$139:$I$159,3,0))</f>
        <v>0</v>
      </c>
      <c r="DB139" s="15">
        <f>IF(ISNA(VLOOKUP(A139,'Données projet'!$A$139:$I$159,4,0)),0,VLOOKUP(A139,'Données projet'!$A$139:$I$159,4,0))</f>
        <v>0</v>
      </c>
      <c r="DC139" s="16">
        <f>IF(ISNA(VLOOKUP(A139,'Données projet'!$A$139:$I$159,5,0)),0%,VLOOKUP(A139,'Données projet'!$A$139:$I$159,5,0)*VLOOKUP('Données projet'!$B$13,Paramètres!$A$1:$I$89,7,0))</f>
        <v>0</v>
      </c>
      <c r="DD139" s="16">
        <f>IF(ISNA(VLOOKUP(A139,'Données projet'!$A$139:$I$159,6,0)),0%,VLOOKUP(A139,'Données projet'!$A$139:$I$159,6,0)*VLOOKUP('Données projet'!$B$13,Paramètres!$A$1:$I$89,7,0))</f>
        <v>0</v>
      </c>
      <c r="DE139" s="16">
        <f>IF(ISNA(VLOOKUP(A139,'Données projet'!$A$139:$I$159,7,0)),0%,VLOOKUP(A139,'Données projet'!$A$139:$I$159,7,0))</f>
        <v>0</v>
      </c>
      <c r="DF139" s="21" t="e">
        <f>EXP(-LN(2)/35)*DF138+(1-EXP(-LN(2)/35))/(LN(2)/35)*DB139*DC139*VLOOKUP('Données projet'!$B$13,Paramètres!$A$1:$I$89,3,0)*0.475*44/12</f>
        <v>#N/A</v>
      </c>
      <c r="DG139" s="21" t="e">
        <f>EXP(-LN(2)/25)*DG138+(1-EXP(-LN(2)/25))/(LN(2)/25)*Calculateur!DB139*Calculateur!DD139*VLOOKUP('Données projet'!$B$13,Paramètres!$A$1:$I$89,3,0)*0.475*44/12</f>
        <v>#N/A</v>
      </c>
      <c r="DH139" s="21" t="e">
        <f>EXP(-LN(2)/2)*DH138+(1-EXP(-LN(2)/2))/(LN(2)/2)*DB139*DE139*VLOOKUP('Données projet'!$B$13,Paramètres!$A$1:$I$89,3,0)*0.475*44/12</f>
        <v>#N/A</v>
      </c>
      <c r="DI139" s="22" t="e">
        <f t="shared" si="123"/>
        <v>#N/A</v>
      </c>
      <c r="DJ139" s="75">
        <f>('Scénario référence'!$F$8+'Scénario référence'!$F$9+'Scénario référence'!$B$17+'Scénario référence'!$B$9+'Scénario référence'!$B$10)*70+IF((45+25*(1-EXP(-0.0175*A139)))&lt;70,'Scénario référence'!$B$16*(45+25*(1-EXP(-0.0175*A139))),70*'Scénario référence'!$B$16)+IF((32+38*(1-EXP(-0.0175*A139)))&lt;70,'Scénario référence'!$B$18*(32+38*(1-EXP(-0.0175*A139))),70*'Scénario référence'!$B$18)</f>
        <v>70</v>
      </c>
      <c r="DK139" s="12">
        <f>IF(A139&gt;30,10,('Scénario référence'!$B$16+'Scénario référence'!$B$17+'Scénario référence'!$B$18+'Scénario référence'!$B$9+'Scénario référence'!$B$10)*A139*10/30+('Scénario référence'!$F$8+'Scénario référence'!$F$9)*10)</f>
        <v>10</v>
      </c>
      <c r="DL139" s="12" t="e">
        <f>VLOOKUP(A139,'Données projet'!$A$165:$I$185,2,0)</f>
        <v>#N/A</v>
      </c>
      <c r="DM139" s="12" t="e">
        <f>VLOOKUP(A139,'Données projet'!$A$165:$I$185,9,0)</f>
        <v>#N/A</v>
      </c>
      <c r="DN139" s="12">
        <f t="array" ref="DN139">INDEX(DM:DM,MIN(IF(ISNUMBER(DM139:DM335),ROW(DM139:DM335),"")))</f>
        <v>0</v>
      </c>
      <c r="DO139" s="12">
        <f>IF('Données projet'!$A$166&gt;35,DO138+DN139-DW138,IF(A139&lt;'Données projet'!$A$166,$DL$205^A139,IF(A139='Données projet'!$A$166,'Données projet'!$B$166,DO138+DN139-DW138)))</f>
        <v>268.00000000000017</v>
      </c>
      <c r="DP139" s="17">
        <f>DO139*VLOOKUP('Données projet'!$B$14,Paramètres!$A$1:$I$89,3,0)*VLOOKUP('Données projet'!$B$14,Paramètres!$A$1:$I$89,5,0)</f>
        <v>175.59360000000012</v>
      </c>
      <c r="DQ139" s="13">
        <f t="shared" si="151"/>
        <v>44.340433728638573</v>
      </c>
      <c r="DR139" s="20">
        <f t="shared" si="124"/>
        <v>383.05177541071242</v>
      </c>
      <c r="DS139" s="59">
        <f t="shared" si="125"/>
        <v>676.38510874404574</v>
      </c>
      <c r="DT139" s="59">
        <f ca="1">AVERAGE(OFFSET($DS$3,0,0,'Données projet'!$E$14+1,1))-AVERAGE(OFFSET($H$3,0,0,'Données projet'!$E$14+1,1))</f>
        <v>188.68915783955595</v>
      </c>
      <c r="DU139" s="59">
        <f t="shared" si="152"/>
        <v>240.82467772396944</v>
      </c>
      <c r="DV139" s="15">
        <f>IF(ISNA(VLOOKUP(A139,'Données projet'!$A$165:$I$185,3,0)),0,VLOOKUP(A139,'Données projet'!$A$165:$I$185,3,0))</f>
        <v>0</v>
      </c>
      <c r="DW139" s="15">
        <f>IF(ISNA(VLOOKUP(A139,'Données projet'!$A$165:$I$185,4,0)),0,VLOOKUP(A139,'Données projet'!$A$165:$I$185,4,0))</f>
        <v>0</v>
      </c>
      <c r="DX139" s="16">
        <f>IF(ISNA(VLOOKUP(A139,'Données projet'!$A$165:$I$185,5,0)),0%,VLOOKUP(A139,'Données projet'!$A$165:$I$185,5,0)*VLOOKUP('Données projet'!$B$14,Paramètres!$A$1:$I$89,7,0))</f>
        <v>0</v>
      </c>
      <c r="DY139" s="16">
        <f>IF(ISNA(VLOOKUP(A139,'Données projet'!$A$165:$I$185,6,0)),0%,VLOOKUP(A139,'Données projet'!$A$165:$I$185,6,0)*VLOOKUP('Données projet'!$B$14,Paramètres!$A$1:$I$89,7,0))</f>
        <v>0</v>
      </c>
      <c r="DZ139" s="16">
        <f>IF(ISNA(VLOOKUP(A139,'Données projet'!$A$165:$I$185,7,0)),0%,VLOOKUP(A139,'Données projet'!$A$165:$I$185,7,0))</f>
        <v>0</v>
      </c>
      <c r="EA139" s="21">
        <f>EXP(-LN(2)/35)*EA138+(1-EXP(-LN(2)/35))/(LN(2)/35)*DW139*DX139*VLOOKUP('Données projet'!$B$14,Paramètres!$A$1:$I$89,3,0)*0.475*44/12</f>
        <v>0.19083965160654676</v>
      </c>
      <c r="EB139" s="21">
        <f>EXP(-LN(2)/25)*EB138+(1-EXP(-LN(2)/25))/(LN(2)/25)*Calculateur!DW139*Calculateur!DY139*VLOOKUP('Données projet'!$B$14,Paramètres!$A$1:$I$89,3,0)*0.475*44/12</f>
        <v>0.42538522387100558</v>
      </c>
      <c r="EC139" s="21">
        <f>EXP(-LN(2)/2)*EC138+(1-EXP(-LN(2)/2))/(LN(2)/2)*DW139*DZ139*VLOOKUP('Données projet'!$B$14,Paramètres!$A$1:$I$89,3,0)*0.475*44/12</f>
        <v>1.5539134408334529E-15</v>
      </c>
      <c r="ED139" s="22">
        <f t="shared" si="126"/>
        <v>0.61622487547755389</v>
      </c>
      <c r="EE139" s="75">
        <f>('Scénario référence'!$F$8+'Scénario référence'!$F$9+'Scénario référence'!$B$17+'Scénario référence'!$B$9+'Scénario référence'!$B$10)*70+IF((45+25*(1-EXP(-0.0175*A139)))&lt;70,'Scénario référence'!$B$16*(45+25*(1-EXP(-0.0175*A139))),70*'Scénario référence'!$B$16)+IF((32+38*(1-EXP(-0.0175*A139)))&lt;70,'Scénario référence'!$B$18*(32+38*(1-EXP(-0.0175*A139))),70*'Scénario référence'!$B$18)</f>
        <v>70</v>
      </c>
      <c r="EF139" s="12">
        <f>IF(A139&gt;30,10,('Scénario référence'!$B$16+'Scénario référence'!$B$17+'Scénario référence'!$B$18+'Scénario référence'!$B$9+'Scénario référence'!$B$10)*A139*10/30+('Scénario référence'!$F$8+'Scénario référence'!$F$9)*10)</f>
        <v>10</v>
      </c>
      <c r="EG139" s="12" t="e">
        <f>VLOOKUP(A139,'Données projet'!$A$191:$I$211,2,0)</f>
        <v>#N/A</v>
      </c>
      <c r="EH139" s="12" t="e">
        <f>VLOOKUP(A139,'Données projet'!$A$191:$I$211,9,0)</f>
        <v>#N/A</v>
      </c>
      <c r="EI139" s="12">
        <f t="array" ref="EI139">INDEX(EH:EH,MIN(IF(ISNUMBER(EH139:EH335),ROW(EH139:EH335),"")))</f>
        <v>0</v>
      </c>
      <c r="EJ139" s="12">
        <f>IF('Données projet'!$A$192&gt;35,EJ138+EI139-ER138,IF(A139&lt;'Données projet'!$A$192,$EG$205^A139,IF(A139='Données projet'!$A$192,'Données projet'!$B$192,EJ138+EI139-ER138)))</f>
        <v>275.99999999999972</v>
      </c>
      <c r="EK139" s="17">
        <f>EJ139*VLOOKUP('Données projet'!$B$15,Paramètres!$A$1:$I$89,3,0)*VLOOKUP('Données projet'!$B$15,Paramètres!$A$1:$I$89,5,0)</f>
        <v>223.8911999999998</v>
      </c>
      <c r="EL139" s="13">
        <f t="shared" si="153"/>
        <v>54.95975389514858</v>
      </c>
      <c r="EM139" s="20">
        <f t="shared" si="127"/>
        <v>485.66541136738346</v>
      </c>
      <c r="EN139" s="59">
        <f t="shared" si="128"/>
        <v>778.99874470071677</v>
      </c>
      <c r="EO139" s="59">
        <f ca="1">AVERAGE(OFFSET($EN$3,0,0,'Données projet'!$E$15+1,1))-AVERAGE(OFFSET($H$3,0,0,'Données projet'!$E$15+1,1))</f>
        <v>205.5272583787887</v>
      </c>
      <c r="EP139" s="59">
        <f t="shared" si="154"/>
        <v>180.54762778843178</v>
      </c>
      <c r="EQ139" s="15">
        <f>IF(ISNA(VLOOKUP(A139,'Données projet'!$A$191:$I$211,3,0)),0,VLOOKUP(A139,'Données projet'!$A$191:$I$211,3,0))</f>
        <v>0</v>
      </c>
      <c r="ER139" s="15">
        <f>IF(ISNA(VLOOKUP(A139,'Données projet'!$A$191:$I$211,4,0)),0,VLOOKUP(A139,'Données projet'!$A$191:$I$211,4,0))</f>
        <v>0</v>
      </c>
      <c r="ES139" s="16">
        <f>IF(ISNA(VLOOKUP(A139,'Données projet'!$A$191:$I$211,5,0)),0%,VLOOKUP(A139,'Données projet'!$A$191:$I$211,5,0)*VLOOKUP('Données projet'!$B$15,Paramètres!$A$1:$I$89,7,0))</f>
        <v>0</v>
      </c>
      <c r="ET139" s="16">
        <f>IF(ISNA(VLOOKUP(A139,'Données projet'!$A$191:$I$211,6,0)),0%,VLOOKUP(A139,'Données projet'!$A$191:$I$211,6,0)*VLOOKUP('Données projet'!$B$15,Paramètres!$A$1:$I$89,7,0))</f>
        <v>0</v>
      </c>
      <c r="EU139" s="16">
        <f>IF(ISNA(VLOOKUP(A139,'Données projet'!$A$191:$I$211,7,0)),0%,VLOOKUP(A139,'Données projet'!$A$191:$I$211,7,0))</f>
        <v>0</v>
      </c>
      <c r="EV139" s="21">
        <f>EXP(-LN(2)/35)*EV138+(1-EXP(-LN(2)/35))/(LN(2)/35)*ER139*ES139*VLOOKUP('Données projet'!$B$15,Paramètres!$A$1:$I$89,3,0)*0.475*44/12</f>
        <v>0.12286438522478635</v>
      </c>
      <c r="EW139" s="21">
        <f>EXP(-LN(2)/25)*EW138+(1-EXP(-LN(2)/25))/(LN(2)/25)*Calculateur!ER139*Calculateur!ET139*VLOOKUP('Données projet'!$B$15,Paramètres!$A$1:$I$89,3,0)*0.475*44/12</f>
        <v>0.30714103610607774</v>
      </c>
      <c r="EX139" s="21">
        <f>EXP(-LN(2)/2)*EX138+(1-EXP(-LN(2)/2))/(LN(2)/2)*ER139*EU139*VLOOKUP('Données projet'!$B$15,Paramètres!$A$1:$I$89,3,0)*0.475*44/12</f>
        <v>1.0061601019439806E-15</v>
      </c>
      <c r="EY139" s="22">
        <f t="shared" si="129"/>
        <v>0.43000542133086506</v>
      </c>
      <c r="EZ139" s="75">
        <f>('Scénario référence'!$F$8+'Scénario référence'!$F$9+'Scénario référence'!$B$17+'Scénario référence'!$B$9+'Scénario référence'!$B$10)*70+IF((45+25*(1-EXP(-0.0175*A139)))&lt;70,'Scénario référence'!$B$16*(45+25*(1-EXP(-0.0175*A139))),70*'Scénario référence'!$B$16)+IF((32+38*(1-EXP(-0.0175*A139)))&lt;70,'Scénario référence'!$B$18*(32+38*(1-EXP(-0.0175*A139))),70*'Scénario référence'!$B$18)</f>
        <v>70</v>
      </c>
      <c r="FA139" s="12">
        <f>IF(A139&gt;30,10,('Scénario référence'!$B$16+'Scénario référence'!$B$17+'Scénario référence'!$B$18+'Scénario référence'!$B$9+'Scénario référence'!$B$10)*A139*10/30+('Scénario référence'!$F$8+'Scénario référence'!$F$9)*10)</f>
        <v>10</v>
      </c>
      <c r="FB139" s="12" t="e">
        <f>VLOOKUP(A139,'Données projet'!$A$217:$I$237,2,0)</f>
        <v>#N/A</v>
      </c>
      <c r="FC139" s="12" t="e">
        <f>VLOOKUP(A139,'Données projet'!$A$217:$I$237,9,0)</f>
        <v>#N/A</v>
      </c>
      <c r="FD139" s="12">
        <f t="array" ref="FD139">INDEX(FC:FC,MIN(IF(ISNUMBER(FC139:FC335),ROW(FC139:FC335),"")))</f>
        <v>5.5</v>
      </c>
      <c r="FE139" s="12">
        <f>IF('Données projet'!$A$218&gt;35,FE138+FD139-FM138,IF(A139&lt;'Données projet'!$A$218,$FB$205^A139,IF(A139='Données projet'!$A$218,'Données projet'!$B$218,FE138+FD139-FM138)))</f>
        <v>435.99999999999994</v>
      </c>
      <c r="FF139" s="17">
        <f>FE139*VLOOKUP('Données projet'!$B$16,Paramètres!$A$1:$I$89,3,0)*VLOOKUP('Données projet'!$B$16,Paramètres!$A$1:$I$89,5,0)</f>
        <v>374.08799999999997</v>
      </c>
      <c r="FG139" s="13">
        <f t="shared" si="155"/>
        <v>86.503104548004657</v>
      </c>
      <c r="FH139" s="20">
        <f t="shared" si="130"/>
        <v>802.19617375444147</v>
      </c>
      <c r="FI139" s="59">
        <f t="shared" si="131"/>
        <v>1095.5295070877748</v>
      </c>
      <c r="FJ139" s="59">
        <f ca="1">AVERAGE(OFFSET($FI$3,0,0,'Données projet'!$E$16+1,1))-AVERAGE(OFFSET($H$3,0,0,'Données projet'!$E$16+1,1))</f>
        <v>383.97627237444709</v>
      </c>
      <c r="FK139" s="59">
        <f t="shared" si="156"/>
        <v>203.35476578922339</v>
      </c>
      <c r="FL139" s="15">
        <f>IF(ISNA(VLOOKUP(A139,'Données projet'!$A$217:$I$237,3,0)),0,VLOOKUP(A139,'Données projet'!$A$217:$I$237,3,0))</f>
        <v>0</v>
      </c>
      <c r="FM139" s="15">
        <f>IF(ISNA(VLOOKUP(A139,'Données projet'!$A$217:$I$237,4,0)),0,VLOOKUP(A139,'Données projet'!$A$217:$I$237,4,0))</f>
        <v>0</v>
      </c>
      <c r="FN139" s="16">
        <f>IF(ISNA(VLOOKUP(A139,'Données projet'!$A$217:$I$237,5,0)),0%,VLOOKUP(A139,'Données projet'!$A$217:$I$237,5,0)*VLOOKUP('Données projet'!$B$16,Paramètres!$A$1:$I$89,7,0))</f>
        <v>0</v>
      </c>
      <c r="FO139" s="16">
        <f>IF(ISNA(VLOOKUP(A139,'Données projet'!$A$217:$I$237,6,0)),0%,VLOOKUP(A139,'Données projet'!$A$217:$I$237,6,0)*VLOOKUP('Données projet'!$B$16,Paramètres!$A$1:$I$89,7,0))</f>
        <v>0</v>
      </c>
      <c r="FP139" s="16">
        <f>IF(ISNA(VLOOKUP(A139,'Données projet'!$A$217:$I$237,7,0)),0%,VLOOKUP(A139,'Données projet'!$A$217:$I$237,7,0))</f>
        <v>0</v>
      </c>
      <c r="FQ139" s="21">
        <f>EXP(-LN(2)/35)*FQ138+(1-EXP(-LN(2)/35))/(LN(2)/35)*FM139*FN139*VLOOKUP('Données projet'!$B$16,Paramètres!$A$1:$I$89,3,0)*0.475*44/12</f>
        <v>0.63145628354807593</v>
      </c>
      <c r="FR139" s="21">
        <f>EXP(-LN(2)/25)*FR138+(1-EXP(-LN(2)/25))/(LN(2)/25)*Calculateur!FM139*Calculateur!FO139*VLOOKUP('Données projet'!$B$16,Paramètres!$A$1:$I$89,3,0)*0.475*44/12</f>
        <v>0.31177989769080194</v>
      </c>
      <c r="FS139" s="21">
        <f>EXP(-LN(2)/2)*FS138+(1-EXP(-LN(2)/2))/(LN(2)/2)*FM139*FP139*VLOOKUP('Données projet'!$B$16,Paramètres!$A$1:$I$89,3,0)*0.475*44/12</f>
        <v>1.8481096133215904E-15</v>
      </c>
      <c r="FT139" s="22">
        <f t="shared" si="132"/>
        <v>0.94323618123887976</v>
      </c>
      <c r="FU139" s="75">
        <f>('Scénario référence'!$F$8+'Scénario référence'!$F$9+'Scénario référence'!$B$17+'Scénario référence'!$B$9+'Scénario référence'!$B$10)*70+IF((45+25*(1-EXP(-0.0175*A139)))&lt;70,'Scénario référence'!$B$16*(45+25*(1-EXP(-0.0175*A139))),70*'Scénario référence'!$B$16)+IF((32+38*(1-EXP(-0.0175*A139)))&lt;70,'Scénario référence'!$B$18*(32+38*(1-EXP(-0.0175*A139))),70*'Scénario référence'!$B$18)</f>
        <v>70</v>
      </c>
      <c r="FV139" s="12">
        <f>IF(A139&gt;30,10,('Scénario référence'!$B$16+'Scénario référence'!$B$17+'Scénario référence'!$B$18+'Scénario référence'!$B$9+'Scénario référence'!$B$10)*A139*10/30+('Scénario référence'!$F$8+'Scénario référence'!$F$9)*10)</f>
        <v>10</v>
      </c>
      <c r="FW139" s="12" t="e">
        <f>VLOOKUP(A139,'Données projet'!$A$243:$I$263,2,0)</f>
        <v>#N/A</v>
      </c>
      <c r="FX139" s="12" t="e">
        <f>VLOOKUP(A139,'Données projet'!$A$243:$I$263,9,0)</f>
        <v>#N/A</v>
      </c>
      <c r="FY139" s="12">
        <f t="array" ref="FY139">INDEX(FX:FX,MIN(IF(ISNUMBER(FX139:FX335),ROW(FX139:FX335),"")))</f>
        <v>0</v>
      </c>
      <c r="FZ139" s="12">
        <f>IF('Données projet'!$A$244&gt;35,FZ138+FY139-GH138,IF(A139&lt;'Données projet'!$A$244,$FW$205^A139,IF(A139='Données projet'!$A$244,'Données projet'!$B$244,FZ138+FY139-GH138)))</f>
        <v>4.5474735088646412E-13</v>
      </c>
      <c r="GA139" s="17">
        <f>FZ139*VLOOKUP('Données projet'!$B$17,Paramètres!$A$1:$I$89,3,0)*VLOOKUP('Données projet'!$B$17,Paramètres!$A$1:$I$89,5,0)</f>
        <v>4.8949004849418999E-13</v>
      </c>
      <c r="GB139" s="13">
        <f t="shared" si="157"/>
        <v>6.1123715499968684E-12</v>
      </c>
      <c r="GC139" s="20">
        <f t="shared" si="133"/>
        <v>1.1498242284038591E-11</v>
      </c>
      <c r="GD139" s="59">
        <f t="shared" si="134"/>
        <v>293.3333333333448</v>
      </c>
      <c r="GE139" s="59">
        <f ca="1">AVERAGE(OFFSET($GD$3,0,0,'Données projet'!$E$17+1,1))-AVERAGE(OFFSET($H$3,0,0,'Données projet'!$E$17+1,1))</f>
        <v>286.77702855541287</v>
      </c>
      <c r="GF139" s="59">
        <f t="shared" si="158"/>
        <v>227.12211541860779</v>
      </c>
      <c r="GG139" s="15">
        <f>IF(ISNA(VLOOKUP(A139,'Données projet'!$A$243:$I$263,3,0)),0,VLOOKUP(A139,'Données projet'!$A$243:$I$263,3,0))</f>
        <v>0</v>
      </c>
      <c r="GH139" s="15">
        <f>IF(ISNA(VLOOKUP(A139,'Données projet'!$A$243:$I$263,4,0)),0,VLOOKUP(A139,'Données projet'!$A$243:$I$263,4,0))</f>
        <v>0</v>
      </c>
      <c r="GI139" s="16">
        <f>IF(ISNA(VLOOKUP(A139,'Données projet'!$A$243:$I$263,5,0)),0%,VLOOKUP(A139,'Données projet'!$A$243:$I$263,5,0)*VLOOKUP('Données projet'!$B$17,Paramètres!$A$1:$I$89,7,0))</f>
        <v>0</v>
      </c>
      <c r="GJ139" s="16">
        <f>IF(ISNA(VLOOKUP(A139,'Données projet'!$A$243:$I$263,6,0)),0%,VLOOKUP(A139,'Données projet'!$A$243:$I$263,6,0)*VLOOKUP('Données projet'!$B$17,Paramètres!$A$1:$I$89,7,0))</f>
        <v>0</v>
      </c>
      <c r="GK139" s="16">
        <f>IF(ISNA(VLOOKUP(A139,'Données projet'!$A$243:$I$263,7,0)),0%,VLOOKUP(A139,'Données projet'!$A$243:$I$263,7,0))</f>
        <v>0</v>
      </c>
      <c r="GL139" s="21">
        <f>EXP(-LN(2)/35)*GL138+(1-EXP(-LN(2)/35))/(LN(2)/35)*GH139*GI139*VLOOKUP('Données projet'!$B$17,Paramètres!$A$1:$I$89,3,0)*0.475*44/12</f>
        <v>0</v>
      </c>
      <c r="GM139" s="21">
        <f>EXP(-LN(2)/25)*GM138+(1-EXP(-LN(2)/25))/(LN(2)/25)*Calculateur!GH139*Calculateur!GJ139*VLOOKUP('Données projet'!$B$17,Paramètres!$A$1:$I$89,3,0)*0.475*44/12</f>
        <v>0</v>
      </c>
      <c r="GN139" s="21">
        <f>EXP(-LN(2)/2)*GN138+(1-EXP(-LN(2)/2))/(LN(2)/2)*GH139*GK139*VLOOKUP('Données projet'!$B$17,Paramètres!$A$1:$I$89,3,0)*0.475*44/12</f>
        <v>0</v>
      </c>
      <c r="GO139" s="21">
        <f t="shared" si="135"/>
        <v>0</v>
      </c>
      <c r="GP139" s="75">
        <f>('Scénario référence'!$F$8+'Scénario référence'!$F$9+'Scénario référence'!$B$17+'Scénario référence'!$B$9+'Scénario référence'!$B$10)*70+IF((45+25*(1-EXP(-0.0175*A139)))&lt;70,'Scénario référence'!$B$16*(45+25*(1-EXP(-0.0175*A139))),70*'Scénario référence'!$B$16)+IF((32+38*(1-EXP(-0.0175*A139)))&lt;70,'Scénario référence'!$B$18*(32+38*(1-EXP(-0.0175*A139))),70*'Scénario référence'!$B$18)</f>
        <v>70</v>
      </c>
      <c r="GQ139" s="12">
        <f>IF(A139&gt;30,10,('Scénario référence'!$B$16+'Scénario référence'!$B$17+'Scénario référence'!$B$18+'Scénario référence'!$B$9+'Scénario référence'!$B$10)*A139*10/30+('Scénario référence'!$F$8+'Scénario référence'!$F$9)*10)</f>
        <v>10</v>
      </c>
      <c r="GR139" s="12" t="e">
        <f>VLOOKUP(A139,'Données projet'!$A$269:$I$289,2,0)</f>
        <v>#N/A</v>
      </c>
      <c r="GS139" s="12" t="e">
        <f>VLOOKUP(A139,'Données projet'!$A$269:$I$289,9,0)</f>
        <v>#N/A</v>
      </c>
      <c r="GT139" s="12">
        <f t="array" ref="GT139">INDEX(GS:GS,MIN(IF(ISNUMBER(GS139:GS335),ROW(GS139:GS335),"")))</f>
        <v>0</v>
      </c>
      <c r="GU139" s="12">
        <f>IF('Données projet'!$A$270&gt;35,GU138+GT139-HC138,IF(A139&lt;'Données projet'!$A$270,$GR$205^A139,IF(A139='Données projet'!$A$270,'Données projet'!$B$270,GU138+GT139-HC138)))</f>
        <v>4.5474735088646412E-13</v>
      </c>
      <c r="GV139" s="17">
        <f>GU139*VLOOKUP('Données projet'!$B$18,Paramètres!$A$1:$I$89,3,0)*VLOOKUP('Données projet'!$B$18,Paramètres!$A$1:$I$89,5,0)</f>
        <v>4.8949004849418999E-13</v>
      </c>
      <c r="GW139" s="13">
        <f t="shared" si="159"/>
        <v>6.1123715499968684E-12</v>
      </c>
      <c r="GX139" s="20">
        <f t="shared" si="136"/>
        <v>1.1498242284038591E-11</v>
      </c>
      <c r="GY139" s="59">
        <f t="shared" si="137"/>
        <v>293.3333333333448</v>
      </c>
      <c r="GZ139" s="59">
        <f ca="1">AVERAGE(OFFSET($GY$3,0,0,'Données projet'!$E$18+1,1))-AVERAGE(OFFSET($H$3,0,0,'Données projet'!$E$18+1,1))</f>
        <v>286.77702855541287</v>
      </c>
      <c r="HA139" s="59">
        <f t="shared" si="160"/>
        <v>227.12211541860779</v>
      </c>
      <c r="HB139" s="15">
        <f>IF(ISNA(VLOOKUP(A139,'Données projet'!$A$269:$I$289,3,0)),0,VLOOKUP(A139,'Données projet'!$A$269:$I$289,3,0))</f>
        <v>0</v>
      </c>
      <c r="HC139" s="15">
        <f>IF(ISNA(VLOOKUP(A139,'Données projet'!$A$269:$I$289,4,0)),0,VLOOKUP(A139,'Données projet'!$A$269:$I$289,4,0))</f>
        <v>0</v>
      </c>
      <c r="HD139" s="16">
        <f>IF(ISNA(VLOOKUP(A139,'Données projet'!$A$269:$I$289,5,0)),0%,VLOOKUP(A139,'Données projet'!$A$269:$I$289,5,0)*VLOOKUP('Données projet'!$B$18,Paramètres!$A$1:$I$89,7,0))</f>
        <v>0</v>
      </c>
      <c r="HE139" s="16">
        <f>IF(ISNA(VLOOKUP(A139,'Données projet'!$A$269:$I$289,6,0)),0%,VLOOKUP(A139,'Données projet'!$A$269:$I$289,6,0)*VLOOKUP('Données projet'!$B$18,Paramètres!$A$1:$I$89,7,0))</f>
        <v>0</v>
      </c>
      <c r="HF139" s="16">
        <f>IF(ISNA(VLOOKUP(A139,'Données projet'!$A$269:$I$289,7,0)),0%,VLOOKUP(A139,'Données projet'!$A$269:$I$289,7,0))</f>
        <v>0</v>
      </c>
      <c r="HG139" s="21">
        <f>EXP(-LN(2)/35)*HG138+(1-EXP(-LN(2)/35))/(LN(2)/35)*HC139*HD139*VLOOKUP('Données projet'!$B$18,Paramètres!$A$1:$I$89,3,0)*0.475*44/12</f>
        <v>0</v>
      </c>
      <c r="HH139" s="21">
        <f>EXP(-LN(2)/25)*HH138+(1-EXP(-LN(2)/25))/(LN(2)/25)*Calculateur!HC139*Calculateur!HE139*VLOOKUP('Données projet'!$B$18,Paramètres!$A$1:$I$89,3,0)*0.475*44/12</f>
        <v>0</v>
      </c>
      <c r="HI139" s="21">
        <f>EXP(-LN(2)/2)*HI138+(1-EXP(-LN(2)/2))/(LN(2)/2)*HC139*HF139*VLOOKUP('Données projet'!$B$18,Paramètres!$A$1:$I$89,3,0)*0.475*44/12</f>
        <v>0</v>
      </c>
      <c r="HJ139" s="22">
        <f t="shared" si="138"/>
        <v>0</v>
      </c>
    </row>
    <row r="140" spans="1:218" x14ac:dyDescent="0.25">
      <c r="A140" s="10">
        <f t="shared" si="139"/>
        <v>137</v>
      </c>
      <c r="B140" s="73">
        <f>'Scénario référence'!$B$16*5+'Scénario référence'!$B$17*0+'Scénario référence'!$B$18*5</f>
        <v>0</v>
      </c>
      <c r="C140" s="19">
        <f>Calculateur!C139+'Scénario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121.82040000000023</v>
      </c>
      <c r="D140" s="11">
        <f t="shared" si="140"/>
        <v>32.09920494137846</v>
      </c>
      <c r="E14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40" s="11">
        <f>IF(OR('Scénario référence'!$F$8&gt;0,'Scénario référence'!$F$9&gt;0),('Scénario référence'!$F$8+'Scénario référence'!$F$9)*10,0)</f>
        <v>10</v>
      </c>
      <c r="G140" s="11">
        <f>'Scénario référence'!$B$8*B140*44/12+'Scénario référence'!$B$9*(C140+D140)/0.475*44/12+'Scénario référence'!$B$10*(C140+D140)/0.475*44/12+'Scénario référence'!$F$8*(C140+D140)/0.475*44/12+'Scénario référence'!$F$9*(C140+D140)/0.475*44/12</f>
        <v>1188.1513363895899</v>
      </c>
      <c r="H140" s="67">
        <f t="shared" si="110"/>
        <v>561.40997860623452</v>
      </c>
      <c r="I140" s="70">
        <f>('Scénario référence'!$F$8+'Scénario référence'!$F$9+'Scénario référence'!$B$17+'Scénario référence'!$B$9+'Scénario référence'!$B$10)*70+IF((45+25*(1-EXP(-0.0175*A140)))&lt;70,'Scénario référence'!$B$16*(45+25*(1-EXP(-0.0175*A140))),70*'Scénario référence'!$B$16)+IF((32+38*(1-EXP(-0.0175*A140)))&lt;70,'Scénario référence'!$B$18*(32+38*(1-EXP(-0.0175*A140))),70*'Scénario référence'!$B$18)</f>
        <v>70</v>
      </c>
      <c r="J140" s="13">
        <f>IF(A140&gt;30,10,('Scénario référence'!$B$16+'Scénario référence'!$B$17+'Scénario référence'!$B$18+'Scénario référence'!$B$9+'Scénario référence'!$B$10)*A140*10/30+('Scénario référence'!$F$8+'Scénario référence'!$F$9)*10)</f>
        <v>10</v>
      </c>
      <c r="K140" s="12" t="e">
        <f>VLOOKUP(A140,'Données projet'!$A$35:$I$55,2,0)</f>
        <v>#N/A</v>
      </c>
      <c r="L140" s="12" t="e">
        <f>VLOOKUP(A140,'Données projet'!$A$35:$I$55,9,0)</f>
        <v>#N/A</v>
      </c>
      <c r="M140" s="12">
        <f t="array" ref="M140">INDEX(L:L,MIN(IF(ISNUMBER(L140:L336),ROW(L140:L336),"")))</f>
        <v>0</v>
      </c>
      <c r="N140" s="13">
        <f>IF('Données projet'!$A$36&gt;35,N139+M140-V139,IF(A140&lt;'Données projet'!$A$36,$K$205^A140,IF(A140='Données projet'!$A$36,'Données projet'!$B$36,N139+M140-V139)))</f>
        <v>-2.2737367544323206E-13</v>
      </c>
      <c r="O140" s="13">
        <f>N140*VLOOKUP('Données projet'!$B$9,Paramètres!$A$1:$I$89,3,0)*VLOOKUP('Données projet'!$B$9,Paramètres!$A$1:$I$89,5,0)</f>
        <v>-1.2710188457276673E-13</v>
      </c>
      <c r="P140" s="13" t="e">
        <f t="shared" si="141"/>
        <v>#NUM!</v>
      </c>
      <c r="Q140" s="20" t="e">
        <f t="shared" si="108"/>
        <v>#NUM!</v>
      </c>
      <c r="R140" s="59" t="e">
        <f t="shared" si="109"/>
        <v>#NUM!</v>
      </c>
      <c r="S140" s="59">
        <f ca="1">AVERAGE(OFFSET($R$3,0,0,'Données projet'!$E$9+1,1))-AVERAGE(OFFSET($H$3,0,0,'Données projet'!$E$9+1,1))</f>
        <v>255.5374979188561</v>
      </c>
      <c r="T140" s="59">
        <f t="shared" si="142"/>
        <v>343.10418468620901</v>
      </c>
      <c r="U140" s="15">
        <f>IF(ISNA(VLOOKUP(A140,'Données projet'!$A$35:$I$55,3,0)),0,VLOOKUP(A140,'Données projet'!$A$35:$I$55,3,0))</f>
        <v>0</v>
      </c>
      <c r="V140" s="15">
        <f>IF(ISNA(VLOOKUP(A140,'Données projet'!$A$35:$I$55,4,0)),0,VLOOKUP(A140,'Données projet'!$A$35:$I$55,4,0))</f>
        <v>0</v>
      </c>
      <c r="W140" s="16">
        <f>IF(ISNA(VLOOKUP(A140,'Données projet'!$A$35:$I$55,5,0)),0%,VLOOKUP(A140,'Données projet'!$A$35:$I$55,5,0)*VLOOKUP('Données projet'!$B$9,Paramètres!$A$1:$I$89,7,0))</f>
        <v>0</v>
      </c>
      <c r="X140" s="16">
        <f>IF(ISNA(VLOOKUP(A140,'Données projet'!$A$35:$I$55,6,0)),0%,VLOOKUP(A140,'Données projet'!$A$35:$I$55,6,0)*VLOOKUP('Données projet'!$B$9,Paramètres!$A$1:$I$89,7,0))</f>
        <v>0</v>
      </c>
      <c r="Y140" s="16">
        <f>IF(ISNA(VLOOKUP(A140,'Données projet'!$A$35:$I$55,7,0)),0%,VLOOKUP(A140,'Données projet'!$A$35:$I$55,7,0))</f>
        <v>0</v>
      </c>
      <c r="Z140" s="21">
        <f>EXP(-LN(2)/35)*Z139+(1-EXP(-LN(2)/35))/(LN(2)/35)*V140*W140*VLOOKUP('Données projet'!$B$9,Paramètres!$A$1:$I$89,3,0)*0.475*44/12</f>
        <v>0.37125517772606126</v>
      </c>
      <c r="AA140" s="21">
        <f>EXP(-LN(2)/25)*AA139+(1-EXP(-LN(2)/25))/(LN(2)/25)*Calculateur!V140*Calculateur!X140*VLOOKUP('Données projet'!$B$9,Paramètres!$A$1:$I$89,3,0)*0.475*44/12</f>
        <v>0.82154537830947039</v>
      </c>
      <c r="AB140" s="21">
        <f>EXP(-LN(2)/2)*AB139+(1-EXP(-LN(2)/2))/(LN(2)/2)*V140*Y140*VLOOKUP('Données projet'!$B$9,Paramètres!$A$1:$I$89,3,0)*0.475*44/12</f>
        <v>1.3288101325631195E-16</v>
      </c>
      <c r="AC140" s="22">
        <f t="shared" si="111"/>
        <v>1.1928005560355319</v>
      </c>
      <c r="AD140" s="13">
        <f>('Scénario référence'!$F$8+'Scénario référence'!$F$9+'Scénario référence'!$B$17+'Scénario référence'!$B$9+'Scénario référence'!$B$10)*70+IF((45+25*(1-EXP(-0.0175*A140)))&lt;70,'Scénario référence'!$B$16*(45+25*(1-EXP(-0.0175*A140))),70*'Scénario référence'!$B$16)+IF((32+38*(1-EXP(-0.0175*A140)))&lt;70,'Scénario référence'!$B$18*(32+38*(1-EXP(-0.0175*A140))),70*'Scénario référence'!$B$18)</f>
        <v>70</v>
      </c>
      <c r="AE140" s="13">
        <f>IF(A140&gt;30,10,('Scénario référence'!$B$16+'Scénario référence'!$B$17+'Scénario référence'!$B$18+'Scénario référence'!$B$9+'Scénario référence'!$B$10)*A140*10/30+('Scénario référence'!$F$8+'Scénario référence'!$F$9)*10)</f>
        <v>10</v>
      </c>
      <c r="AF140" s="12" t="e">
        <f>VLOOKUP(A140,'Données projet'!$A$61:$I$81,2,0)</f>
        <v>#N/A</v>
      </c>
      <c r="AG140" s="12" t="e">
        <f>VLOOKUP(A140,'Données projet'!$A$61:$I$81,9,0)</f>
        <v>#N/A</v>
      </c>
      <c r="AH140" s="12">
        <f t="array" ref="AH140">INDEX(AG:AG,MIN(IF(ISNUMBER(AG140:AG336),ROW(AG140:AG336),"")))</f>
        <v>0</v>
      </c>
      <c r="AI140" s="13">
        <f>IF('Données projet'!$A$62&gt;35,AI139+AH140-AQ139,IF(A140&lt;'Données projet'!$A$62,$AF$205^A140,IF(A140='Données projet'!$A$62,'Données projet'!$B$62,AI139+AH140-AQ139)))</f>
        <v>0</v>
      </c>
      <c r="AJ140" s="13">
        <f>AI140*VLOOKUP('Données projet'!$B$10,Paramètres!$A$1:$I$89,3,0)*VLOOKUP('Données projet'!$B$10,Paramètres!$A$1:$I$89,5,0)</f>
        <v>0</v>
      </c>
      <c r="AK140" s="13" t="e">
        <f t="shared" si="143"/>
        <v>#NUM!</v>
      </c>
      <c r="AL140" s="20" t="e">
        <f t="shared" si="112"/>
        <v>#NUM!</v>
      </c>
      <c r="AM140" s="59" t="e">
        <f t="shared" si="113"/>
        <v>#NUM!</v>
      </c>
      <c r="AN140" s="59">
        <f ca="1">AVERAGE(OFFSET($AM$3,0,0,'Données projet'!$E$10+1,1))-AVERAGE(OFFSET($H$3,0,0,'Données projet'!$E$10+1,1))</f>
        <v>261.78489480911571</v>
      </c>
      <c r="AO140" s="59">
        <f t="shared" si="144"/>
        <v>297.50513563712764</v>
      </c>
      <c r="AP140" s="15">
        <f>IF(ISNA(VLOOKUP(A140,'Données projet'!$A$61:$I$81,3,0)),0,VLOOKUP(A140,'Données projet'!$A$61:$I$81,3,0))</f>
        <v>0</v>
      </c>
      <c r="AQ140" s="15">
        <f>IF(ISNA(VLOOKUP(A140,'Données projet'!$A$61:$I$81,4,0)),0,VLOOKUP(A140,'Données projet'!$A$61:$I$81,4,0))</f>
        <v>0</v>
      </c>
      <c r="AR140" s="16">
        <f>IF(ISNA(VLOOKUP(A140,'Données projet'!$A$61:$I$81,5,0)),0%,VLOOKUP(A140,'Données projet'!$A$61:$I$81,5,0)*VLOOKUP('Données projet'!$B$10,Paramètres!$A$1:$I$89,7,0))</f>
        <v>0</v>
      </c>
      <c r="AS140" s="16">
        <f>IF(ISNA(VLOOKUP(A140,'Données projet'!$A$61:$I$81,6,0)),0%,VLOOKUP(A140,'Données projet'!$A$61:$I$81,6,0)*VLOOKUP('Données projet'!$B$10,Paramètres!$A$1:$I$89,7,0))</f>
        <v>0</v>
      </c>
      <c r="AT140" s="16">
        <f>IF(ISNA(VLOOKUP(A140,'Données projet'!$A$61:$I$81,7,0)),0%,VLOOKUP(A140,'Données projet'!$A$61:$I$81,7,0))</f>
        <v>0</v>
      </c>
      <c r="AU140" s="21">
        <f>EXP(-LN(2)/35)*AU139+(1-EXP(-LN(2)/35))/(LN(2)/35)*AQ140*AR140*VLOOKUP('Données projet'!$B$10,Paramètres!$A$1:$I$89,3,0)*0.475*44/12</f>
        <v>1.0024939888837225</v>
      </c>
      <c r="AV140" s="21">
        <f>EXP(-LN(2)/25)*AV139+(1-EXP(-LN(2)/25))/(LN(2)/25)*Calculateur!AQ140*Calculateur!AS140*VLOOKUP('Données projet'!$B$10,Paramètres!$A$1:$I$89,3,0)*0.475*44/12</f>
        <v>1.4345857936422388</v>
      </c>
      <c r="AW140" s="21">
        <f>EXP(-LN(2)/2)*AW139+(1-EXP(-LN(2)/2))/(LN(2)/2)*AQ140*AT140*VLOOKUP('Données projet'!$B$10,Paramètres!$A$1:$I$89,3,0)*0.475*44/12</f>
        <v>1.9156063093483357E-15</v>
      </c>
      <c r="AX140" s="21">
        <f t="shared" si="114"/>
        <v>2.4370797825259629</v>
      </c>
      <c r="AY140" s="74">
        <f>('Scénario référence'!$F$8+'Scénario référence'!$F$9+'Scénario référence'!$B$17+'Scénario référence'!$B$9+'Scénario référence'!$B$10)*70+IF((45+25*(1-EXP(-0.0175*A140)))&lt;70,'Scénario référence'!$B$16*(45+25*(1-EXP(-0.0175*A140))),70*'Scénario référence'!$B$16)+IF((32+38*(1-EXP(-0.0175*A140)))&lt;70,'Scénario référence'!$B$18*(32+38*(1-EXP(-0.0175*A140))),70*'Scénario référence'!$B$18)</f>
        <v>70</v>
      </c>
      <c r="AZ140" s="12">
        <f>IF(A140&gt;30,10,('Scénario référence'!$B$16+'Scénario référence'!$B$17+'Scénario référence'!$B$18+'Scénario référence'!$B$9+'Scénario référence'!$B$10)*A140*10/30+('Scénario référence'!$F$8+'Scénario référence'!$F$9)*10)</f>
        <v>10</v>
      </c>
      <c r="BA140" s="12" t="e">
        <f>VLOOKUP(A140,'Données projet'!$A$87:$I$107,2,0)</f>
        <v>#N/A</v>
      </c>
      <c r="BB140" s="12" t="e">
        <f>VLOOKUP(A140,'Données projet'!$A$87:$I$107,9,0)</f>
        <v>#N/A</v>
      </c>
      <c r="BC140" s="12">
        <f t="array" ref="BC140">INDEX(BB:BB,MIN(IF(ISNUMBER(BB140:BB336),ROW(BB140:BB336),"")))</f>
        <v>0</v>
      </c>
      <c r="BD140" s="12">
        <f>IF('Données projet'!$A$88&gt;35,BD139+BC140-BL139,IF(A140&lt;'Données projet'!$A$88,$BA$205^A140,IF(A140='Données projet'!$A$88,'Données projet'!$B$88,BD139+BC140-BL139)))</f>
        <v>553.99999999999955</v>
      </c>
      <c r="BE140" s="13">
        <f>BD140*VLOOKUP('Données projet'!$B$11,Paramètres!$A$1:$I$89,3,0)*VLOOKUP('Données projet'!$B$11,Paramètres!$A$1:$I$89,5,0)</f>
        <v>331.29199999999975</v>
      </c>
      <c r="BF140" s="13">
        <f t="shared" si="145"/>
        <v>77.698110787752</v>
      </c>
      <c r="BG140" s="20">
        <f t="shared" si="115"/>
        <v>712.32444295533423</v>
      </c>
      <c r="BH140" s="59">
        <f t="shared" si="116"/>
        <v>1005.6577762886675</v>
      </c>
      <c r="BI140" s="59">
        <f ca="1">AVERAGE(OFFSET($BH$3,0,0,'Données projet'!$E$11+1,1))-AVERAGE(OFFSET($H$3,0,0,'Données projet'!$E$11+1,1))</f>
        <v>316.58509520829671</v>
      </c>
      <c r="BJ140" s="59">
        <f t="shared" si="146"/>
        <v>240.71332110643596</v>
      </c>
      <c r="BK140" s="15">
        <f>IF(ISNA(VLOOKUP(A140,'Données projet'!$A$87:$I$107,3,0)),0,VLOOKUP(A140,'Données projet'!$A$87:$I$107,3,0))</f>
        <v>0</v>
      </c>
      <c r="BL140" s="15">
        <f>IF(ISNA(VLOOKUP(A140,'Données projet'!$A$87:$I$107,4,0)),0,VLOOKUP(A140,'Données projet'!$A$87:$I$107,4,0))</f>
        <v>0</v>
      </c>
      <c r="BM140" s="16">
        <f>IF(ISNA(VLOOKUP(A140,'Données projet'!$A$87:$I$107,5,0)),0%,VLOOKUP(A140,'Données projet'!$A$87:$I$107,5,0)*VLOOKUP('Données projet'!$B$11,Paramètres!$A$1:$I$89,7,0))</f>
        <v>0</v>
      </c>
      <c r="BN140" s="16">
        <f>IF(ISNA(VLOOKUP(A140,'Données projet'!$A$87:$I$107,6,0)),0%,VLOOKUP(A140,'Données projet'!$A$87:$I$107,6,0)*VLOOKUP('Données projet'!$B$11,Paramètres!$A$1:$I$89,7,0))</f>
        <v>0</v>
      </c>
      <c r="BO140" s="16">
        <f>IF(ISNA(VLOOKUP(A140,'Données projet'!$A$87:$I$107,7,0)),0%,VLOOKUP(A140,'Données projet'!$A$87:$I$107,7,0))</f>
        <v>0</v>
      </c>
      <c r="BP140" s="21">
        <f>EXP(-LN(2)/35)*BP139+(1-EXP(-LN(2)/35))/(LN(2)/35)*BL140*BM140*VLOOKUP('Données projet'!$B$11,Paramètres!$A$1:$I$89,3,0)*0.475*44/12</f>
        <v>0.30451500815608629</v>
      </c>
      <c r="BQ140" s="21">
        <f>EXP(-LN(2)/25)*BQ139+(1-EXP(-LN(2)/25))/(LN(2)/25)*Calculateur!BL140*Calculateur!BN140*VLOOKUP('Données projet'!$B$11,Paramètres!$A$1:$I$89,3,0)*0.475*44/12</f>
        <v>0.78590795621137788</v>
      </c>
      <c r="BR140" s="21">
        <f>EXP(-LN(2)/2)*BR139+(1-EXP(-LN(2)/2))/(LN(2)/2)*BL140*BO140*VLOOKUP('Données projet'!$B$11,Paramètres!$A$1:$I$89,3,0)*0.475*44/12</f>
        <v>1.7223398551452209E-15</v>
      </c>
      <c r="BS140" s="22">
        <f t="shared" si="117"/>
        <v>1.0904229643674659</v>
      </c>
      <c r="BT140" s="75">
        <f>('Scénario référence'!$F$8+'Scénario référence'!$F$9+'Scénario référence'!$B$17+'Scénario référence'!$B$9+'Scénario référence'!$B$10)*70+IF((45+25*(1-EXP(-0.0175*A140)))&lt;70,'Scénario référence'!$B$16*(45+25*(1-EXP(-0.0175*A140))),70*'Scénario référence'!$B$16)+IF((32+38*(1-EXP(-0.0175*A140)))&lt;70,'Scénario référence'!$B$18*(32+38*(1-EXP(-0.0175*A140))),70*'Scénario référence'!$B$18)</f>
        <v>70</v>
      </c>
      <c r="BU140" s="12">
        <f>IF(A140&gt;30,10,('Scénario référence'!$B$16+'Scénario référence'!$B$17+'Scénario référence'!$B$18+'Scénario référence'!$B$9+'Scénario référence'!$B$10)*A140*10/30+('Scénario référence'!$F$8+'Scénario référence'!$F$9)*10)</f>
        <v>10</v>
      </c>
      <c r="BV140" s="12" t="e">
        <f>VLOOKUP(A140,'Données projet'!$A$113:$I$133,2,0)</f>
        <v>#N/A</v>
      </c>
      <c r="BW140" s="12" t="e">
        <f>VLOOKUP(A140,'Données projet'!$A$113:$I$133,9,0)</f>
        <v>#N/A</v>
      </c>
      <c r="BX140" s="12">
        <f t="array" ref="BX140">INDEX(BW:BW,MIN(IF(ISNUMBER(BW140:BW336),ROW(BW140:BW336),"")))</f>
        <v>0</v>
      </c>
      <c r="BY140" s="12">
        <f>IF('Données projet'!$A$114&gt;35,BY139+BX140-CG139,IF(A140&lt;'Données projet'!$A$114,$BV$205^A140,IF(A140='Données projet'!$A$114,'Données projet'!$B$114,BY139+BX140-CG139)))</f>
        <v>333.99999999999977</v>
      </c>
      <c r="BZ140" s="13">
        <f>BY140*VLOOKUP('Données projet'!$B$12,Paramètres!$A$1:$I$89,3,0)*VLOOKUP('Données projet'!$B$12,Paramètres!$A$1:$I$89,5,0)</f>
        <v>191.04799999999986</v>
      </c>
      <c r="CA140" s="13">
        <f t="shared" si="147"/>
        <v>47.771576544305155</v>
      </c>
      <c r="CB140" s="20">
        <f t="shared" si="118"/>
        <v>415.94409581466454</v>
      </c>
      <c r="CC140" s="59">
        <f t="shared" si="119"/>
        <v>709.27742914799785</v>
      </c>
      <c r="CD140" s="59">
        <f ca="1">AVERAGE(OFFSET($CC$3,0,0,'Données projet'!$E$12+1,1))-AVERAGE(OFFSET($H$3,0,0,'Données projet'!$E$12+1,1))</f>
        <v>188.64374818906128</v>
      </c>
      <c r="CE140" s="59">
        <f t="shared" si="148"/>
        <v>211.95157880548652</v>
      </c>
      <c r="CF140" s="15">
        <f>IF(ISNA(VLOOKUP(A140,'Données projet'!$A$113:$I$133,3,0)),0,VLOOKUP(A140,'Données projet'!$A$113:$I$133,3,0))</f>
        <v>0</v>
      </c>
      <c r="CG140" s="15">
        <f>IF(ISNA(VLOOKUP(A140,'Données projet'!$A$113:$I$133,4,0)),0,VLOOKUP(A140,'Données projet'!$A$113:$I$133,4,0))</f>
        <v>0</v>
      </c>
      <c r="CH140" s="16">
        <f>IF(ISNA(VLOOKUP(A140,'Données projet'!$A$113:$I$133,5,0)),0%,VLOOKUP(A140,'Données projet'!$A$113:$I$133,5,0)*VLOOKUP('Données projet'!$B$12,Paramètres!$A$1:$I$89,7,0))</f>
        <v>0</v>
      </c>
      <c r="CI140" s="16">
        <f>IF(ISNA(VLOOKUP(A140,'Données projet'!$A$113:$I$133,6,0)),0%,VLOOKUP(A140,'Données projet'!$A$113:$I$133,6,0)*VLOOKUP('Données projet'!$B$12,Paramètres!$A$1:$I$89,7,0))</f>
        <v>0</v>
      </c>
      <c r="CJ140" s="16">
        <f>IF(ISNA(VLOOKUP(A140,'Données projet'!$A$113:$I$133,7,0)),0%,VLOOKUP(A140,'Données projet'!$A$113:$I$133,7,0))</f>
        <v>0</v>
      </c>
      <c r="CK140" s="21">
        <f>EXP(-LN(2)/35)*CK139+(1-EXP(-LN(2)/35))/(LN(2)/35)*CG140*CH140*VLOOKUP('Données projet'!$B$12,Paramètres!$A$1:$I$89,3,0)*0.475*44/12</f>
        <v>0.29537769315323958</v>
      </c>
      <c r="CL140" s="21">
        <f>EXP(-LN(2)/25)*CL139+(1-EXP(-LN(2)/25))/(LN(2)/25)*Calculateur!CG140*Calculateur!CI140*VLOOKUP('Données projet'!$B$12,Paramètres!$A$1:$I$89,3,0)*0.475*44/12</f>
        <v>0.7397143627276177</v>
      </c>
      <c r="CM140" s="21">
        <f>EXP(-LN(2)/2)*CM139+(1-EXP(-LN(2)/2))/(LN(2)/2)*CG140*CJ140*VLOOKUP('Données projet'!$B$12,Paramètres!$A$1:$I$89,3,0)*0.475*44/12</f>
        <v>1.6679513918365279E-15</v>
      </c>
      <c r="CN140" s="22">
        <f t="shared" si="120"/>
        <v>1.0350920558808592</v>
      </c>
      <c r="CO140" s="75">
        <f>('Scénario référence'!$F$8+'Scénario référence'!$F$9+'Scénario référence'!$B$17+'Scénario référence'!$B$9+'Scénario référence'!$B$10)*70+IF((45+25*(1-EXP(-0.0175*A140)))&lt;70,'Scénario référence'!$B$16*(45+25*(1-EXP(-0.0175*A140))),70*'Scénario référence'!$B$16)+IF((32+38*(1-EXP(-0.0175*A140)))&lt;70,'Scénario référence'!$B$18*(32+38*(1-EXP(-0.0175*A140))),70*'Scénario référence'!$B$18)</f>
        <v>70</v>
      </c>
      <c r="CP140" s="12">
        <f>IF(A140&gt;30,10,('Scénario référence'!$B$16+'Scénario référence'!$B$17+'Scénario référence'!$B$18+'Scénario référence'!$B$9+'Scénario référence'!$B$10)*A140*10/30+('Scénario référence'!$F$8+'Scénario référence'!$F$9)*10)</f>
        <v>10</v>
      </c>
      <c r="CQ140" s="12" t="e">
        <f>VLOOKUP(A140,'Données projet'!$A$139:$I$159,2,0)</f>
        <v>#N/A</v>
      </c>
      <c r="CR140" s="12" t="e">
        <f>VLOOKUP(A140,'Données projet'!$A$139:$I$159,9,0)</f>
        <v>#N/A</v>
      </c>
      <c r="CS140" s="12">
        <f t="array" ref="CS140">INDEX(CR:CR,MIN(IF(ISNUMBER(CR140:CR336),ROW(CR140:CR336),"")))</f>
        <v>0</v>
      </c>
      <c r="CT140" s="12">
        <f>IF('Données projet'!$A$140&gt;35,CT139+CS140-DB139,IF(A140&lt;'Données projet'!$A$140,$CQ$205^A140,IF(A140='Données projet'!$A$140,'Données projet'!$B$140,CT139+CS140-DB139)))</f>
        <v>0</v>
      </c>
      <c r="CU140" s="17" t="e">
        <f>CT140*VLOOKUP('Données projet'!$B$13,Paramètres!$A$1:$I$89,3,0)*VLOOKUP('Données projet'!$B$13,Paramètres!$A$1:$I$89,5,0)</f>
        <v>#N/A</v>
      </c>
      <c r="CV140" s="13" t="e">
        <f t="shared" si="149"/>
        <v>#N/A</v>
      </c>
      <c r="CW140" s="20" t="e">
        <f t="shared" si="121"/>
        <v>#N/A</v>
      </c>
      <c r="CX140" s="59" t="e">
        <f t="shared" si="122"/>
        <v>#N/A</v>
      </c>
      <c r="CY140" s="59" t="e">
        <f ca="1">AVERAGE(OFFSET($CX$3,0,0,'Données projet'!$E$13+1,1))-AVERAGE(OFFSET($H$3,0,0,'Données projet'!$E$13+1,1))</f>
        <v>#N/A</v>
      </c>
      <c r="CZ140" s="59" t="e">
        <f t="shared" si="150"/>
        <v>#N/A</v>
      </c>
      <c r="DA140" s="15">
        <f>IF(ISNA(VLOOKUP(A140,'Données projet'!$A$139:$I$159,3,0)),0,VLOOKUP(A140,'Données projet'!$A$139:$I$159,3,0))</f>
        <v>0</v>
      </c>
      <c r="DB140" s="15">
        <f>IF(ISNA(VLOOKUP(A140,'Données projet'!$A$139:$I$159,4,0)),0,VLOOKUP(A140,'Données projet'!$A$139:$I$159,4,0))</f>
        <v>0</v>
      </c>
      <c r="DC140" s="16">
        <f>IF(ISNA(VLOOKUP(A140,'Données projet'!$A$139:$I$159,5,0)),0%,VLOOKUP(A140,'Données projet'!$A$139:$I$159,5,0)*VLOOKUP('Données projet'!$B$13,Paramètres!$A$1:$I$89,7,0))</f>
        <v>0</v>
      </c>
      <c r="DD140" s="16">
        <f>IF(ISNA(VLOOKUP(A140,'Données projet'!$A$139:$I$159,6,0)),0%,VLOOKUP(A140,'Données projet'!$A$139:$I$159,6,0)*VLOOKUP('Données projet'!$B$13,Paramètres!$A$1:$I$89,7,0))</f>
        <v>0</v>
      </c>
      <c r="DE140" s="16">
        <f>IF(ISNA(VLOOKUP(A140,'Données projet'!$A$139:$I$159,7,0)),0%,VLOOKUP(A140,'Données projet'!$A$139:$I$159,7,0))</f>
        <v>0</v>
      </c>
      <c r="DF140" s="21" t="e">
        <f>EXP(-LN(2)/35)*DF139+(1-EXP(-LN(2)/35))/(LN(2)/35)*DB140*DC140*VLOOKUP('Données projet'!$B$13,Paramètres!$A$1:$I$89,3,0)*0.475*44/12</f>
        <v>#N/A</v>
      </c>
      <c r="DG140" s="21" t="e">
        <f>EXP(-LN(2)/25)*DG139+(1-EXP(-LN(2)/25))/(LN(2)/25)*Calculateur!DB140*Calculateur!DD140*VLOOKUP('Données projet'!$B$13,Paramètres!$A$1:$I$89,3,0)*0.475*44/12</f>
        <v>#N/A</v>
      </c>
      <c r="DH140" s="21" t="e">
        <f>EXP(-LN(2)/2)*DH139+(1-EXP(-LN(2)/2))/(LN(2)/2)*DB140*DE140*VLOOKUP('Données projet'!$B$13,Paramètres!$A$1:$I$89,3,0)*0.475*44/12</f>
        <v>#N/A</v>
      </c>
      <c r="DI140" s="22" t="e">
        <f t="shared" si="123"/>
        <v>#N/A</v>
      </c>
      <c r="DJ140" s="75">
        <f>('Scénario référence'!$F$8+'Scénario référence'!$F$9+'Scénario référence'!$B$17+'Scénario référence'!$B$9+'Scénario référence'!$B$10)*70+IF((45+25*(1-EXP(-0.0175*A140)))&lt;70,'Scénario référence'!$B$16*(45+25*(1-EXP(-0.0175*A140))),70*'Scénario référence'!$B$16)+IF((32+38*(1-EXP(-0.0175*A140)))&lt;70,'Scénario référence'!$B$18*(32+38*(1-EXP(-0.0175*A140))),70*'Scénario référence'!$B$18)</f>
        <v>70</v>
      </c>
      <c r="DK140" s="12">
        <f>IF(A140&gt;30,10,('Scénario référence'!$B$16+'Scénario référence'!$B$17+'Scénario référence'!$B$18+'Scénario référence'!$B$9+'Scénario référence'!$B$10)*A140*10/30+('Scénario référence'!$F$8+'Scénario référence'!$F$9)*10)</f>
        <v>10</v>
      </c>
      <c r="DL140" s="12" t="e">
        <f>VLOOKUP(A140,'Données projet'!$A$165:$I$185,2,0)</f>
        <v>#N/A</v>
      </c>
      <c r="DM140" s="12" t="e">
        <f>VLOOKUP(A140,'Données projet'!$A$165:$I$185,9,0)</f>
        <v>#N/A</v>
      </c>
      <c r="DN140" s="12">
        <f t="array" ref="DN140">INDEX(DM:DM,MIN(IF(ISNUMBER(DM140:DM336),ROW(DM140:DM336),"")))</f>
        <v>0</v>
      </c>
      <c r="DO140" s="12">
        <f>IF('Données projet'!$A$166&gt;35,DO139+DN140-DW139,IF(A140&lt;'Données projet'!$A$166,$DL$205^A140,IF(A140='Données projet'!$A$166,'Données projet'!$B$166,DO139+DN140-DW139)))</f>
        <v>268.00000000000017</v>
      </c>
      <c r="DP140" s="17">
        <f>DO140*VLOOKUP('Données projet'!$B$14,Paramètres!$A$1:$I$89,3,0)*VLOOKUP('Données projet'!$B$14,Paramètres!$A$1:$I$89,5,0)</f>
        <v>175.59360000000012</v>
      </c>
      <c r="DQ140" s="13">
        <f t="shared" si="151"/>
        <v>44.340433728638573</v>
      </c>
      <c r="DR140" s="20">
        <f t="shared" si="124"/>
        <v>383.05177541071242</v>
      </c>
      <c r="DS140" s="59">
        <f t="shared" si="125"/>
        <v>676.38510874404574</v>
      </c>
      <c r="DT140" s="59">
        <f ca="1">AVERAGE(OFFSET($DS$3,0,0,'Données projet'!$E$14+1,1))-AVERAGE(OFFSET($H$3,0,0,'Données projet'!$E$14+1,1))</f>
        <v>188.68915783955595</v>
      </c>
      <c r="DU140" s="59">
        <f t="shared" si="152"/>
        <v>240.82467772396944</v>
      </c>
      <c r="DV140" s="15">
        <f>IF(ISNA(VLOOKUP(A140,'Données projet'!$A$165:$I$185,3,0)),0,VLOOKUP(A140,'Données projet'!$A$165:$I$185,3,0))</f>
        <v>0</v>
      </c>
      <c r="DW140" s="15">
        <f>IF(ISNA(VLOOKUP(A140,'Données projet'!$A$165:$I$185,4,0)),0,VLOOKUP(A140,'Données projet'!$A$165:$I$185,4,0))</f>
        <v>0</v>
      </c>
      <c r="DX140" s="16">
        <f>IF(ISNA(VLOOKUP(A140,'Données projet'!$A$165:$I$185,5,0)),0%,VLOOKUP(A140,'Données projet'!$A$165:$I$185,5,0)*VLOOKUP('Données projet'!$B$14,Paramètres!$A$1:$I$89,7,0))</f>
        <v>0</v>
      </c>
      <c r="DY140" s="16">
        <f>IF(ISNA(VLOOKUP(A140,'Données projet'!$A$165:$I$185,6,0)),0%,VLOOKUP(A140,'Données projet'!$A$165:$I$185,6,0)*VLOOKUP('Données projet'!$B$14,Paramètres!$A$1:$I$89,7,0))</f>
        <v>0</v>
      </c>
      <c r="DZ140" s="16">
        <f>IF(ISNA(VLOOKUP(A140,'Données projet'!$A$165:$I$185,7,0)),0%,VLOOKUP(A140,'Données projet'!$A$165:$I$185,7,0))</f>
        <v>0</v>
      </c>
      <c r="EA140" s="21">
        <f>EXP(-LN(2)/35)*EA139+(1-EXP(-LN(2)/35))/(LN(2)/35)*DW140*DX140*VLOOKUP('Données projet'!$B$14,Paramètres!$A$1:$I$89,3,0)*0.475*44/12</f>
        <v>0.18709740243923623</v>
      </c>
      <c r="EB140" s="21">
        <f>EXP(-LN(2)/25)*EB139+(1-EXP(-LN(2)/25))/(LN(2)/25)*Calculateur!DW140*Calculateur!DY140*VLOOKUP('Données projet'!$B$14,Paramètres!$A$1:$I$89,3,0)*0.475*44/12</f>
        <v>0.41375304255421624</v>
      </c>
      <c r="EC140" s="21">
        <f>EXP(-LN(2)/2)*EC139+(1-EXP(-LN(2)/2))/(LN(2)/2)*DW140*DZ140*VLOOKUP('Données projet'!$B$14,Paramètres!$A$1:$I$89,3,0)*0.475*44/12</f>
        <v>1.0987827313902555E-15</v>
      </c>
      <c r="ED140" s="22">
        <f t="shared" si="126"/>
        <v>0.60085044499345353</v>
      </c>
      <c r="EE140" s="75">
        <f>('Scénario référence'!$F$8+'Scénario référence'!$F$9+'Scénario référence'!$B$17+'Scénario référence'!$B$9+'Scénario référence'!$B$10)*70+IF((45+25*(1-EXP(-0.0175*A140)))&lt;70,'Scénario référence'!$B$16*(45+25*(1-EXP(-0.0175*A140))),70*'Scénario référence'!$B$16)+IF((32+38*(1-EXP(-0.0175*A140)))&lt;70,'Scénario référence'!$B$18*(32+38*(1-EXP(-0.0175*A140))),70*'Scénario référence'!$B$18)</f>
        <v>70</v>
      </c>
      <c r="EF140" s="12">
        <f>IF(A140&gt;30,10,('Scénario référence'!$B$16+'Scénario référence'!$B$17+'Scénario référence'!$B$18+'Scénario référence'!$B$9+'Scénario référence'!$B$10)*A140*10/30+('Scénario référence'!$F$8+'Scénario référence'!$F$9)*10)</f>
        <v>10</v>
      </c>
      <c r="EG140" s="12" t="e">
        <f>VLOOKUP(A140,'Données projet'!$A$191:$I$211,2,0)</f>
        <v>#N/A</v>
      </c>
      <c r="EH140" s="12" t="e">
        <f>VLOOKUP(A140,'Données projet'!$A$191:$I$211,9,0)</f>
        <v>#N/A</v>
      </c>
      <c r="EI140" s="12">
        <f t="array" ref="EI140">INDEX(EH:EH,MIN(IF(ISNUMBER(EH140:EH336),ROW(EH140:EH336),"")))</f>
        <v>0</v>
      </c>
      <c r="EJ140" s="12">
        <f>IF('Données projet'!$A$192&gt;35,EJ139+EI140-ER139,IF(A140&lt;'Données projet'!$A$192,$EG$205^A140,IF(A140='Données projet'!$A$192,'Données projet'!$B$192,EJ139+EI140-ER139)))</f>
        <v>275.99999999999972</v>
      </c>
      <c r="EK140" s="17">
        <f>EJ140*VLOOKUP('Données projet'!$B$15,Paramètres!$A$1:$I$89,3,0)*VLOOKUP('Données projet'!$B$15,Paramètres!$A$1:$I$89,5,0)</f>
        <v>223.8911999999998</v>
      </c>
      <c r="EL140" s="13">
        <f t="shared" si="153"/>
        <v>54.95975389514858</v>
      </c>
      <c r="EM140" s="20">
        <f t="shared" si="127"/>
        <v>485.66541136738346</v>
      </c>
      <c r="EN140" s="59">
        <f t="shared" si="128"/>
        <v>778.99874470071677</v>
      </c>
      <c r="EO140" s="59">
        <f ca="1">AVERAGE(OFFSET($EN$3,0,0,'Données projet'!$E$15+1,1))-AVERAGE(OFFSET($H$3,0,0,'Données projet'!$E$15+1,1))</f>
        <v>205.5272583787887</v>
      </c>
      <c r="EP140" s="59">
        <f t="shared" si="154"/>
        <v>180.54762778843178</v>
      </c>
      <c r="EQ140" s="15">
        <f>IF(ISNA(VLOOKUP(A140,'Données projet'!$A$191:$I$211,3,0)),0,VLOOKUP(A140,'Données projet'!$A$191:$I$211,3,0))</f>
        <v>0</v>
      </c>
      <c r="ER140" s="15">
        <f>IF(ISNA(VLOOKUP(A140,'Données projet'!$A$191:$I$211,4,0)),0,VLOOKUP(A140,'Données projet'!$A$191:$I$211,4,0))</f>
        <v>0</v>
      </c>
      <c r="ES140" s="16">
        <f>IF(ISNA(VLOOKUP(A140,'Données projet'!$A$191:$I$211,5,0)),0%,VLOOKUP(A140,'Données projet'!$A$191:$I$211,5,0)*VLOOKUP('Données projet'!$B$15,Paramètres!$A$1:$I$89,7,0))</f>
        <v>0</v>
      </c>
      <c r="ET140" s="16">
        <f>IF(ISNA(VLOOKUP(A140,'Données projet'!$A$191:$I$211,6,0)),0%,VLOOKUP(A140,'Données projet'!$A$191:$I$211,6,0)*VLOOKUP('Données projet'!$B$15,Paramètres!$A$1:$I$89,7,0))</f>
        <v>0</v>
      </c>
      <c r="EU140" s="16">
        <f>IF(ISNA(VLOOKUP(A140,'Données projet'!$A$191:$I$211,7,0)),0%,VLOOKUP(A140,'Données projet'!$A$191:$I$211,7,0))</f>
        <v>0</v>
      </c>
      <c r="EV140" s="21">
        <f>EXP(-LN(2)/35)*EV139+(1-EXP(-LN(2)/35))/(LN(2)/35)*ER140*ES140*VLOOKUP('Données projet'!$B$15,Paramètres!$A$1:$I$89,3,0)*0.475*44/12</f>
        <v>0.12045508957040357</v>
      </c>
      <c r="EW140" s="21">
        <f>EXP(-LN(2)/25)*EW139+(1-EXP(-LN(2)/25))/(LN(2)/25)*Calculateur!ER140*Calculateur!ET140*VLOOKUP('Données projet'!$B$15,Paramètres!$A$1:$I$89,3,0)*0.475*44/12</f>
        <v>0.29874224832191193</v>
      </c>
      <c r="EX140" s="21">
        <f>EXP(-LN(2)/2)*EX139+(1-EXP(-LN(2)/2))/(LN(2)/2)*ER140*EU140*VLOOKUP('Données projet'!$B$15,Paramètres!$A$1:$I$89,3,0)*0.475*44/12</f>
        <v>7.1146263104393666E-16</v>
      </c>
      <c r="EY140" s="22">
        <f t="shared" si="129"/>
        <v>0.41919733789231622</v>
      </c>
      <c r="EZ140" s="75">
        <f>('Scénario référence'!$F$8+'Scénario référence'!$F$9+'Scénario référence'!$B$17+'Scénario référence'!$B$9+'Scénario référence'!$B$10)*70+IF((45+25*(1-EXP(-0.0175*A140)))&lt;70,'Scénario référence'!$B$16*(45+25*(1-EXP(-0.0175*A140))),70*'Scénario référence'!$B$16)+IF((32+38*(1-EXP(-0.0175*A140)))&lt;70,'Scénario référence'!$B$18*(32+38*(1-EXP(-0.0175*A140))),70*'Scénario référence'!$B$18)</f>
        <v>70</v>
      </c>
      <c r="FA140" s="12">
        <f>IF(A140&gt;30,10,('Scénario référence'!$B$16+'Scénario référence'!$B$17+'Scénario référence'!$B$18+'Scénario référence'!$B$9+'Scénario référence'!$B$10)*A140*10/30+('Scénario référence'!$F$8+'Scénario référence'!$F$9)*10)</f>
        <v>10</v>
      </c>
      <c r="FB140" s="12" t="e">
        <f>VLOOKUP(A140,'Données projet'!$A$217:$I$237,2,0)</f>
        <v>#N/A</v>
      </c>
      <c r="FC140" s="12" t="e">
        <f>VLOOKUP(A140,'Données projet'!$A$217:$I$237,9,0)</f>
        <v>#N/A</v>
      </c>
      <c r="FD140" s="12">
        <f t="array" ref="FD140">INDEX(FC:FC,MIN(IF(ISNUMBER(FC140:FC336),ROW(FC140:FC336),"")))</f>
        <v>5.5</v>
      </c>
      <c r="FE140" s="12">
        <f>IF('Données projet'!$A$218&gt;35,FE139+FD140-FM139,IF(A140&lt;'Données projet'!$A$218,$FB$205^A140,IF(A140='Données projet'!$A$218,'Données projet'!$B$218,FE139+FD140-FM139)))</f>
        <v>441.49999999999994</v>
      </c>
      <c r="FF140" s="17">
        <f>FE140*VLOOKUP('Données projet'!$B$16,Paramètres!$A$1:$I$89,3,0)*VLOOKUP('Données projet'!$B$16,Paramètres!$A$1:$I$89,5,0)</f>
        <v>378.80700000000002</v>
      </c>
      <c r="FG140" s="13">
        <f t="shared" si="155"/>
        <v>87.466592137052771</v>
      </c>
      <c r="FH140" s="20">
        <f t="shared" si="130"/>
        <v>812.09317297203359</v>
      </c>
      <c r="FI140" s="59">
        <f t="shared" si="131"/>
        <v>1105.426506305367</v>
      </c>
      <c r="FJ140" s="59">
        <f ca="1">AVERAGE(OFFSET($FI$3,0,0,'Données projet'!$E$16+1,1))-AVERAGE(OFFSET($H$3,0,0,'Données projet'!$E$16+1,1))</f>
        <v>383.97627237444709</v>
      </c>
      <c r="FK140" s="59">
        <f t="shared" si="156"/>
        <v>203.35476578922339</v>
      </c>
      <c r="FL140" s="15">
        <f>IF(ISNA(VLOOKUP(A140,'Données projet'!$A$217:$I$237,3,0)),0,VLOOKUP(A140,'Données projet'!$A$217:$I$237,3,0))</f>
        <v>0</v>
      </c>
      <c r="FM140" s="15">
        <f>IF(ISNA(VLOOKUP(A140,'Données projet'!$A$217:$I$237,4,0)),0,VLOOKUP(A140,'Données projet'!$A$217:$I$237,4,0))</f>
        <v>0</v>
      </c>
      <c r="FN140" s="16">
        <f>IF(ISNA(VLOOKUP(A140,'Données projet'!$A$217:$I$237,5,0)),0%,VLOOKUP(A140,'Données projet'!$A$217:$I$237,5,0)*VLOOKUP('Données projet'!$B$16,Paramètres!$A$1:$I$89,7,0))</f>
        <v>0</v>
      </c>
      <c r="FO140" s="16">
        <f>IF(ISNA(VLOOKUP(A140,'Données projet'!$A$217:$I$237,6,0)),0%,VLOOKUP(A140,'Données projet'!$A$217:$I$237,6,0)*VLOOKUP('Données projet'!$B$16,Paramètres!$A$1:$I$89,7,0))</f>
        <v>0</v>
      </c>
      <c r="FP140" s="16">
        <f>IF(ISNA(VLOOKUP(A140,'Données projet'!$A$217:$I$237,7,0)),0%,VLOOKUP(A140,'Données projet'!$A$217:$I$237,7,0))</f>
        <v>0</v>
      </c>
      <c r="FQ140" s="21">
        <f>EXP(-LN(2)/35)*FQ139+(1-EXP(-LN(2)/35))/(LN(2)/35)*FM140*FN140*VLOOKUP('Données projet'!$B$16,Paramètres!$A$1:$I$89,3,0)*0.475*44/12</f>
        <v>0.61907381097800074</v>
      </c>
      <c r="FR140" s="21">
        <f>EXP(-LN(2)/25)*FR139+(1-EXP(-LN(2)/25))/(LN(2)/25)*Calculateur!FM140*Calculateur!FO140*VLOOKUP('Données projet'!$B$16,Paramètres!$A$1:$I$89,3,0)*0.475*44/12</f>
        <v>0.30325425999265471</v>
      </c>
      <c r="FS140" s="21">
        <f>EXP(-LN(2)/2)*FS139+(1-EXP(-LN(2)/2))/(LN(2)/2)*FM140*FP140*VLOOKUP('Données projet'!$B$16,Paramètres!$A$1:$I$89,3,0)*0.475*44/12</f>
        <v>1.3068108399557448E-15</v>
      </c>
      <c r="FT140" s="22">
        <f t="shared" si="132"/>
        <v>0.92232807097065672</v>
      </c>
      <c r="FU140" s="75">
        <f>('Scénario référence'!$F$8+'Scénario référence'!$F$9+'Scénario référence'!$B$17+'Scénario référence'!$B$9+'Scénario référence'!$B$10)*70+IF((45+25*(1-EXP(-0.0175*A140)))&lt;70,'Scénario référence'!$B$16*(45+25*(1-EXP(-0.0175*A140))),70*'Scénario référence'!$B$16)+IF((32+38*(1-EXP(-0.0175*A140)))&lt;70,'Scénario référence'!$B$18*(32+38*(1-EXP(-0.0175*A140))),70*'Scénario référence'!$B$18)</f>
        <v>70</v>
      </c>
      <c r="FV140" s="12">
        <f>IF(A140&gt;30,10,('Scénario référence'!$B$16+'Scénario référence'!$B$17+'Scénario référence'!$B$18+'Scénario référence'!$B$9+'Scénario référence'!$B$10)*A140*10/30+('Scénario référence'!$F$8+'Scénario référence'!$F$9)*10)</f>
        <v>10</v>
      </c>
      <c r="FW140" s="12" t="e">
        <f>VLOOKUP(A140,'Données projet'!$A$243:$I$263,2,0)</f>
        <v>#N/A</v>
      </c>
      <c r="FX140" s="12" t="e">
        <f>VLOOKUP(A140,'Données projet'!$A$243:$I$263,9,0)</f>
        <v>#N/A</v>
      </c>
      <c r="FY140" s="12">
        <f t="array" ref="FY140">INDEX(FX:FX,MIN(IF(ISNUMBER(FX140:FX336),ROW(FX140:FX336),"")))</f>
        <v>0</v>
      </c>
      <c r="FZ140" s="12">
        <f>IF('Données projet'!$A$244&gt;35,FZ139+FY140-GH139,IF(A140&lt;'Données projet'!$A$244,$FW$205^A140,IF(A140='Données projet'!$A$244,'Données projet'!$B$244,FZ139+FY140-GH139)))</f>
        <v>4.5474735088646412E-13</v>
      </c>
      <c r="GA140" s="17">
        <f>FZ140*VLOOKUP('Données projet'!$B$17,Paramètres!$A$1:$I$89,3,0)*VLOOKUP('Données projet'!$B$17,Paramètres!$A$1:$I$89,5,0)</f>
        <v>4.8949004849418999E-13</v>
      </c>
      <c r="GB140" s="13">
        <f t="shared" si="157"/>
        <v>6.1123715499968684E-12</v>
      </c>
      <c r="GC140" s="20">
        <f t="shared" si="133"/>
        <v>1.1498242284038591E-11</v>
      </c>
      <c r="GD140" s="59">
        <f t="shared" si="134"/>
        <v>293.3333333333448</v>
      </c>
      <c r="GE140" s="59">
        <f ca="1">AVERAGE(OFFSET($GD$3,0,0,'Données projet'!$E$17+1,1))-AVERAGE(OFFSET($H$3,0,0,'Données projet'!$E$17+1,1))</f>
        <v>286.77702855541287</v>
      </c>
      <c r="GF140" s="59">
        <f t="shared" si="158"/>
        <v>227.12211541860779</v>
      </c>
      <c r="GG140" s="15">
        <f>IF(ISNA(VLOOKUP(A140,'Données projet'!$A$243:$I$263,3,0)),0,VLOOKUP(A140,'Données projet'!$A$243:$I$263,3,0))</f>
        <v>0</v>
      </c>
      <c r="GH140" s="15">
        <f>IF(ISNA(VLOOKUP(A140,'Données projet'!$A$243:$I$263,4,0)),0,VLOOKUP(A140,'Données projet'!$A$243:$I$263,4,0))</f>
        <v>0</v>
      </c>
      <c r="GI140" s="16">
        <f>IF(ISNA(VLOOKUP(A140,'Données projet'!$A$243:$I$263,5,0)),0%,VLOOKUP(A140,'Données projet'!$A$243:$I$263,5,0)*VLOOKUP('Données projet'!$B$17,Paramètres!$A$1:$I$89,7,0))</f>
        <v>0</v>
      </c>
      <c r="GJ140" s="16">
        <f>IF(ISNA(VLOOKUP(A140,'Données projet'!$A$243:$I$263,6,0)),0%,VLOOKUP(A140,'Données projet'!$A$243:$I$263,6,0)*VLOOKUP('Données projet'!$B$17,Paramètres!$A$1:$I$89,7,0))</f>
        <v>0</v>
      </c>
      <c r="GK140" s="16">
        <f>IF(ISNA(VLOOKUP(A140,'Données projet'!$A$243:$I$263,7,0)),0%,VLOOKUP(A140,'Données projet'!$A$243:$I$263,7,0))</f>
        <v>0</v>
      </c>
      <c r="GL140" s="21">
        <f>EXP(-LN(2)/35)*GL139+(1-EXP(-LN(2)/35))/(LN(2)/35)*GH140*GI140*VLOOKUP('Données projet'!$B$17,Paramètres!$A$1:$I$89,3,0)*0.475*44/12</f>
        <v>0</v>
      </c>
      <c r="GM140" s="21">
        <f>EXP(-LN(2)/25)*GM139+(1-EXP(-LN(2)/25))/(LN(2)/25)*Calculateur!GH140*Calculateur!GJ140*VLOOKUP('Données projet'!$B$17,Paramètres!$A$1:$I$89,3,0)*0.475*44/12</f>
        <v>0</v>
      </c>
      <c r="GN140" s="21">
        <f>EXP(-LN(2)/2)*GN139+(1-EXP(-LN(2)/2))/(LN(2)/2)*GH140*GK140*VLOOKUP('Données projet'!$B$17,Paramètres!$A$1:$I$89,3,0)*0.475*44/12</f>
        <v>0</v>
      </c>
      <c r="GO140" s="21">
        <f t="shared" si="135"/>
        <v>0</v>
      </c>
      <c r="GP140" s="75">
        <f>('Scénario référence'!$F$8+'Scénario référence'!$F$9+'Scénario référence'!$B$17+'Scénario référence'!$B$9+'Scénario référence'!$B$10)*70+IF((45+25*(1-EXP(-0.0175*A140)))&lt;70,'Scénario référence'!$B$16*(45+25*(1-EXP(-0.0175*A140))),70*'Scénario référence'!$B$16)+IF((32+38*(1-EXP(-0.0175*A140)))&lt;70,'Scénario référence'!$B$18*(32+38*(1-EXP(-0.0175*A140))),70*'Scénario référence'!$B$18)</f>
        <v>70</v>
      </c>
      <c r="GQ140" s="12">
        <f>IF(A140&gt;30,10,('Scénario référence'!$B$16+'Scénario référence'!$B$17+'Scénario référence'!$B$18+'Scénario référence'!$B$9+'Scénario référence'!$B$10)*A140*10/30+('Scénario référence'!$F$8+'Scénario référence'!$F$9)*10)</f>
        <v>10</v>
      </c>
      <c r="GR140" s="12" t="e">
        <f>VLOOKUP(A140,'Données projet'!$A$269:$I$289,2,0)</f>
        <v>#N/A</v>
      </c>
      <c r="GS140" s="12" t="e">
        <f>VLOOKUP(A140,'Données projet'!$A$269:$I$289,9,0)</f>
        <v>#N/A</v>
      </c>
      <c r="GT140" s="12">
        <f t="array" ref="GT140">INDEX(GS:GS,MIN(IF(ISNUMBER(GS140:GS336),ROW(GS140:GS336),"")))</f>
        <v>0</v>
      </c>
      <c r="GU140" s="12">
        <f>IF('Données projet'!$A$270&gt;35,GU139+GT140-HC139,IF(A140&lt;'Données projet'!$A$270,$GR$205^A140,IF(A140='Données projet'!$A$270,'Données projet'!$B$270,GU139+GT140-HC139)))</f>
        <v>4.5474735088646412E-13</v>
      </c>
      <c r="GV140" s="17">
        <f>GU140*VLOOKUP('Données projet'!$B$18,Paramètres!$A$1:$I$89,3,0)*VLOOKUP('Données projet'!$B$18,Paramètres!$A$1:$I$89,5,0)</f>
        <v>4.8949004849418999E-13</v>
      </c>
      <c r="GW140" s="13">
        <f t="shared" si="159"/>
        <v>6.1123715499968684E-12</v>
      </c>
      <c r="GX140" s="20">
        <f t="shared" si="136"/>
        <v>1.1498242284038591E-11</v>
      </c>
      <c r="GY140" s="59">
        <f t="shared" si="137"/>
        <v>293.3333333333448</v>
      </c>
      <c r="GZ140" s="59">
        <f ca="1">AVERAGE(OFFSET($GY$3,0,0,'Données projet'!$E$18+1,1))-AVERAGE(OFFSET($H$3,0,0,'Données projet'!$E$18+1,1))</f>
        <v>286.77702855541287</v>
      </c>
      <c r="HA140" s="59">
        <f t="shared" si="160"/>
        <v>227.12211541860779</v>
      </c>
      <c r="HB140" s="15">
        <f>IF(ISNA(VLOOKUP(A140,'Données projet'!$A$269:$I$289,3,0)),0,VLOOKUP(A140,'Données projet'!$A$269:$I$289,3,0))</f>
        <v>0</v>
      </c>
      <c r="HC140" s="15">
        <f>IF(ISNA(VLOOKUP(A140,'Données projet'!$A$269:$I$289,4,0)),0,VLOOKUP(A140,'Données projet'!$A$269:$I$289,4,0))</f>
        <v>0</v>
      </c>
      <c r="HD140" s="16">
        <f>IF(ISNA(VLOOKUP(A140,'Données projet'!$A$269:$I$289,5,0)),0%,VLOOKUP(A140,'Données projet'!$A$269:$I$289,5,0)*VLOOKUP('Données projet'!$B$18,Paramètres!$A$1:$I$89,7,0))</f>
        <v>0</v>
      </c>
      <c r="HE140" s="16">
        <f>IF(ISNA(VLOOKUP(A140,'Données projet'!$A$269:$I$289,6,0)),0%,VLOOKUP(A140,'Données projet'!$A$269:$I$289,6,0)*VLOOKUP('Données projet'!$B$18,Paramètres!$A$1:$I$89,7,0))</f>
        <v>0</v>
      </c>
      <c r="HF140" s="16">
        <f>IF(ISNA(VLOOKUP(A140,'Données projet'!$A$269:$I$289,7,0)),0%,VLOOKUP(A140,'Données projet'!$A$269:$I$289,7,0))</f>
        <v>0</v>
      </c>
      <c r="HG140" s="21">
        <f>EXP(-LN(2)/35)*HG139+(1-EXP(-LN(2)/35))/(LN(2)/35)*HC140*HD140*VLOOKUP('Données projet'!$B$18,Paramètres!$A$1:$I$89,3,0)*0.475*44/12</f>
        <v>0</v>
      </c>
      <c r="HH140" s="21">
        <f>EXP(-LN(2)/25)*HH139+(1-EXP(-LN(2)/25))/(LN(2)/25)*Calculateur!HC140*Calculateur!HE140*VLOOKUP('Données projet'!$B$18,Paramètres!$A$1:$I$89,3,0)*0.475*44/12</f>
        <v>0</v>
      </c>
      <c r="HI140" s="21">
        <f>EXP(-LN(2)/2)*HI139+(1-EXP(-LN(2)/2))/(LN(2)/2)*HC140*HF140*VLOOKUP('Données projet'!$B$18,Paramètres!$A$1:$I$89,3,0)*0.475*44/12</f>
        <v>0</v>
      </c>
      <c r="HJ140" s="22">
        <f t="shared" si="138"/>
        <v>0</v>
      </c>
    </row>
    <row r="141" spans="1:218" x14ac:dyDescent="0.25">
      <c r="A141" s="10">
        <f t="shared" si="139"/>
        <v>138</v>
      </c>
      <c r="B141" s="73">
        <f>'Scénario référence'!$B$16*5+'Scénario référence'!$B$17*0+'Scénario référence'!$B$18*5</f>
        <v>0</v>
      </c>
      <c r="C141" s="19">
        <f>Calculateur!C140+'Scénario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122.70960000000024</v>
      </c>
      <c r="D141" s="11">
        <f t="shared" si="140"/>
        <v>32.306145387002346</v>
      </c>
      <c r="E14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41" s="11">
        <f>IF(OR('Scénario référence'!$F$8&gt;0,'Scénario référence'!$F$9&gt;0),('Scénario référence'!$F$8+'Scénario référence'!$F$9)*10,0)</f>
        <v>10</v>
      </c>
      <c r="G141" s="11">
        <f>'Scénario référence'!$B$8*B141*44/12+'Scénario référence'!$B$9*(C141+D141)/0.475*44/12+'Scénario référence'!$B$10*(C141+D141)/0.475*44/12+'Scénario référence'!$F$8*(C141+D141)/0.475*44/12+'Scénario référence'!$F$9*(C141+D141)/0.475*44/12</f>
        <v>1196.6127714084412</v>
      </c>
      <c r="H141" s="67">
        <f t="shared" si="110"/>
        <v>563.31908988236285</v>
      </c>
      <c r="I141" s="70">
        <f>('Scénario référence'!$F$8+'Scénario référence'!$F$9+'Scénario référence'!$B$17+'Scénario référence'!$B$9+'Scénario référence'!$B$10)*70+IF((45+25*(1-EXP(-0.0175*A141)))&lt;70,'Scénario référence'!$B$16*(45+25*(1-EXP(-0.0175*A141))),70*'Scénario référence'!$B$16)+IF((32+38*(1-EXP(-0.0175*A141)))&lt;70,'Scénario référence'!$B$18*(32+38*(1-EXP(-0.0175*A141))),70*'Scénario référence'!$B$18)</f>
        <v>70</v>
      </c>
      <c r="J141" s="13">
        <f>IF(A141&gt;30,10,('Scénario référence'!$B$16+'Scénario référence'!$B$17+'Scénario référence'!$B$18+'Scénario référence'!$B$9+'Scénario référence'!$B$10)*A141*10/30+('Scénario référence'!$F$8+'Scénario référence'!$F$9)*10)</f>
        <v>10</v>
      </c>
      <c r="K141" s="12" t="e">
        <f>VLOOKUP(A141,'Données projet'!$A$35:$I$55,2,0)</f>
        <v>#N/A</v>
      </c>
      <c r="L141" s="12" t="e">
        <f>VLOOKUP(A141,'Données projet'!$A$35:$I$55,9,0)</f>
        <v>#N/A</v>
      </c>
      <c r="M141" s="12">
        <f t="array" ref="M141">INDEX(L:L,MIN(IF(ISNUMBER(L141:L337),ROW(L141:L337),"")))</f>
        <v>0</v>
      </c>
      <c r="N141" s="13">
        <f>IF('Données projet'!$A$36&gt;35,N140+M141-V140,IF(A141&lt;'Données projet'!$A$36,$K$205^A141,IF(A141='Données projet'!$A$36,'Données projet'!$B$36,N140+M141-V140)))</f>
        <v>-2.2737367544323206E-13</v>
      </c>
      <c r="O141" s="13">
        <f>N141*VLOOKUP('Données projet'!$B$9,Paramètres!$A$1:$I$89,3,0)*VLOOKUP('Données projet'!$B$9,Paramètres!$A$1:$I$89,5,0)</f>
        <v>-1.2710188457276673E-13</v>
      </c>
      <c r="P141" s="13" t="e">
        <f t="shared" si="141"/>
        <v>#NUM!</v>
      </c>
      <c r="Q141" s="20" t="e">
        <f t="shared" si="108"/>
        <v>#NUM!</v>
      </c>
      <c r="R141" s="59" t="e">
        <f t="shared" si="109"/>
        <v>#NUM!</v>
      </c>
      <c r="S141" s="59">
        <f ca="1">AVERAGE(OFFSET($R$3,0,0,'Données projet'!$E$9+1,1))-AVERAGE(OFFSET($H$3,0,0,'Données projet'!$E$9+1,1))</f>
        <v>255.5374979188561</v>
      </c>
      <c r="T141" s="59">
        <f t="shared" si="142"/>
        <v>343.10418468620901</v>
      </c>
      <c r="U141" s="15">
        <f>IF(ISNA(VLOOKUP(A141,'Données projet'!$A$35:$I$55,3,0)),0,VLOOKUP(A141,'Données projet'!$A$35:$I$55,3,0))</f>
        <v>0</v>
      </c>
      <c r="V141" s="15">
        <f>IF(ISNA(VLOOKUP(A141,'Données projet'!$A$35:$I$55,4,0)),0,VLOOKUP(A141,'Données projet'!$A$35:$I$55,4,0))</f>
        <v>0</v>
      </c>
      <c r="W141" s="16">
        <f>IF(ISNA(VLOOKUP(A141,'Données projet'!$A$35:$I$55,5,0)),0%,VLOOKUP(A141,'Données projet'!$A$35:$I$55,5,0)*VLOOKUP('Données projet'!$B$9,Paramètres!$A$1:$I$89,7,0))</f>
        <v>0</v>
      </c>
      <c r="X141" s="16">
        <f>IF(ISNA(VLOOKUP(A141,'Données projet'!$A$35:$I$55,6,0)),0%,VLOOKUP(A141,'Données projet'!$A$35:$I$55,6,0)*VLOOKUP('Données projet'!$B$9,Paramètres!$A$1:$I$89,7,0))</f>
        <v>0</v>
      </c>
      <c r="Y141" s="16">
        <f>IF(ISNA(VLOOKUP(A141,'Données projet'!$A$35:$I$55,7,0)),0%,VLOOKUP(A141,'Données projet'!$A$35:$I$55,7,0))</f>
        <v>0</v>
      </c>
      <c r="Z141" s="21">
        <f>EXP(-LN(2)/35)*Z140+(1-EXP(-LN(2)/35))/(LN(2)/35)*V141*W141*VLOOKUP('Données projet'!$B$9,Paramètres!$A$1:$I$89,3,0)*0.475*44/12</f>
        <v>0.36397509013415219</v>
      </c>
      <c r="AA141" s="21">
        <f>EXP(-LN(2)/25)*AA140+(1-EXP(-LN(2)/25))/(LN(2)/25)*Calculateur!V141*Calculateur!X141*VLOOKUP('Données projet'!$B$9,Paramètres!$A$1:$I$89,3,0)*0.475*44/12</f>
        <v>0.79908017673640419</v>
      </c>
      <c r="AB141" s="21">
        <f>EXP(-LN(2)/2)*AB140+(1-EXP(-LN(2)/2))/(LN(2)/2)*V141*Y141*VLOOKUP('Données projet'!$B$9,Paramètres!$A$1:$I$89,3,0)*0.475*44/12</f>
        <v>9.3961065564477699E-17</v>
      </c>
      <c r="AC141" s="22">
        <f t="shared" si="111"/>
        <v>1.1630552668705563</v>
      </c>
      <c r="AD141" s="13">
        <f>('Scénario référence'!$F$8+'Scénario référence'!$F$9+'Scénario référence'!$B$17+'Scénario référence'!$B$9+'Scénario référence'!$B$10)*70+IF((45+25*(1-EXP(-0.0175*A141)))&lt;70,'Scénario référence'!$B$16*(45+25*(1-EXP(-0.0175*A141))),70*'Scénario référence'!$B$16)+IF((32+38*(1-EXP(-0.0175*A141)))&lt;70,'Scénario référence'!$B$18*(32+38*(1-EXP(-0.0175*A141))),70*'Scénario référence'!$B$18)</f>
        <v>70</v>
      </c>
      <c r="AE141" s="13">
        <f>IF(A141&gt;30,10,('Scénario référence'!$B$16+'Scénario référence'!$B$17+'Scénario référence'!$B$18+'Scénario référence'!$B$9+'Scénario référence'!$B$10)*A141*10/30+('Scénario référence'!$F$8+'Scénario référence'!$F$9)*10)</f>
        <v>10</v>
      </c>
      <c r="AF141" s="12" t="e">
        <f>VLOOKUP(A141,'Données projet'!$A$61:$I$81,2,0)</f>
        <v>#N/A</v>
      </c>
      <c r="AG141" s="12" t="e">
        <f>VLOOKUP(A141,'Données projet'!$A$61:$I$81,9,0)</f>
        <v>#N/A</v>
      </c>
      <c r="AH141" s="12">
        <f t="array" ref="AH141">INDEX(AG:AG,MIN(IF(ISNUMBER(AG141:AG337),ROW(AG141:AG337),"")))</f>
        <v>0</v>
      </c>
      <c r="AI141" s="13">
        <f>IF('Données projet'!$A$62&gt;35,AI140+AH141-AQ140,IF(A141&lt;'Données projet'!$A$62,$AF$205^A141,IF(A141='Données projet'!$A$62,'Données projet'!$B$62,AI140+AH141-AQ140)))</f>
        <v>0</v>
      </c>
      <c r="AJ141" s="13">
        <f>AI141*VLOOKUP('Données projet'!$B$10,Paramètres!$A$1:$I$89,3,0)*VLOOKUP('Données projet'!$B$10,Paramètres!$A$1:$I$89,5,0)</f>
        <v>0</v>
      </c>
      <c r="AK141" s="13" t="e">
        <f t="shared" si="143"/>
        <v>#NUM!</v>
      </c>
      <c r="AL141" s="20" t="e">
        <f t="shared" si="112"/>
        <v>#NUM!</v>
      </c>
      <c r="AM141" s="59" t="e">
        <f t="shared" si="113"/>
        <v>#NUM!</v>
      </c>
      <c r="AN141" s="59">
        <f ca="1">AVERAGE(OFFSET($AM$3,0,0,'Données projet'!$E$10+1,1))-AVERAGE(OFFSET($H$3,0,0,'Données projet'!$E$10+1,1))</f>
        <v>261.78489480911571</v>
      </c>
      <c r="AO141" s="59">
        <f t="shared" si="144"/>
        <v>297.50513563712764</v>
      </c>
      <c r="AP141" s="15">
        <f>IF(ISNA(VLOOKUP(A141,'Données projet'!$A$61:$I$81,3,0)),0,VLOOKUP(A141,'Données projet'!$A$61:$I$81,3,0))</f>
        <v>0</v>
      </c>
      <c r="AQ141" s="15">
        <f>IF(ISNA(VLOOKUP(A141,'Données projet'!$A$61:$I$81,4,0)),0,VLOOKUP(A141,'Données projet'!$A$61:$I$81,4,0))</f>
        <v>0</v>
      </c>
      <c r="AR141" s="16">
        <f>IF(ISNA(VLOOKUP(A141,'Données projet'!$A$61:$I$81,5,0)),0%,VLOOKUP(A141,'Données projet'!$A$61:$I$81,5,0)*VLOOKUP('Données projet'!$B$10,Paramètres!$A$1:$I$89,7,0))</f>
        <v>0</v>
      </c>
      <c r="AS141" s="16">
        <f>IF(ISNA(VLOOKUP(A141,'Données projet'!$A$61:$I$81,6,0)),0%,VLOOKUP(A141,'Données projet'!$A$61:$I$81,6,0)*VLOOKUP('Données projet'!$B$10,Paramètres!$A$1:$I$89,7,0))</f>
        <v>0</v>
      </c>
      <c r="AT141" s="16">
        <f>IF(ISNA(VLOOKUP(A141,'Données projet'!$A$61:$I$81,7,0)),0%,VLOOKUP(A141,'Données projet'!$A$61:$I$81,7,0))</f>
        <v>0</v>
      </c>
      <c r="AU141" s="21">
        <f>EXP(-LN(2)/35)*AU140+(1-EXP(-LN(2)/35))/(LN(2)/35)*AQ141*AR141*VLOOKUP('Données projet'!$B$10,Paramètres!$A$1:$I$89,3,0)*0.475*44/12</f>
        <v>0.98283569322266917</v>
      </c>
      <c r="AV141" s="21">
        <f>EXP(-LN(2)/25)*AV140+(1-EXP(-LN(2)/25))/(LN(2)/25)*Calculateur!AQ141*Calculateur!AS141*VLOOKUP('Données projet'!$B$10,Paramètres!$A$1:$I$89,3,0)*0.475*44/12</f>
        <v>1.3953569696735038</v>
      </c>
      <c r="AW141" s="21">
        <f>EXP(-LN(2)/2)*AW140+(1-EXP(-LN(2)/2))/(LN(2)/2)*AQ141*AT141*VLOOKUP('Données projet'!$B$10,Paramètres!$A$1:$I$89,3,0)*0.475*44/12</f>
        <v>1.3545382114239435E-15</v>
      </c>
      <c r="AX141" s="21">
        <f t="shared" si="114"/>
        <v>2.3781926628961743</v>
      </c>
      <c r="AY141" s="74">
        <f>('Scénario référence'!$F$8+'Scénario référence'!$F$9+'Scénario référence'!$B$17+'Scénario référence'!$B$9+'Scénario référence'!$B$10)*70+IF((45+25*(1-EXP(-0.0175*A141)))&lt;70,'Scénario référence'!$B$16*(45+25*(1-EXP(-0.0175*A141))),70*'Scénario référence'!$B$16)+IF((32+38*(1-EXP(-0.0175*A141)))&lt;70,'Scénario référence'!$B$18*(32+38*(1-EXP(-0.0175*A141))),70*'Scénario référence'!$B$18)</f>
        <v>70</v>
      </c>
      <c r="AZ141" s="12">
        <f>IF(A141&gt;30,10,('Scénario référence'!$B$16+'Scénario référence'!$B$17+'Scénario référence'!$B$18+'Scénario référence'!$B$9+'Scénario référence'!$B$10)*A141*10/30+('Scénario référence'!$F$8+'Scénario référence'!$F$9)*10)</f>
        <v>10</v>
      </c>
      <c r="BA141" s="12" t="e">
        <f>VLOOKUP(A141,'Données projet'!$A$87:$I$107,2,0)</f>
        <v>#N/A</v>
      </c>
      <c r="BB141" s="12" t="e">
        <f>VLOOKUP(A141,'Données projet'!$A$87:$I$107,9,0)</f>
        <v>#N/A</v>
      </c>
      <c r="BC141" s="12">
        <f t="array" ref="BC141">INDEX(BB:BB,MIN(IF(ISNUMBER(BB141:BB337),ROW(BB141:BB337),"")))</f>
        <v>0</v>
      </c>
      <c r="BD141" s="12">
        <f>IF('Données projet'!$A$88&gt;35,BD140+BC141-BL140,IF(A141&lt;'Données projet'!$A$88,$BA$205^A141,IF(A141='Données projet'!$A$88,'Données projet'!$B$88,BD140+BC141-BL140)))</f>
        <v>553.99999999999955</v>
      </c>
      <c r="BE141" s="13">
        <f>BD141*VLOOKUP('Données projet'!$B$11,Paramètres!$A$1:$I$89,3,0)*VLOOKUP('Données projet'!$B$11,Paramètres!$A$1:$I$89,5,0)</f>
        <v>331.29199999999975</v>
      </c>
      <c r="BF141" s="13">
        <f t="shared" si="145"/>
        <v>77.698110787752</v>
      </c>
      <c r="BG141" s="20">
        <f t="shared" si="115"/>
        <v>712.32444295533423</v>
      </c>
      <c r="BH141" s="59">
        <f t="shared" si="116"/>
        <v>1005.6577762886675</v>
      </c>
      <c r="BI141" s="59">
        <f ca="1">AVERAGE(OFFSET($BH$3,0,0,'Données projet'!$E$11+1,1))-AVERAGE(OFFSET($H$3,0,0,'Données projet'!$E$11+1,1))</f>
        <v>316.58509520829671</v>
      </c>
      <c r="BJ141" s="59">
        <f t="shared" si="146"/>
        <v>240.71332110643596</v>
      </c>
      <c r="BK141" s="15">
        <f>IF(ISNA(VLOOKUP(A141,'Données projet'!$A$87:$I$107,3,0)),0,VLOOKUP(A141,'Données projet'!$A$87:$I$107,3,0))</f>
        <v>0</v>
      </c>
      <c r="BL141" s="15">
        <f>IF(ISNA(VLOOKUP(A141,'Données projet'!$A$87:$I$107,4,0)),0,VLOOKUP(A141,'Données projet'!$A$87:$I$107,4,0))</f>
        <v>0</v>
      </c>
      <c r="BM141" s="16">
        <f>IF(ISNA(VLOOKUP(A141,'Données projet'!$A$87:$I$107,5,0)),0%,VLOOKUP(A141,'Données projet'!$A$87:$I$107,5,0)*VLOOKUP('Données projet'!$B$11,Paramètres!$A$1:$I$89,7,0))</f>
        <v>0</v>
      </c>
      <c r="BN141" s="16">
        <f>IF(ISNA(VLOOKUP(A141,'Données projet'!$A$87:$I$107,6,0)),0%,VLOOKUP(A141,'Données projet'!$A$87:$I$107,6,0)*VLOOKUP('Données projet'!$B$11,Paramètres!$A$1:$I$89,7,0))</f>
        <v>0</v>
      </c>
      <c r="BO141" s="16">
        <f>IF(ISNA(VLOOKUP(A141,'Données projet'!$A$87:$I$107,7,0)),0%,VLOOKUP(A141,'Données projet'!$A$87:$I$107,7,0))</f>
        <v>0</v>
      </c>
      <c r="BP141" s="21">
        <f>EXP(-LN(2)/35)*BP140+(1-EXP(-LN(2)/35))/(LN(2)/35)*BL141*BM141*VLOOKUP('Données projet'!$B$11,Paramètres!$A$1:$I$89,3,0)*0.475*44/12</f>
        <v>0.29854365458196053</v>
      </c>
      <c r="BQ141" s="21">
        <f>EXP(-LN(2)/25)*BQ140+(1-EXP(-LN(2)/25))/(LN(2)/25)*Calculateur!BL141*Calculateur!BN141*VLOOKUP('Données projet'!$B$11,Paramètres!$A$1:$I$89,3,0)*0.475*44/12</f>
        <v>0.76441726181967451</v>
      </c>
      <c r="BR141" s="21">
        <f>EXP(-LN(2)/2)*BR140+(1-EXP(-LN(2)/2))/(LN(2)/2)*BL141*BO141*VLOOKUP('Données projet'!$B$11,Paramètres!$A$1:$I$89,3,0)*0.475*44/12</f>
        <v>1.2178781910810417E-15</v>
      </c>
      <c r="BS141" s="22">
        <f t="shared" si="117"/>
        <v>1.062960916401636</v>
      </c>
      <c r="BT141" s="75">
        <f>('Scénario référence'!$F$8+'Scénario référence'!$F$9+'Scénario référence'!$B$17+'Scénario référence'!$B$9+'Scénario référence'!$B$10)*70+IF((45+25*(1-EXP(-0.0175*A141)))&lt;70,'Scénario référence'!$B$16*(45+25*(1-EXP(-0.0175*A141))),70*'Scénario référence'!$B$16)+IF((32+38*(1-EXP(-0.0175*A141)))&lt;70,'Scénario référence'!$B$18*(32+38*(1-EXP(-0.0175*A141))),70*'Scénario référence'!$B$18)</f>
        <v>70</v>
      </c>
      <c r="BU141" s="12">
        <f>IF(A141&gt;30,10,('Scénario référence'!$B$16+'Scénario référence'!$B$17+'Scénario référence'!$B$18+'Scénario référence'!$B$9+'Scénario référence'!$B$10)*A141*10/30+('Scénario référence'!$F$8+'Scénario référence'!$F$9)*10)</f>
        <v>10</v>
      </c>
      <c r="BV141" s="12" t="e">
        <f>VLOOKUP(A141,'Données projet'!$A$113:$I$133,2,0)</f>
        <v>#N/A</v>
      </c>
      <c r="BW141" s="12" t="e">
        <f>VLOOKUP(A141,'Données projet'!$A$113:$I$133,9,0)</f>
        <v>#N/A</v>
      </c>
      <c r="BX141" s="12">
        <f t="array" ref="BX141">INDEX(BW:BW,MIN(IF(ISNUMBER(BW141:BW337),ROW(BW141:BW337),"")))</f>
        <v>0</v>
      </c>
      <c r="BY141" s="12">
        <f>IF('Données projet'!$A$114&gt;35,BY140+BX141-CG140,IF(A141&lt;'Données projet'!$A$114,$BV$205^A141,IF(A141='Données projet'!$A$114,'Données projet'!$B$114,BY140+BX141-CG140)))</f>
        <v>333.99999999999977</v>
      </c>
      <c r="BZ141" s="13">
        <f>BY141*VLOOKUP('Données projet'!$B$12,Paramètres!$A$1:$I$89,3,0)*VLOOKUP('Données projet'!$B$12,Paramètres!$A$1:$I$89,5,0)</f>
        <v>191.04799999999986</v>
      </c>
      <c r="CA141" s="13">
        <f t="shared" si="147"/>
        <v>47.771576544305155</v>
      </c>
      <c r="CB141" s="20">
        <f t="shared" si="118"/>
        <v>415.94409581466454</v>
      </c>
      <c r="CC141" s="59">
        <f t="shared" si="119"/>
        <v>709.27742914799785</v>
      </c>
      <c r="CD141" s="59">
        <f ca="1">AVERAGE(OFFSET($CC$3,0,0,'Données projet'!$E$12+1,1))-AVERAGE(OFFSET($H$3,0,0,'Données projet'!$E$12+1,1))</f>
        <v>188.64374818906128</v>
      </c>
      <c r="CE141" s="59">
        <f t="shared" si="148"/>
        <v>211.95157880548652</v>
      </c>
      <c r="CF141" s="15">
        <f>IF(ISNA(VLOOKUP(A141,'Données projet'!$A$113:$I$133,3,0)),0,VLOOKUP(A141,'Données projet'!$A$113:$I$133,3,0))</f>
        <v>0</v>
      </c>
      <c r="CG141" s="15">
        <f>IF(ISNA(VLOOKUP(A141,'Données projet'!$A$113:$I$133,4,0)),0,VLOOKUP(A141,'Données projet'!$A$113:$I$133,4,0))</f>
        <v>0</v>
      </c>
      <c r="CH141" s="16">
        <f>IF(ISNA(VLOOKUP(A141,'Données projet'!$A$113:$I$133,5,0)),0%,VLOOKUP(A141,'Données projet'!$A$113:$I$133,5,0)*VLOOKUP('Données projet'!$B$12,Paramètres!$A$1:$I$89,7,0))</f>
        <v>0</v>
      </c>
      <c r="CI141" s="16">
        <f>IF(ISNA(VLOOKUP(A141,'Données projet'!$A$113:$I$133,6,0)),0%,VLOOKUP(A141,'Données projet'!$A$113:$I$133,6,0)*VLOOKUP('Données projet'!$B$12,Paramètres!$A$1:$I$89,7,0))</f>
        <v>0</v>
      </c>
      <c r="CJ141" s="16">
        <f>IF(ISNA(VLOOKUP(A141,'Données projet'!$A$113:$I$133,7,0)),0%,VLOOKUP(A141,'Données projet'!$A$113:$I$133,7,0))</f>
        <v>0</v>
      </c>
      <c r="CK141" s="21">
        <f>EXP(-LN(2)/35)*CK140+(1-EXP(-LN(2)/35))/(LN(2)/35)*CG141*CH141*VLOOKUP('Données projet'!$B$12,Paramètres!$A$1:$I$89,3,0)*0.475*44/12</f>
        <v>0.28958551675310779</v>
      </c>
      <c r="CL141" s="21">
        <f>EXP(-LN(2)/25)*CL140+(1-EXP(-LN(2)/25))/(LN(2)/25)*Calculateur!CG141*Calculateur!CI141*VLOOKUP('Données projet'!$B$12,Paramètres!$A$1:$I$89,3,0)*0.475*44/12</f>
        <v>0.71948683457894325</v>
      </c>
      <c r="CM141" s="21">
        <f>EXP(-LN(2)/2)*CM140+(1-EXP(-LN(2)/2))/(LN(2)/2)*CG141*CJ141*VLOOKUP('Données projet'!$B$12,Paramètres!$A$1:$I$89,3,0)*0.475*44/12</f>
        <v>1.1794197398571491E-15</v>
      </c>
      <c r="CN141" s="22">
        <f t="shared" si="120"/>
        <v>1.0090723513320521</v>
      </c>
      <c r="CO141" s="75">
        <f>('Scénario référence'!$F$8+'Scénario référence'!$F$9+'Scénario référence'!$B$17+'Scénario référence'!$B$9+'Scénario référence'!$B$10)*70+IF((45+25*(1-EXP(-0.0175*A141)))&lt;70,'Scénario référence'!$B$16*(45+25*(1-EXP(-0.0175*A141))),70*'Scénario référence'!$B$16)+IF((32+38*(1-EXP(-0.0175*A141)))&lt;70,'Scénario référence'!$B$18*(32+38*(1-EXP(-0.0175*A141))),70*'Scénario référence'!$B$18)</f>
        <v>70</v>
      </c>
      <c r="CP141" s="12">
        <f>IF(A141&gt;30,10,('Scénario référence'!$B$16+'Scénario référence'!$B$17+'Scénario référence'!$B$18+'Scénario référence'!$B$9+'Scénario référence'!$B$10)*A141*10/30+('Scénario référence'!$F$8+'Scénario référence'!$F$9)*10)</f>
        <v>10</v>
      </c>
      <c r="CQ141" s="12" t="e">
        <f>VLOOKUP(A141,'Données projet'!$A$139:$I$159,2,0)</f>
        <v>#N/A</v>
      </c>
      <c r="CR141" s="12" t="e">
        <f>VLOOKUP(A141,'Données projet'!$A$139:$I$159,9,0)</f>
        <v>#N/A</v>
      </c>
      <c r="CS141" s="12">
        <f t="array" ref="CS141">INDEX(CR:CR,MIN(IF(ISNUMBER(CR141:CR337),ROW(CR141:CR337),"")))</f>
        <v>0</v>
      </c>
      <c r="CT141" s="12">
        <f>IF('Données projet'!$A$140&gt;35,CT140+CS141-DB140,IF(A141&lt;'Données projet'!$A$140,$CQ$205^A141,IF(A141='Données projet'!$A$140,'Données projet'!$B$140,CT140+CS141-DB140)))</f>
        <v>0</v>
      </c>
      <c r="CU141" s="17" t="e">
        <f>CT141*VLOOKUP('Données projet'!$B$13,Paramètres!$A$1:$I$89,3,0)*VLOOKUP('Données projet'!$B$13,Paramètres!$A$1:$I$89,5,0)</f>
        <v>#N/A</v>
      </c>
      <c r="CV141" s="13" t="e">
        <f t="shared" si="149"/>
        <v>#N/A</v>
      </c>
      <c r="CW141" s="20" t="e">
        <f t="shared" si="121"/>
        <v>#N/A</v>
      </c>
      <c r="CX141" s="59" t="e">
        <f t="shared" si="122"/>
        <v>#N/A</v>
      </c>
      <c r="CY141" s="59" t="e">
        <f ca="1">AVERAGE(OFFSET($CX$3,0,0,'Données projet'!$E$13+1,1))-AVERAGE(OFFSET($H$3,0,0,'Données projet'!$E$13+1,1))</f>
        <v>#N/A</v>
      </c>
      <c r="CZ141" s="59" t="e">
        <f t="shared" si="150"/>
        <v>#N/A</v>
      </c>
      <c r="DA141" s="15">
        <f>IF(ISNA(VLOOKUP(A141,'Données projet'!$A$139:$I$159,3,0)),0,VLOOKUP(A141,'Données projet'!$A$139:$I$159,3,0))</f>
        <v>0</v>
      </c>
      <c r="DB141" s="15">
        <f>IF(ISNA(VLOOKUP(A141,'Données projet'!$A$139:$I$159,4,0)),0,VLOOKUP(A141,'Données projet'!$A$139:$I$159,4,0))</f>
        <v>0</v>
      </c>
      <c r="DC141" s="16">
        <f>IF(ISNA(VLOOKUP(A141,'Données projet'!$A$139:$I$159,5,0)),0%,VLOOKUP(A141,'Données projet'!$A$139:$I$159,5,0)*VLOOKUP('Données projet'!$B$13,Paramètres!$A$1:$I$89,7,0))</f>
        <v>0</v>
      </c>
      <c r="DD141" s="16">
        <f>IF(ISNA(VLOOKUP(A141,'Données projet'!$A$139:$I$159,6,0)),0%,VLOOKUP(A141,'Données projet'!$A$139:$I$159,6,0)*VLOOKUP('Données projet'!$B$13,Paramètres!$A$1:$I$89,7,0))</f>
        <v>0</v>
      </c>
      <c r="DE141" s="16">
        <f>IF(ISNA(VLOOKUP(A141,'Données projet'!$A$139:$I$159,7,0)),0%,VLOOKUP(A141,'Données projet'!$A$139:$I$159,7,0))</f>
        <v>0</v>
      </c>
      <c r="DF141" s="21" t="e">
        <f>EXP(-LN(2)/35)*DF140+(1-EXP(-LN(2)/35))/(LN(2)/35)*DB141*DC141*VLOOKUP('Données projet'!$B$13,Paramètres!$A$1:$I$89,3,0)*0.475*44/12</f>
        <v>#N/A</v>
      </c>
      <c r="DG141" s="21" t="e">
        <f>EXP(-LN(2)/25)*DG140+(1-EXP(-LN(2)/25))/(LN(2)/25)*Calculateur!DB141*Calculateur!DD141*VLOOKUP('Données projet'!$B$13,Paramètres!$A$1:$I$89,3,0)*0.475*44/12</f>
        <v>#N/A</v>
      </c>
      <c r="DH141" s="21" t="e">
        <f>EXP(-LN(2)/2)*DH140+(1-EXP(-LN(2)/2))/(LN(2)/2)*DB141*DE141*VLOOKUP('Données projet'!$B$13,Paramètres!$A$1:$I$89,3,0)*0.475*44/12</f>
        <v>#N/A</v>
      </c>
      <c r="DI141" s="22" t="e">
        <f t="shared" si="123"/>
        <v>#N/A</v>
      </c>
      <c r="DJ141" s="75">
        <f>('Scénario référence'!$F$8+'Scénario référence'!$F$9+'Scénario référence'!$B$17+'Scénario référence'!$B$9+'Scénario référence'!$B$10)*70+IF((45+25*(1-EXP(-0.0175*A141)))&lt;70,'Scénario référence'!$B$16*(45+25*(1-EXP(-0.0175*A141))),70*'Scénario référence'!$B$16)+IF((32+38*(1-EXP(-0.0175*A141)))&lt;70,'Scénario référence'!$B$18*(32+38*(1-EXP(-0.0175*A141))),70*'Scénario référence'!$B$18)</f>
        <v>70</v>
      </c>
      <c r="DK141" s="12">
        <f>IF(A141&gt;30,10,('Scénario référence'!$B$16+'Scénario référence'!$B$17+'Scénario référence'!$B$18+'Scénario référence'!$B$9+'Scénario référence'!$B$10)*A141*10/30+('Scénario référence'!$F$8+'Scénario référence'!$F$9)*10)</f>
        <v>10</v>
      </c>
      <c r="DL141" s="12" t="e">
        <f>VLOOKUP(A141,'Données projet'!$A$165:$I$185,2,0)</f>
        <v>#N/A</v>
      </c>
      <c r="DM141" s="12" t="e">
        <f>VLOOKUP(A141,'Données projet'!$A$165:$I$185,9,0)</f>
        <v>#N/A</v>
      </c>
      <c r="DN141" s="12">
        <f t="array" ref="DN141">INDEX(DM:DM,MIN(IF(ISNUMBER(DM141:DM337),ROW(DM141:DM337),"")))</f>
        <v>0</v>
      </c>
      <c r="DO141" s="12">
        <f>IF('Données projet'!$A$166&gt;35,DO140+DN141-DW140,IF(A141&lt;'Données projet'!$A$166,$DL$205^A141,IF(A141='Données projet'!$A$166,'Données projet'!$B$166,DO140+DN141-DW140)))</f>
        <v>268.00000000000017</v>
      </c>
      <c r="DP141" s="17">
        <f>DO141*VLOOKUP('Données projet'!$B$14,Paramètres!$A$1:$I$89,3,0)*VLOOKUP('Données projet'!$B$14,Paramètres!$A$1:$I$89,5,0)</f>
        <v>175.59360000000012</v>
      </c>
      <c r="DQ141" s="13">
        <f t="shared" si="151"/>
        <v>44.340433728638573</v>
      </c>
      <c r="DR141" s="20">
        <f t="shared" si="124"/>
        <v>383.05177541071242</v>
      </c>
      <c r="DS141" s="59">
        <f t="shared" si="125"/>
        <v>676.38510874404574</v>
      </c>
      <c r="DT141" s="59">
        <f ca="1">AVERAGE(OFFSET($DS$3,0,0,'Données projet'!$E$14+1,1))-AVERAGE(OFFSET($H$3,0,0,'Données projet'!$E$14+1,1))</f>
        <v>188.68915783955595</v>
      </c>
      <c r="DU141" s="59">
        <f t="shared" si="152"/>
        <v>240.82467772396944</v>
      </c>
      <c r="DV141" s="15">
        <f>IF(ISNA(VLOOKUP(A141,'Données projet'!$A$165:$I$185,3,0)),0,VLOOKUP(A141,'Données projet'!$A$165:$I$185,3,0))</f>
        <v>0</v>
      </c>
      <c r="DW141" s="15">
        <f>IF(ISNA(VLOOKUP(A141,'Données projet'!$A$165:$I$185,4,0)),0,VLOOKUP(A141,'Données projet'!$A$165:$I$185,4,0))</f>
        <v>0</v>
      </c>
      <c r="DX141" s="16">
        <f>IF(ISNA(VLOOKUP(A141,'Données projet'!$A$165:$I$185,5,0)),0%,VLOOKUP(A141,'Données projet'!$A$165:$I$185,5,0)*VLOOKUP('Données projet'!$B$14,Paramètres!$A$1:$I$89,7,0))</f>
        <v>0</v>
      </c>
      <c r="DY141" s="16">
        <f>IF(ISNA(VLOOKUP(A141,'Données projet'!$A$165:$I$185,6,0)),0%,VLOOKUP(A141,'Données projet'!$A$165:$I$185,6,0)*VLOOKUP('Données projet'!$B$14,Paramètres!$A$1:$I$89,7,0))</f>
        <v>0</v>
      </c>
      <c r="DZ141" s="16">
        <f>IF(ISNA(VLOOKUP(A141,'Données projet'!$A$165:$I$185,7,0)),0%,VLOOKUP(A141,'Données projet'!$A$165:$I$185,7,0))</f>
        <v>0</v>
      </c>
      <c r="EA141" s="21">
        <f>EXP(-LN(2)/35)*EA140+(1-EXP(-LN(2)/35))/(LN(2)/35)*DW141*DX141*VLOOKUP('Données projet'!$B$14,Paramètres!$A$1:$I$89,3,0)*0.475*44/12</f>
        <v>0.18342853649555005</v>
      </c>
      <c r="EB141" s="21">
        <f>EXP(-LN(2)/25)*EB140+(1-EXP(-LN(2)/25))/(LN(2)/25)*Calculateur!DW141*Calculateur!DY141*VLOOKUP('Données projet'!$B$14,Paramètres!$A$1:$I$89,3,0)*0.475*44/12</f>
        <v>0.40243894384724432</v>
      </c>
      <c r="EC141" s="21">
        <f>EXP(-LN(2)/2)*EC140+(1-EXP(-LN(2)/2))/(LN(2)/2)*DW141*DZ141*VLOOKUP('Données projet'!$B$14,Paramètres!$A$1:$I$89,3,0)*0.475*44/12</f>
        <v>7.7695672041672643E-16</v>
      </c>
      <c r="ED141" s="22">
        <f t="shared" si="126"/>
        <v>0.58586748034279512</v>
      </c>
      <c r="EE141" s="75">
        <f>('Scénario référence'!$F$8+'Scénario référence'!$F$9+'Scénario référence'!$B$17+'Scénario référence'!$B$9+'Scénario référence'!$B$10)*70+IF((45+25*(1-EXP(-0.0175*A141)))&lt;70,'Scénario référence'!$B$16*(45+25*(1-EXP(-0.0175*A141))),70*'Scénario référence'!$B$16)+IF((32+38*(1-EXP(-0.0175*A141)))&lt;70,'Scénario référence'!$B$18*(32+38*(1-EXP(-0.0175*A141))),70*'Scénario référence'!$B$18)</f>
        <v>70</v>
      </c>
      <c r="EF141" s="12">
        <f>IF(A141&gt;30,10,('Scénario référence'!$B$16+'Scénario référence'!$B$17+'Scénario référence'!$B$18+'Scénario référence'!$B$9+'Scénario référence'!$B$10)*A141*10/30+('Scénario référence'!$F$8+'Scénario référence'!$F$9)*10)</f>
        <v>10</v>
      </c>
      <c r="EG141" s="12" t="e">
        <f>VLOOKUP(A141,'Données projet'!$A$191:$I$211,2,0)</f>
        <v>#N/A</v>
      </c>
      <c r="EH141" s="12" t="e">
        <f>VLOOKUP(A141,'Données projet'!$A$191:$I$211,9,0)</f>
        <v>#N/A</v>
      </c>
      <c r="EI141" s="12">
        <f t="array" ref="EI141">INDEX(EH:EH,MIN(IF(ISNUMBER(EH141:EH337),ROW(EH141:EH337),"")))</f>
        <v>0</v>
      </c>
      <c r="EJ141" s="12">
        <f>IF('Données projet'!$A$192&gt;35,EJ140+EI141-ER140,IF(A141&lt;'Données projet'!$A$192,$EG$205^A141,IF(A141='Données projet'!$A$192,'Données projet'!$B$192,EJ140+EI141-ER140)))</f>
        <v>275.99999999999972</v>
      </c>
      <c r="EK141" s="17">
        <f>EJ141*VLOOKUP('Données projet'!$B$15,Paramètres!$A$1:$I$89,3,0)*VLOOKUP('Données projet'!$B$15,Paramètres!$A$1:$I$89,5,0)</f>
        <v>223.8911999999998</v>
      </c>
      <c r="EL141" s="13">
        <f t="shared" si="153"/>
        <v>54.95975389514858</v>
      </c>
      <c r="EM141" s="20">
        <f t="shared" si="127"/>
        <v>485.66541136738346</v>
      </c>
      <c r="EN141" s="59">
        <f t="shared" si="128"/>
        <v>778.99874470071677</v>
      </c>
      <c r="EO141" s="59">
        <f ca="1">AVERAGE(OFFSET($EN$3,0,0,'Données projet'!$E$15+1,1))-AVERAGE(OFFSET($H$3,0,0,'Données projet'!$E$15+1,1))</f>
        <v>205.5272583787887</v>
      </c>
      <c r="EP141" s="59">
        <f t="shared" si="154"/>
        <v>180.54762778843178</v>
      </c>
      <c r="EQ141" s="15">
        <f>IF(ISNA(VLOOKUP(A141,'Données projet'!$A$191:$I$211,3,0)),0,VLOOKUP(A141,'Données projet'!$A$191:$I$211,3,0))</f>
        <v>0</v>
      </c>
      <c r="ER141" s="15">
        <f>IF(ISNA(VLOOKUP(A141,'Données projet'!$A$191:$I$211,4,0)),0,VLOOKUP(A141,'Données projet'!$A$191:$I$211,4,0))</f>
        <v>0</v>
      </c>
      <c r="ES141" s="16">
        <f>IF(ISNA(VLOOKUP(A141,'Données projet'!$A$191:$I$211,5,0)),0%,VLOOKUP(A141,'Données projet'!$A$191:$I$211,5,0)*VLOOKUP('Données projet'!$B$15,Paramètres!$A$1:$I$89,7,0))</f>
        <v>0</v>
      </c>
      <c r="ET141" s="16">
        <f>IF(ISNA(VLOOKUP(A141,'Données projet'!$A$191:$I$211,6,0)),0%,VLOOKUP(A141,'Données projet'!$A$191:$I$211,6,0)*VLOOKUP('Données projet'!$B$15,Paramètres!$A$1:$I$89,7,0))</f>
        <v>0</v>
      </c>
      <c r="EU141" s="16">
        <f>IF(ISNA(VLOOKUP(A141,'Données projet'!$A$191:$I$211,7,0)),0%,VLOOKUP(A141,'Données projet'!$A$191:$I$211,7,0))</f>
        <v>0</v>
      </c>
      <c r="EV141" s="21">
        <f>EXP(-LN(2)/35)*EV140+(1-EXP(-LN(2)/35))/(LN(2)/35)*ER141*ES141*VLOOKUP('Données projet'!$B$15,Paramètres!$A$1:$I$89,3,0)*0.475*44/12</f>
        <v>0.118093038734278</v>
      </c>
      <c r="EW141" s="21">
        <f>EXP(-LN(2)/25)*EW140+(1-EXP(-LN(2)/25))/(LN(2)/25)*Calculateur!ER141*Calculateur!ET141*VLOOKUP('Données projet'!$B$15,Paramètres!$A$1:$I$89,3,0)*0.475*44/12</f>
        <v>0.29057312583137718</v>
      </c>
      <c r="EX141" s="21">
        <f>EXP(-LN(2)/2)*EX140+(1-EXP(-LN(2)/2))/(LN(2)/2)*ER141*EU141*VLOOKUP('Données projet'!$B$15,Paramètres!$A$1:$I$89,3,0)*0.475*44/12</f>
        <v>5.030800509719903E-16</v>
      </c>
      <c r="EY141" s="22">
        <f t="shared" si="129"/>
        <v>0.40866616456565569</v>
      </c>
      <c r="EZ141" s="75">
        <f>('Scénario référence'!$F$8+'Scénario référence'!$F$9+'Scénario référence'!$B$17+'Scénario référence'!$B$9+'Scénario référence'!$B$10)*70+IF((45+25*(1-EXP(-0.0175*A141)))&lt;70,'Scénario référence'!$B$16*(45+25*(1-EXP(-0.0175*A141))),70*'Scénario référence'!$B$16)+IF((32+38*(1-EXP(-0.0175*A141)))&lt;70,'Scénario référence'!$B$18*(32+38*(1-EXP(-0.0175*A141))),70*'Scénario référence'!$B$18)</f>
        <v>70</v>
      </c>
      <c r="FA141" s="12">
        <f>IF(A141&gt;30,10,('Scénario référence'!$B$16+'Scénario référence'!$B$17+'Scénario référence'!$B$18+'Scénario référence'!$B$9+'Scénario référence'!$B$10)*A141*10/30+('Scénario référence'!$F$8+'Scénario référence'!$F$9)*10)</f>
        <v>10</v>
      </c>
      <c r="FB141" s="12" t="e">
        <f>VLOOKUP(A141,'Données projet'!$A$217:$I$237,2,0)</f>
        <v>#N/A</v>
      </c>
      <c r="FC141" s="12" t="e">
        <f>VLOOKUP(A141,'Données projet'!$A$217:$I$237,9,0)</f>
        <v>#N/A</v>
      </c>
      <c r="FD141" s="12">
        <f t="array" ref="FD141">INDEX(FC:FC,MIN(IF(ISNUMBER(FC141:FC337),ROW(FC141:FC337),"")))</f>
        <v>5.5</v>
      </c>
      <c r="FE141" s="12">
        <f>IF('Données projet'!$A$218&gt;35,FE140+FD141-FM140,IF(A141&lt;'Données projet'!$A$218,$FB$205^A141,IF(A141='Données projet'!$A$218,'Données projet'!$B$218,FE140+FD141-FM140)))</f>
        <v>446.99999999999994</v>
      </c>
      <c r="FF141" s="17">
        <f>FE141*VLOOKUP('Données projet'!$B$16,Paramètres!$A$1:$I$89,3,0)*VLOOKUP('Données projet'!$B$16,Paramètres!$A$1:$I$89,5,0)</f>
        <v>383.52600000000001</v>
      </c>
      <c r="FG141" s="13">
        <f t="shared" si="155"/>
        <v>88.428683588808639</v>
      </c>
      <c r="FH141" s="20">
        <f t="shared" si="130"/>
        <v>821.98774058384163</v>
      </c>
      <c r="FI141" s="59">
        <f t="shared" si="131"/>
        <v>1115.321073917175</v>
      </c>
      <c r="FJ141" s="59">
        <f ca="1">AVERAGE(OFFSET($FI$3,0,0,'Données projet'!$E$16+1,1))-AVERAGE(OFFSET($H$3,0,0,'Données projet'!$E$16+1,1))</f>
        <v>383.97627237444709</v>
      </c>
      <c r="FK141" s="59">
        <f t="shared" si="156"/>
        <v>203.35476578922339</v>
      </c>
      <c r="FL141" s="15">
        <f>IF(ISNA(VLOOKUP(A141,'Données projet'!$A$217:$I$237,3,0)),0,VLOOKUP(A141,'Données projet'!$A$217:$I$237,3,0))</f>
        <v>0</v>
      </c>
      <c r="FM141" s="15">
        <f>IF(ISNA(VLOOKUP(A141,'Données projet'!$A$217:$I$237,4,0)),0,VLOOKUP(A141,'Données projet'!$A$217:$I$237,4,0))</f>
        <v>0</v>
      </c>
      <c r="FN141" s="16">
        <f>IF(ISNA(VLOOKUP(A141,'Données projet'!$A$217:$I$237,5,0)),0%,VLOOKUP(A141,'Données projet'!$A$217:$I$237,5,0)*VLOOKUP('Données projet'!$B$16,Paramètres!$A$1:$I$89,7,0))</f>
        <v>0</v>
      </c>
      <c r="FO141" s="16">
        <f>IF(ISNA(VLOOKUP(A141,'Données projet'!$A$217:$I$237,6,0)),0%,VLOOKUP(A141,'Données projet'!$A$217:$I$237,6,0)*VLOOKUP('Données projet'!$B$16,Paramètres!$A$1:$I$89,7,0))</f>
        <v>0</v>
      </c>
      <c r="FP141" s="16">
        <f>IF(ISNA(VLOOKUP(A141,'Données projet'!$A$217:$I$237,7,0)),0%,VLOOKUP(A141,'Données projet'!$A$217:$I$237,7,0))</f>
        <v>0</v>
      </c>
      <c r="FQ141" s="21">
        <f>EXP(-LN(2)/35)*FQ140+(1-EXP(-LN(2)/35))/(LN(2)/35)*FM141*FN141*VLOOKUP('Données projet'!$B$16,Paramètres!$A$1:$I$89,3,0)*0.475*44/12</f>
        <v>0.60693415114246219</v>
      </c>
      <c r="FR141" s="21">
        <f>EXP(-LN(2)/25)*FR140+(1-EXP(-LN(2)/25))/(LN(2)/25)*Calculateur!FM141*Calculateur!FO141*VLOOKUP('Données projet'!$B$16,Paramètres!$A$1:$I$89,3,0)*0.475*44/12</f>
        <v>0.29496175630570715</v>
      </c>
      <c r="FS141" s="21">
        <f>EXP(-LN(2)/2)*FS140+(1-EXP(-LN(2)/2))/(LN(2)/2)*FM141*FP141*VLOOKUP('Données projet'!$B$16,Paramètres!$A$1:$I$89,3,0)*0.475*44/12</f>
        <v>9.2405480666079519E-16</v>
      </c>
      <c r="FT141" s="22">
        <f t="shared" si="132"/>
        <v>0.90189590744817028</v>
      </c>
      <c r="FU141" s="75">
        <f>('Scénario référence'!$F$8+'Scénario référence'!$F$9+'Scénario référence'!$B$17+'Scénario référence'!$B$9+'Scénario référence'!$B$10)*70+IF((45+25*(1-EXP(-0.0175*A141)))&lt;70,'Scénario référence'!$B$16*(45+25*(1-EXP(-0.0175*A141))),70*'Scénario référence'!$B$16)+IF((32+38*(1-EXP(-0.0175*A141)))&lt;70,'Scénario référence'!$B$18*(32+38*(1-EXP(-0.0175*A141))),70*'Scénario référence'!$B$18)</f>
        <v>70</v>
      </c>
      <c r="FV141" s="12">
        <f>IF(A141&gt;30,10,('Scénario référence'!$B$16+'Scénario référence'!$B$17+'Scénario référence'!$B$18+'Scénario référence'!$B$9+'Scénario référence'!$B$10)*A141*10/30+('Scénario référence'!$F$8+'Scénario référence'!$F$9)*10)</f>
        <v>10</v>
      </c>
      <c r="FW141" s="12" t="e">
        <f>VLOOKUP(A141,'Données projet'!$A$243:$I$263,2,0)</f>
        <v>#N/A</v>
      </c>
      <c r="FX141" s="12" t="e">
        <f>VLOOKUP(A141,'Données projet'!$A$243:$I$263,9,0)</f>
        <v>#N/A</v>
      </c>
      <c r="FY141" s="12">
        <f t="array" ref="FY141">INDEX(FX:FX,MIN(IF(ISNUMBER(FX141:FX337),ROW(FX141:FX337),"")))</f>
        <v>0</v>
      </c>
      <c r="FZ141" s="12">
        <f>IF('Données projet'!$A$244&gt;35,FZ140+FY141-GH140,IF(A141&lt;'Données projet'!$A$244,$FW$205^A141,IF(A141='Données projet'!$A$244,'Données projet'!$B$244,FZ140+FY141-GH140)))</f>
        <v>4.5474735088646412E-13</v>
      </c>
      <c r="GA141" s="17">
        <f>FZ141*VLOOKUP('Données projet'!$B$17,Paramètres!$A$1:$I$89,3,0)*VLOOKUP('Données projet'!$B$17,Paramètres!$A$1:$I$89,5,0)</f>
        <v>4.8949004849418999E-13</v>
      </c>
      <c r="GB141" s="13">
        <f t="shared" si="157"/>
        <v>6.1123715499968684E-12</v>
      </c>
      <c r="GC141" s="20">
        <f t="shared" si="133"/>
        <v>1.1498242284038591E-11</v>
      </c>
      <c r="GD141" s="59">
        <f t="shared" si="134"/>
        <v>293.3333333333448</v>
      </c>
      <c r="GE141" s="59">
        <f ca="1">AVERAGE(OFFSET($GD$3,0,0,'Données projet'!$E$17+1,1))-AVERAGE(OFFSET($H$3,0,0,'Données projet'!$E$17+1,1))</f>
        <v>286.77702855541287</v>
      </c>
      <c r="GF141" s="59">
        <f t="shared" si="158"/>
        <v>227.12211541860779</v>
      </c>
      <c r="GG141" s="15">
        <f>IF(ISNA(VLOOKUP(A141,'Données projet'!$A$243:$I$263,3,0)),0,VLOOKUP(A141,'Données projet'!$A$243:$I$263,3,0))</f>
        <v>0</v>
      </c>
      <c r="GH141" s="15">
        <f>IF(ISNA(VLOOKUP(A141,'Données projet'!$A$243:$I$263,4,0)),0,VLOOKUP(A141,'Données projet'!$A$243:$I$263,4,0))</f>
        <v>0</v>
      </c>
      <c r="GI141" s="16">
        <f>IF(ISNA(VLOOKUP(A141,'Données projet'!$A$243:$I$263,5,0)),0%,VLOOKUP(A141,'Données projet'!$A$243:$I$263,5,0)*VLOOKUP('Données projet'!$B$17,Paramètres!$A$1:$I$89,7,0))</f>
        <v>0</v>
      </c>
      <c r="GJ141" s="16">
        <f>IF(ISNA(VLOOKUP(A141,'Données projet'!$A$243:$I$263,6,0)),0%,VLOOKUP(A141,'Données projet'!$A$243:$I$263,6,0)*VLOOKUP('Données projet'!$B$17,Paramètres!$A$1:$I$89,7,0))</f>
        <v>0</v>
      </c>
      <c r="GK141" s="16">
        <f>IF(ISNA(VLOOKUP(A141,'Données projet'!$A$243:$I$263,7,0)),0%,VLOOKUP(A141,'Données projet'!$A$243:$I$263,7,0))</f>
        <v>0</v>
      </c>
      <c r="GL141" s="21">
        <f>EXP(-LN(2)/35)*GL140+(1-EXP(-LN(2)/35))/(LN(2)/35)*GH141*GI141*VLOOKUP('Données projet'!$B$17,Paramètres!$A$1:$I$89,3,0)*0.475*44/12</f>
        <v>0</v>
      </c>
      <c r="GM141" s="21">
        <f>EXP(-LN(2)/25)*GM140+(1-EXP(-LN(2)/25))/(LN(2)/25)*Calculateur!GH141*Calculateur!GJ141*VLOOKUP('Données projet'!$B$17,Paramètres!$A$1:$I$89,3,0)*0.475*44/12</f>
        <v>0</v>
      </c>
      <c r="GN141" s="21">
        <f>EXP(-LN(2)/2)*GN140+(1-EXP(-LN(2)/2))/(LN(2)/2)*GH141*GK141*VLOOKUP('Données projet'!$B$17,Paramètres!$A$1:$I$89,3,0)*0.475*44/12</f>
        <v>0</v>
      </c>
      <c r="GO141" s="21">
        <f t="shared" si="135"/>
        <v>0</v>
      </c>
      <c r="GP141" s="75">
        <f>('Scénario référence'!$F$8+'Scénario référence'!$F$9+'Scénario référence'!$B$17+'Scénario référence'!$B$9+'Scénario référence'!$B$10)*70+IF((45+25*(1-EXP(-0.0175*A141)))&lt;70,'Scénario référence'!$B$16*(45+25*(1-EXP(-0.0175*A141))),70*'Scénario référence'!$B$16)+IF((32+38*(1-EXP(-0.0175*A141)))&lt;70,'Scénario référence'!$B$18*(32+38*(1-EXP(-0.0175*A141))),70*'Scénario référence'!$B$18)</f>
        <v>70</v>
      </c>
      <c r="GQ141" s="12">
        <f>IF(A141&gt;30,10,('Scénario référence'!$B$16+'Scénario référence'!$B$17+'Scénario référence'!$B$18+'Scénario référence'!$B$9+'Scénario référence'!$B$10)*A141*10/30+('Scénario référence'!$F$8+'Scénario référence'!$F$9)*10)</f>
        <v>10</v>
      </c>
      <c r="GR141" s="12" t="e">
        <f>VLOOKUP(A141,'Données projet'!$A$269:$I$289,2,0)</f>
        <v>#N/A</v>
      </c>
      <c r="GS141" s="12" t="e">
        <f>VLOOKUP(A141,'Données projet'!$A$269:$I$289,9,0)</f>
        <v>#N/A</v>
      </c>
      <c r="GT141" s="12">
        <f t="array" ref="GT141">INDEX(GS:GS,MIN(IF(ISNUMBER(GS141:GS337),ROW(GS141:GS337),"")))</f>
        <v>0</v>
      </c>
      <c r="GU141" s="12">
        <f>IF('Données projet'!$A$270&gt;35,GU140+GT141-HC140,IF(A141&lt;'Données projet'!$A$270,$GR$205^A141,IF(A141='Données projet'!$A$270,'Données projet'!$B$270,GU140+GT141-HC140)))</f>
        <v>4.5474735088646412E-13</v>
      </c>
      <c r="GV141" s="17">
        <f>GU141*VLOOKUP('Données projet'!$B$18,Paramètres!$A$1:$I$89,3,0)*VLOOKUP('Données projet'!$B$18,Paramètres!$A$1:$I$89,5,0)</f>
        <v>4.8949004849418999E-13</v>
      </c>
      <c r="GW141" s="13">
        <f t="shared" si="159"/>
        <v>6.1123715499968684E-12</v>
      </c>
      <c r="GX141" s="20">
        <f t="shared" si="136"/>
        <v>1.1498242284038591E-11</v>
      </c>
      <c r="GY141" s="59">
        <f t="shared" si="137"/>
        <v>293.3333333333448</v>
      </c>
      <c r="GZ141" s="59">
        <f ca="1">AVERAGE(OFFSET($GY$3,0,0,'Données projet'!$E$18+1,1))-AVERAGE(OFFSET($H$3,0,0,'Données projet'!$E$18+1,1))</f>
        <v>286.77702855541287</v>
      </c>
      <c r="HA141" s="59">
        <f t="shared" si="160"/>
        <v>227.12211541860779</v>
      </c>
      <c r="HB141" s="15">
        <f>IF(ISNA(VLOOKUP(A141,'Données projet'!$A$269:$I$289,3,0)),0,VLOOKUP(A141,'Données projet'!$A$269:$I$289,3,0))</f>
        <v>0</v>
      </c>
      <c r="HC141" s="15">
        <f>IF(ISNA(VLOOKUP(A141,'Données projet'!$A$269:$I$289,4,0)),0,VLOOKUP(A141,'Données projet'!$A$269:$I$289,4,0))</f>
        <v>0</v>
      </c>
      <c r="HD141" s="16">
        <f>IF(ISNA(VLOOKUP(A141,'Données projet'!$A$269:$I$289,5,0)),0%,VLOOKUP(A141,'Données projet'!$A$269:$I$289,5,0)*VLOOKUP('Données projet'!$B$18,Paramètres!$A$1:$I$89,7,0))</f>
        <v>0</v>
      </c>
      <c r="HE141" s="16">
        <f>IF(ISNA(VLOOKUP(A141,'Données projet'!$A$269:$I$289,6,0)),0%,VLOOKUP(A141,'Données projet'!$A$269:$I$289,6,0)*VLOOKUP('Données projet'!$B$18,Paramètres!$A$1:$I$89,7,0))</f>
        <v>0</v>
      </c>
      <c r="HF141" s="16">
        <f>IF(ISNA(VLOOKUP(A141,'Données projet'!$A$269:$I$289,7,0)),0%,VLOOKUP(A141,'Données projet'!$A$269:$I$289,7,0))</f>
        <v>0</v>
      </c>
      <c r="HG141" s="21">
        <f>EXP(-LN(2)/35)*HG140+(1-EXP(-LN(2)/35))/(LN(2)/35)*HC141*HD141*VLOOKUP('Données projet'!$B$18,Paramètres!$A$1:$I$89,3,0)*0.475*44/12</f>
        <v>0</v>
      </c>
      <c r="HH141" s="21">
        <f>EXP(-LN(2)/25)*HH140+(1-EXP(-LN(2)/25))/(LN(2)/25)*Calculateur!HC141*Calculateur!HE141*VLOOKUP('Données projet'!$B$18,Paramètres!$A$1:$I$89,3,0)*0.475*44/12</f>
        <v>0</v>
      </c>
      <c r="HI141" s="21">
        <f>EXP(-LN(2)/2)*HI140+(1-EXP(-LN(2)/2))/(LN(2)/2)*HC141*HF141*VLOOKUP('Données projet'!$B$18,Paramètres!$A$1:$I$89,3,0)*0.475*44/12</f>
        <v>0</v>
      </c>
      <c r="HJ141" s="22">
        <f t="shared" si="138"/>
        <v>0</v>
      </c>
    </row>
    <row r="142" spans="1:218" x14ac:dyDescent="0.25">
      <c r="A142" s="10">
        <f t="shared" si="139"/>
        <v>139</v>
      </c>
      <c r="B142" s="73">
        <f>'Scénario référence'!$B$16*5+'Scénario référence'!$B$17*0+'Scénario référence'!$B$18*5</f>
        <v>0</v>
      </c>
      <c r="C142" s="19">
        <f>Calculateur!C141+'Scénario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123.59880000000024</v>
      </c>
      <c r="D142" s="11">
        <f t="shared" si="140"/>
        <v>32.512911354837613</v>
      </c>
      <c r="E14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42" s="11">
        <f>IF(OR('Scénario référence'!$F$8&gt;0,'Scénario référence'!$F$9&gt;0),('Scénario référence'!$F$8+'Scénario référence'!$F$9)*10,0)</f>
        <v>10</v>
      </c>
      <c r="G142" s="11">
        <f>'Scénario référence'!$B$8*B142*44/12+'Scénario référence'!$B$9*(C142+D142)/0.475*44/12+'Scénario référence'!$B$10*(C142+D142)/0.475*44/12+'Scénario référence'!$F$8*(C142+D142)/0.475*44/12+'Scénario référence'!$F$9*(C142+D142)/0.475*44/12</f>
        <v>1205.0728595812045</v>
      </c>
      <c r="H142" s="67">
        <f t="shared" si="110"/>
        <v>565.22789727634256</v>
      </c>
      <c r="I142" s="70">
        <f>('Scénario référence'!$F$8+'Scénario référence'!$F$9+'Scénario référence'!$B$17+'Scénario référence'!$B$9+'Scénario référence'!$B$10)*70+IF((45+25*(1-EXP(-0.0175*A142)))&lt;70,'Scénario référence'!$B$16*(45+25*(1-EXP(-0.0175*A142))),70*'Scénario référence'!$B$16)+IF((32+38*(1-EXP(-0.0175*A142)))&lt;70,'Scénario référence'!$B$18*(32+38*(1-EXP(-0.0175*A142))),70*'Scénario référence'!$B$18)</f>
        <v>70</v>
      </c>
      <c r="J142" s="13">
        <f>IF(A142&gt;30,10,('Scénario référence'!$B$16+'Scénario référence'!$B$17+'Scénario référence'!$B$18+'Scénario référence'!$B$9+'Scénario référence'!$B$10)*A142*10/30+('Scénario référence'!$F$8+'Scénario référence'!$F$9)*10)</f>
        <v>10</v>
      </c>
      <c r="K142" s="12" t="e">
        <f>VLOOKUP(A142,'Données projet'!$A$35:$I$55,2,0)</f>
        <v>#N/A</v>
      </c>
      <c r="L142" s="12" t="e">
        <f>VLOOKUP(A142,'Données projet'!$A$35:$I$55,9,0)</f>
        <v>#N/A</v>
      </c>
      <c r="M142" s="12">
        <f t="array" ref="M142">INDEX(L:L,MIN(IF(ISNUMBER(L142:L338),ROW(L142:L338),"")))</f>
        <v>0</v>
      </c>
      <c r="N142" s="13">
        <f>IF('Données projet'!$A$36&gt;35,N141+M142-V141,IF(A142&lt;'Données projet'!$A$36,$K$205^A142,IF(A142='Données projet'!$A$36,'Données projet'!$B$36,N141+M142-V141)))</f>
        <v>-2.2737367544323206E-13</v>
      </c>
      <c r="O142" s="13">
        <f>N142*VLOOKUP('Données projet'!$B$9,Paramètres!$A$1:$I$89,3,0)*VLOOKUP('Données projet'!$B$9,Paramètres!$A$1:$I$89,5,0)</f>
        <v>-1.2710188457276673E-13</v>
      </c>
      <c r="P142" s="13" t="e">
        <f t="shared" si="141"/>
        <v>#NUM!</v>
      </c>
      <c r="Q142" s="20" t="e">
        <f t="shared" si="108"/>
        <v>#NUM!</v>
      </c>
      <c r="R142" s="59" t="e">
        <f t="shared" si="109"/>
        <v>#NUM!</v>
      </c>
      <c r="S142" s="59">
        <f ca="1">AVERAGE(OFFSET($R$3,0,0,'Données projet'!$E$9+1,1))-AVERAGE(OFFSET($H$3,0,0,'Données projet'!$E$9+1,1))</f>
        <v>255.5374979188561</v>
      </c>
      <c r="T142" s="59">
        <f t="shared" si="142"/>
        <v>343.10418468620901</v>
      </c>
      <c r="U142" s="15">
        <f>IF(ISNA(VLOOKUP(A142,'Données projet'!$A$35:$I$55,3,0)),0,VLOOKUP(A142,'Données projet'!$A$35:$I$55,3,0))</f>
        <v>0</v>
      </c>
      <c r="V142" s="15">
        <f>IF(ISNA(VLOOKUP(A142,'Données projet'!$A$35:$I$55,4,0)),0,VLOOKUP(A142,'Données projet'!$A$35:$I$55,4,0))</f>
        <v>0</v>
      </c>
      <c r="W142" s="16">
        <f>IF(ISNA(VLOOKUP(A142,'Données projet'!$A$35:$I$55,5,0)),0%,VLOOKUP(A142,'Données projet'!$A$35:$I$55,5,0)*VLOOKUP('Données projet'!$B$9,Paramètres!$A$1:$I$89,7,0))</f>
        <v>0</v>
      </c>
      <c r="X142" s="16">
        <f>IF(ISNA(VLOOKUP(A142,'Données projet'!$A$35:$I$55,6,0)),0%,VLOOKUP(A142,'Données projet'!$A$35:$I$55,6,0)*VLOOKUP('Données projet'!$B$9,Paramètres!$A$1:$I$89,7,0))</f>
        <v>0</v>
      </c>
      <c r="Y142" s="16">
        <f>IF(ISNA(VLOOKUP(A142,'Données projet'!$A$35:$I$55,7,0)),0%,VLOOKUP(A142,'Données projet'!$A$35:$I$55,7,0))</f>
        <v>0</v>
      </c>
      <c r="Z142" s="21">
        <f>EXP(-LN(2)/35)*Z141+(1-EXP(-LN(2)/35))/(LN(2)/35)*V142*W142*VLOOKUP('Données projet'!$B$9,Paramètres!$A$1:$I$89,3,0)*0.475*44/12</f>
        <v>0.35683776061950551</v>
      </c>
      <c r="AA142" s="21">
        <f>EXP(-LN(2)/25)*AA141+(1-EXP(-LN(2)/25))/(LN(2)/25)*Calculateur!V142*Calculateur!X142*VLOOKUP('Données projet'!$B$9,Paramètres!$A$1:$I$89,3,0)*0.475*44/12</f>
        <v>0.77722928728174701</v>
      </c>
      <c r="AB142" s="21">
        <f>EXP(-LN(2)/2)*AB141+(1-EXP(-LN(2)/2))/(LN(2)/2)*V142*Y142*VLOOKUP('Données projet'!$B$9,Paramètres!$A$1:$I$89,3,0)*0.475*44/12</f>
        <v>6.6440506628155977E-17</v>
      </c>
      <c r="AC142" s="22">
        <f t="shared" si="111"/>
        <v>1.1340670479012525</v>
      </c>
      <c r="AD142" s="13">
        <f>('Scénario référence'!$F$8+'Scénario référence'!$F$9+'Scénario référence'!$B$17+'Scénario référence'!$B$9+'Scénario référence'!$B$10)*70+IF((45+25*(1-EXP(-0.0175*A142)))&lt;70,'Scénario référence'!$B$16*(45+25*(1-EXP(-0.0175*A142))),70*'Scénario référence'!$B$16)+IF((32+38*(1-EXP(-0.0175*A142)))&lt;70,'Scénario référence'!$B$18*(32+38*(1-EXP(-0.0175*A142))),70*'Scénario référence'!$B$18)</f>
        <v>70</v>
      </c>
      <c r="AE142" s="13">
        <f>IF(A142&gt;30,10,('Scénario référence'!$B$16+'Scénario référence'!$B$17+'Scénario référence'!$B$18+'Scénario référence'!$B$9+'Scénario référence'!$B$10)*A142*10/30+('Scénario référence'!$F$8+'Scénario référence'!$F$9)*10)</f>
        <v>10</v>
      </c>
      <c r="AF142" s="12" t="e">
        <f>VLOOKUP(A142,'Données projet'!$A$61:$I$81,2,0)</f>
        <v>#N/A</v>
      </c>
      <c r="AG142" s="12" t="e">
        <f>VLOOKUP(A142,'Données projet'!$A$61:$I$81,9,0)</f>
        <v>#N/A</v>
      </c>
      <c r="AH142" s="12">
        <f t="array" ref="AH142">INDEX(AG:AG,MIN(IF(ISNUMBER(AG142:AG338),ROW(AG142:AG338),"")))</f>
        <v>0</v>
      </c>
      <c r="AI142" s="13">
        <f>IF('Données projet'!$A$62&gt;35,AI141+AH142-AQ141,IF(A142&lt;'Données projet'!$A$62,$AF$205^A142,IF(A142='Données projet'!$A$62,'Données projet'!$B$62,AI141+AH142-AQ141)))</f>
        <v>0</v>
      </c>
      <c r="AJ142" s="13">
        <f>AI142*VLOOKUP('Données projet'!$B$10,Paramètres!$A$1:$I$89,3,0)*VLOOKUP('Données projet'!$B$10,Paramètres!$A$1:$I$89,5,0)</f>
        <v>0</v>
      </c>
      <c r="AK142" s="13" t="e">
        <f t="shared" si="143"/>
        <v>#NUM!</v>
      </c>
      <c r="AL142" s="20" t="e">
        <f t="shared" si="112"/>
        <v>#NUM!</v>
      </c>
      <c r="AM142" s="59" t="e">
        <f t="shared" si="113"/>
        <v>#NUM!</v>
      </c>
      <c r="AN142" s="59">
        <f ca="1">AVERAGE(OFFSET($AM$3,0,0,'Données projet'!$E$10+1,1))-AVERAGE(OFFSET($H$3,0,0,'Données projet'!$E$10+1,1))</f>
        <v>261.78489480911571</v>
      </c>
      <c r="AO142" s="59">
        <f t="shared" si="144"/>
        <v>297.50513563712764</v>
      </c>
      <c r="AP142" s="15">
        <f>IF(ISNA(VLOOKUP(A142,'Données projet'!$A$61:$I$81,3,0)),0,VLOOKUP(A142,'Données projet'!$A$61:$I$81,3,0))</f>
        <v>0</v>
      </c>
      <c r="AQ142" s="15">
        <f>IF(ISNA(VLOOKUP(A142,'Données projet'!$A$61:$I$81,4,0)),0,VLOOKUP(A142,'Données projet'!$A$61:$I$81,4,0))</f>
        <v>0</v>
      </c>
      <c r="AR142" s="16">
        <f>IF(ISNA(VLOOKUP(A142,'Données projet'!$A$61:$I$81,5,0)),0%,VLOOKUP(A142,'Données projet'!$A$61:$I$81,5,0)*VLOOKUP('Données projet'!$B$10,Paramètres!$A$1:$I$89,7,0))</f>
        <v>0</v>
      </c>
      <c r="AS142" s="16">
        <f>IF(ISNA(VLOOKUP(A142,'Données projet'!$A$61:$I$81,6,0)),0%,VLOOKUP(A142,'Données projet'!$A$61:$I$81,6,0)*VLOOKUP('Données projet'!$B$10,Paramètres!$A$1:$I$89,7,0))</f>
        <v>0</v>
      </c>
      <c r="AT142" s="16">
        <f>IF(ISNA(VLOOKUP(A142,'Données projet'!$A$61:$I$81,7,0)),0%,VLOOKUP(A142,'Données projet'!$A$61:$I$81,7,0))</f>
        <v>0</v>
      </c>
      <c r="AU142" s="21">
        <f>EXP(-LN(2)/35)*AU141+(1-EXP(-LN(2)/35))/(LN(2)/35)*AQ142*AR142*VLOOKUP('Données projet'!$B$10,Paramètres!$A$1:$I$89,3,0)*0.475*44/12</f>
        <v>0.96356288474915264</v>
      </c>
      <c r="AV142" s="21">
        <f>EXP(-LN(2)/25)*AV141+(1-EXP(-LN(2)/25))/(LN(2)/25)*Calculateur!AQ142*Calculateur!AS142*VLOOKUP('Données projet'!$B$10,Paramètres!$A$1:$I$89,3,0)*0.475*44/12</f>
        <v>1.3572008599591479</v>
      </c>
      <c r="AW142" s="21">
        <f>EXP(-LN(2)/2)*AW141+(1-EXP(-LN(2)/2))/(LN(2)/2)*AQ142*AT142*VLOOKUP('Données projet'!$B$10,Paramètres!$A$1:$I$89,3,0)*0.475*44/12</f>
        <v>9.5780315467416783E-16</v>
      </c>
      <c r="AX142" s="21">
        <f t="shared" si="114"/>
        <v>2.3207637447083016</v>
      </c>
      <c r="AY142" s="74">
        <f>('Scénario référence'!$F$8+'Scénario référence'!$F$9+'Scénario référence'!$B$17+'Scénario référence'!$B$9+'Scénario référence'!$B$10)*70+IF((45+25*(1-EXP(-0.0175*A142)))&lt;70,'Scénario référence'!$B$16*(45+25*(1-EXP(-0.0175*A142))),70*'Scénario référence'!$B$16)+IF((32+38*(1-EXP(-0.0175*A142)))&lt;70,'Scénario référence'!$B$18*(32+38*(1-EXP(-0.0175*A142))),70*'Scénario référence'!$B$18)</f>
        <v>70</v>
      </c>
      <c r="AZ142" s="12">
        <f>IF(A142&gt;30,10,('Scénario référence'!$B$16+'Scénario référence'!$B$17+'Scénario référence'!$B$18+'Scénario référence'!$B$9+'Scénario référence'!$B$10)*A142*10/30+('Scénario référence'!$F$8+'Scénario référence'!$F$9)*10)</f>
        <v>10</v>
      </c>
      <c r="BA142" s="12" t="e">
        <f>VLOOKUP(A142,'Données projet'!$A$87:$I$107,2,0)</f>
        <v>#N/A</v>
      </c>
      <c r="BB142" s="12" t="e">
        <f>VLOOKUP(A142,'Données projet'!$A$87:$I$107,9,0)</f>
        <v>#N/A</v>
      </c>
      <c r="BC142" s="12">
        <f t="array" ref="BC142">INDEX(BB:BB,MIN(IF(ISNUMBER(BB142:BB338),ROW(BB142:BB338),"")))</f>
        <v>0</v>
      </c>
      <c r="BD142" s="12">
        <f>IF('Données projet'!$A$88&gt;35,BD141+BC142-BL141,IF(A142&lt;'Données projet'!$A$88,$BA$205^A142,IF(A142='Données projet'!$A$88,'Données projet'!$B$88,BD141+BC142-BL141)))</f>
        <v>553.99999999999955</v>
      </c>
      <c r="BE142" s="13">
        <f>BD142*VLOOKUP('Données projet'!$B$11,Paramètres!$A$1:$I$89,3,0)*VLOOKUP('Données projet'!$B$11,Paramètres!$A$1:$I$89,5,0)</f>
        <v>331.29199999999975</v>
      </c>
      <c r="BF142" s="13">
        <f t="shared" si="145"/>
        <v>77.698110787752</v>
      </c>
      <c r="BG142" s="20">
        <f t="shared" si="115"/>
        <v>712.32444295533423</v>
      </c>
      <c r="BH142" s="59">
        <f t="shared" si="116"/>
        <v>1005.6577762886675</v>
      </c>
      <c r="BI142" s="59">
        <f ca="1">AVERAGE(OFFSET($BH$3,0,0,'Données projet'!$E$11+1,1))-AVERAGE(OFFSET($H$3,0,0,'Données projet'!$E$11+1,1))</f>
        <v>316.58509520829671</v>
      </c>
      <c r="BJ142" s="59">
        <f t="shared" si="146"/>
        <v>240.71332110643596</v>
      </c>
      <c r="BK142" s="15">
        <f>IF(ISNA(VLOOKUP(A142,'Données projet'!$A$87:$I$107,3,0)),0,VLOOKUP(A142,'Données projet'!$A$87:$I$107,3,0))</f>
        <v>0</v>
      </c>
      <c r="BL142" s="15">
        <f>IF(ISNA(VLOOKUP(A142,'Données projet'!$A$87:$I$107,4,0)),0,VLOOKUP(A142,'Données projet'!$A$87:$I$107,4,0))</f>
        <v>0</v>
      </c>
      <c r="BM142" s="16">
        <f>IF(ISNA(VLOOKUP(A142,'Données projet'!$A$87:$I$107,5,0)),0%,VLOOKUP(A142,'Données projet'!$A$87:$I$107,5,0)*VLOOKUP('Données projet'!$B$11,Paramètres!$A$1:$I$89,7,0))</f>
        <v>0</v>
      </c>
      <c r="BN142" s="16">
        <f>IF(ISNA(VLOOKUP(A142,'Données projet'!$A$87:$I$107,6,0)),0%,VLOOKUP(A142,'Données projet'!$A$87:$I$107,6,0)*VLOOKUP('Données projet'!$B$11,Paramètres!$A$1:$I$89,7,0))</f>
        <v>0</v>
      </c>
      <c r="BO142" s="16">
        <f>IF(ISNA(VLOOKUP(A142,'Données projet'!$A$87:$I$107,7,0)),0%,VLOOKUP(A142,'Données projet'!$A$87:$I$107,7,0))</f>
        <v>0</v>
      </c>
      <c r="BP142" s="21">
        <f>EXP(-LN(2)/35)*BP141+(1-EXP(-LN(2)/35))/(LN(2)/35)*BL142*BM142*VLOOKUP('Données projet'!$B$11,Paramètres!$A$1:$I$89,3,0)*0.475*44/12</f>
        <v>0.29268939560925733</v>
      </c>
      <c r="BQ142" s="21">
        <f>EXP(-LN(2)/25)*BQ141+(1-EXP(-LN(2)/25))/(LN(2)/25)*Calculateur!BL142*Calculateur!BN142*VLOOKUP('Données projet'!$B$11,Paramètres!$A$1:$I$89,3,0)*0.475*44/12</f>
        <v>0.74351423159625885</v>
      </c>
      <c r="BR142" s="21">
        <f>EXP(-LN(2)/2)*BR141+(1-EXP(-LN(2)/2))/(LN(2)/2)*BL142*BO142*VLOOKUP('Données projet'!$B$11,Paramètres!$A$1:$I$89,3,0)*0.475*44/12</f>
        <v>8.6116992757261047E-16</v>
      </c>
      <c r="BS142" s="22">
        <f t="shared" si="117"/>
        <v>1.0362036272055171</v>
      </c>
      <c r="BT142" s="75">
        <f>('Scénario référence'!$F$8+'Scénario référence'!$F$9+'Scénario référence'!$B$17+'Scénario référence'!$B$9+'Scénario référence'!$B$10)*70+IF((45+25*(1-EXP(-0.0175*A142)))&lt;70,'Scénario référence'!$B$16*(45+25*(1-EXP(-0.0175*A142))),70*'Scénario référence'!$B$16)+IF((32+38*(1-EXP(-0.0175*A142)))&lt;70,'Scénario référence'!$B$18*(32+38*(1-EXP(-0.0175*A142))),70*'Scénario référence'!$B$18)</f>
        <v>70</v>
      </c>
      <c r="BU142" s="12">
        <f>IF(A142&gt;30,10,('Scénario référence'!$B$16+'Scénario référence'!$B$17+'Scénario référence'!$B$18+'Scénario référence'!$B$9+'Scénario référence'!$B$10)*A142*10/30+('Scénario référence'!$F$8+'Scénario référence'!$F$9)*10)</f>
        <v>10</v>
      </c>
      <c r="BV142" s="12" t="e">
        <f>VLOOKUP(A142,'Données projet'!$A$113:$I$133,2,0)</f>
        <v>#N/A</v>
      </c>
      <c r="BW142" s="12" t="e">
        <f>VLOOKUP(A142,'Données projet'!$A$113:$I$133,9,0)</f>
        <v>#N/A</v>
      </c>
      <c r="BX142" s="12">
        <f t="array" ref="BX142">INDEX(BW:BW,MIN(IF(ISNUMBER(BW142:BW338),ROW(BW142:BW338),"")))</f>
        <v>0</v>
      </c>
      <c r="BY142" s="12">
        <f>IF('Données projet'!$A$114&gt;35,BY141+BX142-CG141,IF(A142&lt;'Données projet'!$A$114,$BV$205^A142,IF(A142='Données projet'!$A$114,'Données projet'!$B$114,BY141+BX142-CG141)))</f>
        <v>333.99999999999977</v>
      </c>
      <c r="BZ142" s="13">
        <f>BY142*VLOOKUP('Données projet'!$B$12,Paramètres!$A$1:$I$89,3,0)*VLOOKUP('Données projet'!$B$12,Paramètres!$A$1:$I$89,5,0)</f>
        <v>191.04799999999986</v>
      </c>
      <c r="CA142" s="13">
        <f t="shared" si="147"/>
        <v>47.771576544305155</v>
      </c>
      <c r="CB142" s="20">
        <f t="shared" si="118"/>
        <v>415.94409581466454</v>
      </c>
      <c r="CC142" s="59">
        <f t="shared" si="119"/>
        <v>709.27742914799785</v>
      </c>
      <c r="CD142" s="59">
        <f ca="1">AVERAGE(OFFSET($CC$3,0,0,'Données projet'!$E$12+1,1))-AVERAGE(OFFSET($H$3,0,0,'Données projet'!$E$12+1,1))</f>
        <v>188.64374818906128</v>
      </c>
      <c r="CE142" s="59">
        <f t="shared" si="148"/>
        <v>211.95157880548652</v>
      </c>
      <c r="CF142" s="15">
        <f>IF(ISNA(VLOOKUP(A142,'Données projet'!$A$113:$I$133,3,0)),0,VLOOKUP(A142,'Données projet'!$A$113:$I$133,3,0))</f>
        <v>0</v>
      </c>
      <c r="CG142" s="15">
        <f>IF(ISNA(VLOOKUP(A142,'Données projet'!$A$113:$I$133,4,0)),0,VLOOKUP(A142,'Données projet'!$A$113:$I$133,4,0))</f>
        <v>0</v>
      </c>
      <c r="CH142" s="16">
        <f>IF(ISNA(VLOOKUP(A142,'Données projet'!$A$113:$I$133,5,0)),0%,VLOOKUP(A142,'Données projet'!$A$113:$I$133,5,0)*VLOOKUP('Données projet'!$B$12,Paramètres!$A$1:$I$89,7,0))</f>
        <v>0</v>
      </c>
      <c r="CI142" s="16">
        <f>IF(ISNA(VLOOKUP(A142,'Données projet'!$A$113:$I$133,6,0)),0%,VLOOKUP(A142,'Données projet'!$A$113:$I$133,6,0)*VLOOKUP('Données projet'!$B$12,Paramètres!$A$1:$I$89,7,0))</f>
        <v>0</v>
      </c>
      <c r="CJ142" s="16">
        <f>IF(ISNA(VLOOKUP(A142,'Données projet'!$A$113:$I$133,7,0)),0%,VLOOKUP(A142,'Données projet'!$A$113:$I$133,7,0))</f>
        <v>0</v>
      </c>
      <c r="CK142" s="21">
        <f>EXP(-LN(2)/35)*CK141+(1-EXP(-LN(2)/35))/(LN(2)/35)*CG142*CH142*VLOOKUP('Données projet'!$B$12,Paramètres!$A$1:$I$89,3,0)*0.475*44/12</f>
        <v>0.28390692139930385</v>
      </c>
      <c r="CL142" s="21">
        <f>EXP(-LN(2)/25)*CL141+(1-EXP(-LN(2)/25))/(LN(2)/25)*Calculateur!CG142*Calculateur!CI142*VLOOKUP('Données projet'!$B$12,Paramètres!$A$1:$I$89,3,0)*0.475*44/12</f>
        <v>0.69981242925121379</v>
      </c>
      <c r="CM142" s="21">
        <f>EXP(-LN(2)/2)*CM141+(1-EXP(-LN(2)/2))/(LN(2)/2)*CG142*CJ142*VLOOKUP('Données projet'!$B$12,Paramètres!$A$1:$I$89,3,0)*0.475*44/12</f>
        <v>8.3397569591826395E-16</v>
      </c>
      <c r="CN142" s="22">
        <f t="shared" si="120"/>
        <v>0.98371935065051852</v>
      </c>
      <c r="CO142" s="75">
        <f>('Scénario référence'!$F$8+'Scénario référence'!$F$9+'Scénario référence'!$B$17+'Scénario référence'!$B$9+'Scénario référence'!$B$10)*70+IF((45+25*(1-EXP(-0.0175*A142)))&lt;70,'Scénario référence'!$B$16*(45+25*(1-EXP(-0.0175*A142))),70*'Scénario référence'!$B$16)+IF((32+38*(1-EXP(-0.0175*A142)))&lt;70,'Scénario référence'!$B$18*(32+38*(1-EXP(-0.0175*A142))),70*'Scénario référence'!$B$18)</f>
        <v>70</v>
      </c>
      <c r="CP142" s="12">
        <f>IF(A142&gt;30,10,('Scénario référence'!$B$16+'Scénario référence'!$B$17+'Scénario référence'!$B$18+'Scénario référence'!$B$9+'Scénario référence'!$B$10)*A142*10/30+('Scénario référence'!$F$8+'Scénario référence'!$F$9)*10)</f>
        <v>10</v>
      </c>
      <c r="CQ142" s="12" t="e">
        <f>VLOOKUP(A142,'Données projet'!$A$139:$I$159,2,0)</f>
        <v>#N/A</v>
      </c>
      <c r="CR142" s="12" t="e">
        <f>VLOOKUP(A142,'Données projet'!$A$139:$I$159,9,0)</f>
        <v>#N/A</v>
      </c>
      <c r="CS142" s="12">
        <f t="array" ref="CS142">INDEX(CR:CR,MIN(IF(ISNUMBER(CR142:CR338),ROW(CR142:CR338),"")))</f>
        <v>0</v>
      </c>
      <c r="CT142" s="12">
        <f>IF('Données projet'!$A$140&gt;35,CT141+CS142-DB141,IF(A142&lt;'Données projet'!$A$140,$CQ$205^A142,IF(A142='Données projet'!$A$140,'Données projet'!$B$140,CT141+CS142-DB141)))</f>
        <v>0</v>
      </c>
      <c r="CU142" s="17" t="e">
        <f>CT142*VLOOKUP('Données projet'!$B$13,Paramètres!$A$1:$I$89,3,0)*VLOOKUP('Données projet'!$B$13,Paramètres!$A$1:$I$89,5,0)</f>
        <v>#N/A</v>
      </c>
      <c r="CV142" s="13" t="e">
        <f t="shared" si="149"/>
        <v>#N/A</v>
      </c>
      <c r="CW142" s="20" t="e">
        <f t="shared" si="121"/>
        <v>#N/A</v>
      </c>
      <c r="CX142" s="59" t="e">
        <f t="shared" si="122"/>
        <v>#N/A</v>
      </c>
      <c r="CY142" s="59" t="e">
        <f ca="1">AVERAGE(OFFSET($CX$3,0,0,'Données projet'!$E$13+1,1))-AVERAGE(OFFSET($H$3,0,0,'Données projet'!$E$13+1,1))</f>
        <v>#N/A</v>
      </c>
      <c r="CZ142" s="59" t="e">
        <f t="shared" si="150"/>
        <v>#N/A</v>
      </c>
      <c r="DA142" s="15">
        <f>IF(ISNA(VLOOKUP(A142,'Données projet'!$A$139:$I$159,3,0)),0,VLOOKUP(A142,'Données projet'!$A$139:$I$159,3,0))</f>
        <v>0</v>
      </c>
      <c r="DB142" s="15">
        <f>IF(ISNA(VLOOKUP(A142,'Données projet'!$A$139:$I$159,4,0)),0,VLOOKUP(A142,'Données projet'!$A$139:$I$159,4,0))</f>
        <v>0</v>
      </c>
      <c r="DC142" s="16">
        <f>IF(ISNA(VLOOKUP(A142,'Données projet'!$A$139:$I$159,5,0)),0%,VLOOKUP(A142,'Données projet'!$A$139:$I$159,5,0)*VLOOKUP('Données projet'!$B$13,Paramètres!$A$1:$I$89,7,0))</f>
        <v>0</v>
      </c>
      <c r="DD142" s="16">
        <f>IF(ISNA(VLOOKUP(A142,'Données projet'!$A$139:$I$159,6,0)),0%,VLOOKUP(A142,'Données projet'!$A$139:$I$159,6,0)*VLOOKUP('Données projet'!$B$13,Paramètres!$A$1:$I$89,7,0))</f>
        <v>0</v>
      </c>
      <c r="DE142" s="16">
        <f>IF(ISNA(VLOOKUP(A142,'Données projet'!$A$139:$I$159,7,0)),0%,VLOOKUP(A142,'Données projet'!$A$139:$I$159,7,0))</f>
        <v>0</v>
      </c>
      <c r="DF142" s="21" t="e">
        <f>EXP(-LN(2)/35)*DF141+(1-EXP(-LN(2)/35))/(LN(2)/35)*DB142*DC142*VLOOKUP('Données projet'!$B$13,Paramètres!$A$1:$I$89,3,0)*0.475*44/12</f>
        <v>#N/A</v>
      </c>
      <c r="DG142" s="21" t="e">
        <f>EXP(-LN(2)/25)*DG141+(1-EXP(-LN(2)/25))/(LN(2)/25)*Calculateur!DB142*Calculateur!DD142*VLOOKUP('Données projet'!$B$13,Paramètres!$A$1:$I$89,3,0)*0.475*44/12</f>
        <v>#N/A</v>
      </c>
      <c r="DH142" s="21" t="e">
        <f>EXP(-LN(2)/2)*DH141+(1-EXP(-LN(2)/2))/(LN(2)/2)*DB142*DE142*VLOOKUP('Données projet'!$B$13,Paramètres!$A$1:$I$89,3,0)*0.475*44/12</f>
        <v>#N/A</v>
      </c>
      <c r="DI142" s="22" t="e">
        <f t="shared" si="123"/>
        <v>#N/A</v>
      </c>
      <c r="DJ142" s="75">
        <f>('Scénario référence'!$F$8+'Scénario référence'!$F$9+'Scénario référence'!$B$17+'Scénario référence'!$B$9+'Scénario référence'!$B$10)*70+IF((45+25*(1-EXP(-0.0175*A142)))&lt;70,'Scénario référence'!$B$16*(45+25*(1-EXP(-0.0175*A142))),70*'Scénario référence'!$B$16)+IF((32+38*(1-EXP(-0.0175*A142)))&lt;70,'Scénario référence'!$B$18*(32+38*(1-EXP(-0.0175*A142))),70*'Scénario référence'!$B$18)</f>
        <v>70</v>
      </c>
      <c r="DK142" s="12">
        <f>IF(A142&gt;30,10,('Scénario référence'!$B$16+'Scénario référence'!$B$17+'Scénario référence'!$B$18+'Scénario référence'!$B$9+'Scénario référence'!$B$10)*A142*10/30+('Scénario référence'!$F$8+'Scénario référence'!$F$9)*10)</f>
        <v>10</v>
      </c>
      <c r="DL142" s="12" t="e">
        <f>VLOOKUP(A142,'Données projet'!$A$165:$I$185,2,0)</f>
        <v>#N/A</v>
      </c>
      <c r="DM142" s="12" t="e">
        <f>VLOOKUP(A142,'Données projet'!$A$165:$I$185,9,0)</f>
        <v>#N/A</v>
      </c>
      <c r="DN142" s="12">
        <f t="array" ref="DN142">INDEX(DM:DM,MIN(IF(ISNUMBER(DM142:DM338),ROW(DM142:DM338),"")))</f>
        <v>0</v>
      </c>
      <c r="DO142" s="12">
        <f>IF('Données projet'!$A$166&gt;35,DO141+DN142-DW141,IF(A142&lt;'Données projet'!$A$166,$DL$205^A142,IF(A142='Données projet'!$A$166,'Données projet'!$B$166,DO141+DN142-DW141)))</f>
        <v>268.00000000000017</v>
      </c>
      <c r="DP142" s="17">
        <f>DO142*VLOOKUP('Données projet'!$B$14,Paramètres!$A$1:$I$89,3,0)*VLOOKUP('Données projet'!$B$14,Paramètres!$A$1:$I$89,5,0)</f>
        <v>175.59360000000012</v>
      </c>
      <c r="DQ142" s="13">
        <f t="shared" si="151"/>
        <v>44.340433728638573</v>
      </c>
      <c r="DR142" s="20">
        <f t="shared" si="124"/>
        <v>383.05177541071242</v>
      </c>
      <c r="DS142" s="59">
        <f t="shared" si="125"/>
        <v>676.38510874404574</v>
      </c>
      <c r="DT142" s="59">
        <f ca="1">AVERAGE(OFFSET($DS$3,0,0,'Données projet'!$E$14+1,1))-AVERAGE(OFFSET($H$3,0,0,'Données projet'!$E$14+1,1))</f>
        <v>188.68915783955595</v>
      </c>
      <c r="DU142" s="59">
        <f t="shared" si="152"/>
        <v>240.82467772396944</v>
      </c>
      <c r="DV142" s="15">
        <f>IF(ISNA(VLOOKUP(A142,'Données projet'!$A$165:$I$185,3,0)),0,VLOOKUP(A142,'Données projet'!$A$165:$I$185,3,0))</f>
        <v>0</v>
      </c>
      <c r="DW142" s="15">
        <f>IF(ISNA(VLOOKUP(A142,'Données projet'!$A$165:$I$185,4,0)),0,VLOOKUP(A142,'Données projet'!$A$165:$I$185,4,0))</f>
        <v>0</v>
      </c>
      <c r="DX142" s="16">
        <f>IF(ISNA(VLOOKUP(A142,'Données projet'!$A$165:$I$185,5,0)),0%,VLOOKUP(A142,'Données projet'!$A$165:$I$185,5,0)*VLOOKUP('Données projet'!$B$14,Paramètres!$A$1:$I$89,7,0))</f>
        <v>0</v>
      </c>
      <c r="DY142" s="16">
        <f>IF(ISNA(VLOOKUP(A142,'Données projet'!$A$165:$I$185,6,0)),0%,VLOOKUP(A142,'Données projet'!$A$165:$I$185,6,0)*VLOOKUP('Données projet'!$B$14,Paramètres!$A$1:$I$89,7,0))</f>
        <v>0</v>
      </c>
      <c r="DZ142" s="16">
        <f>IF(ISNA(VLOOKUP(A142,'Données projet'!$A$165:$I$185,7,0)),0%,VLOOKUP(A142,'Données projet'!$A$165:$I$185,7,0))</f>
        <v>0</v>
      </c>
      <c r="EA142" s="21">
        <f>EXP(-LN(2)/35)*EA141+(1-EXP(-LN(2)/35))/(LN(2)/35)*DW142*DX142*VLOOKUP('Données projet'!$B$14,Paramètres!$A$1:$I$89,3,0)*0.475*44/12</f>
        <v>0.1798316147752323</v>
      </c>
      <c r="EB142" s="21">
        <f>EXP(-LN(2)/25)*EB141+(1-EXP(-LN(2)/25))/(LN(2)/25)*Calculateur!DW142*Calculateur!DY142*VLOOKUP('Données projet'!$B$14,Paramètres!$A$1:$I$89,3,0)*0.475*44/12</f>
        <v>0.39143422976439718</v>
      </c>
      <c r="EC142" s="21">
        <f>EXP(-LN(2)/2)*EC141+(1-EXP(-LN(2)/2))/(LN(2)/2)*DW142*DZ142*VLOOKUP('Données projet'!$B$14,Paramètres!$A$1:$I$89,3,0)*0.475*44/12</f>
        <v>5.4939136569512775E-16</v>
      </c>
      <c r="ED142" s="22">
        <f t="shared" si="126"/>
        <v>0.57126584453963003</v>
      </c>
      <c r="EE142" s="75">
        <f>('Scénario référence'!$F$8+'Scénario référence'!$F$9+'Scénario référence'!$B$17+'Scénario référence'!$B$9+'Scénario référence'!$B$10)*70+IF((45+25*(1-EXP(-0.0175*A142)))&lt;70,'Scénario référence'!$B$16*(45+25*(1-EXP(-0.0175*A142))),70*'Scénario référence'!$B$16)+IF((32+38*(1-EXP(-0.0175*A142)))&lt;70,'Scénario référence'!$B$18*(32+38*(1-EXP(-0.0175*A142))),70*'Scénario référence'!$B$18)</f>
        <v>70</v>
      </c>
      <c r="EF142" s="12">
        <f>IF(A142&gt;30,10,('Scénario référence'!$B$16+'Scénario référence'!$B$17+'Scénario référence'!$B$18+'Scénario référence'!$B$9+'Scénario référence'!$B$10)*A142*10/30+('Scénario référence'!$F$8+'Scénario référence'!$F$9)*10)</f>
        <v>10</v>
      </c>
      <c r="EG142" s="12" t="e">
        <f>VLOOKUP(A142,'Données projet'!$A$191:$I$211,2,0)</f>
        <v>#N/A</v>
      </c>
      <c r="EH142" s="12" t="e">
        <f>VLOOKUP(A142,'Données projet'!$A$191:$I$211,9,0)</f>
        <v>#N/A</v>
      </c>
      <c r="EI142" s="12">
        <f t="array" ref="EI142">INDEX(EH:EH,MIN(IF(ISNUMBER(EH142:EH338),ROW(EH142:EH338),"")))</f>
        <v>0</v>
      </c>
      <c r="EJ142" s="12">
        <f>IF('Données projet'!$A$192&gt;35,EJ141+EI142-ER141,IF(A142&lt;'Données projet'!$A$192,$EG$205^A142,IF(A142='Données projet'!$A$192,'Données projet'!$B$192,EJ141+EI142-ER141)))</f>
        <v>275.99999999999972</v>
      </c>
      <c r="EK142" s="17">
        <f>EJ142*VLOOKUP('Données projet'!$B$15,Paramètres!$A$1:$I$89,3,0)*VLOOKUP('Données projet'!$B$15,Paramètres!$A$1:$I$89,5,0)</f>
        <v>223.8911999999998</v>
      </c>
      <c r="EL142" s="13">
        <f t="shared" si="153"/>
        <v>54.95975389514858</v>
      </c>
      <c r="EM142" s="20">
        <f t="shared" si="127"/>
        <v>485.66541136738346</v>
      </c>
      <c r="EN142" s="59">
        <f t="shared" si="128"/>
        <v>778.99874470071677</v>
      </c>
      <c r="EO142" s="59">
        <f ca="1">AVERAGE(OFFSET($EN$3,0,0,'Données projet'!$E$15+1,1))-AVERAGE(OFFSET($H$3,0,0,'Données projet'!$E$15+1,1))</f>
        <v>205.5272583787887</v>
      </c>
      <c r="EP142" s="59">
        <f t="shared" si="154"/>
        <v>180.54762778843178</v>
      </c>
      <c r="EQ142" s="15">
        <f>IF(ISNA(VLOOKUP(A142,'Données projet'!$A$191:$I$211,3,0)),0,VLOOKUP(A142,'Données projet'!$A$191:$I$211,3,0))</f>
        <v>0</v>
      </c>
      <c r="ER142" s="15">
        <f>IF(ISNA(VLOOKUP(A142,'Données projet'!$A$191:$I$211,4,0)),0,VLOOKUP(A142,'Données projet'!$A$191:$I$211,4,0))</f>
        <v>0</v>
      </c>
      <c r="ES142" s="16">
        <f>IF(ISNA(VLOOKUP(A142,'Données projet'!$A$191:$I$211,5,0)),0%,VLOOKUP(A142,'Données projet'!$A$191:$I$211,5,0)*VLOOKUP('Données projet'!$B$15,Paramètres!$A$1:$I$89,7,0))</f>
        <v>0</v>
      </c>
      <c r="ET142" s="16">
        <f>IF(ISNA(VLOOKUP(A142,'Données projet'!$A$191:$I$211,6,0)),0%,VLOOKUP(A142,'Données projet'!$A$191:$I$211,6,0)*VLOOKUP('Données projet'!$B$15,Paramètres!$A$1:$I$89,7,0))</f>
        <v>0</v>
      </c>
      <c r="EU142" s="16">
        <f>IF(ISNA(VLOOKUP(A142,'Données projet'!$A$191:$I$211,7,0)),0%,VLOOKUP(A142,'Données projet'!$A$191:$I$211,7,0))</f>
        <v>0</v>
      </c>
      <c r="EV142" s="21">
        <f>EXP(-LN(2)/35)*EV141+(1-EXP(-LN(2)/35))/(LN(2)/35)*ER142*ES142*VLOOKUP('Données projet'!$B$15,Paramètres!$A$1:$I$89,3,0)*0.475*44/12</f>
        <v>0.1157773062743401</v>
      </c>
      <c r="EW142" s="21">
        <f>EXP(-LN(2)/25)*EW141+(1-EXP(-LN(2)/25))/(LN(2)/25)*Calculateur!ER142*Calculateur!ET142*VLOOKUP('Données projet'!$B$15,Paramètres!$A$1:$I$89,3,0)*0.475*44/12</f>
        <v>0.28262738842494162</v>
      </c>
      <c r="EX142" s="21">
        <f>EXP(-LN(2)/2)*EX141+(1-EXP(-LN(2)/2))/(LN(2)/2)*ER142*EU142*VLOOKUP('Données projet'!$B$15,Paramètres!$A$1:$I$89,3,0)*0.475*44/12</f>
        <v>3.5573131552196833E-16</v>
      </c>
      <c r="EY142" s="22">
        <f t="shared" si="129"/>
        <v>0.39840469469928208</v>
      </c>
      <c r="EZ142" s="75">
        <f>('Scénario référence'!$F$8+'Scénario référence'!$F$9+'Scénario référence'!$B$17+'Scénario référence'!$B$9+'Scénario référence'!$B$10)*70+IF((45+25*(1-EXP(-0.0175*A142)))&lt;70,'Scénario référence'!$B$16*(45+25*(1-EXP(-0.0175*A142))),70*'Scénario référence'!$B$16)+IF((32+38*(1-EXP(-0.0175*A142)))&lt;70,'Scénario référence'!$B$18*(32+38*(1-EXP(-0.0175*A142))),70*'Scénario référence'!$B$18)</f>
        <v>70</v>
      </c>
      <c r="FA142" s="12">
        <f>IF(A142&gt;30,10,('Scénario référence'!$B$16+'Scénario référence'!$B$17+'Scénario référence'!$B$18+'Scénario référence'!$B$9+'Scénario référence'!$B$10)*A142*10/30+('Scénario référence'!$F$8+'Scénario référence'!$F$9)*10)</f>
        <v>10</v>
      </c>
      <c r="FB142" s="12" t="e">
        <f>VLOOKUP(A142,'Données projet'!$A$217:$I$237,2,0)</f>
        <v>#N/A</v>
      </c>
      <c r="FC142" s="12" t="e">
        <f>VLOOKUP(A142,'Données projet'!$A$217:$I$237,9,0)</f>
        <v>#N/A</v>
      </c>
      <c r="FD142" s="12">
        <f t="array" ref="FD142">INDEX(FC:FC,MIN(IF(ISNUMBER(FC142:FC338),ROW(FC142:FC338),"")))</f>
        <v>5.5</v>
      </c>
      <c r="FE142" s="12">
        <f>IF('Données projet'!$A$218&gt;35,FE141+FD142-FM141,IF(A142&lt;'Données projet'!$A$218,$FB$205^A142,IF(A142='Données projet'!$A$218,'Données projet'!$B$218,FE141+FD142-FM141)))</f>
        <v>452.49999999999994</v>
      </c>
      <c r="FF142" s="17">
        <f>FE142*VLOOKUP('Données projet'!$B$16,Paramètres!$A$1:$I$89,3,0)*VLOOKUP('Données projet'!$B$16,Paramètres!$A$1:$I$89,5,0)</f>
        <v>388.245</v>
      </c>
      <c r="FG142" s="13">
        <f t="shared" si="155"/>
        <v>89.38939806850928</v>
      </c>
      <c r="FH142" s="20">
        <f t="shared" si="130"/>
        <v>831.87990996932024</v>
      </c>
      <c r="FI142" s="59">
        <f t="shared" si="131"/>
        <v>1125.2132433026536</v>
      </c>
      <c r="FJ142" s="59">
        <f ca="1">AVERAGE(OFFSET($FI$3,0,0,'Données projet'!$E$16+1,1))-AVERAGE(OFFSET($H$3,0,0,'Données projet'!$E$16+1,1))</f>
        <v>383.97627237444709</v>
      </c>
      <c r="FK142" s="59">
        <f t="shared" si="156"/>
        <v>203.35476578922339</v>
      </c>
      <c r="FL142" s="15">
        <f>IF(ISNA(VLOOKUP(A142,'Données projet'!$A$217:$I$237,3,0)),0,VLOOKUP(A142,'Données projet'!$A$217:$I$237,3,0))</f>
        <v>0</v>
      </c>
      <c r="FM142" s="15">
        <f>IF(ISNA(VLOOKUP(A142,'Données projet'!$A$217:$I$237,4,0)),0,VLOOKUP(A142,'Données projet'!$A$217:$I$237,4,0))</f>
        <v>0</v>
      </c>
      <c r="FN142" s="16">
        <f>IF(ISNA(VLOOKUP(A142,'Données projet'!$A$217:$I$237,5,0)),0%,VLOOKUP(A142,'Données projet'!$A$217:$I$237,5,0)*VLOOKUP('Données projet'!$B$16,Paramètres!$A$1:$I$89,7,0))</f>
        <v>0</v>
      </c>
      <c r="FO142" s="16">
        <f>IF(ISNA(VLOOKUP(A142,'Données projet'!$A$217:$I$237,6,0)),0%,VLOOKUP(A142,'Données projet'!$A$217:$I$237,6,0)*VLOOKUP('Données projet'!$B$16,Paramètres!$A$1:$I$89,7,0))</f>
        <v>0</v>
      </c>
      <c r="FP142" s="16">
        <f>IF(ISNA(VLOOKUP(A142,'Données projet'!$A$217:$I$237,7,0)),0%,VLOOKUP(A142,'Données projet'!$A$217:$I$237,7,0))</f>
        <v>0</v>
      </c>
      <c r="FQ142" s="21">
        <f>EXP(-LN(2)/35)*FQ141+(1-EXP(-LN(2)/35))/(LN(2)/35)*FM142*FN142*VLOOKUP('Données projet'!$B$16,Paramètres!$A$1:$I$89,3,0)*0.475*44/12</f>
        <v>0.59503254263183714</v>
      </c>
      <c r="FR142" s="21">
        <f>EXP(-LN(2)/25)*FR141+(1-EXP(-LN(2)/25))/(LN(2)/25)*Calculateur!FM142*Calculateur!FO142*VLOOKUP('Données projet'!$B$16,Paramètres!$A$1:$I$89,3,0)*0.475*44/12</f>
        <v>0.28689601156816297</v>
      </c>
      <c r="FS142" s="21">
        <f>EXP(-LN(2)/2)*FS141+(1-EXP(-LN(2)/2))/(LN(2)/2)*FM142*FP142*VLOOKUP('Données projet'!$B$16,Paramètres!$A$1:$I$89,3,0)*0.475*44/12</f>
        <v>6.5340541997787239E-16</v>
      </c>
      <c r="FT142" s="22">
        <f t="shared" si="132"/>
        <v>0.88192855420000082</v>
      </c>
      <c r="FU142" s="75">
        <f>('Scénario référence'!$F$8+'Scénario référence'!$F$9+'Scénario référence'!$B$17+'Scénario référence'!$B$9+'Scénario référence'!$B$10)*70+IF((45+25*(1-EXP(-0.0175*A142)))&lt;70,'Scénario référence'!$B$16*(45+25*(1-EXP(-0.0175*A142))),70*'Scénario référence'!$B$16)+IF((32+38*(1-EXP(-0.0175*A142)))&lt;70,'Scénario référence'!$B$18*(32+38*(1-EXP(-0.0175*A142))),70*'Scénario référence'!$B$18)</f>
        <v>70</v>
      </c>
      <c r="FV142" s="12">
        <f>IF(A142&gt;30,10,('Scénario référence'!$B$16+'Scénario référence'!$B$17+'Scénario référence'!$B$18+'Scénario référence'!$B$9+'Scénario référence'!$B$10)*A142*10/30+('Scénario référence'!$F$8+'Scénario référence'!$F$9)*10)</f>
        <v>10</v>
      </c>
      <c r="FW142" s="12" t="e">
        <f>VLOOKUP(A142,'Données projet'!$A$243:$I$263,2,0)</f>
        <v>#N/A</v>
      </c>
      <c r="FX142" s="12" t="e">
        <f>VLOOKUP(A142,'Données projet'!$A$243:$I$263,9,0)</f>
        <v>#N/A</v>
      </c>
      <c r="FY142" s="12">
        <f t="array" ref="FY142">INDEX(FX:FX,MIN(IF(ISNUMBER(FX142:FX338),ROW(FX142:FX338),"")))</f>
        <v>0</v>
      </c>
      <c r="FZ142" s="12">
        <f>IF('Données projet'!$A$244&gt;35,FZ141+FY142-GH141,IF(A142&lt;'Données projet'!$A$244,$FW$205^A142,IF(A142='Données projet'!$A$244,'Données projet'!$B$244,FZ141+FY142-GH141)))</f>
        <v>4.5474735088646412E-13</v>
      </c>
      <c r="GA142" s="17">
        <f>FZ142*VLOOKUP('Données projet'!$B$17,Paramètres!$A$1:$I$89,3,0)*VLOOKUP('Données projet'!$B$17,Paramètres!$A$1:$I$89,5,0)</f>
        <v>4.8949004849418999E-13</v>
      </c>
      <c r="GB142" s="13">
        <f t="shared" si="157"/>
        <v>6.1123715499968684E-12</v>
      </c>
      <c r="GC142" s="20">
        <f t="shared" si="133"/>
        <v>1.1498242284038591E-11</v>
      </c>
      <c r="GD142" s="59">
        <f t="shared" si="134"/>
        <v>293.3333333333448</v>
      </c>
      <c r="GE142" s="59">
        <f ca="1">AVERAGE(OFFSET($GD$3,0,0,'Données projet'!$E$17+1,1))-AVERAGE(OFFSET($H$3,0,0,'Données projet'!$E$17+1,1))</f>
        <v>286.77702855541287</v>
      </c>
      <c r="GF142" s="59">
        <f t="shared" si="158"/>
        <v>227.12211541860779</v>
      </c>
      <c r="GG142" s="15">
        <f>IF(ISNA(VLOOKUP(A142,'Données projet'!$A$243:$I$263,3,0)),0,VLOOKUP(A142,'Données projet'!$A$243:$I$263,3,0))</f>
        <v>0</v>
      </c>
      <c r="GH142" s="15">
        <f>IF(ISNA(VLOOKUP(A142,'Données projet'!$A$243:$I$263,4,0)),0,VLOOKUP(A142,'Données projet'!$A$243:$I$263,4,0))</f>
        <v>0</v>
      </c>
      <c r="GI142" s="16">
        <f>IF(ISNA(VLOOKUP(A142,'Données projet'!$A$243:$I$263,5,0)),0%,VLOOKUP(A142,'Données projet'!$A$243:$I$263,5,0)*VLOOKUP('Données projet'!$B$17,Paramètres!$A$1:$I$89,7,0))</f>
        <v>0</v>
      </c>
      <c r="GJ142" s="16">
        <f>IF(ISNA(VLOOKUP(A142,'Données projet'!$A$243:$I$263,6,0)),0%,VLOOKUP(A142,'Données projet'!$A$243:$I$263,6,0)*VLOOKUP('Données projet'!$B$17,Paramètres!$A$1:$I$89,7,0))</f>
        <v>0</v>
      </c>
      <c r="GK142" s="16">
        <f>IF(ISNA(VLOOKUP(A142,'Données projet'!$A$243:$I$263,7,0)),0%,VLOOKUP(A142,'Données projet'!$A$243:$I$263,7,0))</f>
        <v>0</v>
      </c>
      <c r="GL142" s="21">
        <f>EXP(-LN(2)/35)*GL141+(1-EXP(-LN(2)/35))/(LN(2)/35)*GH142*GI142*VLOOKUP('Données projet'!$B$17,Paramètres!$A$1:$I$89,3,0)*0.475*44/12</f>
        <v>0</v>
      </c>
      <c r="GM142" s="21">
        <f>EXP(-LN(2)/25)*GM141+(1-EXP(-LN(2)/25))/(LN(2)/25)*Calculateur!GH142*Calculateur!GJ142*VLOOKUP('Données projet'!$B$17,Paramètres!$A$1:$I$89,3,0)*0.475*44/12</f>
        <v>0</v>
      </c>
      <c r="GN142" s="21">
        <f>EXP(-LN(2)/2)*GN141+(1-EXP(-LN(2)/2))/(LN(2)/2)*GH142*GK142*VLOOKUP('Données projet'!$B$17,Paramètres!$A$1:$I$89,3,0)*0.475*44/12</f>
        <v>0</v>
      </c>
      <c r="GO142" s="21">
        <f t="shared" si="135"/>
        <v>0</v>
      </c>
      <c r="GP142" s="75">
        <f>('Scénario référence'!$F$8+'Scénario référence'!$F$9+'Scénario référence'!$B$17+'Scénario référence'!$B$9+'Scénario référence'!$B$10)*70+IF((45+25*(1-EXP(-0.0175*A142)))&lt;70,'Scénario référence'!$B$16*(45+25*(1-EXP(-0.0175*A142))),70*'Scénario référence'!$B$16)+IF((32+38*(1-EXP(-0.0175*A142)))&lt;70,'Scénario référence'!$B$18*(32+38*(1-EXP(-0.0175*A142))),70*'Scénario référence'!$B$18)</f>
        <v>70</v>
      </c>
      <c r="GQ142" s="12">
        <f>IF(A142&gt;30,10,('Scénario référence'!$B$16+'Scénario référence'!$B$17+'Scénario référence'!$B$18+'Scénario référence'!$B$9+'Scénario référence'!$B$10)*A142*10/30+('Scénario référence'!$F$8+'Scénario référence'!$F$9)*10)</f>
        <v>10</v>
      </c>
      <c r="GR142" s="12" t="e">
        <f>VLOOKUP(A142,'Données projet'!$A$269:$I$289,2,0)</f>
        <v>#N/A</v>
      </c>
      <c r="GS142" s="12" t="e">
        <f>VLOOKUP(A142,'Données projet'!$A$269:$I$289,9,0)</f>
        <v>#N/A</v>
      </c>
      <c r="GT142" s="12">
        <f t="array" ref="GT142">INDEX(GS:GS,MIN(IF(ISNUMBER(GS142:GS338),ROW(GS142:GS338),"")))</f>
        <v>0</v>
      </c>
      <c r="GU142" s="12">
        <f>IF('Données projet'!$A$270&gt;35,GU141+GT142-HC141,IF(A142&lt;'Données projet'!$A$270,$GR$205^A142,IF(A142='Données projet'!$A$270,'Données projet'!$B$270,GU141+GT142-HC141)))</f>
        <v>4.5474735088646412E-13</v>
      </c>
      <c r="GV142" s="17">
        <f>GU142*VLOOKUP('Données projet'!$B$18,Paramètres!$A$1:$I$89,3,0)*VLOOKUP('Données projet'!$B$18,Paramètres!$A$1:$I$89,5,0)</f>
        <v>4.8949004849418999E-13</v>
      </c>
      <c r="GW142" s="13">
        <f t="shared" si="159"/>
        <v>6.1123715499968684E-12</v>
      </c>
      <c r="GX142" s="20">
        <f t="shared" si="136"/>
        <v>1.1498242284038591E-11</v>
      </c>
      <c r="GY142" s="59">
        <f t="shared" si="137"/>
        <v>293.3333333333448</v>
      </c>
      <c r="GZ142" s="59">
        <f ca="1">AVERAGE(OFFSET($GY$3,0,0,'Données projet'!$E$18+1,1))-AVERAGE(OFFSET($H$3,0,0,'Données projet'!$E$18+1,1))</f>
        <v>286.77702855541287</v>
      </c>
      <c r="HA142" s="59">
        <f t="shared" si="160"/>
        <v>227.12211541860779</v>
      </c>
      <c r="HB142" s="15">
        <f>IF(ISNA(VLOOKUP(A142,'Données projet'!$A$269:$I$289,3,0)),0,VLOOKUP(A142,'Données projet'!$A$269:$I$289,3,0))</f>
        <v>0</v>
      </c>
      <c r="HC142" s="15">
        <f>IF(ISNA(VLOOKUP(A142,'Données projet'!$A$269:$I$289,4,0)),0,VLOOKUP(A142,'Données projet'!$A$269:$I$289,4,0))</f>
        <v>0</v>
      </c>
      <c r="HD142" s="16">
        <f>IF(ISNA(VLOOKUP(A142,'Données projet'!$A$269:$I$289,5,0)),0%,VLOOKUP(A142,'Données projet'!$A$269:$I$289,5,0)*VLOOKUP('Données projet'!$B$18,Paramètres!$A$1:$I$89,7,0))</f>
        <v>0</v>
      </c>
      <c r="HE142" s="16">
        <f>IF(ISNA(VLOOKUP(A142,'Données projet'!$A$269:$I$289,6,0)),0%,VLOOKUP(A142,'Données projet'!$A$269:$I$289,6,0)*VLOOKUP('Données projet'!$B$18,Paramètres!$A$1:$I$89,7,0))</f>
        <v>0</v>
      </c>
      <c r="HF142" s="16">
        <f>IF(ISNA(VLOOKUP(A142,'Données projet'!$A$269:$I$289,7,0)),0%,VLOOKUP(A142,'Données projet'!$A$269:$I$289,7,0))</f>
        <v>0</v>
      </c>
      <c r="HG142" s="21">
        <f>EXP(-LN(2)/35)*HG141+(1-EXP(-LN(2)/35))/(LN(2)/35)*HC142*HD142*VLOOKUP('Données projet'!$B$18,Paramètres!$A$1:$I$89,3,0)*0.475*44/12</f>
        <v>0</v>
      </c>
      <c r="HH142" s="21">
        <f>EXP(-LN(2)/25)*HH141+(1-EXP(-LN(2)/25))/(LN(2)/25)*Calculateur!HC142*Calculateur!HE142*VLOOKUP('Données projet'!$B$18,Paramètres!$A$1:$I$89,3,0)*0.475*44/12</f>
        <v>0</v>
      </c>
      <c r="HI142" s="21">
        <f>EXP(-LN(2)/2)*HI141+(1-EXP(-LN(2)/2))/(LN(2)/2)*HC142*HF142*VLOOKUP('Données projet'!$B$18,Paramètres!$A$1:$I$89,3,0)*0.475*44/12</f>
        <v>0</v>
      </c>
      <c r="HJ142" s="22">
        <f t="shared" si="138"/>
        <v>0</v>
      </c>
    </row>
    <row r="143" spans="1:218" x14ac:dyDescent="0.25">
      <c r="A143" s="10">
        <f t="shared" si="139"/>
        <v>140</v>
      </c>
      <c r="B143" s="73">
        <f>'Scénario référence'!$B$16*5+'Scénario référence'!$B$17*0+'Scénario référence'!$B$18*5</f>
        <v>0</v>
      </c>
      <c r="C143" s="19">
        <f>Calculateur!C142+'Scénario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124.48800000000024</v>
      </c>
      <c r="D143" s="11">
        <f t="shared" si="140"/>
        <v>32.719504245667331</v>
      </c>
      <c r="E14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43" s="11">
        <f>IF(OR('Scénario référence'!$F$8&gt;0,'Scénario référence'!$F$9&gt;0),('Scénario référence'!$F$8+'Scénario référence'!$F$9)*10,0)</f>
        <v>10</v>
      </c>
      <c r="G143" s="11">
        <f>'Scénario référence'!$B$8*B143*44/12+'Scénario référence'!$B$9*(C143+D143)/0.475*44/12+'Scénario référence'!$B$10*(C143+D143)/0.475*44/12+'Scénario référence'!$F$8*(C143+D143)/0.475*44/12+'Scénario référence'!$F$9*(C143+D143)/0.475*44/12</f>
        <v>1213.5316117209427</v>
      </c>
      <c r="H143" s="67">
        <f t="shared" si="110"/>
        <v>567.13640322787103</v>
      </c>
      <c r="I143" s="70">
        <f>('Scénario référence'!$F$8+'Scénario référence'!$F$9+'Scénario référence'!$B$17+'Scénario référence'!$B$9+'Scénario référence'!$B$10)*70+IF((45+25*(1-EXP(-0.0175*A143)))&lt;70,'Scénario référence'!$B$16*(45+25*(1-EXP(-0.0175*A143))),70*'Scénario référence'!$B$16)+IF((32+38*(1-EXP(-0.0175*A143)))&lt;70,'Scénario référence'!$B$18*(32+38*(1-EXP(-0.0175*A143))),70*'Scénario référence'!$B$18)</f>
        <v>70</v>
      </c>
      <c r="J143" s="13">
        <f>IF(A143&gt;30,10,('Scénario référence'!$B$16+'Scénario référence'!$B$17+'Scénario référence'!$B$18+'Scénario référence'!$B$9+'Scénario référence'!$B$10)*A143*10/30+('Scénario référence'!$F$8+'Scénario référence'!$F$9)*10)</f>
        <v>10</v>
      </c>
      <c r="K143" s="12" t="e">
        <f>VLOOKUP(A143,'Données projet'!$A$35:$I$55,2,0)</f>
        <v>#N/A</v>
      </c>
      <c r="L143" s="12" t="e">
        <f>VLOOKUP(A143,'Données projet'!$A$35:$I$55,9,0)</f>
        <v>#N/A</v>
      </c>
      <c r="M143" s="12">
        <f t="array" ref="M143">INDEX(L:L,MIN(IF(ISNUMBER(L143:L339),ROW(L143:L339),"")))</f>
        <v>0</v>
      </c>
      <c r="N143" s="13">
        <f>IF('Données projet'!$A$36&gt;35,N142+M143-V142,IF(A143&lt;'Données projet'!$A$36,$K$205^A143,IF(A143='Données projet'!$A$36,'Données projet'!$B$36,N142+M143-V142)))</f>
        <v>-2.2737367544323206E-13</v>
      </c>
      <c r="O143" s="13">
        <f>N143*VLOOKUP('Données projet'!$B$9,Paramètres!$A$1:$I$89,3,0)*VLOOKUP('Données projet'!$B$9,Paramètres!$A$1:$I$89,5,0)</f>
        <v>-1.2710188457276673E-13</v>
      </c>
      <c r="P143" s="13" t="e">
        <f t="shared" si="141"/>
        <v>#NUM!</v>
      </c>
      <c r="Q143" s="20" t="e">
        <f t="shared" si="108"/>
        <v>#NUM!</v>
      </c>
      <c r="R143" s="59" t="e">
        <f t="shared" si="109"/>
        <v>#NUM!</v>
      </c>
      <c r="S143" s="59">
        <f ca="1">AVERAGE(OFFSET($R$3,0,0,'Données projet'!$E$9+1,1))-AVERAGE(OFFSET($H$3,0,0,'Données projet'!$E$9+1,1))</f>
        <v>255.5374979188561</v>
      </c>
      <c r="T143" s="59">
        <f t="shared" si="142"/>
        <v>343.10418468620901</v>
      </c>
      <c r="U143" s="15">
        <f>IF(ISNA(VLOOKUP(A143,'Données projet'!$A$35:$I$55,3,0)),0,VLOOKUP(A143,'Données projet'!$A$35:$I$55,3,0))</f>
        <v>0</v>
      </c>
      <c r="V143" s="15">
        <f>IF(ISNA(VLOOKUP(A143,'Données projet'!$A$35:$I$55,4,0)),0,VLOOKUP(A143,'Données projet'!$A$35:$I$55,4,0))</f>
        <v>0</v>
      </c>
      <c r="W143" s="16">
        <f>IF(ISNA(VLOOKUP(A143,'Données projet'!$A$35:$I$55,5,0)),0%,VLOOKUP(A143,'Données projet'!$A$35:$I$55,5,0)*VLOOKUP('Données projet'!$B$9,Paramètres!$A$1:$I$89,7,0))</f>
        <v>0</v>
      </c>
      <c r="X143" s="16">
        <f>IF(ISNA(VLOOKUP(A143,'Données projet'!$A$35:$I$55,6,0)),0%,VLOOKUP(A143,'Données projet'!$A$35:$I$55,6,0)*VLOOKUP('Données projet'!$B$9,Paramètres!$A$1:$I$89,7,0))</f>
        <v>0</v>
      </c>
      <c r="Y143" s="16">
        <f>IF(ISNA(VLOOKUP(A143,'Données projet'!$A$35:$I$55,7,0)),0%,VLOOKUP(A143,'Données projet'!$A$35:$I$55,7,0))</f>
        <v>0</v>
      </c>
      <c r="Z143" s="21">
        <f>EXP(-LN(2)/35)*Z142+(1-EXP(-LN(2)/35))/(LN(2)/35)*V143*W143*VLOOKUP('Données projet'!$B$9,Paramètres!$A$1:$I$89,3,0)*0.475*44/12</f>
        <v>0.3498403897832999</v>
      </c>
      <c r="AA143" s="21">
        <f>EXP(-LN(2)/25)*AA142+(1-EXP(-LN(2)/25))/(LN(2)/25)*Calculateur!V143*Calculateur!X143*VLOOKUP('Données projet'!$B$9,Paramètres!$A$1:$I$89,3,0)*0.475*44/12</f>
        <v>0.75597591154831578</v>
      </c>
      <c r="AB143" s="21">
        <f>EXP(-LN(2)/2)*AB142+(1-EXP(-LN(2)/2))/(LN(2)/2)*V143*Y143*VLOOKUP('Données projet'!$B$9,Paramètres!$A$1:$I$89,3,0)*0.475*44/12</f>
        <v>4.698053278223885E-17</v>
      </c>
      <c r="AC143" s="22">
        <f t="shared" si="111"/>
        <v>1.1058163013316156</v>
      </c>
      <c r="AD143" s="13">
        <f>('Scénario référence'!$F$8+'Scénario référence'!$F$9+'Scénario référence'!$B$17+'Scénario référence'!$B$9+'Scénario référence'!$B$10)*70+IF((45+25*(1-EXP(-0.0175*A143)))&lt;70,'Scénario référence'!$B$16*(45+25*(1-EXP(-0.0175*A143))),70*'Scénario référence'!$B$16)+IF((32+38*(1-EXP(-0.0175*A143)))&lt;70,'Scénario référence'!$B$18*(32+38*(1-EXP(-0.0175*A143))),70*'Scénario référence'!$B$18)</f>
        <v>70</v>
      </c>
      <c r="AE143" s="13">
        <f>IF(A143&gt;30,10,('Scénario référence'!$B$16+'Scénario référence'!$B$17+'Scénario référence'!$B$18+'Scénario référence'!$B$9+'Scénario référence'!$B$10)*A143*10/30+('Scénario référence'!$F$8+'Scénario référence'!$F$9)*10)</f>
        <v>10</v>
      </c>
      <c r="AF143" s="12" t="e">
        <f>VLOOKUP(A143,'Données projet'!$A$61:$I$81,2,0)</f>
        <v>#N/A</v>
      </c>
      <c r="AG143" s="12" t="e">
        <f>VLOOKUP(A143,'Données projet'!$A$61:$I$81,9,0)</f>
        <v>#N/A</v>
      </c>
      <c r="AH143" s="12">
        <f t="array" ref="AH143">INDEX(AG:AG,MIN(IF(ISNUMBER(AG143:AG339),ROW(AG143:AG339),"")))</f>
        <v>0</v>
      </c>
      <c r="AI143" s="13">
        <f>IF('Données projet'!$A$62&gt;35,AI142+AH143-AQ142,IF(A143&lt;'Données projet'!$A$62,$AF$205^A143,IF(A143='Données projet'!$A$62,'Données projet'!$B$62,AI142+AH143-AQ142)))</f>
        <v>0</v>
      </c>
      <c r="AJ143" s="13">
        <f>AI143*VLOOKUP('Données projet'!$B$10,Paramètres!$A$1:$I$89,3,0)*VLOOKUP('Données projet'!$B$10,Paramètres!$A$1:$I$89,5,0)</f>
        <v>0</v>
      </c>
      <c r="AK143" s="13" t="e">
        <f t="shared" si="143"/>
        <v>#NUM!</v>
      </c>
      <c r="AL143" s="20" t="e">
        <f t="shared" si="112"/>
        <v>#NUM!</v>
      </c>
      <c r="AM143" s="59" t="e">
        <f t="shared" si="113"/>
        <v>#NUM!</v>
      </c>
      <c r="AN143" s="59">
        <f ca="1">AVERAGE(OFFSET($AM$3,0,0,'Données projet'!$E$10+1,1))-AVERAGE(OFFSET($H$3,0,0,'Données projet'!$E$10+1,1))</f>
        <v>261.78489480911571</v>
      </c>
      <c r="AO143" s="59">
        <f t="shared" si="144"/>
        <v>297.50513563712764</v>
      </c>
      <c r="AP143" s="15">
        <f>IF(ISNA(VLOOKUP(A143,'Données projet'!$A$61:$I$81,3,0)),0,VLOOKUP(A143,'Données projet'!$A$61:$I$81,3,0))</f>
        <v>0</v>
      </c>
      <c r="AQ143" s="15">
        <f>IF(ISNA(VLOOKUP(A143,'Données projet'!$A$61:$I$81,4,0)),0,VLOOKUP(A143,'Données projet'!$A$61:$I$81,4,0))</f>
        <v>0</v>
      </c>
      <c r="AR143" s="16">
        <f>IF(ISNA(VLOOKUP(A143,'Données projet'!$A$61:$I$81,5,0)),0%,VLOOKUP(A143,'Données projet'!$A$61:$I$81,5,0)*VLOOKUP('Données projet'!$B$10,Paramètres!$A$1:$I$89,7,0))</f>
        <v>0</v>
      </c>
      <c r="AS143" s="16">
        <f>IF(ISNA(VLOOKUP(A143,'Données projet'!$A$61:$I$81,6,0)),0%,VLOOKUP(A143,'Données projet'!$A$61:$I$81,6,0)*VLOOKUP('Données projet'!$B$10,Paramètres!$A$1:$I$89,7,0))</f>
        <v>0</v>
      </c>
      <c r="AT143" s="16">
        <f>IF(ISNA(VLOOKUP(A143,'Données projet'!$A$61:$I$81,7,0)),0%,VLOOKUP(A143,'Données projet'!$A$61:$I$81,7,0))</f>
        <v>0</v>
      </c>
      <c r="AU143" s="21">
        <f>EXP(-LN(2)/35)*AU142+(1-EXP(-LN(2)/35))/(LN(2)/35)*AQ143*AR143*VLOOKUP('Données projet'!$B$10,Paramètres!$A$1:$I$89,3,0)*0.475*44/12</f>
        <v>0.94466800429454933</v>
      </c>
      <c r="AV143" s="21">
        <f>EXP(-LN(2)/25)*AV142+(1-EXP(-LN(2)/25))/(LN(2)/25)*Calculateur!AQ143*Calculateur!AS143*VLOOKUP('Données projet'!$B$10,Paramètres!$A$1:$I$89,3,0)*0.475*44/12</f>
        <v>1.3200881310714736</v>
      </c>
      <c r="AW143" s="21">
        <f>EXP(-LN(2)/2)*AW142+(1-EXP(-LN(2)/2))/(LN(2)/2)*AQ143*AT143*VLOOKUP('Données projet'!$B$10,Paramètres!$A$1:$I$89,3,0)*0.475*44/12</f>
        <v>6.7726910571197174E-16</v>
      </c>
      <c r="AX143" s="21">
        <f t="shared" si="114"/>
        <v>2.2647561353660239</v>
      </c>
      <c r="AY143" s="74">
        <f>('Scénario référence'!$F$8+'Scénario référence'!$F$9+'Scénario référence'!$B$17+'Scénario référence'!$B$9+'Scénario référence'!$B$10)*70+IF((45+25*(1-EXP(-0.0175*A143)))&lt;70,'Scénario référence'!$B$16*(45+25*(1-EXP(-0.0175*A143))),70*'Scénario référence'!$B$16)+IF((32+38*(1-EXP(-0.0175*A143)))&lt;70,'Scénario référence'!$B$18*(32+38*(1-EXP(-0.0175*A143))),70*'Scénario référence'!$B$18)</f>
        <v>70</v>
      </c>
      <c r="AZ143" s="12">
        <f>IF(A143&gt;30,10,('Scénario référence'!$B$16+'Scénario référence'!$B$17+'Scénario référence'!$B$18+'Scénario référence'!$B$9+'Scénario référence'!$B$10)*A143*10/30+('Scénario référence'!$F$8+'Scénario référence'!$F$9)*10)</f>
        <v>10</v>
      </c>
      <c r="BA143" s="12" t="e">
        <f>VLOOKUP(A143,'Données projet'!$A$87:$I$107,2,0)</f>
        <v>#N/A</v>
      </c>
      <c r="BB143" s="12" t="e">
        <f>VLOOKUP(A143,'Données projet'!$A$87:$I$107,9,0)</f>
        <v>#N/A</v>
      </c>
      <c r="BC143" s="12">
        <f t="array" ref="BC143">INDEX(BB:BB,MIN(IF(ISNUMBER(BB143:BB339),ROW(BB143:BB339),"")))</f>
        <v>0</v>
      </c>
      <c r="BD143" s="12">
        <f>IF('Données projet'!$A$88&gt;35,BD142+BC143-BL142,IF(A143&lt;'Données projet'!$A$88,$BA$205^A143,IF(A143='Données projet'!$A$88,'Données projet'!$B$88,BD142+BC143-BL142)))</f>
        <v>553.99999999999955</v>
      </c>
      <c r="BE143" s="13">
        <f>BD143*VLOOKUP('Données projet'!$B$11,Paramètres!$A$1:$I$89,3,0)*VLOOKUP('Données projet'!$B$11,Paramètres!$A$1:$I$89,5,0)</f>
        <v>331.29199999999975</v>
      </c>
      <c r="BF143" s="13">
        <f t="shared" si="145"/>
        <v>77.698110787752</v>
      </c>
      <c r="BG143" s="20">
        <f t="shared" si="115"/>
        <v>712.32444295533423</v>
      </c>
      <c r="BH143" s="59">
        <f t="shared" si="116"/>
        <v>1005.6577762886675</v>
      </c>
      <c r="BI143" s="59">
        <f ca="1">AVERAGE(OFFSET($BH$3,0,0,'Données projet'!$E$11+1,1))-AVERAGE(OFFSET($H$3,0,0,'Données projet'!$E$11+1,1))</f>
        <v>316.58509520829671</v>
      </c>
      <c r="BJ143" s="59">
        <f t="shared" si="146"/>
        <v>240.71332110643596</v>
      </c>
      <c r="BK143" s="15">
        <f>IF(ISNA(VLOOKUP(A143,'Données projet'!$A$87:$I$107,3,0)),0,VLOOKUP(A143,'Données projet'!$A$87:$I$107,3,0))</f>
        <v>0</v>
      </c>
      <c r="BL143" s="15">
        <f>IF(ISNA(VLOOKUP(A143,'Données projet'!$A$87:$I$107,4,0)),0,VLOOKUP(A143,'Données projet'!$A$87:$I$107,4,0))</f>
        <v>0</v>
      </c>
      <c r="BM143" s="16">
        <f>IF(ISNA(VLOOKUP(A143,'Données projet'!$A$87:$I$107,5,0)),0%,VLOOKUP(A143,'Données projet'!$A$87:$I$107,5,0)*VLOOKUP('Données projet'!$B$11,Paramètres!$A$1:$I$89,7,0))</f>
        <v>0</v>
      </c>
      <c r="BN143" s="16">
        <f>IF(ISNA(VLOOKUP(A143,'Données projet'!$A$87:$I$107,6,0)),0%,VLOOKUP(A143,'Données projet'!$A$87:$I$107,6,0)*VLOOKUP('Données projet'!$B$11,Paramètres!$A$1:$I$89,7,0))</f>
        <v>0</v>
      </c>
      <c r="BO143" s="16">
        <f>IF(ISNA(VLOOKUP(A143,'Données projet'!$A$87:$I$107,7,0)),0%,VLOOKUP(A143,'Données projet'!$A$87:$I$107,7,0))</f>
        <v>0</v>
      </c>
      <c r="BP143" s="21">
        <f>EXP(-LN(2)/35)*BP142+(1-EXP(-LN(2)/35))/(LN(2)/35)*BL143*BM143*VLOOKUP('Données projet'!$B$11,Paramètres!$A$1:$I$89,3,0)*0.475*44/12</f>
        <v>0.28694993508426342</v>
      </c>
      <c r="BQ143" s="21">
        <f>EXP(-LN(2)/25)*BQ142+(1-EXP(-LN(2)/25))/(LN(2)/25)*Calculateur!BL143*Calculateur!BN143*VLOOKUP('Données projet'!$B$11,Paramètres!$A$1:$I$89,3,0)*0.475*44/12</f>
        <v>0.72318279583354506</v>
      </c>
      <c r="BR143" s="21">
        <f>EXP(-LN(2)/2)*BR142+(1-EXP(-LN(2)/2))/(LN(2)/2)*BL143*BO143*VLOOKUP('Données projet'!$B$11,Paramètres!$A$1:$I$89,3,0)*0.475*44/12</f>
        <v>6.0893909554052084E-16</v>
      </c>
      <c r="BS143" s="22">
        <f t="shared" si="117"/>
        <v>1.0101327309178092</v>
      </c>
      <c r="BT143" s="75">
        <f>('Scénario référence'!$F$8+'Scénario référence'!$F$9+'Scénario référence'!$B$17+'Scénario référence'!$B$9+'Scénario référence'!$B$10)*70+IF((45+25*(1-EXP(-0.0175*A143)))&lt;70,'Scénario référence'!$B$16*(45+25*(1-EXP(-0.0175*A143))),70*'Scénario référence'!$B$16)+IF((32+38*(1-EXP(-0.0175*A143)))&lt;70,'Scénario référence'!$B$18*(32+38*(1-EXP(-0.0175*A143))),70*'Scénario référence'!$B$18)</f>
        <v>70</v>
      </c>
      <c r="BU143" s="12">
        <f>IF(A143&gt;30,10,('Scénario référence'!$B$16+'Scénario référence'!$B$17+'Scénario référence'!$B$18+'Scénario référence'!$B$9+'Scénario référence'!$B$10)*A143*10/30+('Scénario référence'!$F$8+'Scénario référence'!$F$9)*10)</f>
        <v>10</v>
      </c>
      <c r="BV143" s="12" t="e">
        <f>VLOOKUP(A143,'Données projet'!$A$113:$I$133,2,0)</f>
        <v>#N/A</v>
      </c>
      <c r="BW143" s="12" t="e">
        <f>VLOOKUP(A143,'Données projet'!$A$113:$I$133,9,0)</f>
        <v>#N/A</v>
      </c>
      <c r="BX143" s="12">
        <f t="array" ref="BX143">INDEX(BW:BW,MIN(IF(ISNUMBER(BW143:BW339),ROW(BW143:BW339),"")))</f>
        <v>0</v>
      </c>
      <c r="BY143" s="12">
        <f>IF('Données projet'!$A$114&gt;35,BY142+BX143-CG142,IF(A143&lt;'Données projet'!$A$114,$BV$205^A143,IF(A143='Données projet'!$A$114,'Données projet'!$B$114,BY142+BX143-CG142)))</f>
        <v>333.99999999999977</v>
      </c>
      <c r="BZ143" s="13">
        <f>BY143*VLOOKUP('Données projet'!$B$12,Paramètres!$A$1:$I$89,3,0)*VLOOKUP('Données projet'!$B$12,Paramètres!$A$1:$I$89,5,0)</f>
        <v>191.04799999999986</v>
      </c>
      <c r="CA143" s="13">
        <f t="shared" si="147"/>
        <v>47.771576544305155</v>
      </c>
      <c r="CB143" s="20">
        <f t="shared" si="118"/>
        <v>415.94409581466454</v>
      </c>
      <c r="CC143" s="59">
        <f t="shared" si="119"/>
        <v>709.27742914799785</v>
      </c>
      <c r="CD143" s="59">
        <f ca="1">AVERAGE(OFFSET($CC$3,0,0,'Données projet'!$E$12+1,1))-AVERAGE(OFFSET($H$3,0,0,'Données projet'!$E$12+1,1))</f>
        <v>188.64374818906128</v>
      </c>
      <c r="CE143" s="59">
        <f t="shared" si="148"/>
        <v>211.95157880548652</v>
      </c>
      <c r="CF143" s="15">
        <f>IF(ISNA(VLOOKUP(A143,'Données projet'!$A$113:$I$133,3,0)),0,VLOOKUP(A143,'Données projet'!$A$113:$I$133,3,0))</f>
        <v>0</v>
      </c>
      <c r="CG143" s="15">
        <f>IF(ISNA(VLOOKUP(A143,'Données projet'!$A$113:$I$133,4,0)),0,VLOOKUP(A143,'Données projet'!$A$113:$I$133,4,0))</f>
        <v>0</v>
      </c>
      <c r="CH143" s="16">
        <f>IF(ISNA(VLOOKUP(A143,'Données projet'!$A$113:$I$133,5,0)),0%,VLOOKUP(A143,'Données projet'!$A$113:$I$133,5,0)*VLOOKUP('Données projet'!$B$12,Paramètres!$A$1:$I$89,7,0))</f>
        <v>0</v>
      </c>
      <c r="CI143" s="16">
        <f>IF(ISNA(VLOOKUP(A143,'Données projet'!$A$113:$I$133,6,0)),0%,VLOOKUP(A143,'Données projet'!$A$113:$I$133,6,0)*VLOOKUP('Données projet'!$B$12,Paramètres!$A$1:$I$89,7,0))</f>
        <v>0</v>
      </c>
      <c r="CJ143" s="16">
        <f>IF(ISNA(VLOOKUP(A143,'Données projet'!$A$113:$I$133,7,0)),0%,VLOOKUP(A143,'Données projet'!$A$113:$I$133,7,0))</f>
        <v>0</v>
      </c>
      <c r="CK143" s="21">
        <f>EXP(-LN(2)/35)*CK142+(1-EXP(-LN(2)/35))/(LN(2)/35)*CG143*CH143*VLOOKUP('Données projet'!$B$12,Paramètres!$A$1:$I$89,3,0)*0.475*44/12</f>
        <v>0.27833967983678681</v>
      </c>
      <c r="CL143" s="21">
        <f>EXP(-LN(2)/25)*CL142+(1-EXP(-LN(2)/25))/(LN(2)/25)*Calculateur!CG143*Calculateur!CI143*VLOOKUP('Données projet'!$B$12,Paramètres!$A$1:$I$89,3,0)*0.475*44/12</f>
        <v>0.68067602157180318</v>
      </c>
      <c r="CM143" s="21">
        <f>EXP(-LN(2)/2)*CM142+(1-EXP(-LN(2)/2))/(LN(2)/2)*CG143*CJ143*VLOOKUP('Données projet'!$B$12,Paramètres!$A$1:$I$89,3,0)*0.475*44/12</f>
        <v>5.8970986992857456E-16</v>
      </c>
      <c r="CN143" s="22">
        <f t="shared" si="120"/>
        <v>0.9590157014085906</v>
      </c>
      <c r="CO143" s="75">
        <f>('Scénario référence'!$F$8+'Scénario référence'!$F$9+'Scénario référence'!$B$17+'Scénario référence'!$B$9+'Scénario référence'!$B$10)*70+IF((45+25*(1-EXP(-0.0175*A143)))&lt;70,'Scénario référence'!$B$16*(45+25*(1-EXP(-0.0175*A143))),70*'Scénario référence'!$B$16)+IF((32+38*(1-EXP(-0.0175*A143)))&lt;70,'Scénario référence'!$B$18*(32+38*(1-EXP(-0.0175*A143))),70*'Scénario référence'!$B$18)</f>
        <v>70</v>
      </c>
      <c r="CP143" s="12">
        <f>IF(A143&gt;30,10,('Scénario référence'!$B$16+'Scénario référence'!$B$17+'Scénario référence'!$B$18+'Scénario référence'!$B$9+'Scénario référence'!$B$10)*A143*10/30+('Scénario référence'!$F$8+'Scénario référence'!$F$9)*10)</f>
        <v>10</v>
      </c>
      <c r="CQ143" s="12" t="e">
        <f>VLOOKUP(A143,'Données projet'!$A$139:$I$159,2,0)</f>
        <v>#N/A</v>
      </c>
      <c r="CR143" s="12" t="e">
        <f>VLOOKUP(A143,'Données projet'!$A$139:$I$159,9,0)</f>
        <v>#N/A</v>
      </c>
      <c r="CS143" s="12">
        <f t="array" ref="CS143">INDEX(CR:CR,MIN(IF(ISNUMBER(CR143:CR339),ROW(CR143:CR339),"")))</f>
        <v>0</v>
      </c>
      <c r="CT143" s="12">
        <f>IF('Données projet'!$A$140&gt;35,CT142+CS143-DB142,IF(A143&lt;'Données projet'!$A$140,$CQ$205^A143,IF(A143='Données projet'!$A$140,'Données projet'!$B$140,CT142+CS143-DB142)))</f>
        <v>0</v>
      </c>
      <c r="CU143" s="17" t="e">
        <f>CT143*VLOOKUP('Données projet'!$B$13,Paramètres!$A$1:$I$89,3,0)*VLOOKUP('Données projet'!$B$13,Paramètres!$A$1:$I$89,5,0)</f>
        <v>#N/A</v>
      </c>
      <c r="CV143" s="13" t="e">
        <f t="shared" si="149"/>
        <v>#N/A</v>
      </c>
      <c r="CW143" s="20" t="e">
        <f t="shared" si="121"/>
        <v>#N/A</v>
      </c>
      <c r="CX143" s="59" t="e">
        <f t="shared" si="122"/>
        <v>#N/A</v>
      </c>
      <c r="CY143" s="59" t="e">
        <f ca="1">AVERAGE(OFFSET($CX$3,0,0,'Données projet'!$E$13+1,1))-AVERAGE(OFFSET($H$3,0,0,'Données projet'!$E$13+1,1))</f>
        <v>#N/A</v>
      </c>
      <c r="CZ143" s="59" t="e">
        <f t="shared" si="150"/>
        <v>#N/A</v>
      </c>
      <c r="DA143" s="15">
        <f>IF(ISNA(VLOOKUP(A143,'Données projet'!$A$139:$I$159,3,0)),0,VLOOKUP(A143,'Données projet'!$A$139:$I$159,3,0))</f>
        <v>0</v>
      </c>
      <c r="DB143" s="15">
        <f>IF(ISNA(VLOOKUP(A143,'Données projet'!$A$139:$I$159,4,0)),0,VLOOKUP(A143,'Données projet'!$A$139:$I$159,4,0))</f>
        <v>0</v>
      </c>
      <c r="DC143" s="16">
        <f>IF(ISNA(VLOOKUP(A143,'Données projet'!$A$139:$I$159,5,0)),0%,VLOOKUP(A143,'Données projet'!$A$139:$I$159,5,0)*VLOOKUP('Données projet'!$B$13,Paramètres!$A$1:$I$89,7,0))</f>
        <v>0</v>
      </c>
      <c r="DD143" s="16">
        <f>IF(ISNA(VLOOKUP(A143,'Données projet'!$A$139:$I$159,6,0)),0%,VLOOKUP(A143,'Données projet'!$A$139:$I$159,6,0)*VLOOKUP('Données projet'!$B$13,Paramètres!$A$1:$I$89,7,0))</f>
        <v>0</v>
      </c>
      <c r="DE143" s="16">
        <f>IF(ISNA(VLOOKUP(A143,'Données projet'!$A$139:$I$159,7,0)),0%,VLOOKUP(A143,'Données projet'!$A$139:$I$159,7,0))</f>
        <v>0</v>
      </c>
      <c r="DF143" s="21" t="e">
        <f>EXP(-LN(2)/35)*DF142+(1-EXP(-LN(2)/35))/(LN(2)/35)*DB143*DC143*VLOOKUP('Données projet'!$B$13,Paramètres!$A$1:$I$89,3,0)*0.475*44/12</f>
        <v>#N/A</v>
      </c>
      <c r="DG143" s="21" t="e">
        <f>EXP(-LN(2)/25)*DG142+(1-EXP(-LN(2)/25))/(LN(2)/25)*Calculateur!DB143*Calculateur!DD143*VLOOKUP('Données projet'!$B$13,Paramètres!$A$1:$I$89,3,0)*0.475*44/12</f>
        <v>#N/A</v>
      </c>
      <c r="DH143" s="21" t="e">
        <f>EXP(-LN(2)/2)*DH142+(1-EXP(-LN(2)/2))/(LN(2)/2)*DB143*DE143*VLOOKUP('Données projet'!$B$13,Paramètres!$A$1:$I$89,3,0)*0.475*44/12</f>
        <v>#N/A</v>
      </c>
      <c r="DI143" s="22" t="e">
        <f t="shared" si="123"/>
        <v>#N/A</v>
      </c>
      <c r="DJ143" s="75">
        <f>('Scénario référence'!$F$8+'Scénario référence'!$F$9+'Scénario référence'!$B$17+'Scénario référence'!$B$9+'Scénario référence'!$B$10)*70+IF((45+25*(1-EXP(-0.0175*A143)))&lt;70,'Scénario référence'!$B$16*(45+25*(1-EXP(-0.0175*A143))),70*'Scénario référence'!$B$16)+IF((32+38*(1-EXP(-0.0175*A143)))&lt;70,'Scénario référence'!$B$18*(32+38*(1-EXP(-0.0175*A143))),70*'Scénario référence'!$B$18)</f>
        <v>70</v>
      </c>
      <c r="DK143" s="12">
        <f>IF(A143&gt;30,10,('Scénario référence'!$B$16+'Scénario référence'!$B$17+'Scénario référence'!$B$18+'Scénario référence'!$B$9+'Scénario référence'!$B$10)*A143*10/30+('Scénario référence'!$F$8+'Scénario référence'!$F$9)*10)</f>
        <v>10</v>
      </c>
      <c r="DL143" s="12" t="e">
        <f>VLOOKUP(A143,'Données projet'!$A$165:$I$185,2,0)</f>
        <v>#N/A</v>
      </c>
      <c r="DM143" s="12" t="e">
        <f>VLOOKUP(A143,'Données projet'!$A$165:$I$185,9,0)</f>
        <v>#N/A</v>
      </c>
      <c r="DN143" s="12">
        <f t="array" ref="DN143">INDEX(DM:DM,MIN(IF(ISNUMBER(DM143:DM339),ROW(DM143:DM339),"")))</f>
        <v>0</v>
      </c>
      <c r="DO143" s="12">
        <f>IF('Données projet'!$A$166&gt;35,DO142+DN143-DW142,IF(A143&lt;'Données projet'!$A$166,$DL$205^A143,IF(A143='Données projet'!$A$166,'Données projet'!$B$166,DO142+DN143-DW142)))</f>
        <v>268.00000000000017</v>
      </c>
      <c r="DP143" s="17">
        <f>DO143*VLOOKUP('Données projet'!$B$14,Paramètres!$A$1:$I$89,3,0)*VLOOKUP('Données projet'!$B$14,Paramètres!$A$1:$I$89,5,0)</f>
        <v>175.59360000000012</v>
      </c>
      <c r="DQ143" s="13">
        <f t="shared" si="151"/>
        <v>44.340433728638573</v>
      </c>
      <c r="DR143" s="20">
        <f t="shared" si="124"/>
        <v>383.05177541071242</v>
      </c>
      <c r="DS143" s="59">
        <f t="shared" si="125"/>
        <v>676.38510874404574</v>
      </c>
      <c r="DT143" s="59">
        <f ca="1">AVERAGE(OFFSET($DS$3,0,0,'Données projet'!$E$14+1,1))-AVERAGE(OFFSET($H$3,0,0,'Données projet'!$E$14+1,1))</f>
        <v>188.68915783955595</v>
      </c>
      <c r="DU143" s="59">
        <f t="shared" si="152"/>
        <v>240.82467772396944</v>
      </c>
      <c r="DV143" s="15">
        <f>IF(ISNA(VLOOKUP(A143,'Données projet'!$A$165:$I$185,3,0)),0,VLOOKUP(A143,'Données projet'!$A$165:$I$185,3,0))</f>
        <v>0</v>
      </c>
      <c r="DW143" s="15">
        <f>IF(ISNA(VLOOKUP(A143,'Données projet'!$A$165:$I$185,4,0)),0,VLOOKUP(A143,'Données projet'!$A$165:$I$185,4,0))</f>
        <v>0</v>
      </c>
      <c r="DX143" s="16">
        <f>IF(ISNA(VLOOKUP(A143,'Données projet'!$A$165:$I$185,5,0)),0%,VLOOKUP(A143,'Données projet'!$A$165:$I$185,5,0)*VLOOKUP('Données projet'!$B$14,Paramètres!$A$1:$I$89,7,0))</f>
        <v>0</v>
      </c>
      <c r="DY143" s="16">
        <f>IF(ISNA(VLOOKUP(A143,'Données projet'!$A$165:$I$185,6,0)),0%,VLOOKUP(A143,'Données projet'!$A$165:$I$185,6,0)*VLOOKUP('Données projet'!$B$14,Paramètres!$A$1:$I$89,7,0))</f>
        <v>0</v>
      </c>
      <c r="DZ143" s="16">
        <f>IF(ISNA(VLOOKUP(A143,'Données projet'!$A$165:$I$185,7,0)),0%,VLOOKUP(A143,'Données projet'!$A$165:$I$185,7,0))</f>
        <v>0</v>
      </c>
      <c r="EA143" s="21">
        <f>EXP(-LN(2)/35)*EA142+(1-EXP(-LN(2)/35))/(LN(2)/35)*DW143*DX143*VLOOKUP('Données projet'!$B$14,Paramètres!$A$1:$I$89,3,0)*0.475*44/12</f>
        <v>0.17630522649594438</v>
      </c>
      <c r="EB143" s="21">
        <f>EXP(-LN(2)/25)*EB142+(1-EXP(-LN(2)/25))/(LN(2)/25)*Calculateur!DW143*Calculateur!DY143*VLOOKUP('Données projet'!$B$14,Paramètres!$A$1:$I$89,3,0)*0.475*44/12</f>
        <v>0.38073044016685825</v>
      </c>
      <c r="EC143" s="21">
        <f>EXP(-LN(2)/2)*EC142+(1-EXP(-LN(2)/2))/(LN(2)/2)*DW143*DZ143*VLOOKUP('Données projet'!$B$14,Paramètres!$A$1:$I$89,3,0)*0.475*44/12</f>
        <v>3.8847836020836321E-16</v>
      </c>
      <c r="ED143" s="22">
        <f t="shared" si="126"/>
        <v>0.55703566666280302</v>
      </c>
      <c r="EE143" s="75">
        <f>('Scénario référence'!$F$8+'Scénario référence'!$F$9+'Scénario référence'!$B$17+'Scénario référence'!$B$9+'Scénario référence'!$B$10)*70+IF((45+25*(1-EXP(-0.0175*A143)))&lt;70,'Scénario référence'!$B$16*(45+25*(1-EXP(-0.0175*A143))),70*'Scénario référence'!$B$16)+IF((32+38*(1-EXP(-0.0175*A143)))&lt;70,'Scénario référence'!$B$18*(32+38*(1-EXP(-0.0175*A143))),70*'Scénario référence'!$B$18)</f>
        <v>70</v>
      </c>
      <c r="EF143" s="12">
        <f>IF(A143&gt;30,10,('Scénario référence'!$B$16+'Scénario référence'!$B$17+'Scénario référence'!$B$18+'Scénario référence'!$B$9+'Scénario référence'!$B$10)*A143*10/30+('Scénario référence'!$F$8+'Scénario référence'!$F$9)*10)</f>
        <v>10</v>
      </c>
      <c r="EG143" s="12" t="e">
        <f>VLOOKUP(A143,'Données projet'!$A$191:$I$211,2,0)</f>
        <v>#N/A</v>
      </c>
      <c r="EH143" s="12" t="e">
        <f>VLOOKUP(A143,'Données projet'!$A$191:$I$211,9,0)</f>
        <v>#N/A</v>
      </c>
      <c r="EI143" s="12">
        <f t="array" ref="EI143">INDEX(EH:EH,MIN(IF(ISNUMBER(EH143:EH339),ROW(EH143:EH339),"")))</f>
        <v>0</v>
      </c>
      <c r="EJ143" s="12">
        <f>IF('Données projet'!$A$192&gt;35,EJ142+EI143-ER142,IF(A143&lt;'Données projet'!$A$192,$EG$205^A143,IF(A143='Données projet'!$A$192,'Données projet'!$B$192,EJ142+EI143-ER142)))</f>
        <v>275.99999999999972</v>
      </c>
      <c r="EK143" s="17">
        <f>EJ143*VLOOKUP('Données projet'!$B$15,Paramètres!$A$1:$I$89,3,0)*VLOOKUP('Données projet'!$B$15,Paramètres!$A$1:$I$89,5,0)</f>
        <v>223.8911999999998</v>
      </c>
      <c r="EL143" s="13">
        <f t="shared" si="153"/>
        <v>54.95975389514858</v>
      </c>
      <c r="EM143" s="20">
        <f t="shared" si="127"/>
        <v>485.66541136738346</v>
      </c>
      <c r="EN143" s="59">
        <f t="shared" si="128"/>
        <v>778.99874470071677</v>
      </c>
      <c r="EO143" s="59">
        <f ca="1">AVERAGE(OFFSET($EN$3,0,0,'Données projet'!$E$15+1,1))-AVERAGE(OFFSET($H$3,0,0,'Données projet'!$E$15+1,1))</f>
        <v>205.5272583787887</v>
      </c>
      <c r="EP143" s="59">
        <f t="shared" si="154"/>
        <v>180.54762778843178</v>
      </c>
      <c r="EQ143" s="15">
        <f>IF(ISNA(VLOOKUP(A143,'Données projet'!$A$191:$I$211,3,0)),0,VLOOKUP(A143,'Données projet'!$A$191:$I$211,3,0))</f>
        <v>0</v>
      </c>
      <c r="ER143" s="15">
        <f>IF(ISNA(VLOOKUP(A143,'Données projet'!$A$191:$I$211,4,0)),0,VLOOKUP(A143,'Données projet'!$A$191:$I$211,4,0))</f>
        <v>0</v>
      </c>
      <c r="ES143" s="16">
        <f>IF(ISNA(VLOOKUP(A143,'Données projet'!$A$191:$I$211,5,0)),0%,VLOOKUP(A143,'Données projet'!$A$191:$I$211,5,0)*VLOOKUP('Données projet'!$B$15,Paramètres!$A$1:$I$89,7,0))</f>
        <v>0</v>
      </c>
      <c r="ET143" s="16">
        <f>IF(ISNA(VLOOKUP(A143,'Données projet'!$A$191:$I$211,6,0)),0%,VLOOKUP(A143,'Données projet'!$A$191:$I$211,6,0)*VLOOKUP('Données projet'!$B$15,Paramètres!$A$1:$I$89,7,0))</f>
        <v>0</v>
      </c>
      <c r="EU143" s="16">
        <f>IF(ISNA(VLOOKUP(A143,'Données projet'!$A$191:$I$211,7,0)),0%,VLOOKUP(A143,'Données projet'!$A$191:$I$211,7,0))</f>
        <v>0</v>
      </c>
      <c r="EV143" s="21">
        <f>EXP(-LN(2)/35)*EV142+(1-EXP(-LN(2)/35))/(LN(2)/35)*ER143*ES143*VLOOKUP('Données projet'!$B$15,Paramètres!$A$1:$I$89,3,0)*0.475*44/12</f>
        <v>0.11350698391548425</v>
      </c>
      <c r="EW143" s="21">
        <f>EXP(-LN(2)/25)*EW142+(1-EXP(-LN(2)/25))/(LN(2)/25)*Calculateur!ER143*Calculateur!ET143*VLOOKUP('Données projet'!$B$15,Paramètres!$A$1:$I$89,3,0)*0.475*44/12</f>
        <v>0.2748989276257332</v>
      </c>
      <c r="EX143" s="21">
        <f>EXP(-LN(2)/2)*EX142+(1-EXP(-LN(2)/2))/(LN(2)/2)*ER143*EU143*VLOOKUP('Données projet'!$B$15,Paramètres!$A$1:$I$89,3,0)*0.475*44/12</f>
        <v>2.5154002548599515E-16</v>
      </c>
      <c r="EY143" s="22">
        <f t="shared" si="129"/>
        <v>0.38840591154121773</v>
      </c>
      <c r="EZ143" s="75">
        <f>('Scénario référence'!$F$8+'Scénario référence'!$F$9+'Scénario référence'!$B$17+'Scénario référence'!$B$9+'Scénario référence'!$B$10)*70+IF((45+25*(1-EXP(-0.0175*A143)))&lt;70,'Scénario référence'!$B$16*(45+25*(1-EXP(-0.0175*A143))),70*'Scénario référence'!$B$16)+IF((32+38*(1-EXP(-0.0175*A143)))&lt;70,'Scénario référence'!$B$18*(32+38*(1-EXP(-0.0175*A143))),70*'Scénario référence'!$B$18)</f>
        <v>70</v>
      </c>
      <c r="FA143" s="12">
        <f>IF(A143&gt;30,10,('Scénario référence'!$B$16+'Scénario référence'!$B$17+'Scénario référence'!$B$18+'Scénario référence'!$B$9+'Scénario référence'!$B$10)*A143*10/30+('Scénario référence'!$F$8+'Scénario référence'!$F$9)*10)</f>
        <v>10</v>
      </c>
      <c r="FB143" s="12">
        <f>VLOOKUP(A143,'Données projet'!$A$217:$I$237,2,0)</f>
        <v>458</v>
      </c>
      <c r="FC143" s="12">
        <f>VLOOKUP(A143,'Données projet'!$A$217:$I$237,9,0)</f>
        <v>5.5</v>
      </c>
      <c r="FD143" s="12">
        <f t="array" ref="FD143">INDEX(FC:FC,MIN(IF(ISNUMBER(FC143:FC339),ROW(FC143:FC339),"")))</f>
        <v>5.5</v>
      </c>
      <c r="FE143" s="12">
        <f>IF('Données projet'!$A$218&gt;35,FE142+FD143-FM142,IF(A143&lt;'Données projet'!$A$218,$FB$205^A143,IF(A143='Données projet'!$A$218,'Données projet'!$B$218,FE142+FD143-FM142)))</f>
        <v>457.99999999999994</v>
      </c>
      <c r="FF143" s="17">
        <f>FE143*VLOOKUP('Données projet'!$B$16,Paramètres!$A$1:$I$89,3,0)*VLOOKUP('Données projet'!$B$16,Paramètres!$A$1:$I$89,5,0)</f>
        <v>392.964</v>
      </c>
      <c r="FG143" s="13">
        <f t="shared" si="155"/>
        <v>90.348754248694036</v>
      </c>
      <c r="FH143" s="20">
        <f t="shared" si="130"/>
        <v>841.76971364980875</v>
      </c>
      <c r="FI143" s="59">
        <f t="shared" si="131"/>
        <v>1135.1030469831421</v>
      </c>
      <c r="FJ143" s="59">
        <f ca="1">AVERAGE(OFFSET($FI$3,0,0,'Données projet'!$E$16+1,1))-AVERAGE(OFFSET($H$3,0,0,'Données projet'!$E$16+1,1))</f>
        <v>383.97627237444709</v>
      </c>
      <c r="FK143" s="59">
        <f t="shared" si="156"/>
        <v>203.35476578922339</v>
      </c>
      <c r="FL143" s="15">
        <f>IF(ISNA(VLOOKUP(A143,'Données projet'!$A$217:$I$237,3,0)),0,VLOOKUP(A143,'Données projet'!$A$217:$I$237,3,0))</f>
        <v>13</v>
      </c>
      <c r="FM143" s="15">
        <f>IF(ISNA(VLOOKUP(A143,'Données projet'!$A$217:$I$237,4,0)),0,VLOOKUP(A143,'Données projet'!$A$217:$I$237,4,0))</f>
        <v>46</v>
      </c>
      <c r="FN143" s="16">
        <f>IF(ISNA(VLOOKUP(A143,'Données projet'!$A$217:$I$237,5,0)),0%,VLOOKUP(A143,'Données projet'!$A$217:$I$237,5,0)*VLOOKUP('Données projet'!$B$16,Paramètres!$A$1:$I$89,7,0))</f>
        <v>0</v>
      </c>
      <c r="FO143" s="16">
        <f>IF(ISNA(VLOOKUP(A143,'Données projet'!$A$217:$I$237,6,0)),0%,VLOOKUP(A143,'Données projet'!$A$217:$I$237,6,0)*VLOOKUP('Données projet'!$B$16,Paramètres!$A$1:$I$89,7,0))</f>
        <v>0</v>
      </c>
      <c r="FP143" s="16">
        <f>IF(ISNA(VLOOKUP(A143,'Données projet'!$A$217:$I$237,7,0)),0%,VLOOKUP(A143,'Données projet'!$A$217:$I$237,7,0))</f>
        <v>0</v>
      </c>
      <c r="FQ143" s="21">
        <f>EXP(-LN(2)/35)*FQ142+(1-EXP(-LN(2)/35))/(LN(2)/35)*FM143*FN143*VLOOKUP('Données projet'!$B$16,Paramètres!$A$1:$I$89,3,0)*0.475*44/12</f>
        <v>0.58336431740484107</v>
      </c>
      <c r="FR143" s="21">
        <f>EXP(-LN(2)/25)*FR142+(1-EXP(-LN(2)/25))/(LN(2)/25)*Calculateur!FM143*Calculateur!FO143*VLOOKUP('Données projet'!$B$16,Paramètres!$A$1:$I$89,3,0)*0.475*44/12</f>
        <v>0.27905082504462603</v>
      </c>
      <c r="FS143" s="21">
        <f>EXP(-LN(2)/2)*FS142+(1-EXP(-LN(2)/2))/(LN(2)/2)*FM143*FP143*VLOOKUP('Données projet'!$B$16,Paramètres!$A$1:$I$89,3,0)*0.475*44/12</f>
        <v>4.620274033303976E-16</v>
      </c>
      <c r="FT143" s="22">
        <f t="shared" si="132"/>
        <v>0.86241514244946749</v>
      </c>
      <c r="FU143" s="75">
        <f>('Scénario référence'!$F$8+'Scénario référence'!$F$9+'Scénario référence'!$B$17+'Scénario référence'!$B$9+'Scénario référence'!$B$10)*70+IF((45+25*(1-EXP(-0.0175*A143)))&lt;70,'Scénario référence'!$B$16*(45+25*(1-EXP(-0.0175*A143))),70*'Scénario référence'!$B$16)+IF((32+38*(1-EXP(-0.0175*A143)))&lt;70,'Scénario référence'!$B$18*(32+38*(1-EXP(-0.0175*A143))),70*'Scénario référence'!$B$18)</f>
        <v>70</v>
      </c>
      <c r="FV143" s="12">
        <f>IF(A143&gt;30,10,('Scénario référence'!$B$16+'Scénario référence'!$B$17+'Scénario référence'!$B$18+'Scénario référence'!$B$9+'Scénario référence'!$B$10)*A143*10/30+('Scénario référence'!$F$8+'Scénario référence'!$F$9)*10)</f>
        <v>10</v>
      </c>
      <c r="FW143" s="12" t="e">
        <f>VLOOKUP(A143,'Données projet'!$A$243:$I$263,2,0)</f>
        <v>#N/A</v>
      </c>
      <c r="FX143" s="12" t="e">
        <f>VLOOKUP(A143,'Données projet'!$A$243:$I$263,9,0)</f>
        <v>#N/A</v>
      </c>
      <c r="FY143" s="12">
        <f t="array" ref="FY143">INDEX(FX:FX,MIN(IF(ISNUMBER(FX143:FX339),ROW(FX143:FX339),"")))</f>
        <v>0</v>
      </c>
      <c r="FZ143" s="12">
        <f>IF('Données projet'!$A$244&gt;35,FZ142+FY143-GH142,IF(A143&lt;'Données projet'!$A$244,$FW$205^A143,IF(A143='Données projet'!$A$244,'Données projet'!$B$244,FZ142+FY143-GH142)))</f>
        <v>4.5474735088646412E-13</v>
      </c>
      <c r="GA143" s="17">
        <f>FZ143*VLOOKUP('Données projet'!$B$17,Paramètres!$A$1:$I$89,3,0)*VLOOKUP('Données projet'!$B$17,Paramètres!$A$1:$I$89,5,0)</f>
        <v>4.8949004849418999E-13</v>
      </c>
      <c r="GB143" s="13">
        <f t="shared" si="157"/>
        <v>6.1123715499968684E-12</v>
      </c>
      <c r="GC143" s="20">
        <f t="shared" si="133"/>
        <v>1.1498242284038591E-11</v>
      </c>
      <c r="GD143" s="59">
        <f t="shared" si="134"/>
        <v>293.3333333333448</v>
      </c>
      <c r="GE143" s="59">
        <f ca="1">AVERAGE(OFFSET($GD$3,0,0,'Données projet'!$E$17+1,1))-AVERAGE(OFFSET($H$3,0,0,'Données projet'!$E$17+1,1))</f>
        <v>286.77702855541287</v>
      </c>
      <c r="GF143" s="59">
        <f t="shared" si="158"/>
        <v>227.12211541860779</v>
      </c>
      <c r="GG143" s="15">
        <f>IF(ISNA(VLOOKUP(A143,'Données projet'!$A$243:$I$263,3,0)),0,VLOOKUP(A143,'Données projet'!$A$243:$I$263,3,0))</f>
        <v>0</v>
      </c>
      <c r="GH143" s="15">
        <f>IF(ISNA(VLOOKUP(A143,'Données projet'!$A$243:$I$263,4,0)),0,VLOOKUP(A143,'Données projet'!$A$243:$I$263,4,0))</f>
        <v>0</v>
      </c>
      <c r="GI143" s="16">
        <f>IF(ISNA(VLOOKUP(A143,'Données projet'!$A$243:$I$263,5,0)),0%,VLOOKUP(A143,'Données projet'!$A$243:$I$263,5,0)*VLOOKUP('Données projet'!$B$17,Paramètres!$A$1:$I$89,7,0))</f>
        <v>0</v>
      </c>
      <c r="GJ143" s="16">
        <f>IF(ISNA(VLOOKUP(A143,'Données projet'!$A$243:$I$263,6,0)),0%,VLOOKUP(A143,'Données projet'!$A$243:$I$263,6,0)*VLOOKUP('Données projet'!$B$17,Paramètres!$A$1:$I$89,7,0))</f>
        <v>0</v>
      </c>
      <c r="GK143" s="16">
        <f>IF(ISNA(VLOOKUP(A143,'Données projet'!$A$243:$I$263,7,0)),0%,VLOOKUP(A143,'Données projet'!$A$243:$I$263,7,0))</f>
        <v>0</v>
      </c>
      <c r="GL143" s="21">
        <f>EXP(-LN(2)/35)*GL142+(1-EXP(-LN(2)/35))/(LN(2)/35)*GH143*GI143*VLOOKUP('Données projet'!$B$17,Paramètres!$A$1:$I$89,3,0)*0.475*44/12</f>
        <v>0</v>
      </c>
      <c r="GM143" s="21">
        <f>EXP(-LN(2)/25)*GM142+(1-EXP(-LN(2)/25))/(LN(2)/25)*Calculateur!GH143*Calculateur!GJ143*VLOOKUP('Données projet'!$B$17,Paramètres!$A$1:$I$89,3,0)*0.475*44/12</f>
        <v>0</v>
      </c>
      <c r="GN143" s="21">
        <f>EXP(-LN(2)/2)*GN142+(1-EXP(-LN(2)/2))/(LN(2)/2)*GH143*GK143*VLOOKUP('Données projet'!$B$17,Paramètres!$A$1:$I$89,3,0)*0.475*44/12</f>
        <v>0</v>
      </c>
      <c r="GO143" s="21">
        <f t="shared" si="135"/>
        <v>0</v>
      </c>
      <c r="GP143" s="75">
        <f>('Scénario référence'!$F$8+'Scénario référence'!$F$9+'Scénario référence'!$B$17+'Scénario référence'!$B$9+'Scénario référence'!$B$10)*70+IF((45+25*(1-EXP(-0.0175*A143)))&lt;70,'Scénario référence'!$B$16*(45+25*(1-EXP(-0.0175*A143))),70*'Scénario référence'!$B$16)+IF((32+38*(1-EXP(-0.0175*A143)))&lt;70,'Scénario référence'!$B$18*(32+38*(1-EXP(-0.0175*A143))),70*'Scénario référence'!$B$18)</f>
        <v>70</v>
      </c>
      <c r="GQ143" s="12">
        <f>IF(A143&gt;30,10,('Scénario référence'!$B$16+'Scénario référence'!$B$17+'Scénario référence'!$B$18+'Scénario référence'!$B$9+'Scénario référence'!$B$10)*A143*10/30+('Scénario référence'!$F$8+'Scénario référence'!$F$9)*10)</f>
        <v>10</v>
      </c>
      <c r="GR143" s="12" t="e">
        <f>VLOOKUP(A143,'Données projet'!$A$269:$I$289,2,0)</f>
        <v>#N/A</v>
      </c>
      <c r="GS143" s="12" t="e">
        <f>VLOOKUP(A143,'Données projet'!$A$269:$I$289,9,0)</f>
        <v>#N/A</v>
      </c>
      <c r="GT143" s="12">
        <f t="array" ref="GT143">INDEX(GS:GS,MIN(IF(ISNUMBER(GS143:GS339),ROW(GS143:GS339),"")))</f>
        <v>0</v>
      </c>
      <c r="GU143" s="12">
        <f>IF('Données projet'!$A$270&gt;35,GU142+GT143-HC142,IF(A143&lt;'Données projet'!$A$270,$GR$205^A143,IF(A143='Données projet'!$A$270,'Données projet'!$B$270,GU142+GT143-HC142)))</f>
        <v>4.5474735088646412E-13</v>
      </c>
      <c r="GV143" s="17">
        <f>GU143*VLOOKUP('Données projet'!$B$18,Paramètres!$A$1:$I$89,3,0)*VLOOKUP('Données projet'!$B$18,Paramètres!$A$1:$I$89,5,0)</f>
        <v>4.8949004849418999E-13</v>
      </c>
      <c r="GW143" s="13">
        <f t="shared" si="159"/>
        <v>6.1123715499968684E-12</v>
      </c>
      <c r="GX143" s="20">
        <f t="shared" si="136"/>
        <v>1.1498242284038591E-11</v>
      </c>
      <c r="GY143" s="59">
        <f t="shared" si="137"/>
        <v>293.3333333333448</v>
      </c>
      <c r="GZ143" s="59">
        <f ca="1">AVERAGE(OFFSET($GY$3,0,0,'Données projet'!$E$18+1,1))-AVERAGE(OFFSET($H$3,0,0,'Données projet'!$E$18+1,1))</f>
        <v>286.77702855541287</v>
      </c>
      <c r="HA143" s="59">
        <f t="shared" si="160"/>
        <v>227.12211541860779</v>
      </c>
      <c r="HB143" s="15">
        <f>IF(ISNA(VLOOKUP(A143,'Données projet'!$A$269:$I$289,3,0)),0,VLOOKUP(A143,'Données projet'!$A$269:$I$289,3,0))</f>
        <v>0</v>
      </c>
      <c r="HC143" s="15">
        <f>IF(ISNA(VLOOKUP(A143,'Données projet'!$A$269:$I$289,4,0)),0,VLOOKUP(A143,'Données projet'!$A$269:$I$289,4,0))</f>
        <v>0</v>
      </c>
      <c r="HD143" s="16">
        <f>IF(ISNA(VLOOKUP(A143,'Données projet'!$A$269:$I$289,5,0)),0%,VLOOKUP(A143,'Données projet'!$A$269:$I$289,5,0)*VLOOKUP('Données projet'!$B$18,Paramètres!$A$1:$I$89,7,0))</f>
        <v>0</v>
      </c>
      <c r="HE143" s="16">
        <f>IF(ISNA(VLOOKUP(A143,'Données projet'!$A$269:$I$289,6,0)),0%,VLOOKUP(A143,'Données projet'!$A$269:$I$289,6,0)*VLOOKUP('Données projet'!$B$18,Paramètres!$A$1:$I$89,7,0))</f>
        <v>0</v>
      </c>
      <c r="HF143" s="16">
        <f>IF(ISNA(VLOOKUP(A143,'Données projet'!$A$269:$I$289,7,0)),0%,VLOOKUP(A143,'Données projet'!$A$269:$I$289,7,0))</f>
        <v>0</v>
      </c>
      <c r="HG143" s="21">
        <f>EXP(-LN(2)/35)*HG142+(1-EXP(-LN(2)/35))/(LN(2)/35)*HC143*HD143*VLOOKUP('Données projet'!$B$18,Paramètres!$A$1:$I$89,3,0)*0.475*44/12</f>
        <v>0</v>
      </c>
      <c r="HH143" s="21">
        <f>EXP(-LN(2)/25)*HH142+(1-EXP(-LN(2)/25))/(LN(2)/25)*Calculateur!HC143*Calculateur!HE143*VLOOKUP('Données projet'!$B$18,Paramètres!$A$1:$I$89,3,0)*0.475*44/12</f>
        <v>0</v>
      </c>
      <c r="HI143" s="21">
        <f>EXP(-LN(2)/2)*HI142+(1-EXP(-LN(2)/2))/(LN(2)/2)*HC143*HF143*VLOOKUP('Données projet'!$B$18,Paramètres!$A$1:$I$89,3,0)*0.475*44/12</f>
        <v>0</v>
      </c>
      <c r="HJ143" s="22">
        <f t="shared" si="138"/>
        <v>0</v>
      </c>
    </row>
    <row r="144" spans="1:218" x14ac:dyDescent="0.25">
      <c r="A144" s="10">
        <f t="shared" si="139"/>
        <v>141</v>
      </c>
      <c r="B144" s="73">
        <f>'Scénario référence'!$B$16*5+'Scénario référence'!$B$17*0+'Scénario référence'!$B$18*5</f>
        <v>0</v>
      </c>
      <c r="C144" s="19">
        <f>Calculateur!C143+'Scénario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125.37720000000024</v>
      </c>
      <c r="D144" s="11">
        <f t="shared" si="140"/>
        <v>32.925925439106905</v>
      </c>
      <c r="E14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44" s="11">
        <f>IF(OR('Scénario référence'!$F$8&gt;0,'Scénario référence'!$F$9&gt;0),('Scénario référence'!$F$8+'Scénario référence'!$F$9)*10,0)</f>
        <v>10</v>
      </c>
      <c r="G144" s="11">
        <f>'Scénario référence'!$B$8*B144*44/12+'Scénario référence'!$B$9*(C144+D144)/0.475*44/12+'Scénario référence'!$B$10*(C144+D144)/0.475*44/12+'Scénario référence'!$F$8*(C144+D144)/0.475*44/12+'Scénario référence'!$F$9*(C144+D144)/0.475*44/12</f>
        <v>1221.9890384773182</v>
      </c>
      <c r="H144" s="67">
        <f t="shared" si="110"/>
        <v>569.04461013977823</v>
      </c>
      <c r="I144" s="70">
        <f>('Scénario référence'!$F$8+'Scénario référence'!$F$9+'Scénario référence'!$B$17+'Scénario référence'!$B$9+'Scénario référence'!$B$10)*70+IF((45+25*(1-EXP(-0.0175*A144)))&lt;70,'Scénario référence'!$B$16*(45+25*(1-EXP(-0.0175*A144))),70*'Scénario référence'!$B$16)+IF((32+38*(1-EXP(-0.0175*A144)))&lt;70,'Scénario référence'!$B$18*(32+38*(1-EXP(-0.0175*A144))),70*'Scénario référence'!$B$18)</f>
        <v>70</v>
      </c>
      <c r="J144" s="13">
        <f>IF(A144&gt;30,10,('Scénario référence'!$B$16+'Scénario référence'!$B$17+'Scénario référence'!$B$18+'Scénario référence'!$B$9+'Scénario référence'!$B$10)*A144*10/30+('Scénario référence'!$F$8+'Scénario référence'!$F$9)*10)</f>
        <v>10</v>
      </c>
      <c r="K144" s="12" t="e">
        <f>VLOOKUP(A144,'Données projet'!$A$35:$I$55,2,0)</f>
        <v>#N/A</v>
      </c>
      <c r="L144" s="12" t="e">
        <f>VLOOKUP(A144,'Données projet'!$A$35:$I$55,9,0)</f>
        <v>#N/A</v>
      </c>
      <c r="M144" s="12">
        <f t="array" ref="M144">INDEX(L:L,MIN(IF(ISNUMBER(L144:L340),ROW(L144:L340),"")))</f>
        <v>0</v>
      </c>
      <c r="N144" s="13">
        <f>IF('Données projet'!$A$36&gt;35,N143+M144-V143,IF(A144&lt;'Données projet'!$A$36,$K$205^A144,IF(A144='Données projet'!$A$36,'Données projet'!$B$36,N143+M144-V143)))</f>
        <v>-2.2737367544323206E-13</v>
      </c>
      <c r="O144" s="13">
        <f>N144*VLOOKUP('Données projet'!$B$9,Paramètres!$A$1:$I$89,3,0)*VLOOKUP('Données projet'!$B$9,Paramètres!$A$1:$I$89,5,0)</f>
        <v>-1.2710188457276673E-13</v>
      </c>
      <c r="P144" s="13" t="e">
        <f t="shared" si="141"/>
        <v>#NUM!</v>
      </c>
      <c r="Q144" s="20" t="e">
        <f t="shared" si="108"/>
        <v>#NUM!</v>
      </c>
      <c r="R144" s="59" t="e">
        <f t="shared" si="109"/>
        <v>#NUM!</v>
      </c>
      <c r="S144" s="59">
        <f ca="1">AVERAGE(OFFSET($R$3,0,0,'Données projet'!$E$9+1,1))-AVERAGE(OFFSET($H$3,0,0,'Données projet'!$E$9+1,1))</f>
        <v>255.5374979188561</v>
      </c>
      <c r="T144" s="59">
        <f t="shared" si="142"/>
        <v>343.10418468620901</v>
      </c>
      <c r="U144" s="15">
        <f>IF(ISNA(VLOOKUP(A144,'Données projet'!$A$35:$I$55,3,0)),0,VLOOKUP(A144,'Données projet'!$A$35:$I$55,3,0))</f>
        <v>0</v>
      </c>
      <c r="V144" s="15">
        <f>IF(ISNA(VLOOKUP(A144,'Données projet'!$A$35:$I$55,4,0)),0,VLOOKUP(A144,'Données projet'!$A$35:$I$55,4,0))</f>
        <v>0</v>
      </c>
      <c r="W144" s="16">
        <f>IF(ISNA(VLOOKUP(A144,'Données projet'!$A$35:$I$55,5,0)),0%,VLOOKUP(A144,'Données projet'!$A$35:$I$55,5,0)*VLOOKUP('Données projet'!$B$9,Paramètres!$A$1:$I$89,7,0))</f>
        <v>0</v>
      </c>
      <c r="X144" s="16">
        <f>IF(ISNA(VLOOKUP(A144,'Données projet'!$A$35:$I$55,6,0)),0%,VLOOKUP(A144,'Données projet'!$A$35:$I$55,6,0)*VLOOKUP('Données projet'!$B$9,Paramètres!$A$1:$I$89,7,0))</f>
        <v>0</v>
      </c>
      <c r="Y144" s="16">
        <f>IF(ISNA(VLOOKUP(A144,'Données projet'!$A$35:$I$55,7,0)),0%,VLOOKUP(A144,'Données projet'!$A$35:$I$55,7,0))</f>
        <v>0</v>
      </c>
      <c r="Z144" s="21">
        <f>EXP(-LN(2)/35)*Z143+(1-EXP(-LN(2)/35))/(LN(2)/35)*V144*W144*VLOOKUP('Données projet'!$B$9,Paramètres!$A$1:$I$89,3,0)*0.475*44/12</f>
        <v>0.34298023312121745</v>
      </c>
      <c r="AA144" s="21">
        <f>EXP(-LN(2)/25)*AA143+(1-EXP(-LN(2)/25))/(LN(2)/25)*Calculateur!V144*Calculateur!X144*VLOOKUP('Données projet'!$B$9,Paramètres!$A$1:$I$89,3,0)*0.475*44/12</f>
        <v>0.73530371049198173</v>
      </c>
      <c r="AB144" s="21">
        <f>EXP(-LN(2)/2)*AB143+(1-EXP(-LN(2)/2))/(LN(2)/2)*V144*Y144*VLOOKUP('Données projet'!$B$9,Paramètres!$A$1:$I$89,3,0)*0.475*44/12</f>
        <v>3.3220253314077988E-17</v>
      </c>
      <c r="AC144" s="22">
        <f t="shared" si="111"/>
        <v>1.0782839436131992</v>
      </c>
      <c r="AD144" s="13">
        <f>('Scénario référence'!$F$8+'Scénario référence'!$F$9+'Scénario référence'!$B$17+'Scénario référence'!$B$9+'Scénario référence'!$B$10)*70+IF((45+25*(1-EXP(-0.0175*A144)))&lt;70,'Scénario référence'!$B$16*(45+25*(1-EXP(-0.0175*A144))),70*'Scénario référence'!$B$16)+IF((32+38*(1-EXP(-0.0175*A144)))&lt;70,'Scénario référence'!$B$18*(32+38*(1-EXP(-0.0175*A144))),70*'Scénario référence'!$B$18)</f>
        <v>70</v>
      </c>
      <c r="AE144" s="13">
        <f>IF(A144&gt;30,10,('Scénario référence'!$B$16+'Scénario référence'!$B$17+'Scénario référence'!$B$18+'Scénario référence'!$B$9+'Scénario référence'!$B$10)*A144*10/30+('Scénario référence'!$F$8+'Scénario référence'!$F$9)*10)</f>
        <v>10</v>
      </c>
      <c r="AF144" s="12" t="e">
        <f>VLOOKUP(A144,'Données projet'!$A$61:$I$81,2,0)</f>
        <v>#N/A</v>
      </c>
      <c r="AG144" s="12" t="e">
        <f>VLOOKUP(A144,'Données projet'!$A$61:$I$81,9,0)</f>
        <v>#N/A</v>
      </c>
      <c r="AH144" s="12">
        <f t="array" ref="AH144">INDEX(AG:AG,MIN(IF(ISNUMBER(AG144:AG340),ROW(AG144:AG340),"")))</f>
        <v>0</v>
      </c>
      <c r="AI144" s="13">
        <f>IF('Données projet'!$A$62&gt;35,AI143+AH144-AQ143,IF(A144&lt;'Données projet'!$A$62,$AF$205^A144,IF(A144='Données projet'!$A$62,'Données projet'!$B$62,AI143+AH144-AQ143)))</f>
        <v>0</v>
      </c>
      <c r="AJ144" s="13">
        <f>AI144*VLOOKUP('Données projet'!$B$10,Paramètres!$A$1:$I$89,3,0)*VLOOKUP('Données projet'!$B$10,Paramètres!$A$1:$I$89,5,0)</f>
        <v>0</v>
      </c>
      <c r="AK144" s="13" t="e">
        <f t="shared" si="143"/>
        <v>#NUM!</v>
      </c>
      <c r="AL144" s="20" t="e">
        <f t="shared" si="112"/>
        <v>#NUM!</v>
      </c>
      <c r="AM144" s="59" t="e">
        <f t="shared" si="113"/>
        <v>#NUM!</v>
      </c>
      <c r="AN144" s="59">
        <f ca="1">AVERAGE(OFFSET($AM$3,0,0,'Données projet'!$E$10+1,1))-AVERAGE(OFFSET($H$3,0,0,'Données projet'!$E$10+1,1))</f>
        <v>261.78489480911571</v>
      </c>
      <c r="AO144" s="59">
        <f t="shared" si="144"/>
        <v>297.50513563712764</v>
      </c>
      <c r="AP144" s="15">
        <f>IF(ISNA(VLOOKUP(A144,'Données projet'!$A$61:$I$81,3,0)),0,VLOOKUP(A144,'Données projet'!$A$61:$I$81,3,0))</f>
        <v>0</v>
      </c>
      <c r="AQ144" s="15">
        <f>IF(ISNA(VLOOKUP(A144,'Données projet'!$A$61:$I$81,4,0)),0,VLOOKUP(A144,'Données projet'!$A$61:$I$81,4,0))</f>
        <v>0</v>
      </c>
      <c r="AR144" s="16">
        <f>IF(ISNA(VLOOKUP(A144,'Données projet'!$A$61:$I$81,5,0)),0%,VLOOKUP(A144,'Données projet'!$A$61:$I$81,5,0)*VLOOKUP('Données projet'!$B$10,Paramètres!$A$1:$I$89,7,0))</f>
        <v>0</v>
      </c>
      <c r="AS144" s="16">
        <f>IF(ISNA(VLOOKUP(A144,'Données projet'!$A$61:$I$81,6,0)),0%,VLOOKUP(A144,'Données projet'!$A$61:$I$81,6,0)*VLOOKUP('Données projet'!$B$10,Paramètres!$A$1:$I$89,7,0))</f>
        <v>0</v>
      </c>
      <c r="AT144" s="16">
        <f>IF(ISNA(VLOOKUP(A144,'Données projet'!$A$61:$I$81,7,0)),0%,VLOOKUP(A144,'Données projet'!$A$61:$I$81,7,0))</f>
        <v>0</v>
      </c>
      <c r="AU144" s="21">
        <f>EXP(-LN(2)/35)*AU143+(1-EXP(-LN(2)/35))/(LN(2)/35)*AQ144*AR144*VLOOKUP('Données projet'!$B$10,Paramètres!$A$1:$I$89,3,0)*0.475*44/12</f>
        <v>0.92614364092092172</v>
      </c>
      <c r="AV144" s="21">
        <f>EXP(-LN(2)/25)*AV143+(1-EXP(-LN(2)/25))/(LN(2)/25)*Calculateur!AQ144*Calculateur!AS144*VLOOKUP('Données projet'!$B$10,Paramètres!$A$1:$I$89,3,0)*0.475*44/12</f>
        <v>1.2839902517069064</v>
      </c>
      <c r="AW144" s="21">
        <f>EXP(-LN(2)/2)*AW143+(1-EXP(-LN(2)/2))/(LN(2)/2)*AQ144*AT144*VLOOKUP('Données projet'!$B$10,Paramètres!$A$1:$I$89,3,0)*0.475*44/12</f>
        <v>4.7890157733708392E-16</v>
      </c>
      <c r="AX144" s="21">
        <f t="shared" si="114"/>
        <v>2.2101338926278284</v>
      </c>
      <c r="AY144" s="74">
        <f>('Scénario référence'!$F$8+'Scénario référence'!$F$9+'Scénario référence'!$B$17+'Scénario référence'!$B$9+'Scénario référence'!$B$10)*70+IF((45+25*(1-EXP(-0.0175*A144)))&lt;70,'Scénario référence'!$B$16*(45+25*(1-EXP(-0.0175*A144))),70*'Scénario référence'!$B$16)+IF((32+38*(1-EXP(-0.0175*A144)))&lt;70,'Scénario référence'!$B$18*(32+38*(1-EXP(-0.0175*A144))),70*'Scénario référence'!$B$18)</f>
        <v>70</v>
      </c>
      <c r="AZ144" s="12">
        <f>IF(A144&gt;30,10,('Scénario référence'!$B$16+'Scénario référence'!$B$17+'Scénario référence'!$B$18+'Scénario référence'!$B$9+'Scénario référence'!$B$10)*A144*10/30+('Scénario référence'!$F$8+'Scénario référence'!$F$9)*10)</f>
        <v>10</v>
      </c>
      <c r="BA144" s="12" t="e">
        <f>VLOOKUP(A144,'Données projet'!$A$87:$I$107,2,0)</f>
        <v>#N/A</v>
      </c>
      <c r="BB144" s="12" t="e">
        <f>VLOOKUP(A144,'Données projet'!$A$87:$I$107,9,0)</f>
        <v>#N/A</v>
      </c>
      <c r="BC144" s="12">
        <f t="array" ref="BC144">INDEX(BB:BB,MIN(IF(ISNUMBER(BB144:BB340),ROW(BB144:BB340),"")))</f>
        <v>0</v>
      </c>
      <c r="BD144" s="12">
        <f>IF('Données projet'!$A$88&gt;35,BD143+BC144-BL143,IF(A144&lt;'Données projet'!$A$88,$BA$205^A144,IF(A144='Données projet'!$A$88,'Données projet'!$B$88,BD143+BC144-BL143)))</f>
        <v>553.99999999999955</v>
      </c>
      <c r="BE144" s="13">
        <f>BD144*VLOOKUP('Données projet'!$B$11,Paramètres!$A$1:$I$89,3,0)*VLOOKUP('Données projet'!$B$11,Paramètres!$A$1:$I$89,5,0)</f>
        <v>331.29199999999975</v>
      </c>
      <c r="BF144" s="13">
        <f t="shared" si="145"/>
        <v>77.698110787752</v>
      </c>
      <c r="BG144" s="20">
        <f t="shared" si="115"/>
        <v>712.32444295533423</v>
      </c>
      <c r="BH144" s="59">
        <f t="shared" si="116"/>
        <v>1005.6577762886675</v>
      </c>
      <c r="BI144" s="59">
        <f ca="1">AVERAGE(OFFSET($BH$3,0,0,'Données projet'!$E$11+1,1))-AVERAGE(OFFSET($H$3,0,0,'Données projet'!$E$11+1,1))</f>
        <v>316.58509520829671</v>
      </c>
      <c r="BJ144" s="59">
        <f t="shared" si="146"/>
        <v>240.71332110643596</v>
      </c>
      <c r="BK144" s="15">
        <f>IF(ISNA(VLOOKUP(A144,'Données projet'!$A$87:$I$107,3,0)),0,VLOOKUP(A144,'Données projet'!$A$87:$I$107,3,0))</f>
        <v>0</v>
      </c>
      <c r="BL144" s="15">
        <f>IF(ISNA(VLOOKUP(A144,'Données projet'!$A$87:$I$107,4,0)),0,VLOOKUP(A144,'Données projet'!$A$87:$I$107,4,0))</f>
        <v>0</v>
      </c>
      <c r="BM144" s="16">
        <f>IF(ISNA(VLOOKUP(A144,'Données projet'!$A$87:$I$107,5,0)),0%,VLOOKUP(A144,'Données projet'!$A$87:$I$107,5,0)*VLOOKUP('Données projet'!$B$11,Paramètres!$A$1:$I$89,7,0))</f>
        <v>0</v>
      </c>
      <c r="BN144" s="16">
        <f>IF(ISNA(VLOOKUP(A144,'Données projet'!$A$87:$I$107,6,0)),0%,VLOOKUP(A144,'Données projet'!$A$87:$I$107,6,0)*VLOOKUP('Données projet'!$B$11,Paramètres!$A$1:$I$89,7,0))</f>
        <v>0</v>
      </c>
      <c r="BO144" s="16">
        <f>IF(ISNA(VLOOKUP(A144,'Données projet'!$A$87:$I$107,7,0)),0%,VLOOKUP(A144,'Données projet'!$A$87:$I$107,7,0))</f>
        <v>0</v>
      </c>
      <c r="BP144" s="21">
        <f>EXP(-LN(2)/35)*BP143+(1-EXP(-LN(2)/35))/(LN(2)/35)*BL144*BM144*VLOOKUP('Données projet'!$B$11,Paramètres!$A$1:$I$89,3,0)*0.475*44/12</f>
        <v>0.28132302187943942</v>
      </c>
      <c r="BQ144" s="21">
        <f>EXP(-LN(2)/25)*BQ143+(1-EXP(-LN(2)/25))/(LN(2)/25)*Calculateur!BL144*Calculateur!BN144*VLOOKUP('Données projet'!$B$11,Paramètres!$A$1:$I$89,3,0)*0.475*44/12</f>
        <v>0.70340732425094643</v>
      </c>
      <c r="BR144" s="21">
        <f>EXP(-LN(2)/2)*BR143+(1-EXP(-LN(2)/2))/(LN(2)/2)*BL144*BO144*VLOOKUP('Données projet'!$B$11,Paramètres!$A$1:$I$89,3,0)*0.475*44/12</f>
        <v>4.3058496378630523E-16</v>
      </c>
      <c r="BS144" s="22">
        <f t="shared" si="117"/>
        <v>0.98473034613038624</v>
      </c>
      <c r="BT144" s="75">
        <f>('Scénario référence'!$F$8+'Scénario référence'!$F$9+'Scénario référence'!$B$17+'Scénario référence'!$B$9+'Scénario référence'!$B$10)*70+IF((45+25*(1-EXP(-0.0175*A144)))&lt;70,'Scénario référence'!$B$16*(45+25*(1-EXP(-0.0175*A144))),70*'Scénario référence'!$B$16)+IF((32+38*(1-EXP(-0.0175*A144)))&lt;70,'Scénario référence'!$B$18*(32+38*(1-EXP(-0.0175*A144))),70*'Scénario référence'!$B$18)</f>
        <v>70</v>
      </c>
      <c r="BU144" s="12">
        <f>IF(A144&gt;30,10,('Scénario référence'!$B$16+'Scénario référence'!$B$17+'Scénario référence'!$B$18+'Scénario référence'!$B$9+'Scénario référence'!$B$10)*A144*10/30+('Scénario référence'!$F$8+'Scénario référence'!$F$9)*10)</f>
        <v>10</v>
      </c>
      <c r="BV144" s="12" t="e">
        <f>VLOOKUP(A144,'Données projet'!$A$113:$I$133,2,0)</f>
        <v>#N/A</v>
      </c>
      <c r="BW144" s="12" t="e">
        <f>VLOOKUP(A144,'Données projet'!$A$113:$I$133,9,0)</f>
        <v>#N/A</v>
      </c>
      <c r="BX144" s="12">
        <f t="array" ref="BX144">INDEX(BW:BW,MIN(IF(ISNUMBER(BW144:BW340),ROW(BW144:BW340),"")))</f>
        <v>0</v>
      </c>
      <c r="BY144" s="12">
        <f>IF('Données projet'!$A$114&gt;35,BY143+BX144-CG143,IF(A144&lt;'Données projet'!$A$114,$BV$205^A144,IF(A144='Données projet'!$A$114,'Données projet'!$B$114,BY143+BX144-CG143)))</f>
        <v>333.99999999999977</v>
      </c>
      <c r="BZ144" s="13">
        <f>BY144*VLOOKUP('Données projet'!$B$12,Paramètres!$A$1:$I$89,3,0)*VLOOKUP('Données projet'!$B$12,Paramètres!$A$1:$I$89,5,0)</f>
        <v>191.04799999999986</v>
      </c>
      <c r="CA144" s="13">
        <f t="shared" si="147"/>
        <v>47.771576544305155</v>
      </c>
      <c r="CB144" s="20">
        <f t="shared" si="118"/>
        <v>415.94409581466454</v>
      </c>
      <c r="CC144" s="59">
        <f t="shared" si="119"/>
        <v>709.27742914799785</v>
      </c>
      <c r="CD144" s="59">
        <f ca="1">AVERAGE(OFFSET($CC$3,0,0,'Données projet'!$E$12+1,1))-AVERAGE(OFFSET($H$3,0,0,'Données projet'!$E$12+1,1))</f>
        <v>188.64374818906128</v>
      </c>
      <c r="CE144" s="59">
        <f t="shared" si="148"/>
        <v>211.95157880548652</v>
      </c>
      <c r="CF144" s="15">
        <f>IF(ISNA(VLOOKUP(A144,'Données projet'!$A$113:$I$133,3,0)),0,VLOOKUP(A144,'Données projet'!$A$113:$I$133,3,0))</f>
        <v>0</v>
      </c>
      <c r="CG144" s="15">
        <f>IF(ISNA(VLOOKUP(A144,'Données projet'!$A$113:$I$133,4,0)),0,VLOOKUP(A144,'Données projet'!$A$113:$I$133,4,0))</f>
        <v>0</v>
      </c>
      <c r="CH144" s="16">
        <f>IF(ISNA(VLOOKUP(A144,'Données projet'!$A$113:$I$133,5,0)),0%,VLOOKUP(A144,'Données projet'!$A$113:$I$133,5,0)*VLOOKUP('Données projet'!$B$12,Paramètres!$A$1:$I$89,7,0))</f>
        <v>0</v>
      </c>
      <c r="CI144" s="16">
        <f>IF(ISNA(VLOOKUP(A144,'Données projet'!$A$113:$I$133,6,0)),0%,VLOOKUP(A144,'Données projet'!$A$113:$I$133,6,0)*VLOOKUP('Données projet'!$B$12,Paramètres!$A$1:$I$89,7,0))</f>
        <v>0</v>
      </c>
      <c r="CJ144" s="16">
        <f>IF(ISNA(VLOOKUP(A144,'Données projet'!$A$113:$I$133,7,0)),0%,VLOOKUP(A144,'Données projet'!$A$113:$I$133,7,0))</f>
        <v>0</v>
      </c>
      <c r="CK144" s="21">
        <f>EXP(-LN(2)/35)*CK143+(1-EXP(-LN(2)/35))/(LN(2)/35)*CG144*CH144*VLOOKUP('Données projet'!$B$12,Paramètres!$A$1:$I$89,3,0)*0.475*44/12</f>
        <v>0.2728816084856287</v>
      </c>
      <c r="CL144" s="21">
        <f>EXP(-LN(2)/25)*CL143+(1-EXP(-LN(2)/25))/(LN(2)/25)*Calculateur!CG144*Calculateur!CI144*VLOOKUP('Données projet'!$B$12,Paramètres!$A$1:$I$89,3,0)*0.475*44/12</f>
        <v>0.66206289996672596</v>
      </c>
      <c r="CM144" s="21">
        <f>EXP(-LN(2)/2)*CM143+(1-EXP(-LN(2)/2))/(LN(2)/2)*CG144*CJ144*VLOOKUP('Données projet'!$B$12,Paramètres!$A$1:$I$89,3,0)*0.475*44/12</f>
        <v>4.1698784795913198E-16</v>
      </c>
      <c r="CN144" s="22">
        <f t="shared" si="120"/>
        <v>0.93494450845235511</v>
      </c>
      <c r="CO144" s="75">
        <f>('Scénario référence'!$F$8+'Scénario référence'!$F$9+'Scénario référence'!$B$17+'Scénario référence'!$B$9+'Scénario référence'!$B$10)*70+IF((45+25*(1-EXP(-0.0175*A144)))&lt;70,'Scénario référence'!$B$16*(45+25*(1-EXP(-0.0175*A144))),70*'Scénario référence'!$B$16)+IF((32+38*(1-EXP(-0.0175*A144)))&lt;70,'Scénario référence'!$B$18*(32+38*(1-EXP(-0.0175*A144))),70*'Scénario référence'!$B$18)</f>
        <v>70</v>
      </c>
      <c r="CP144" s="12">
        <f>IF(A144&gt;30,10,('Scénario référence'!$B$16+'Scénario référence'!$B$17+'Scénario référence'!$B$18+'Scénario référence'!$B$9+'Scénario référence'!$B$10)*A144*10/30+('Scénario référence'!$F$8+'Scénario référence'!$F$9)*10)</f>
        <v>10</v>
      </c>
      <c r="CQ144" s="12" t="e">
        <f>VLOOKUP(A144,'Données projet'!$A$139:$I$159,2,0)</f>
        <v>#N/A</v>
      </c>
      <c r="CR144" s="12" t="e">
        <f>VLOOKUP(A144,'Données projet'!$A$139:$I$159,9,0)</f>
        <v>#N/A</v>
      </c>
      <c r="CS144" s="12">
        <f t="array" ref="CS144">INDEX(CR:CR,MIN(IF(ISNUMBER(CR144:CR340),ROW(CR144:CR340),"")))</f>
        <v>0</v>
      </c>
      <c r="CT144" s="12">
        <f>IF('Données projet'!$A$140&gt;35,CT143+CS144-DB143,IF(A144&lt;'Données projet'!$A$140,$CQ$205^A144,IF(A144='Données projet'!$A$140,'Données projet'!$B$140,CT143+CS144-DB143)))</f>
        <v>0</v>
      </c>
      <c r="CU144" s="17" t="e">
        <f>CT144*VLOOKUP('Données projet'!$B$13,Paramètres!$A$1:$I$89,3,0)*VLOOKUP('Données projet'!$B$13,Paramètres!$A$1:$I$89,5,0)</f>
        <v>#N/A</v>
      </c>
      <c r="CV144" s="13" t="e">
        <f t="shared" si="149"/>
        <v>#N/A</v>
      </c>
      <c r="CW144" s="20" t="e">
        <f t="shared" si="121"/>
        <v>#N/A</v>
      </c>
      <c r="CX144" s="59" t="e">
        <f t="shared" si="122"/>
        <v>#N/A</v>
      </c>
      <c r="CY144" s="59" t="e">
        <f ca="1">AVERAGE(OFFSET($CX$3,0,0,'Données projet'!$E$13+1,1))-AVERAGE(OFFSET($H$3,0,0,'Données projet'!$E$13+1,1))</f>
        <v>#N/A</v>
      </c>
      <c r="CZ144" s="59" t="e">
        <f t="shared" si="150"/>
        <v>#N/A</v>
      </c>
      <c r="DA144" s="15">
        <f>IF(ISNA(VLOOKUP(A144,'Données projet'!$A$139:$I$159,3,0)),0,VLOOKUP(A144,'Données projet'!$A$139:$I$159,3,0))</f>
        <v>0</v>
      </c>
      <c r="DB144" s="15">
        <f>IF(ISNA(VLOOKUP(A144,'Données projet'!$A$139:$I$159,4,0)),0,VLOOKUP(A144,'Données projet'!$A$139:$I$159,4,0))</f>
        <v>0</v>
      </c>
      <c r="DC144" s="16">
        <f>IF(ISNA(VLOOKUP(A144,'Données projet'!$A$139:$I$159,5,0)),0%,VLOOKUP(A144,'Données projet'!$A$139:$I$159,5,0)*VLOOKUP('Données projet'!$B$13,Paramètres!$A$1:$I$89,7,0))</f>
        <v>0</v>
      </c>
      <c r="DD144" s="16">
        <f>IF(ISNA(VLOOKUP(A144,'Données projet'!$A$139:$I$159,6,0)),0%,VLOOKUP(A144,'Données projet'!$A$139:$I$159,6,0)*VLOOKUP('Données projet'!$B$13,Paramètres!$A$1:$I$89,7,0))</f>
        <v>0</v>
      </c>
      <c r="DE144" s="16">
        <f>IF(ISNA(VLOOKUP(A144,'Données projet'!$A$139:$I$159,7,0)),0%,VLOOKUP(A144,'Données projet'!$A$139:$I$159,7,0))</f>
        <v>0</v>
      </c>
      <c r="DF144" s="21" t="e">
        <f>EXP(-LN(2)/35)*DF143+(1-EXP(-LN(2)/35))/(LN(2)/35)*DB144*DC144*VLOOKUP('Données projet'!$B$13,Paramètres!$A$1:$I$89,3,0)*0.475*44/12</f>
        <v>#N/A</v>
      </c>
      <c r="DG144" s="21" t="e">
        <f>EXP(-LN(2)/25)*DG143+(1-EXP(-LN(2)/25))/(LN(2)/25)*Calculateur!DB144*Calculateur!DD144*VLOOKUP('Données projet'!$B$13,Paramètres!$A$1:$I$89,3,0)*0.475*44/12</f>
        <v>#N/A</v>
      </c>
      <c r="DH144" s="21" t="e">
        <f>EXP(-LN(2)/2)*DH143+(1-EXP(-LN(2)/2))/(LN(2)/2)*DB144*DE144*VLOOKUP('Données projet'!$B$13,Paramètres!$A$1:$I$89,3,0)*0.475*44/12</f>
        <v>#N/A</v>
      </c>
      <c r="DI144" s="22" t="e">
        <f t="shared" si="123"/>
        <v>#N/A</v>
      </c>
      <c r="DJ144" s="75">
        <f>('Scénario référence'!$F$8+'Scénario référence'!$F$9+'Scénario référence'!$B$17+'Scénario référence'!$B$9+'Scénario référence'!$B$10)*70+IF((45+25*(1-EXP(-0.0175*A144)))&lt;70,'Scénario référence'!$B$16*(45+25*(1-EXP(-0.0175*A144))),70*'Scénario référence'!$B$16)+IF((32+38*(1-EXP(-0.0175*A144)))&lt;70,'Scénario référence'!$B$18*(32+38*(1-EXP(-0.0175*A144))),70*'Scénario référence'!$B$18)</f>
        <v>70</v>
      </c>
      <c r="DK144" s="12">
        <f>IF(A144&gt;30,10,('Scénario référence'!$B$16+'Scénario référence'!$B$17+'Scénario référence'!$B$18+'Scénario référence'!$B$9+'Scénario référence'!$B$10)*A144*10/30+('Scénario référence'!$F$8+'Scénario référence'!$F$9)*10)</f>
        <v>10</v>
      </c>
      <c r="DL144" s="12" t="e">
        <f>VLOOKUP(A144,'Données projet'!$A$165:$I$185,2,0)</f>
        <v>#N/A</v>
      </c>
      <c r="DM144" s="12" t="e">
        <f>VLOOKUP(A144,'Données projet'!$A$165:$I$185,9,0)</f>
        <v>#N/A</v>
      </c>
      <c r="DN144" s="12">
        <f t="array" ref="DN144">INDEX(DM:DM,MIN(IF(ISNUMBER(DM144:DM340),ROW(DM144:DM340),"")))</f>
        <v>0</v>
      </c>
      <c r="DO144" s="12">
        <f>IF('Données projet'!$A$166&gt;35,DO143+DN144-DW143,IF(A144&lt;'Données projet'!$A$166,$DL$205^A144,IF(A144='Données projet'!$A$166,'Données projet'!$B$166,DO143+DN144-DW143)))</f>
        <v>268.00000000000017</v>
      </c>
      <c r="DP144" s="17">
        <f>DO144*VLOOKUP('Données projet'!$B$14,Paramètres!$A$1:$I$89,3,0)*VLOOKUP('Données projet'!$B$14,Paramètres!$A$1:$I$89,5,0)</f>
        <v>175.59360000000012</v>
      </c>
      <c r="DQ144" s="13">
        <f t="shared" si="151"/>
        <v>44.340433728638573</v>
      </c>
      <c r="DR144" s="20">
        <f t="shared" si="124"/>
        <v>383.05177541071242</v>
      </c>
      <c r="DS144" s="59">
        <f t="shared" si="125"/>
        <v>676.38510874404574</v>
      </c>
      <c r="DT144" s="59">
        <f ca="1">AVERAGE(OFFSET($DS$3,0,0,'Données projet'!$E$14+1,1))-AVERAGE(OFFSET($H$3,0,0,'Données projet'!$E$14+1,1))</f>
        <v>188.68915783955595</v>
      </c>
      <c r="DU144" s="59">
        <f t="shared" si="152"/>
        <v>240.82467772396944</v>
      </c>
      <c r="DV144" s="15">
        <f>IF(ISNA(VLOOKUP(A144,'Données projet'!$A$165:$I$185,3,0)),0,VLOOKUP(A144,'Données projet'!$A$165:$I$185,3,0))</f>
        <v>0</v>
      </c>
      <c r="DW144" s="15">
        <f>IF(ISNA(VLOOKUP(A144,'Données projet'!$A$165:$I$185,4,0)),0,VLOOKUP(A144,'Données projet'!$A$165:$I$185,4,0))</f>
        <v>0</v>
      </c>
      <c r="DX144" s="16">
        <f>IF(ISNA(VLOOKUP(A144,'Données projet'!$A$165:$I$185,5,0)),0%,VLOOKUP(A144,'Données projet'!$A$165:$I$185,5,0)*VLOOKUP('Données projet'!$B$14,Paramètres!$A$1:$I$89,7,0))</f>
        <v>0</v>
      </c>
      <c r="DY144" s="16">
        <f>IF(ISNA(VLOOKUP(A144,'Données projet'!$A$165:$I$185,6,0)),0%,VLOOKUP(A144,'Données projet'!$A$165:$I$185,6,0)*VLOOKUP('Données projet'!$B$14,Paramètres!$A$1:$I$89,7,0))</f>
        <v>0</v>
      </c>
      <c r="DZ144" s="16">
        <f>IF(ISNA(VLOOKUP(A144,'Données projet'!$A$165:$I$185,7,0)),0%,VLOOKUP(A144,'Données projet'!$A$165:$I$185,7,0))</f>
        <v>0</v>
      </c>
      <c r="EA144" s="21">
        <f>EXP(-LN(2)/35)*EA143+(1-EXP(-LN(2)/35))/(LN(2)/35)*DW144*DX144*VLOOKUP('Données projet'!$B$14,Paramètres!$A$1:$I$89,3,0)*0.475*44/12</f>
        <v>0.1728479885399288</v>
      </c>
      <c r="EB144" s="21">
        <f>EXP(-LN(2)/25)*EB143+(1-EXP(-LN(2)/25))/(LN(2)/25)*Calculateur!DW144*Calculateur!DY144*VLOOKUP('Données projet'!$B$14,Paramètres!$A$1:$I$89,3,0)*0.475*44/12</f>
        <v>0.37031934625875185</v>
      </c>
      <c r="EC144" s="21">
        <f>EXP(-LN(2)/2)*EC143+(1-EXP(-LN(2)/2))/(LN(2)/2)*DW144*DZ144*VLOOKUP('Données projet'!$B$14,Paramètres!$A$1:$I$89,3,0)*0.475*44/12</f>
        <v>2.7469568284756388E-16</v>
      </c>
      <c r="ED144" s="22">
        <f t="shared" si="126"/>
        <v>0.54316733479868085</v>
      </c>
      <c r="EE144" s="75">
        <f>('Scénario référence'!$F$8+'Scénario référence'!$F$9+'Scénario référence'!$B$17+'Scénario référence'!$B$9+'Scénario référence'!$B$10)*70+IF((45+25*(1-EXP(-0.0175*A144)))&lt;70,'Scénario référence'!$B$16*(45+25*(1-EXP(-0.0175*A144))),70*'Scénario référence'!$B$16)+IF((32+38*(1-EXP(-0.0175*A144)))&lt;70,'Scénario référence'!$B$18*(32+38*(1-EXP(-0.0175*A144))),70*'Scénario référence'!$B$18)</f>
        <v>70</v>
      </c>
      <c r="EF144" s="12">
        <f>IF(A144&gt;30,10,('Scénario référence'!$B$16+'Scénario référence'!$B$17+'Scénario référence'!$B$18+'Scénario référence'!$B$9+'Scénario référence'!$B$10)*A144*10/30+('Scénario référence'!$F$8+'Scénario référence'!$F$9)*10)</f>
        <v>10</v>
      </c>
      <c r="EG144" s="12" t="e">
        <f>VLOOKUP(A144,'Données projet'!$A$191:$I$211,2,0)</f>
        <v>#N/A</v>
      </c>
      <c r="EH144" s="12" t="e">
        <f>VLOOKUP(A144,'Données projet'!$A$191:$I$211,9,0)</f>
        <v>#N/A</v>
      </c>
      <c r="EI144" s="12">
        <f t="array" ref="EI144">INDEX(EH:EH,MIN(IF(ISNUMBER(EH144:EH340),ROW(EH144:EH340),"")))</f>
        <v>0</v>
      </c>
      <c r="EJ144" s="12">
        <f>IF('Données projet'!$A$192&gt;35,EJ143+EI144-ER143,IF(A144&lt;'Données projet'!$A$192,$EG$205^A144,IF(A144='Données projet'!$A$192,'Données projet'!$B$192,EJ143+EI144-ER143)))</f>
        <v>275.99999999999972</v>
      </c>
      <c r="EK144" s="17">
        <f>EJ144*VLOOKUP('Données projet'!$B$15,Paramètres!$A$1:$I$89,3,0)*VLOOKUP('Données projet'!$B$15,Paramètres!$A$1:$I$89,5,0)</f>
        <v>223.8911999999998</v>
      </c>
      <c r="EL144" s="13">
        <f t="shared" si="153"/>
        <v>54.95975389514858</v>
      </c>
      <c r="EM144" s="20">
        <f t="shared" si="127"/>
        <v>485.66541136738346</v>
      </c>
      <c r="EN144" s="59">
        <f t="shared" si="128"/>
        <v>778.99874470071677</v>
      </c>
      <c r="EO144" s="59">
        <f ca="1">AVERAGE(OFFSET($EN$3,0,0,'Données projet'!$E$15+1,1))-AVERAGE(OFFSET($H$3,0,0,'Données projet'!$E$15+1,1))</f>
        <v>205.5272583787887</v>
      </c>
      <c r="EP144" s="59">
        <f t="shared" si="154"/>
        <v>180.54762778843178</v>
      </c>
      <c r="EQ144" s="15">
        <f>IF(ISNA(VLOOKUP(A144,'Données projet'!$A$191:$I$211,3,0)),0,VLOOKUP(A144,'Données projet'!$A$191:$I$211,3,0))</f>
        <v>0</v>
      </c>
      <c r="ER144" s="15">
        <f>IF(ISNA(VLOOKUP(A144,'Données projet'!$A$191:$I$211,4,0)),0,VLOOKUP(A144,'Données projet'!$A$191:$I$211,4,0))</f>
        <v>0</v>
      </c>
      <c r="ES144" s="16">
        <f>IF(ISNA(VLOOKUP(A144,'Données projet'!$A$191:$I$211,5,0)),0%,VLOOKUP(A144,'Données projet'!$A$191:$I$211,5,0)*VLOOKUP('Données projet'!$B$15,Paramètres!$A$1:$I$89,7,0))</f>
        <v>0</v>
      </c>
      <c r="ET144" s="16">
        <f>IF(ISNA(VLOOKUP(A144,'Données projet'!$A$191:$I$211,6,0)),0%,VLOOKUP(A144,'Données projet'!$A$191:$I$211,6,0)*VLOOKUP('Données projet'!$B$15,Paramètres!$A$1:$I$89,7,0))</f>
        <v>0</v>
      </c>
      <c r="EU144" s="16">
        <f>IF(ISNA(VLOOKUP(A144,'Données projet'!$A$191:$I$211,7,0)),0%,VLOOKUP(A144,'Données projet'!$A$191:$I$211,7,0))</f>
        <v>0</v>
      </c>
      <c r="EV144" s="21">
        <f>EXP(-LN(2)/35)*EV143+(1-EXP(-LN(2)/35))/(LN(2)/35)*ER144*ES144*VLOOKUP('Données projet'!$B$15,Paramètres!$A$1:$I$89,3,0)*0.475*44/12</f>
        <v>0.11128118119332565</v>
      </c>
      <c r="EW144" s="21">
        <f>EXP(-LN(2)/25)*EW143+(1-EXP(-LN(2)/25))/(LN(2)/25)*Calculateur!ER144*Calculateur!ET144*VLOOKUP('Données projet'!$B$15,Paramètres!$A$1:$I$89,3,0)*0.475*44/12</f>
        <v>0.2673818019935012</v>
      </c>
      <c r="EX144" s="21">
        <f>EXP(-LN(2)/2)*EX143+(1-EXP(-LN(2)/2))/(LN(2)/2)*ER144*EU144*VLOOKUP('Données projet'!$B$15,Paramètres!$A$1:$I$89,3,0)*0.475*44/12</f>
        <v>1.7786565776098417E-16</v>
      </c>
      <c r="EY144" s="22">
        <f t="shared" si="129"/>
        <v>0.37866298318682701</v>
      </c>
      <c r="EZ144" s="75">
        <f>('Scénario référence'!$F$8+'Scénario référence'!$F$9+'Scénario référence'!$B$17+'Scénario référence'!$B$9+'Scénario référence'!$B$10)*70+IF((45+25*(1-EXP(-0.0175*A144)))&lt;70,'Scénario référence'!$B$16*(45+25*(1-EXP(-0.0175*A144))),70*'Scénario référence'!$B$16)+IF((32+38*(1-EXP(-0.0175*A144)))&lt;70,'Scénario référence'!$B$18*(32+38*(1-EXP(-0.0175*A144))),70*'Scénario référence'!$B$18)</f>
        <v>70</v>
      </c>
      <c r="FA144" s="12">
        <f>IF(A144&gt;30,10,('Scénario référence'!$B$16+'Scénario référence'!$B$17+'Scénario référence'!$B$18+'Scénario référence'!$B$9+'Scénario référence'!$B$10)*A144*10/30+('Scénario référence'!$F$8+'Scénario référence'!$F$9)*10)</f>
        <v>10</v>
      </c>
      <c r="FB144" s="12" t="e">
        <f>VLOOKUP(A144,'Données projet'!$A$217:$I$237,2,0)</f>
        <v>#N/A</v>
      </c>
      <c r="FC144" s="12" t="e">
        <f>VLOOKUP(A144,'Données projet'!$A$217:$I$237,9,0)</f>
        <v>#N/A</v>
      </c>
      <c r="FD144" s="12">
        <f t="array" ref="FD144">INDEX(FC:FC,MIN(IF(ISNUMBER(FC144:FC340),ROW(FC144:FC340),"")))</f>
        <v>4.7</v>
      </c>
      <c r="FE144" s="12">
        <f>IF('Données projet'!$A$218&gt;35,FE143+FD144-FM143,IF(A144&lt;'Données projet'!$A$218,$FB$205^A144,IF(A144='Données projet'!$A$218,'Données projet'!$B$218,FE143+FD144-FM143)))</f>
        <v>416.69999999999993</v>
      </c>
      <c r="FF144" s="17">
        <f>FE144*VLOOKUP('Données projet'!$B$16,Paramètres!$A$1:$I$89,3,0)*VLOOKUP('Données projet'!$B$16,Paramètres!$A$1:$I$89,5,0)</f>
        <v>357.52859999999998</v>
      </c>
      <c r="FG144" s="13">
        <f t="shared" si="155"/>
        <v>83.110802812348609</v>
      </c>
      <c r="FH144" s="20">
        <f t="shared" si="130"/>
        <v>767.44695989817376</v>
      </c>
      <c r="FI144" s="59">
        <f t="shared" si="131"/>
        <v>1060.7802932315071</v>
      </c>
      <c r="FJ144" s="59">
        <f ca="1">AVERAGE(OFFSET($FI$3,0,0,'Données projet'!$E$16+1,1))-AVERAGE(OFFSET($H$3,0,0,'Données projet'!$E$16+1,1))</f>
        <v>383.97627237444709</v>
      </c>
      <c r="FK144" s="59">
        <f t="shared" si="156"/>
        <v>203.35476578922339</v>
      </c>
      <c r="FL144" s="15">
        <f>IF(ISNA(VLOOKUP(A144,'Données projet'!$A$217:$I$237,3,0)),0,VLOOKUP(A144,'Données projet'!$A$217:$I$237,3,0))</f>
        <v>0</v>
      </c>
      <c r="FM144" s="15">
        <f>IF(ISNA(VLOOKUP(A144,'Données projet'!$A$217:$I$237,4,0)),0,VLOOKUP(A144,'Données projet'!$A$217:$I$237,4,0))</f>
        <v>0</v>
      </c>
      <c r="FN144" s="16">
        <f>IF(ISNA(VLOOKUP(A144,'Données projet'!$A$217:$I$237,5,0)),0%,VLOOKUP(A144,'Données projet'!$A$217:$I$237,5,0)*VLOOKUP('Données projet'!$B$16,Paramètres!$A$1:$I$89,7,0))</f>
        <v>0</v>
      </c>
      <c r="FO144" s="16">
        <f>IF(ISNA(VLOOKUP(A144,'Données projet'!$A$217:$I$237,6,0)),0%,VLOOKUP(A144,'Données projet'!$A$217:$I$237,6,0)*VLOOKUP('Données projet'!$B$16,Paramètres!$A$1:$I$89,7,0))</f>
        <v>0</v>
      </c>
      <c r="FP144" s="16">
        <f>IF(ISNA(VLOOKUP(A144,'Données projet'!$A$217:$I$237,7,0)),0%,VLOOKUP(A144,'Données projet'!$A$217:$I$237,7,0))</f>
        <v>0</v>
      </c>
      <c r="FQ144" s="21">
        <f>EXP(-LN(2)/35)*FQ143+(1-EXP(-LN(2)/35))/(LN(2)/35)*FM144*FN144*VLOOKUP('Données projet'!$B$16,Paramètres!$A$1:$I$89,3,0)*0.475*44/12</f>
        <v>0.57192489895763177</v>
      </c>
      <c r="FR144" s="21">
        <f>EXP(-LN(2)/25)*FR143+(1-EXP(-LN(2)/25))/(LN(2)/25)*Calculateur!FM144*Calculateur!FO144*VLOOKUP('Données projet'!$B$16,Paramètres!$A$1:$I$89,3,0)*0.475*44/12</f>
        <v>0.27142016555913562</v>
      </c>
      <c r="FS144" s="21">
        <f>EXP(-LN(2)/2)*FS143+(1-EXP(-LN(2)/2))/(LN(2)/2)*FM144*FP144*VLOOKUP('Données projet'!$B$16,Paramètres!$A$1:$I$89,3,0)*0.475*44/12</f>
        <v>3.267027099889362E-16</v>
      </c>
      <c r="FT144" s="22">
        <f t="shared" si="132"/>
        <v>0.84334506451676772</v>
      </c>
      <c r="FU144" s="75">
        <f>('Scénario référence'!$F$8+'Scénario référence'!$F$9+'Scénario référence'!$B$17+'Scénario référence'!$B$9+'Scénario référence'!$B$10)*70+IF((45+25*(1-EXP(-0.0175*A144)))&lt;70,'Scénario référence'!$B$16*(45+25*(1-EXP(-0.0175*A144))),70*'Scénario référence'!$B$16)+IF((32+38*(1-EXP(-0.0175*A144)))&lt;70,'Scénario référence'!$B$18*(32+38*(1-EXP(-0.0175*A144))),70*'Scénario référence'!$B$18)</f>
        <v>70</v>
      </c>
      <c r="FV144" s="12">
        <f>IF(A144&gt;30,10,('Scénario référence'!$B$16+'Scénario référence'!$B$17+'Scénario référence'!$B$18+'Scénario référence'!$B$9+'Scénario référence'!$B$10)*A144*10/30+('Scénario référence'!$F$8+'Scénario référence'!$F$9)*10)</f>
        <v>10</v>
      </c>
      <c r="FW144" s="12" t="e">
        <f>VLOOKUP(A144,'Données projet'!$A$243:$I$263,2,0)</f>
        <v>#N/A</v>
      </c>
      <c r="FX144" s="12" t="e">
        <f>VLOOKUP(A144,'Données projet'!$A$243:$I$263,9,0)</f>
        <v>#N/A</v>
      </c>
      <c r="FY144" s="12">
        <f t="array" ref="FY144">INDEX(FX:FX,MIN(IF(ISNUMBER(FX144:FX340),ROW(FX144:FX340),"")))</f>
        <v>0</v>
      </c>
      <c r="FZ144" s="12">
        <f>IF('Données projet'!$A$244&gt;35,FZ143+FY144-GH143,IF(A144&lt;'Données projet'!$A$244,$FW$205^A144,IF(A144='Données projet'!$A$244,'Données projet'!$B$244,FZ143+FY144-GH143)))</f>
        <v>4.5474735088646412E-13</v>
      </c>
      <c r="GA144" s="17">
        <f>FZ144*VLOOKUP('Données projet'!$B$17,Paramètres!$A$1:$I$89,3,0)*VLOOKUP('Données projet'!$B$17,Paramètres!$A$1:$I$89,5,0)</f>
        <v>4.8949004849418999E-13</v>
      </c>
      <c r="GB144" s="13">
        <f t="shared" si="157"/>
        <v>6.1123715499968684E-12</v>
      </c>
      <c r="GC144" s="20">
        <f t="shared" si="133"/>
        <v>1.1498242284038591E-11</v>
      </c>
      <c r="GD144" s="59">
        <f t="shared" si="134"/>
        <v>293.3333333333448</v>
      </c>
      <c r="GE144" s="59">
        <f ca="1">AVERAGE(OFFSET($GD$3,0,0,'Données projet'!$E$17+1,1))-AVERAGE(OFFSET($H$3,0,0,'Données projet'!$E$17+1,1))</f>
        <v>286.77702855541287</v>
      </c>
      <c r="GF144" s="59">
        <f t="shared" si="158"/>
        <v>227.12211541860779</v>
      </c>
      <c r="GG144" s="15">
        <f>IF(ISNA(VLOOKUP(A144,'Données projet'!$A$243:$I$263,3,0)),0,VLOOKUP(A144,'Données projet'!$A$243:$I$263,3,0))</f>
        <v>0</v>
      </c>
      <c r="GH144" s="15">
        <f>IF(ISNA(VLOOKUP(A144,'Données projet'!$A$243:$I$263,4,0)),0,VLOOKUP(A144,'Données projet'!$A$243:$I$263,4,0))</f>
        <v>0</v>
      </c>
      <c r="GI144" s="16">
        <f>IF(ISNA(VLOOKUP(A144,'Données projet'!$A$243:$I$263,5,0)),0%,VLOOKUP(A144,'Données projet'!$A$243:$I$263,5,0)*VLOOKUP('Données projet'!$B$17,Paramètres!$A$1:$I$89,7,0))</f>
        <v>0</v>
      </c>
      <c r="GJ144" s="16">
        <f>IF(ISNA(VLOOKUP(A144,'Données projet'!$A$243:$I$263,6,0)),0%,VLOOKUP(A144,'Données projet'!$A$243:$I$263,6,0)*VLOOKUP('Données projet'!$B$17,Paramètres!$A$1:$I$89,7,0))</f>
        <v>0</v>
      </c>
      <c r="GK144" s="16">
        <f>IF(ISNA(VLOOKUP(A144,'Données projet'!$A$243:$I$263,7,0)),0%,VLOOKUP(A144,'Données projet'!$A$243:$I$263,7,0))</f>
        <v>0</v>
      </c>
      <c r="GL144" s="21">
        <f>EXP(-LN(2)/35)*GL143+(1-EXP(-LN(2)/35))/(LN(2)/35)*GH144*GI144*VLOOKUP('Données projet'!$B$17,Paramètres!$A$1:$I$89,3,0)*0.475*44/12</f>
        <v>0</v>
      </c>
      <c r="GM144" s="21">
        <f>EXP(-LN(2)/25)*GM143+(1-EXP(-LN(2)/25))/(LN(2)/25)*Calculateur!GH144*Calculateur!GJ144*VLOOKUP('Données projet'!$B$17,Paramètres!$A$1:$I$89,3,0)*0.475*44/12</f>
        <v>0</v>
      </c>
      <c r="GN144" s="21">
        <f>EXP(-LN(2)/2)*GN143+(1-EXP(-LN(2)/2))/(LN(2)/2)*GH144*GK144*VLOOKUP('Données projet'!$B$17,Paramètres!$A$1:$I$89,3,0)*0.475*44/12</f>
        <v>0</v>
      </c>
      <c r="GO144" s="21">
        <f t="shared" si="135"/>
        <v>0</v>
      </c>
      <c r="GP144" s="75">
        <f>('Scénario référence'!$F$8+'Scénario référence'!$F$9+'Scénario référence'!$B$17+'Scénario référence'!$B$9+'Scénario référence'!$B$10)*70+IF((45+25*(1-EXP(-0.0175*A144)))&lt;70,'Scénario référence'!$B$16*(45+25*(1-EXP(-0.0175*A144))),70*'Scénario référence'!$B$16)+IF((32+38*(1-EXP(-0.0175*A144)))&lt;70,'Scénario référence'!$B$18*(32+38*(1-EXP(-0.0175*A144))),70*'Scénario référence'!$B$18)</f>
        <v>70</v>
      </c>
      <c r="GQ144" s="12">
        <f>IF(A144&gt;30,10,('Scénario référence'!$B$16+'Scénario référence'!$B$17+'Scénario référence'!$B$18+'Scénario référence'!$B$9+'Scénario référence'!$B$10)*A144*10/30+('Scénario référence'!$F$8+'Scénario référence'!$F$9)*10)</f>
        <v>10</v>
      </c>
      <c r="GR144" s="12" t="e">
        <f>VLOOKUP(A144,'Données projet'!$A$269:$I$289,2,0)</f>
        <v>#N/A</v>
      </c>
      <c r="GS144" s="12" t="e">
        <f>VLOOKUP(A144,'Données projet'!$A$269:$I$289,9,0)</f>
        <v>#N/A</v>
      </c>
      <c r="GT144" s="12">
        <f t="array" ref="GT144">INDEX(GS:GS,MIN(IF(ISNUMBER(GS144:GS340),ROW(GS144:GS340),"")))</f>
        <v>0</v>
      </c>
      <c r="GU144" s="12">
        <f>IF('Données projet'!$A$270&gt;35,GU143+GT144-HC143,IF(A144&lt;'Données projet'!$A$270,$GR$205^A144,IF(A144='Données projet'!$A$270,'Données projet'!$B$270,GU143+GT144-HC143)))</f>
        <v>4.5474735088646412E-13</v>
      </c>
      <c r="GV144" s="17">
        <f>GU144*VLOOKUP('Données projet'!$B$18,Paramètres!$A$1:$I$89,3,0)*VLOOKUP('Données projet'!$B$18,Paramètres!$A$1:$I$89,5,0)</f>
        <v>4.8949004849418999E-13</v>
      </c>
      <c r="GW144" s="13">
        <f t="shared" si="159"/>
        <v>6.1123715499968684E-12</v>
      </c>
      <c r="GX144" s="20">
        <f t="shared" si="136"/>
        <v>1.1498242284038591E-11</v>
      </c>
      <c r="GY144" s="59">
        <f t="shared" si="137"/>
        <v>293.3333333333448</v>
      </c>
      <c r="GZ144" s="59">
        <f ca="1">AVERAGE(OFFSET($GY$3,0,0,'Données projet'!$E$18+1,1))-AVERAGE(OFFSET($H$3,0,0,'Données projet'!$E$18+1,1))</f>
        <v>286.77702855541287</v>
      </c>
      <c r="HA144" s="59">
        <f t="shared" si="160"/>
        <v>227.12211541860779</v>
      </c>
      <c r="HB144" s="15">
        <f>IF(ISNA(VLOOKUP(A144,'Données projet'!$A$269:$I$289,3,0)),0,VLOOKUP(A144,'Données projet'!$A$269:$I$289,3,0))</f>
        <v>0</v>
      </c>
      <c r="HC144" s="15">
        <f>IF(ISNA(VLOOKUP(A144,'Données projet'!$A$269:$I$289,4,0)),0,VLOOKUP(A144,'Données projet'!$A$269:$I$289,4,0))</f>
        <v>0</v>
      </c>
      <c r="HD144" s="16">
        <f>IF(ISNA(VLOOKUP(A144,'Données projet'!$A$269:$I$289,5,0)),0%,VLOOKUP(A144,'Données projet'!$A$269:$I$289,5,0)*VLOOKUP('Données projet'!$B$18,Paramètres!$A$1:$I$89,7,0))</f>
        <v>0</v>
      </c>
      <c r="HE144" s="16">
        <f>IF(ISNA(VLOOKUP(A144,'Données projet'!$A$269:$I$289,6,0)),0%,VLOOKUP(A144,'Données projet'!$A$269:$I$289,6,0)*VLOOKUP('Données projet'!$B$18,Paramètres!$A$1:$I$89,7,0))</f>
        <v>0</v>
      </c>
      <c r="HF144" s="16">
        <f>IF(ISNA(VLOOKUP(A144,'Données projet'!$A$269:$I$289,7,0)),0%,VLOOKUP(A144,'Données projet'!$A$269:$I$289,7,0))</f>
        <v>0</v>
      </c>
      <c r="HG144" s="21">
        <f>EXP(-LN(2)/35)*HG143+(1-EXP(-LN(2)/35))/(LN(2)/35)*HC144*HD144*VLOOKUP('Données projet'!$B$18,Paramètres!$A$1:$I$89,3,0)*0.475*44/12</f>
        <v>0</v>
      </c>
      <c r="HH144" s="21">
        <f>EXP(-LN(2)/25)*HH143+(1-EXP(-LN(2)/25))/(LN(2)/25)*Calculateur!HC144*Calculateur!HE144*VLOOKUP('Données projet'!$B$18,Paramètres!$A$1:$I$89,3,0)*0.475*44/12</f>
        <v>0</v>
      </c>
      <c r="HI144" s="21">
        <f>EXP(-LN(2)/2)*HI143+(1-EXP(-LN(2)/2))/(LN(2)/2)*HC144*HF144*VLOOKUP('Données projet'!$B$18,Paramètres!$A$1:$I$89,3,0)*0.475*44/12</f>
        <v>0</v>
      </c>
      <c r="HJ144" s="22">
        <f t="shared" si="138"/>
        <v>0</v>
      </c>
    </row>
    <row r="145" spans="1:218" x14ac:dyDescent="0.25">
      <c r="A145" s="10">
        <f t="shared" si="139"/>
        <v>142</v>
      </c>
      <c r="B145" s="73">
        <f>'Scénario référence'!$B$16*5+'Scénario référence'!$B$17*0+'Scénario référence'!$B$18*5</f>
        <v>0</v>
      </c>
      <c r="C145" s="19">
        <f>Calculateur!C144+'Scénario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126.26640000000025</v>
      </c>
      <c r="D145" s="11">
        <f t="shared" si="140"/>
        <v>33.132176294071868</v>
      </c>
      <c r="E14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45" s="11">
        <f>IF(OR('Scénario référence'!$F$8&gt;0,'Scénario référence'!$F$9&gt;0),('Scénario référence'!$F$8+'Scénario référence'!$F$9)*10,0)</f>
        <v>10</v>
      </c>
      <c r="G145" s="11">
        <f>'Scénario référence'!$B$8*B145*44/12+'Scénario référence'!$B$9*(C145+D145)/0.475*44/12+'Scénario référence'!$B$10*(C145+D145)/0.475*44/12+'Scénario référence'!$F$8*(C145+D145)/0.475*44/12+'Scénario référence'!$F$9*(C145+D145)/0.475*44/12</f>
        <v>1230.4451503402058</v>
      </c>
      <c r="H145" s="67">
        <f t="shared" si="110"/>
        <v>570.95252037884222</v>
      </c>
      <c r="I145" s="70">
        <f>('Scénario référence'!$F$8+'Scénario référence'!$F$9+'Scénario référence'!$B$17+'Scénario référence'!$B$9+'Scénario référence'!$B$10)*70+IF((45+25*(1-EXP(-0.0175*A145)))&lt;70,'Scénario référence'!$B$16*(45+25*(1-EXP(-0.0175*A145))),70*'Scénario référence'!$B$16)+IF((32+38*(1-EXP(-0.0175*A145)))&lt;70,'Scénario référence'!$B$18*(32+38*(1-EXP(-0.0175*A145))),70*'Scénario référence'!$B$18)</f>
        <v>70</v>
      </c>
      <c r="J145" s="13">
        <f>IF(A145&gt;30,10,('Scénario référence'!$B$16+'Scénario référence'!$B$17+'Scénario référence'!$B$18+'Scénario référence'!$B$9+'Scénario référence'!$B$10)*A145*10/30+('Scénario référence'!$F$8+'Scénario référence'!$F$9)*10)</f>
        <v>10</v>
      </c>
      <c r="K145" s="12" t="e">
        <f>VLOOKUP(A145,'Données projet'!$A$35:$I$55,2,0)</f>
        <v>#N/A</v>
      </c>
      <c r="L145" s="12" t="e">
        <f>VLOOKUP(A145,'Données projet'!$A$35:$I$55,9,0)</f>
        <v>#N/A</v>
      </c>
      <c r="M145" s="12">
        <f t="array" ref="M145">INDEX(L:L,MIN(IF(ISNUMBER(L145:L341),ROW(L145:L341),"")))</f>
        <v>0</v>
      </c>
      <c r="N145" s="13">
        <f>IF('Données projet'!$A$36&gt;35,N144+M145-V144,IF(A145&lt;'Données projet'!$A$36,$K$205^A145,IF(A145='Données projet'!$A$36,'Données projet'!$B$36,N144+M145-V144)))</f>
        <v>-2.2737367544323206E-13</v>
      </c>
      <c r="O145" s="13">
        <f>N145*VLOOKUP('Données projet'!$B$9,Paramètres!$A$1:$I$89,3,0)*VLOOKUP('Données projet'!$B$9,Paramètres!$A$1:$I$89,5,0)</f>
        <v>-1.2710188457276673E-13</v>
      </c>
      <c r="P145" s="13" t="e">
        <f t="shared" si="141"/>
        <v>#NUM!</v>
      </c>
      <c r="Q145" s="20" t="e">
        <f t="shared" si="108"/>
        <v>#NUM!</v>
      </c>
      <c r="R145" s="59" t="e">
        <f t="shared" si="109"/>
        <v>#NUM!</v>
      </c>
      <c r="S145" s="59">
        <f ca="1">AVERAGE(OFFSET($R$3,0,0,'Données projet'!$E$9+1,1))-AVERAGE(OFFSET($H$3,0,0,'Données projet'!$E$9+1,1))</f>
        <v>255.5374979188561</v>
      </c>
      <c r="T145" s="59">
        <f t="shared" si="142"/>
        <v>343.10418468620901</v>
      </c>
      <c r="U145" s="15">
        <f>IF(ISNA(VLOOKUP(A145,'Données projet'!$A$35:$I$55,3,0)),0,VLOOKUP(A145,'Données projet'!$A$35:$I$55,3,0))</f>
        <v>0</v>
      </c>
      <c r="V145" s="15">
        <f>IF(ISNA(VLOOKUP(A145,'Données projet'!$A$35:$I$55,4,0)),0,VLOOKUP(A145,'Données projet'!$A$35:$I$55,4,0))</f>
        <v>0</v>
      </c>
      <c r="W145" s="16">
        <f>IF(ISNA(VLOOKUP(A145,'Données projet'!$A$35:$I$55,5,0)),0%,VLOOKUP(A145,'Données projet'!$A$35:$I$55,5,0)*VLOOKUP('Données projet'!$B$9,Paramètres!$A$1:$I$89,7,0))</f>
        <v>0</v>
      </c>
      <c r="X145" s="16">
        <f>IF(ISNA(VLOOKUP(A145,'Données projet'!$A$35:$I$55,6,0)),0%,VLOOKUP(A145,'Données projet'!$A$35:$I$55,6,0)*VLOOKUP('Données projet'!$B$9,Paramètres!$A$1:$I$89,7,0))</f>
        <v>0</v>
      </c>
      <c r="Y145" s="16">
        <f>IF(ISNA(VLOOKUP(A145,'Données projet'!$A$35:$I$55,7,0)),0%,VLOOKUP(A145,'Données projet'!$A$35:$I$55,7,0))</f>
        <v>0</v>
      </c>
      <c r="Z145" s="21">
        <f>EXP(-LN(2)/35)*Z144+(1-EXP(-LN(2)/35))/(LN(2)/35)*V145*W145*VLOOKUP('Données projet'!$B$9,Paramètres!$A$1:$I$89,3,0)*0.475*44/12</f>
        <v>0.33625459994699608</v>
      </c>
      <c r="AA145" s="21">
        <f>EXP(-LN(2)/25)*AA144+(1-EXP(-LN(2)/25))/(LN(2)/25)*Calculateur!V145*Calculateur!X145*VLOOKUP('Données projet'!$B$9,Paramètres!$A$1:$I$89,3,0)*0.475*44/12</f>
        <v>0.71519679186063689</v>
      </c>
      <c r="AB145" s="21">
        <f>EXP(-LN(2)/2)*AB144+(1-EXP(-LN(2)/2))/(LN(2)/2)*V145*Y145*VLOOKUP('Données projet'!$B$9,Paramètres!$A$1:$I$89,3,0)*0.475*44/12</f>
        <v>2.3490266391119425E-17</v>
      </c>
      <c r="AC145" s="22">
        <f t="shared" si="111"/>
        <v>1.0514513918076329</v>
      </c>
      <c r="AD145" s="13">
        <f>('Scénario référence'!$F$8+'Scénario référence'!$F$9+'Scénario référence'!$B$17+'Scénario référence'!$B$9+'Scénario référence'!$B$10)*70+IF((45+25*(1-EXP(-0.0175*A145)))&lt;70,'Scénario référence'!$B$16*(45+25*(1-EXP(-0.0175*A145))),70*'Scénario référence'!$B$16)+IF((32+38*(1-EXP(-0.0175*A145)))&lt;70,'Scénario référence'!$B$18*(32+38*(1-EXP(-0.0175*A145))),70*'Scénario référence'!$B$18)</f>
        <v>70</v>
      </c>
      <c r="AE145" s="13">
        <f>IF(A145&gt;30,10,('Scénario référence'!$B$16+'Scénario référence'!$B$17+'Scénario référence'!$B$18+'Scénario référence'!$B$9+'Scénario référence'!$B$10)*A145*10/30+('Scénario référence'!$F$8+'Scénario référence'!$F$9)*10)</f>
        <v>10</v>
      </c>
      <c r="AF145" s="12" t="e">
        <f>VLOOKUP(A145,'Données projet'!$A$61:$I$81,2,0)</f>
        <v>#N/A</v>
      </c>
      <c r="AG145" s="12" t="e">
        <f>VLOOKUP(A145,'Données projet'!$A$61:$I$81,9,0)</f>
        <v>#N/A</v>
      </c>
      <c r="AH145" s="12">
        <f t="array" ref="AH145">INDEX(AG:AG,MIN(IF(ISNUMBER(AG145:AG341),ROW(AG145:AG341),"")))</f>
        <v>0</v>
      </c>
      <c r="AI145" s="13">
        <f>IF('Données projet'!$A$62&gt;35,AI144+AH145-AQ144,IF(A145&lt;'Données projet'!$A$62,$AF$205^A145,IF(A145='Données projet'!$A$62,'Données projet'!$B$62,AI144+AH145-AQ144)))</f>
        <v>0</v>
      </c>
      <c r="AJ145" s="13">
        <f>AI145*VLOOKUP('Données projet'!$B$10,Paramètres!$A$1:$I$89,3,0)*VLOOKUP('Données projet'!$B$10,Paramètres!$A$1:$I$89,5,0)</f>
        <v>0</v>
      </c>
      <c r="AK145" s="13" t="e">
        <f t="shared" si="143"/>
        <v>#NUM!</v>
      </c>
      <c r="AL145" s="20" t="e">
        <f t="shared" si="112"/>
        <v>#NUM!</v>
      </c>
      <c r="AM145" s="59" t="e">
        <f t="shared" si="113"/>
        <v>#NUM!</v>
      </c>
      <c r="AN145" s="59">
        <f ca="1">AVERAGE(OFFSET($AM$3,0,0,'Données projet'!$E$10+1,1))-AVERAGE(OFFSET($H$3,0,0,'Données projet'!$E$10+1,1))</f>
        <v>261.78489480911571</v>
      </c>
      <c r="AO145" s="59">
        <f t="shared" si="144"/>
        <v>297.50513563712764</v>
      </c>
      <c r="AP145" s="15">
        <f>IF(ISNA(VLOOKUP(A145,'Données projet'!$A$61:$I$81,3,0)),0,VLOOKUP(A145,'Données projet'!$A$61:$I$81,3,0))</f>
        <v>0</v>
      </c>
      <c r="AQ145" s="15">
        <f>IF(ISNA(VLOOKUP(A145,'Données projet'!$A$61:$I$81,4,0)),0,VLOOKUP(A145,'Données projet'!$A$61:$I$81,4,0))</f>
        <v>0</v>
      </c>
      <c r="AR145" s="16">
        <f>IF(ISNA(VLOOKUP(A145,'Données projet'!$A$61:$I$81,5,0)),0%,VLOOKUP(A145,'Données projet'!$A$61:$I$81,5,0)*VLOOKUP('Données projet'!$B$10,Paramètres!$A$1:$I$89,7,0))</f>
        <v>0</v>
      </c>
      <c r="AS145" s="16">
        <f>IF(ISNA(VLOOKUP(A145,'Données projet'!$A$61:$I$81,6,0)),0%,VLOOKUP(A145,'Données projet'!$A$61:$I$81,6,0)*VLOOKUP('Données projet'!$B$10,Paramètres!$A$1:$I$89,7,0))</f>
        <v>0</v>
      </c>
      <c r="AT145" s="16">
        <f>IF(ISNA(VLOOKUP(A145,'Données projet'!$A$61:$I$81,7,0)),0%,VLOOKUP(A145,'Données projet'!$A$61:$I$81,7,0))</f>
        <v>0</v>
      </c>
      <c r="AU145" s="21">
        <f>EXP(-LN(2)/35)*AU144+(1-EXP(-LN(2)/35))/(LN(2)/35)*AQ145*AR145*VLOOKUP('Données projet'!$B$10,Paramètres!$A$1:$I$89,3,0)*0.475*44/12</f>
        <v>0.90798252901430498</v>
      </c>
      <c r="AV145" s="21">
        <f>EXP(-LN(2)/25)*AV144+(1-EXP(-LN(2)/25))/(LN(2)/25)*Calculateur!AQ145*Calculateur!AS145*VLOOKUP('Données projet'!$B$10,Paramètres!$A$1:$I$89,3,0)*0.475*44/12</f>
        <v>1.2488794707518682</v>
      </c>
      <c r="AW145" s="21">
        <f>EXP(-LN(2)/2)*AW144+(1-EXP(-LN(2)/2))/(LN(2)/2)*AQ145*AT145*VLOOKUP('Données projet'!$B$10,Paramètres!$A$1:$I$89,3,0)*0.475*44/12</f>
        <v>3.3863455285598587E-16</v>
      </c>
      <c r="AX145" s="21">
        <f t="shared" si="114"/>
        <v>2.1568619997661735</v>
      </c>
      <c r="AY145" s="74">
        <f>('Scénario référence'!$F$8+'Scénario référence'!$F$9+'Scénario référence'!$B$17+'Scénario référence'!$B$9+'Scénario référence'!$B$10)*70+IF((45+25*(1-EXP(-0.0175*A145)))&lt;70,'Scénario référence'!$B$16*(45+25*(1-EXP(-0.0175*A145))),70*'Scénario référence'!$B$16)+IF((32+38*(1-EXP(-0.0175*A145)))&lt;70,'Scénario référence'!$B$18*(32+38*(1-EXP(-0.0175*A145))),70*'Scénario référence'!$B$18)</f>
        <v>70</v>
      </c>
      <c r="AZ145" s="12">
        <f>IF(A145&gt;30,10,('Scénario référence'!$B$16+'Scénario référence'!$B$17+'Scénario référence'!$B$18+'Scénario référence'!$B$9+'Scénario référence'!$B$10)*A145*10/30+('Scénario référence'!$F$8+'Scénario référence'!$F$9)*10)</f>
        <v>10</v>
      </c>
      <c r="BA145" s="12" t="e">
        <f>VLOOKUP(A145,'Données projet'!$A$87:$I$107,2,0)</f>
        <v>#N/A</v>
      </c>
      <c r="BB145" s="12" t="e">
        <f>VLOOKUP(A145,'Données projet'!$A$87:$I$107,9,0)</f>
        <v>#N/A</v>
      </c>
      <c r="BC145" s="12">
        <f t="array" ref="BC145">INDEX(BB:BB,MIN(IF(ISNUMBER(BB145:BB341),ROW(BB145:BB341),"")))</f>
        <v>0</v>
      </c>
      <c r="BD145" s="12">
        <f>IF('Données projet'!$A$88&gt;35,BD144+BC145-BL144,IF(A145&lt;'Données projet'!$A$88,$BA$205^A145,IF(A145='Données projet'!$A$88,'Données projet'!$B$88,BD144+BC145-BL144)))</f>
        <v>553.99999999999955</v>
      </c>
      <c r="BE145" s="13">
        <f>BD145*VLOOKUP('Données projet'!$B$11,Paramètres!$A$1:$I$89,3,0)*VLOOKUP('Données projet'!$B$11,Paramètres!$A$1:$I$89,5,0)</f>
        <v>331.29199999999975</v>
      </c>
      <c r="BF145" s="13">
        <f t="shared" si="145"/>
        <v>77.698110787752</v>
      </c>
      <c r="BG145" s="20">
        <f t="shared" si="115"/>
        <v>712.32444295533423</v>
      </c>
      <c r="BH145" s="59">
        <f t="shared" si="116"/>
        <v>1005.6577762886675</v>
      </c>
      <c r="BI145" s="59">
        <f ca="1">AVERAGE(OFFSET($BH$3,0,0,'Données projet'!$E$11+1,1))-AVERAGE(OFFSET($H$3,0,0,'Données projet'!$E$11+1,1))</f>
        <v>316.58509520829671</v>
      </c>
      <c r="BJ145" s="59">
        <f t="shared" si="146"/>
        <v>240.71332110643596</v>
      </c>
      <c r="BK145" s="15">
        <f>IF(ISNA(VLOOKUP(A145,'Données projet'!$A$87:$I$107,3,0)),0,VLOOKUP(A145,'Données projet'!$A$87:$I$107,3,0))</f>
        <v>0</v>
      </c>
      <c r="BL145" s="15">
        <f>IF(ISNA(VLOOKUP(A145,'Données projet'!$A$87:$I$107,4,0)),0,VLOOKUP(A145,'Données projet'!$A$87:$I$107,4,0))</f>
        <v>0</v>
      </c>
      <c r="BM145" s="16">
        <f>IF(ISNA(VLOOKUP(A145,'Données projet'!$A$87:$I$107,5,0)),0%,VLOOKUP(A145,'Données projet'!$A$87:$I$107,5,0)*VLOOKUP('Données projet'!$B$11,Paramètres!$A$1:$I$89,7,0))</f>
        <v>0</v>
      </c>
      <c r="BN145" s="16">
        <f>IF(ISNA(VLOOKUP(A145,'Données projet'!$A$87:$I$107,6,0)),0%,VLOOKUP(A145,'Données projet'!$A$87:$I$107,6,0)*VLOOKUP('Données projet'!$B$11,Paramètres!$A$1:$I$89,7,0))</f>
        <v>0</v>
      </c>
      <c r="BO145" s="16">
        <f>IF(ISNA(VLOOKUP(A145,'Données projet'!$A$87:$I$107,7,0)),0%,VLOOKUP(A145,'Données projet'!$A$87:$I$107,7,0))</f>
        <v>0</v>
      </c>
      <c r="BP145" s="21">
        <f>EXP(-LN(2)/35)*BP144+(1-EXP(-LN(2)/35))/(LN(2)/35)*BL145*BM145*VLOOKUP('Données projet'!$B$11,Paramètres!$A$1:$I$89,3,0)*0.475*44/12</f>
        <v>0.27580644901048385</v>
      </c>
      <c r="BQ145" s="21">
        <f>EXP(-LN(2)/25)*BQ144+(1-EXP(-LN(2)/25))/(LN(2)/25)*Calculateur!BL145*Calculateur!BN145*VLOOKUP('Données projet'!$B$11,Paramètres!$A$1:$I$89,3,0)*0.475*44/12</f>
        <v>0.68417261397872076</v>
      </c>
      <c r="BR145" s="21">
        <f>EXP(-LN(2)/2)*BR144+(1-EXP(-LN(2)/2))/(LN(2)/2)*BL145*BO145*VLOOKUP('Données projet'!$B$11,Paramètres!$A$1:$I$89,3,0)*0.475*44/12</f>
        <v>3.0446954777026042E-16</v>
      </c>
      <c r="BS145" s="22">
        <f t="shared" si="117"/>
        <v>0.95997906298920499</v>
      </c>
      <c r="BT145" s="75">
        <f>('Scénario référence'!$F$8+'Scénario référence'!$F$9+'Scénario référence'!$B$17+'Scénario référence'!$B$9+'Scénario référence'!$B$10)*70+IF((45+25*(1-EXP(-0.0175*A145)))&lt;70,'Scénario référence'!$B$16*(45+25*(1-EXP(-0.0175*A145))),70*'Scénario référence'!$B$16)+IF((32+38*(1-EXP(-0.0175*A145)))&lt;70,'Scénario référence'!$B$18*(32+38*(1-EXP(-0.0175*A145))),70*'Scénario référence'!$B$18)</f>
        <v>70</v>
      </c>
      <c r="BU145" s="12">
        <f>IF(A145&gt;30,10,('Scénario référence'!$B$16+'Scénario référence'!$B$17+'Scénario référence'!$B$18+'Scénario référence'!$B$9+'Scénario référence'!$B$10)*A145*10/30+('Scénario référence'!$F$8+'Scénario référence'!$F$9)*10)</f>
        <v>10</v>
      </c>
      <c r="BV145" s="12" t="e">
        <f>VLOOKUP(A145,'Données projet'!$A$113:$I$133,2,0)</f>
        <v>#N/A</v>
      </c>
      <c r="BW145" s="12" t="e">
        <f>VLOOKUP(A145,'Données projet'!$A$113:$I$133,9,0)</f>
        <v>#N/A</v>
      </c>
      <c r="BX145" s="12">
        <f t="array" ref="BX145">INDEX(BW:BW,MIN(IF(ISNUMBER(BW145:BW341),ROW(BW145:BW341),"")))</f>
        <v>0</v>
      </c>
      <c r="BY145" s="12">
        <f>IF('Données projet'!$A$114&gt;35,BY144+BX145-CG144,IF(A145&lt;'Données projet'!$A$114,$BV$205^A145,IF(A145='Données projet'!$A$114,'Données projet'!$B$114,BY144+BX145-CG144)))</f>
        <v>333.99999999999977</v>
      </c>
      <c r="BZ145" s="13">
        <f>BY145*VLOOKUP('Données projet'!$B$12,Paramètres!$A$1:$I$89,3,0)*VLOOKUP('Données projet'!$B$12,Paramètres!$A$1:$I$89,5,0)</f>
        <v>191.04799999999986</v>
      </c>
      <c r="CA145" s="13">
        <f t="shared" si="147"/>
        <v>47.771576544305155</v>
      </c>
      <c r="CB145" s="20">
        <f t="shared" si="118"/>
        <v>415.94409581466454</v>
      </c>
      <c r="CC145" s="59">
        <f t="shared" si="119"/>
        <v>709.27742914799785</v>
      </c>
      <c r="CD145" s="59">
        <f ca="1">AVERAGE(OFFSET($CC$3,0,0,'Données projet'!$E$12+1,1))-AVERAGE(OFFSET($H$3,0,0,'Données projet'!$E$12+1,1))</f>
        <v>188.64374818906128</v>
      </c>
      <c r="CE145" s="59">
        <f t="shared" si="148"/>
        <v>211.95157880548652</v>
      </c>
      <c r="CF145" s="15">
        <f>IF(ISNA(VLOOKUP(A145,'Données projet'!$A$113:$I$133,3,0)),0,VLOOKUP(A145,'Données projet'!$A$113:$I$133,3,0))</f>
        <v>0</v>
      </c>
      <c r="CG145" s="15">
        <f>IF(ISNA(VLOOKUP(A145,'Données projet'!$A$113:$I$133,4,0)),0,VLOOKUP(A145,'Données projet'!$A$113:$I$133,4,0))</f>
        <v>0</v>
      </c>
      <c r="CH145" s="16">
        <f>IF(ISNA(VLOOKUP(A145,'Données projet'!$A$113:$I$133,5,0)),0%,VLOOKUP(A145,'Données projet'!$A$113:$I$133,5,0)*VLOOKUP('Données projet'!$B$12,Paramètres!$A$1:$I$89,7,0))</f>
        <v>0</v>
      </c>
      <c r="CI145" s="16">
        <f>IF(ISNA(VLOOKUP(A145,'Données projet'!$A$113:$I$133,6,0)),0%,VLOOKUP(A145,'Données projet'!$A$113:$I$133,6,0)*VLOOKUP('Données projet'!$B$12,Paramètres!$A$1:$I$89,7,0))</f>
        <v>0</v>
      </c>
      <c r="CJ145" s="16">
        <f>IF(ISNA(VLOOKUP(A145,'Données projet'!$A$113:$I$133,7,0)),0%,VLOOKUP(A145,'Données projet'!$A$113:$I$133,7,0))</f>
        <v>0</v>
      </c>
      <c r="CK145" s="21">
        <f>EXP(-LN(2)/35)*CK144+(1-EXP(-LN(2)/35))/(LN(2)/35)*CG145*CH145*VLOOKUP('Données projet'!$B$12,Paramètres!$A$1:$I$89,3,0)*0.475*44/12</f>
        <v>0.26753056658457197</v>
      </c>
      <c r="CL145" s="21">
        <f>EXP(-LN(2)/25)*CL144+(1-EXP(-LN(2)/25))/(LN(2)/25)*Calculateur!CG145*Calculateur!CI145*VLOOKUP('Données projet'!$B$12,Paramètres!$A$1:$I$89,3,0)*0.475*44/12</f>
        <v>0.64395875515076106</v>
      </c>
      <c r="CM145" s="21">
        <f>EXP(-LN(2)/2)*CM144+(1-EXP(-LN(2)/2))/(LN(2)/2)*CG145*CJ145*VLOOKUP('Données projet'!$B$12,Paramètres!$A$1:$I$89,3,0)*0.475*44/12</f>
        <v>2.9485493496428728E-16</v>
      </c>
      <c r="CN145" s="22">
        <f t="shared" si="120"/>
        <v>0.91148932173533337</v>
      </c>
      <c r="CO145" s="75">
        <f>('Scénario référence'!$F$8+'Scénario référence'!$F$9+'Scénario référence'!$B$17+'Scénario référence'!$B$9+'Scénario référence'!$B$10)*70+IF((45+25*(1-EXP(-0.0175*A145)))&lt;70,'Scénario référence'!$B$16*(45+25*(1-EXP(-0.0175*A145))),70*'Scénario référence'!$B$16)+IF((32+38*(1-EXP(-0.0175*A145)))&lt;70,'Scénario référence'!$B$18*(32+38*(1-EXP(-0.0175*A145))),70*'Scénario référence'!$B$18)</f>
        <v>70</v>
      </c>
      <c r="CP145" s="12">
        <f>IF(A145&gt;30,10,('Scénario référence'!$B$16+'Scénario référence'!$B$17+'Scénario référence'!$B$18+'Scénario référence'!$B$9+'Scénario référence'!$B$10)*A145*10/30+('Scénario référence'!$F$8+'Scénario référence'!$F$9)*10)</f>
        <v>10</v>
      </c>
      <c r="CQ145" s="12" t="e">
        <f>VLOOKUP(A145,'Données projet'!$A$139:$I$159,2,0)</f>
        <v>#N/A</v>
      </c>
      <c r="CR145" s="12" t="e">
        <f>VLOOKUP(A145,'Données projet'!$A$139:$I$159,9,0)</f>
        <v>#N/A</v>
      </c>
      <c r="CS145" s="12">
        <f t="array" ref="CS145">INDEX(CR:CR,MIN(IF(ISNUMBER(CR145:CR341),ROW(CR145:CR341),"")))</f>
        <v>0</v>
      </c>
      <c r="CT145" s="12">
        <f>IF('Données projet'!$A$140&gt;35,CT144+CS145-DB144,IF(A145&lt;'Données projet'!$A$140,$CQ$205^A145,IF(A145='Données projet'!$A$140,'Données projet'!$B$140,CT144+CS145-DB144)))</f>
        <v>0</v>
      </c>
      <c r="CU145" s="17" t="e">
        <f>CT145*VLOOKUP('Données projet'!$B$13,Paramètres!$A$1:$I$89,3,0)*VLOOKUP('Données projet'!$B$13,Paramètres!$A$1:$I$89,5,0)</f>
        <v>#N/A</v>
      </c>
      <c r="CV145" s="13" t="e">
        <f t="shared" si="149"/>
        <v>#N/A</v>
      </c>
      <c r="CW145" s="20" t="e">
        <f t="shared" si="121"/>
        <v>#N/A</v>
      </c>
      <c r="CX145" s="59" t="e">
        <f t="shared" si="122"/>
        <v>#N/A</v>
      </c>
      <c r="CY145" s="59" t="e">
        <f ca="1">AVERAGE(OFFSET($CX$3,0,0,'Données projet'!$E$13+1,1))-AVERAGE(OFFSET($H$3,0,0,'Données projet'!$E$13+1,1))</f>
        <v>#N/A</v>
      </c>
      <c r="CZ145" s="59" t="e">
        <f t="shared" si="150"/>
        <v>#N/A</v>
      </c>
      <c r="DA145" s="15">
        <f>IF(ISNA(VLOOKUP(A145,'Données projet'!$A$139:$I$159,3,0)),0,VLOOKUP(A145,'Données projet'!$A$139:$I$159,3,0))</f>
        <v>0</v>
      </c>
      <c r="DB145" s="15">
        <f>IF(ISNA(VLOOKUP(A145,'Données projet'!$A$139:$I$159,4,0)),0,VLOOKUP(A145,'Données projet'!$A$139:$I$159,4,0))</f>
        <v>0</v>
      </c>
      <c r="DC145" s="16">
        <f>IF(ISNA(VLOOKUP(A145,'Données projet'!$A$139:$I$159,5,0)),0%,VLOOKUP(A145,'Données projet'!$A$139:$I$159,5,0)*VLOOKUP('Données projet'!$B$13,Paramètres!$A$1:$I$89,7,0))</f>
        <v>0</v>
      </c>
      <c r="DD145" s="16">
        <f>IF(ISNA(VLOOKUP(A145,'Données projet'!$A$139:$I$159,6,0)),0%,VLOOKUP(A145,'Données projet'!$A$139:$I$159,6,0)*VLOOKUP('Données projet'!$B$13,Paramètres!$A$1:$I$89,7,0))</f>
        <v>0</v>
      </c>
      <c r="DE145" s="16">
        <f>IF(ISNA(VLOOKUP(A145,'Données projet'!$A$139:$I$159,7,0)),0%,VLOOKUP(A145,'Données projet'!$A$139:$I$159,7,0))</f>
        <v>0</v>
      </c>
      <c r="DF145" s="21" t="e">
        <f>EXP(-LN(2)/35)*DF144+(1-EXP(-LN(2)/35))/(LN(2)/35)*DB145*DC145*VLOOKUP('Données projet'!$B$13,Paramètres!$A$1:$I$89,3,0)*0.475*44/12</f>
        <v>#N/A</v>
      </c>
      <c r="DG145" s="21" t="e">
        <f>EXP(-LN(2)/25)*DG144+(1-EXP(-LN(2)/25))/(LN(2)/25)*Calculateur!DB145*Calculateur!DD145*VLOOKUP('Données projet'!$B$13,Paramètres!$A$1:$I$89,3,0)*0.475*44/12</f>
        <v>#N/A</v>
      </c>
      <c r="DH145" s="21" t="e">
        <f>EXP(-LN(2)/2)*DH144+(1-EXP(-LN(2)/2))/(LN(2)/2)*DB145*DE145*VLOOKUP('Données projet'!$B$13,Paramètres!$A$1:$I$89,3,0)*0.475*44/12</f>
        <v>#N/A</v>
      </c>
      <c r="DI145" s="22" t="e">
        <f t="shared" si="123"/>
        <v>#N/A</v>
      </c>
      <c r="DJ145" s="75">
        <f>('Scénario référence'!$F$8+'Scénario référence'!$F$9+'Scénario référence'!$B$17+'Scénario référence'!$B$9+'Scénario référence'!$B$10)*70+IF((45+25*(1-EXP(-0.0175*A145)))&lt;70,'Scénario référence'!$B$16*(45+25*(1-EXP(-0.0175*A145))),70*'Scénario référence'!$B$16)+IF((32+38*(1-EXP(-0.0175*A145)))&lt;70,'Scénario référence'!$B$18*(32+38*(1-EXP(-0.0175*A145))),70*'Scénario référence'!$B$18)</f>
        <v>70</v>
      </c>
      <c r="DK145" s="12">
        <f>IF(A145&gt;30,10,('Scénario référence'!$B$16+'Scénario référence'!$B$17+'Scénario référence'!$B$18+'Scénario référence'!$B$9+'Scénario référence'!$B$10)*A145*10/30+('Scénario référence'!$F$8+'Scénario référence'!$F$9)*10)</f>
        <v>10</v>
      </c>
      <c r="DL145" s="12" t="e">
        <f>VLOOKUP(A145,'Données projet'!$A$165:$I$185,2,0)</f>
        <v>#N/A</v>
      </c>
      <c r="DM145" s="12" t="e">
        <f>VLOOKUP(A145,'Données projet'!$A$165:$I$185,9,0)</f>
        <v>#N/A</v>
      </c>
      <c r="DN145" s="12">
        <f t="array" ref="DN145">INDEX(DM:DM,MIN(IF(ISNUMBER(DM145:DM341),ROW(DM145:DM341),"")))</f>
        <v>0</v>
      </c>
      <c r="DO145" s="12">
        <f>IF('Données projet'!$A$166&gt;35,DO144+DN145-DW144,IF(A145&lt;'Données projet'!$A$166,$DL$205^A145,IF(A145='Données projet'!$A$166,'Données projet'!$B$166,DO144+DN145-DW144)))</f>
        <v>268.00000000000017</v>
      </c>
      <c r="DP145" s="17">
        <f>DO145*VLOOKUP('Données projet'!$B$14,Paramètres!$A$1:$I$89,3,0)*VLOOKUP('Données projet'!$B$14,Paramètres!$A$1:$I$89,5,0)</f>
        <v>175.59360000000012</v>
      </c>
      <c r="DQ145" s="13">
        <f t="shared" si="151"/>
        <v>44.340433728638573</v>
      </c>
      <c r="DR145" s="20">
        <f t="shared" si="124"/>
        <v>383.05177541071242</v>
      </c>
      <c r="DS145" s="59">
        <f t="shared" si="125"/>
        <v>676.38510874404574</v>
      </c>
      <c r="DT145" s="59">
        <f ca="1">AVERAGE(OFFSET($DS$3,0,0,'Données projet'!$E$14+1,1))-AVERAGE(OFFSET($H$3,0,0,'Données projet'!$E$14+1,1))</f>
        <v>188.68915783955595</v>
      </c>
      <c r="DU145" s="59">
        <f t="shared" si="152"/>
        <v>240.82467772396944</v>
      </c>
      <c r="DV145" s="15">
        <f>IF(ISNA(VLOOKUP(A145,'Données projet'!$A$165:$I$185,3,0)),0,VLOOKUP(A145,'Données projet'!$A$165:$I$185,3,0))</f>
        <v>0</v>
      </c>
      <c r="DW145" s="15">
        <f>IF(ISNA(VLOOKUP(A145,'Données projet'!$A$165:$I$185,4,0)),0,VLOOKUP(A145,'Données projet'!$A$165:$I$185,4,0))</f>
        <v>0</v>
      </c>
      <c r="DX145" s="16">
        <f>IF(ISNA(VLOOKUP(A145,'Données projet'!$A$165:$I$185,5,0)),0%,VLOOKUP(A145,'Données projet'!$A$165:$I$185,5,0)*VLOOKUP('Données projet'!$B$14,Paramètres!$A$1:$I$89,7,0))</f>
        <v>0</v>
      </c>
      <c r="DY145" s="16">
        <f>IF(ISNA(VLOOKUP(A145,'Données projet'!$A$165:$I$185,6,0)),0%,VLOOKUP(A145,'Données projet'!$A$165:$I$185,6,0)*VLOOKUP('Données projet'!$B$14,Paramètres!$A$1:$I$89,7,0))</f>
        <v>0</v>
      </c>
      <c r="DZ145" s="16">
        <f>IF(ISNA(VLOOKUP(A145,'Données projet'!$A$165:$I$185,7,0)),0%,VLOOKUP(A145,'Données projet'!$A$165:$I$185,7,0))</f>
        <v>0</v>
      </c>
      <c r="EA145" s="21">
        <f>EXP(-LN(2)/35)*EA144+(1-EXP(-LN(2)/35))/(LN(2)/35)*DW145*DX145*VLOOKUP('Données projet'!$B$14,Paramètres!$A$1:$I$89,3,0)*0.475*44/12</f>
        <v>0.16945854491152376</v>
      </c>
      <c r="EB145" s="21">
        <f>EXP(-LN(2)/25)*EB144+(1-EXP(-LN(2)/25))/(LN(2)/25)*Calculateur!DW145*Calculateur!DY145*VLOOKUP('Données projet'!$B$14,Paramètres!$A$1:$I$89,3,0)*0.475*44/12</f>
        <v>0.36019294426105825</v>
      </c>
      <c r="EC145" s="21">
        <f>EXP(-LN(2)/2)*EC144+(1-EXP(-LN(2)/2))/(LN(2)/2)*DW145*DZ145*VLOOKUP('Données projet'!$B$14,Paramètres!$A$1:$I$89,3,0)*0.475*44/12</f>
        <v>1.9423918010418161E-16</v>
      </c>
      <c r="ED145" s="22">
        <f t="shared" si="126"/>
        <v>0.5296514891725822</v>
      </c>
      <c r="EE145" s="75">
        <f>('Scénario référence'!$F$8+'Scénario référence'!$F$9+'Scénario référence'!$B$17+'Scénario référence'!$B$9+'Scénario référence'!$B$10)*70+IF((45+25*(1-EXP(-0.0175*A145)))&lt;70,'Scénario référence'!$B$16*(45+25*(1-EXP(-0.0175*A145))),70*'Scénario référence'!$B$16)+IF((32+38*(1-EXP(-0.0175*A145)))&lt;70,'Scénario référence'!$B$18*(32+38*(1-EXP(-0.0175*A145))),70*'Scénario référence'!$B$18)</f>
        <v>70</v>
      </c>
      <c r="EF145" s="12">
        <f>IF(A145&gt;30,10,('Scénario référence'!$B$16+'Scénario référence'!$B$17+'Scénario référence'!$B$18+'Scénario référence'!$B$9+'Scénario référence'!$B$10)*A145*10/30+('Scénario référence'!$F$8+'Scénario référence'!$F$9)*10)</f>
        <v>10</v>
      </c>
      <c r="EG145" s="12" t="e">
        <f>VLOOKUP(A145,'Données projet'!$A$191:$I$211,2,0)</f>
        <v>#N/A</v>
      </c>
      <c r="EH145" s="12" t="e">
        <f>VLOOKUP(A145,'Données projet'!$A$191:$I$211,9,0)</f>
        <v>#N/A</v>
      </c>
      <c r="EI145" s="12">
        <f t="array" ref="EI145">INDEX(EH:EH,MIN(IF(ISNUMBER(EH145:EH341),ROW(EH145:EH341),"")))</f>
        <v>0</v>
      </c>
      <c r="EJ145" s="12">
        <f>IF('Données projet'!$A$192&gt;35,EJ144+EI145-ER144,IF(A145&lt;'Données projet'!$A$192,$EG$205^A145,IF(A145='Données projet'!$A$192,'Données projet'!$B$192,EJ144+EI145-ER144)))</f>
        <v>275.99999999999972</v>
      </c>
      <c r="EK145" s="17">
        <f>EJ145*VLOOKUP('Données projet'!$B$15,Paramètres!$A$1:$I$89,3,0)*VLOOKUP('Données projet'!$B$15,Paramètres!$A$1:$I$89,5,0)</f>
        <v>223.8911999999998</v>
      </c>
      <c r="EL145" s="13">
        <f t="shared" si="153"/>
        <v>54.95975389514858</v>
      </c>
      <c r="EM145" s="20">
        <f t="shared" si="127"/>
        <v>485.66541136738346</v>
      </c>
      <c r="EN145" s="59">
        <f t="shared" si="128"/>
        <v>778.99874470071677</v>
      </c>
      <c r="EO145" s="59">
        <f ca="1">AVERAGE(OFFSET($EN$3,0,0,'Données projet'!$E$15+1,1))-AVERAGE(OFFSET($H$3,0,0,'Données projet'!$E$15+1,1))</f>
        <v>205.5272583787887</v>
      </c>
      <c r="EP145" s="59">
        <f t="shared" si="154"/>
        <v>180.54762778843178</v>
      </c>
      <c r="EQ145" s="15">
        <f>IF(ISNA(VLOOKUP(A145,'Données projet'!$A$191:$I$211,3,0)),0,VLOOKUP(A145,'Données projet'!$A$191:$I$211,3,0))</f>
        <v>0</v>
      </c>
      <c r="ER145" s="15">
        <f>IF(ISNA(VLOOKUP(A145,'Données projet'!$A$191:$I$211,4,0)),0,VLOOKUP(A145,'Données projet'!$A$191:$I$211,4,0))</f>
        <v>0</v>
      </c>
      <c r="ES145" s="16">
        <f>IF(ISNA(VLOOKUP(A145,'Données projet'!$A$191:$I$211,5,0)),0%,VLOOKUP(A145,'Données projet'!$A$191:$I$211,5,0)*VLOOKUP('Données projet'!$B$15,Paramètres!$A$1:$I$89,7,0))</f>
        <v>0</v>
      </c>
      <c r="ET145" s="16">
        <f>IF(ISNA(VLOOKUP(A145,'Données projet'!$A$191:$I$211,6,0)),0%,VLOOKUP(A145,'Données projet'!$A$191:$I$211,6,0)*VLOOKUP('Données projet'!$B$15,Paramètres!$A$1:$I$89,7,0))</f>
        <v>0</v>
      </c>
      <c r="EU145" s="16">
        <f>IF(ISNA(VLOOKUP(A145,'Données projet'!$A$191:$I$211,7,0)),0%,VLOOKUP(A145,'Données projet'!$A$191:$I$211,7,0))</f>
        <v>0</v>
      </c>
      <c r="EV145" s="21">
        <f>EXP(-LN(2)/35)*EV144+(1-EXP(-LN(2)/35))/(LN(2)/35)*ER145*ES145*VLOOKUP('Données projet'!$B$15,Paramètres!$A$1:$I$89,3,0)*0.475*44/12</f>
        <v>0.10909902510494299</v>
      </c>
      <c r="EW145" s="21">
        <f>EXP(-LN(2)/25)*EW144+(1-EXP(-LN(2)/25))/(LN(2)/25)*Calculateur!ER145*Calculateur!ET145*VLOOKUP('Données projet'!$B$15,Paramètres!$A$1:$I$89,3,0)*0.475*44/12</f>
        <v>0.26007023255699108</v>
      </c>
      <c r="EX145" s="21">
        <f>EXP(-LN(2)/2)*EX144+(1-EXP(-LN(2)/2))/(LN(2)/2)*ER145*EU145*VLOOKUP('Données projet'!$B$15,Paramètres!$A$1:$I$89,3,0)*0.475*44/12</f>
        <v>1.2577001274299758E-16</v>
      </c>
      <c r="EY145" s="22">
        <f t="shared" si="129"/>
        <v>0.3691692576619342</v>
      </c>
      <c r="EZ145" s="75">
        <f>('Scénario référence'!$F$8+'Scénario référence'!$F$9+'Scénario référence'!$B$17+'Scénario référence'!$B$9+'Scénario référence'!$B$10)*70+IF((45+25*(1-EXP(-0.0175*A145)))&lt;70,'Scénario référence'!$B$16*(45+25*(1-EXP(-0.0175*A145))),70*'Scénario référence'!$B$16)+IF((32+38*(1-EXP(-0.0175*A145)))&lt;70,'Scénario référence'!$B$18*(32+38*(1-EXP(-0.0175*A145))),70*'Scénario référence'!$B$18)</f>
        <v>70</v>
      </c>
      <c r="FA145" s="12">
        <f>IF(A145&gt;30,10,('Scénario référence'!$B$16+'Scénario référence'!$B$17+'Scénario référence'!$B$18+'Scénario référence'!$B$9+'Scénario référence'!$B$10)*A145*10/30+('Scénario référence'!$F$8+'Scénario référence'!$F$9)*10)</f>
        <v>10</v>
      </c>
      <c r="FB145" s="12" t="e">
        <f>VLOOKUP(A145,'Données projet'!$A$217:$I$237,2,0)</f>
        <v>#N/A</v>
      </c>
      <c r="FC145" s="12" t="e">
        <f>VLOOKUP(A145,'Données projet'!$A$217:$I$237,9,0)</f>
        <v>#N/A</v>
      </c>
      <c r="FD145" s="12">
        <f t="array" ref="FD145">INDEX(FC:FC,MIN(IF(ISNUMBER(FC145:FC341),ROW(FC145:FC341),"")))</f>
        <v>4.7</v>
      </c>
      <c r="FE145" s="12">
        <f>IF('Données projet'!$A$218&gt;35,FE144+FD145-FM144,IF(A145&lt;'Données projet'!$A$218,$FB$205^A145,IF(A145='Données projet'!$A$218,'Données projet'!$B$218,FE144+FD145-FM144)))</f>
        <v>421.39999999999992</v>
      </c>
      <c r="FF145" s="17">
        <f>FE145*VLOOKUP('Données projet'!$B$16,Paramètres!$A$1:$I$89,3,0)*VLOOKUP('Données projet'!$B$16,Paramètres!$A$1:$I$89,5,0)</f>
        <v>361.56119999999999</v>
      </c>
      <c r="FG145" s="13">
        <f t="shared" si="155"/>
        <v>83.938561121591817</v>
      </c>
      <c r="FH145" s="20">
        <f t="shared" si="130"/>
        <v>775.91208395343892</v>
      </c>
      <c r="FI145" s="59">
        <f t="shared" si="131"/>
        <v>1069.2454172867722</v>
      </c>
      <c r="FJ145" s="59">
        <f ca="1">AVERAGE(OFFSET($FI$3,0,0,'Données projet'!$E$16+1,1))-AVERAGE(OFFSET($H$3,0,0,'Données projet'!$E$16+1,1))</f>
        <v>383.97627237444709</v>
      </c>
      <c r="FK145" s="59">
        <f t="shared" si="156"/>
        <v>203.35476578922339</v>
      </c>
      <c r="FL145" s="15">
        <f>IF(ISNA(VLOOKUP(A145,'Données projet'!$A$217:$I$237,3,0)),0,VLOOKUP(A145,'Données projet'!$A$217:$I$237,3,0))</f>
        <v>0</v>
      </c>
      <c r="FM145" s="15">
        <f>IF(ISNA(VLOOKUP(A145,'Données projet'!$A$217:$I$237,4,0)),0,VLOOKUP(A145,'Données projet'!$A$217:$I$237,4,0))</f>
        <v>0</v>
      </c>
      <c r="FN145" s="16">
        <f>IF(ISNA(VLOOKUP(A145,'Données projet'!$A$217:$I$237,5,0)),0%,VLOOKUP(A145,'Données projet'!$A$217:$I$237,5,0)*VLOOKUP('Données projet'!$B$16,Paramètres!$A$1:$I$89,7,0))</f>
        <v>0</v>
      </c>
      <c r="FO145" s="16">
        <f>IF(ISNA(VLOOKUP(A145,'Données projet'!$A$217:$I$237,6,0)),0%,VLOOKUP(A145,'Données projet'!$A$217:$I$237,6,0)*VLOOKUP('Données projet'!$B$16,Paramètres!$A$1:$I$89,7,0))</f>
        <v>0</v>
      </c>
      <c r="FP145" s="16">
        <f>IF(ISNA(VLOOKUP(A145,'Données projet'!$A$217:$I$237,7,0)),0%,VLOOKUP(A145,'Données projet'!$A$217:$I$237,7,0))</f>
        <v>0</v>
      </c>
      <c r="FQ145" s="21">
        <f>EXP(-LN(2)/35)*FQ144+(1-EXP(-LN(2)/35))/(LN(2)/35)*FM145*FN145*VLOOKUP('Données projet'!$B$16,Paramètres!$A$1:$I$89,3,0)*0.475*44/12</f>
        <v>0.56070980052881592</v>
      </c>
      <c r="FR145" s="21">
        <f>EXP(-LN(2)/25)*FR144+(1-EXP(-LN(2)/25))/(LN(2)/25)*Calculateur!FM145*Calculateur!FO145*VLOOKUP('Données projet'!$B$16,Paramètres!$A$1:$I$89,3,0)*0.475*44/12</f>
        <v>0.26399816685855487</v>
      </c>
      <c r="FS145" s="21">
        <f>EXP(-LN(2)/2)*FS144+(1-EXP(-LN(2)/2))/(LN(2)/2)*FM145*FP145*VLOOKUP('Données projet'!$B$16,Paramètres!$A$1:$I$89,3,0)*0.475*44/12</f>
        <v>2.310137016651988E-16</v>
      </c>
      <c r="FT145" s="22">
        <f t="shared" si="132"/>
        <v>0.82470796738737095</v>
      </c>
      <c r="FU145" s="75">
        <f>('Scénario référence'!$F$8+'Scénario référence'!$F$9+'Scénario référence'!$B$17+'Scénario référence'!$B$9+'Scénario référence'!$B$10)*70+IF((45+25*(1-EXP(-0.0175*A145)))&lt;70,'Scénario référence'!$B$16*(45+25*(1-EXP(-0.0175*A145))),70*'Scénario référence'!$B$16)+IF((32+38*(1-EXP(-0.0175*A145)))&lt;70,'Scénario référence'!$B$18*(32+38*(1-EXP(-0.0175*A145))),70*'Scénario référence'!$B$18)</f>
        <v>70</v>
      </c>
      <c r="FV145" s="12">
        <f>IF(A145&gt;30,10,('Scénario référence'!$B$16+'Scénario référence'!$B$17+'Scénario référence'!$B$18+'Scénario référence'!$B$9+'Scénario référence'!$B$10)*A145*10/30+('Scénario référence'!$F$8+'Scénario référence'!$F$9)*10)</f>
        <v>10</v>
      </c>
      <c r="FW145" s="12" t="e">
        <f>VLOOKUP(A145,'Données projet'!$A$243:$I$263,2,0)</f>
        <v>#N/A</v>
      </c>
      <c r="FX145" s="12" t="e">
        <f>VLOOKUP(A145,'Données projet'!$A$243:$I$263,9,0)</f>
        <v>#N/A</v>
      </c>
      <c r="FY145" s="12">
        <f t="array" ref="FY145">INDEX(FX:FX,MIN(IF(ISNUMBER(FX145:FX341),ROW(FX145:FX341),"")))</f>
        <v>0</v>
      </c>
      <c r="FZ145" s="12">
        <f>IF('Données projet'!$A$244&gt;35,FZ144+FY145-GH144,IF(A145&lt;'Données projet'!$A$244,$FW$205^A145,IF(A145='Données projet'!$A$244,'Données projet'!$B$244,FZ144+FY145-GH144)))</f>
        <v>4.5474735088646412E-13</v>
      </c>
      <c r="GA145" s="17">
        <f>FZ145*VLOOKUP('Données projet'!$B$17,Paramètres!$A$1:$I$89,3,0)*VLOOKUP('Données projet'!$B$17,Paramètres!$A$1:$I$89,5,0)</f>
        <v>4.8949004849418999E-13</v>
      </c>
      <c r="GB145" s="13">
        <f t="shared" si="157"/>
        <v>6.1123715499968684E-12</v>
      </c>
      <c r="GC145" s="20">
        <f t="shared" si="133"/>
        <v>1.1498242284038591E-11</v>
      </c>
      <c r="GD145" s="59">
        <f t="shared" si="134"/>
        <v>293.3333333333448</v>
      </c>
      <c r="GE145" s="59">
        <f ca="1">AVERAGE(OFFSET($GD$3,0,0,'Données projet'!$E$17+1,1))-AVERAGE(OFFSET($H$3,0,0,'Données projet'!$E$17+1,1))</f>
        <v>286.77702855541287</v>
      </c>
      <c r="GF145" s="59">
        <f t="shared" si="158"/>
        <v>227.12211541860779</v>
      </c>
      <c r="GG145" s="15">
        <f>IF(ISNA(VLOOKUP(A145,'Données projet'!$A$243:$I$263,3,0)),0,VLOOKUP(A145,'Données projet'!$A$243:$I$263,3,0))</f>
        <v>0</v>
      </c>
      <c r="GH145" s="15">
        <f>IF(ISNA(VLOOKUP(A145,'Données projet'!$A$243:$I$263,4,0)),0,VLOOKUP(A145,'Données projet'!$A$243:$I$263,4,0))</f>
        <v>0</v>
      </c>
      <c r="GI145" s="16">
        <f>IF(ISNA(VLOOKUP(A145,'Données projet'!$A$243:$I$263,5,0)),0%,VLOOKUP(A145,'Données projet'!$A$243:$I$263,5,0)*VLOOKUP('Données projet'!$B$17,Paramètres!$A$1:$I$89,7,0))</f>
        <v>0</v>
      </c>
      <c r="GJ145" s="16">
        <f>IF(ISNA(VLOOKUP(A145,'Données projet'!$A$243:$I$263,6,0)),0%,VLOOKUP(A145,'Données projet'!$A$243:$I$263,6,0)*VLOOKUP('Données projet'!$B$17,Paramètres!$A$1:$I$89,7,0))</f>
        <v>0</v>
      </c>
      <c r="GK145" s="16">
        <f>IF(ISNA(VLOOKUP(A145,'Données projet'!$A$243:$I$263,7,0)),0%,VLOOKUP(A145,'Données projet'!$A$243:$I$263,7,0))</f>
        <v>0</v>
      </c>
      <c r="GL145" s="21">
        <f>EXP(-LN(2)/35)*GL144+(1-EXP(-LN(2)/35))/(LN(2)/35)*GH145*GI145*VLOOKUP('Données projet'!$B$17,Paramètres!$A$1:$I$89,3,0)*0.475*44/12</f>
        <v>0</v>
      </c>
      <c r="GM145" s="21">
        <f>EXP(-LN(2)/25)*GM144+(1-EXP(-LN(2)/25))/(LN(2)/25)*Calculateur!GH145*Calculateur!GJ145*VLOOKUP('Données projet'!$B$17,Paramètres!$A$1:$I$89,3,0)*0.475*44/12</f>
        <v>0</v>
      </c>
      <c r="GN145" s="21">
        <f>EXP(-LN(2)/2)*GN144+(1-EXP(-LN(2)/2))/(LN(2)/2)*GH145*GK145*VLOOKUP('Données projet'!$B$17,Paramètres!$A$1:$I$89,3,0)*0.475*44/12</f>
        <v>0</v>
      </c>
      <c r="GO145" s="21">
        <f t="shared" si="135"/>
        <v>0</v>
      </c>
      <c r="GP145" s="75">
        <f>('Scénario référence'!$F$8+'Scénario référence'!$F$9+'Scénario référence'!$B$17+'Scénario référence'!$B$9+'Scénario référence'!$B$10)*70+IF((45+25*(1-EXP(-0.0175*A145)))&lt;70,'Scénario référence'!$B$16*(45+25*(1-EXP(-0.0175*A145))),70*'Scénario référence'!$B$16)+IF((32+38*(1-EXP(-0.0175*A145)))&lt;70,'Scénario référence'!$B$18*(32+38*(1-EXP(-0.0175*A145))),70*'Scénario référence'!$B$18)</f>
        <v>70</v>
      </c>
      <c r="GQ145" s="12">
        <f>IF(A145&gt;30,10,('Scénario référence'!$B$16+'Scénario référence'!$B$17+'Scénario référence'!$B$18+'Scénario référence'!$B$9+'Scénario référence'!$B$10)*A145*10/30+('Scénario référence'!$F$8+'Scénario référence'!$F$9)*10)</f>
        <v>10</v>
      </c>
      <c r="GR145" s="12" t="e">
        <f>VLOOKUP(A145,'Données projet'!$A$269:$I$289,2,0)</f>
        <v>#N/A</v>
      </c>
      <c r="GS145" s="12" t="e">
        <f>VLOOKUP(A145,'Données projet'!$A$269:$I$289,9,0)</f>
        <v>#N/A</v>
      </c>
      <c r="GT145" s="12">
        <f t="array" ref="GT145">INDEX(GS:GS,MIN(IF(ISNUMBER(GS145:GS341),ROW(GS145:GS341),"")))</f>
        <v>0</v>
      </c>
      <c r="GU145" s="12">
        <f>IF('Données projet'!$A$270&gt;35,GU144+GT145-HC144,IF(A145&lt;'Données projet'!$A$270,$GR$205^A145,IF(A145='Données projet'!$A$270,'Données projet'!$B$270,GU144+GT145-HC144)))</f>
        <v>4.5474735088646412E-13</v>
      </c>
      <c r="GV145" s="17">
        <f>GU145*VLOOKUP('Données projet'!$B$18,Paramètres!$A$1:$I$89,3,0)*VLOOKUP('Données projet'!$B$18,Paramètres!$A$1:$I$89,5,0)</f>
        <v>4.8949004849418999E-13</v>
      </c>
      <c r="GW145" s="13">
        <f t="shared" si="159"/>
        <v>6.1123715499968684E-12</v>
      </c>
      <c r="GX145" s="20">
        <f t="shared" si="136"/>
        <v>1.1498242284038591E-11</v>
      </c>
      <c r="GY145" s="59">
        <f t="shared" si="137"/>
        <v>293.3333333333448</v>
      </c>
      <c r="GZ145" s="59">
        <f ca="1">AVERAGE(OFFSET($GY$3,0,0,'Données projet'!$E$18+1,1))-AVERAGE(OFFSET($H$3,0,0,'Données projet'!$E$18+1,1))</f>
        <v>286.77702855541287</v>
      </c>
      <c r="HA145" s="59">
        <f t="shared" si="160"/>
        <v>227.12211541860779</v>
      </c>
      <c r="HB145" s="15">
        <f>IF(ISNA(VLOOKUP(A145,'Données projet'!$A$269:$I$289,3,0)),0,VLOOKUP(A145,'Données projet'!$A$269:$I$289,3,0))</f>
        <v>0</v>
      </c>
      <c r="HC145" s="15">
        <f>IF(ISNA(VLOOKUP(A145,'Données projet'!$A$269:$I$289,4,0)),0,VLOOKUP(A145,'Données projet'!$A$269:$I$289,4,0))</f>
        <v>0</v>
      </c>
      <c r="HD145" s="16">
        <f>IF(ISNA(VLOOKUP(A145,'Données projet'!$A$269:$I$289,5,0)),0%,VLOOKUP(A145,'Données projet'!$A$269:$I$289,5,0)*VLOOKUP('Données projet'!$B$18,Paramètres!$A$1:$I$89,7,0))</f>
        <v>0</v>
      </c>
      <c r="HE145" s="16">
        <f>IF(ISNA(VLOOKUP(A145,'Données projet'!$A$269:$I$289,6,0)),0%,VLOOKUP(A145,'Données projet'!$A$269:$I$289,6,0)*VLOOKUP('Données projet'!$B$18,Paramètres!$A$1:$I$89,7,0))</f>
        <v>0</v>
      </c>
      <c r="HF145" s="16">
        <f>IF(ISNA(VLOOKUP(A145,'Données projet'!$A$269:$I$289,7,0)),0%,VLOOKUP(A145,'Données projet'!$A$269:$I$289,7,0))</f>
        <v>0</v>
      </c>
      <c r="HG145" s="21">
        <f>EXP(-LN(2)/35)*HG144+(1-EXP(-LN(2)/35))/(LN(2)/35)*HC145*HD145*VLOOKUP('Données projet'!$B$18,Paramètres!$A$1:$I$89,3,0)*0.475*44/12</f>
        <v>0</v>
      </c>
      <c r="HH145" s="21">
        <f>EXP(-LN(2)/25)*HH144+(1-EXP(-LN(2)/25))/(LN(2)/25)*Calculateur!HC145*Calculateur!HE145*VLOOKUP('Données projet'!$B$18,Paramètres!$A$1:$I$89,3,0)*0.475*44/12</f>
        <v>0</v>
      </c>
      <c r="HI145" s="21">
        <f>EXP(-LN(2)/2)*HI144+(1-EXP(-LN(2)/2))/(LN(2)/2)*HC145*HF145*VLOOKUP('Données projet'!$B$18,Paramètres!$A$1:$I$89,3,0)*0.475*44/12</f>
        <v>0</v>
      </c>
      <c r="HJ145" s="22">
        <f t="shared" si="138"/>
        <v>0</v>
      </c>
    </row>
    <row r="146" spans="1:218" x14ac:dyDescent="0.25">
      <c r="A146" s="10">
        <f t="shared" si="139"/>
        <v>143</v>
      </c>
      <c r="B146" s="73">
        <f>'Scénario référence'!$B$16*5+'Scénario référence'!$B$17*0+'Scénario référence'!$B$18*5</f>
        <v>0</v>
      </c>
      <c r="C146" s="19">
        <f>Calculateur!C145+'Scénario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127.15560000000025</v>
      </c>
      <c r="D146" s="11">
        <f t="shared" si="140"/>
        <v>33.33825814923194</v>
      </c>
      <c r="E14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46" s="11">
        <f>IF(OR('Scénario référence'!$F$8&gt;0,'Scénario référence'!$F$9&gt;0),('Scénario référence'!$F$8+'Scénario référence'!$F$9)*10,0)</f>
        <v>10</v>
      </c>
      <c r="G146" s="11">
        <f>'Scénario référence'!$B$8*B146*44/12+'Scénario référence'!$B$9*(C146+D146)/0.475*44/12+'Scénario référence'!$B$10*(C146+D146)/0.475*44/12+'Scénario référence'!$F$8*(C146+D146)/0.475*44/12+'Scénario référence'!$F$9*(C146+D146)/0.475*44/12</f>
        <v>1238.8999576431959</v>
      </c>
      <c r="H146" s="67">
        <f t="shared" si="110"/>
        <v>572.8601362765794</v>
      </c>
      <c r="I146" s="70">
        <f>('Scénario référence'!$F$8+'Scénario référence'!$F$9+'Scénario référence'!$B$17+'Scénario référence'!$B$9+'Scénario référence'!$B$10)*70+IF((45+25*(1-EXP(-0.0175*A146)))&lt;70,'Scénario référence'!$B$16*(45+25*(1-EXP(-0.0175*A146))),70*'Scénario référence'!$B$16)+IF((32+38*(1-EXP(-0.0175*A146)))&lt;70,'Scénario référence'!$B$18*(32+38*(1-EXP(-0.0175*A146))),70*'Scénario référence'!$B$18)</f>
        <v>70</v>
      </c>
      <c r="J146" s="13">
        <f>IF(A146&gt;30,10,('Scénario référence'!$B$16+'Scénario référence'!$B$17+'Scénario référence'!$B$18+'Scénario référence'!$B$9+'Scénario référence'!$B$10)*A146*10/30+('Scénario référence'!$F$8+'Scénario référence'!$F$9)*10)</f>
        <v>10</v>
      </c>
      <c r="K146" s="12" t="e">
        <f>VLOOKUP(A146,'Données projet'!$A$35:$I$55,2,0)</f>
        <v>#N/A</v>
      </c>
      <c r="L146" s="12" t="e">
        <f>VLOOKUP(A146,'Données projet'!$A$35:$I$55,9,0)</f>
        <v>#N/A</v>
      </c>
      <c r="M146" s="12">
        <f t="array" ref="M146">INDEX(L:L,MIN(IF(ISNUMBER(L146:L342),ROW(L146:L342),"")))</f>
        <v>0</v>
      </c>
      <c r="N146" s="13">
        <f>IF('Données projet'!$A$36&gt;35,N145+M146-V145,IF(A146&lt;'Données projet'!$A$36,$K$205^A146,IF(A146='Données projet'!$A$36,'Données projet'!$B$36,N145+M146-V145)))</f>
        <v>-2.2737367544323206E-13</v>
      </c>
      <c r="O146" s="13">
        <f>N146*VLOOKUP('Données projet'!$B$9,Paramètres!$A$1:$I$89,3,0)*VLOOKUP('Données projet'!$B$9,Paramètres!$A$1:$I$89,5,0)</f>
        <v>-1.2710188457276673E-13</v>
      </c>
      <c r="P146" s="13" t="e">
        <f t="shared" si="141"/>
        <v>#NUM!</v>
      </c>
      <c r="Q146" s="20" t="e">
        <f t="shared" si="108"/>
        <v>#NUM!</v>
      </c>
      <c r="R146" s="59" t="e">
        <f t="shared" si="109"/>
        <v>#NUM!</v>
      </c>
      <c r="S146" s="59">
        <f ca="1">AVERAGE(OFFSET($R$3,0,0,'Données projet'!$E$9+1,1))-AVERAGE(OFFSET($H$3,0,0,'Données projet'!$E$9+1,1))</f>
        <v>255.5374979188561</v>
      </c>
      <c r="T146" s="59">
        <f t="shared" si="142"/>
        <v>343.10418468620901</v>
      </c>
      <c r="U146" s="15">
        <f>IF(ISNA(VLOOKUP(A146,'Données projet'!$A$35:$I$55,3,0)),0,VLOOKUP(A146,'Données projet'!$A$35:$I$55,3,0))</f>
        <v>0</v>
      </c>
      <c r="V146" s="15">
        <f>IF(ISNA(VLOOKUP(A146,'Données projet'!$A$35:$I$55,4,0)),0,VLOOKUP(A146,'Données projet'!$A$35:$I$55,4,0))</f>
        <v>0</v>
      </c>
      <c r="W146" s="16">
        <f>IF(ISNA(VLOOKUP(A146,'Données projet'!$A$35:$I$55,5,0)),0%,VLOOKUP(A146,'Données projet'!$A$35:$I$55,5,0)*VLOOKUP('Données projet'!$B$9,Paramètres!$A$1:$I$89,7,0))</f>
        <v>0</v>
      </c>
      <c r="X146" s="16">
        <f>IF(ISNA(VLOOKUP(A146,'Données projet'!$A$35:$I$55,6,0)),0%,VLOOKUP(A146,'Données projet'!$A$35:$I$55,6,0)*VLOOKUP('Données projet'!$B$9,Paramètres!$A$1:$I$89,7,0))</f>
        <v>0</v>
      </c>
      <c r="Y146" s="16">
        <f>IF(ISNA(VLOOKUP(A146,'Données projet'!$A$35:$I$55,7,0)),0%,VLOOKUP(A146,'Données projet'!$A$35:$I$55,7,0))</f>
        <v>0</v>
      </c>
      <c r="Z146" s="21">
        <f>EXP(-LN(2)/35)*Z145+(1-EXP(-LN(2)/35))/(LN(2)/35)*V146*W146*VLOOKUP('Données projet'!$B$9,Paramètres!$A$1:$I$89,3,0)*0.475*44/12</f>
        <v>0.32966085233709003</v>
      </c>
      <c r="AA146" s="21">
        <f>EXP(-LN(2)/25)*AA145+(1-EXP(-LN(2)/25))/(LN(2)/25)*Calculateur!V146*Calculateur!X146*VLOOKUP('Données projet'!$B$9,Paramètres!$A$1:$I$89,3,0)*0.475*44/12</f>
        <v>0.69563969797664305</v>
      </c>
      <c r="AB146" s="21">
        <f>EXP(-LN(2)/2)*AB145+(1-EXP(-LN(2)/2))/(LN(2)/2)*V146*Y146*VLOOKUP('Données projet'!$B$9,Paramètres!$A$1:$I$89,3,0)*0.475*44/12</f>
        <v>1.6610126657038994E-17</v>
      </c>
      <c r="AC146" s="22">
        <f t="shared" si="111"/>
        <v>1.0253005503137331</v>
      </c>
      <c r="AD146" s="13">
        <f>('Scénario référence'!$F$8+'Scénario référence'!$F$9+'Scénario référence'!$B$17+'Scénario référence'!$B$9+'Scénario référence'!$B$10)*70+IF((45+25*(1-EXP(-0.0175*A146)))&lt;70,'Scénario référence'!$B$16*(45+25*(1-EXP(-0.0175*A146))),70*'Scénario référence'!$B$16)+IF((32+38*(1-EXP(-0.0175*A146)))&lt;70,'Scénario référence'!$B$18*(32+38*(1-EXP(-0.0175*A146))),70*'Scénario référence'!$B$18)</f>
        <v>70</v>
      </c>
      <c r="AE146" s="13">
        <f>IF(A146&gt;30,10,('Scénario référence'!$B$16+'Scénario référence'!$B$17+'Scénario référence'!$B$18+'Scénario référence'!$B$9+'Scénario référence'!$B$10)*A146*10/30+('Scénario référence'!$F$8+'Scénario référence'!$F$9)*10)</f>
        <v>10</v>
      </c>
      <c r="AF146" s="12" t="e">
        <f>VLOOKUP(A146,'Données projet'!$A$61:$I$81,2,0)</f>
        <v>#N/A</v>
      </c>
      <c r="AG146" s="12" t="e">
        <f>VLOOKUP(A146,'Données projet'!$A$61:$I$81,9,0)</f>
        <v>#N/A</v>
      </c>
      <c r="AH146" s="12">
        <f t="array" ref="AH146">INDEX(AG:AG,MIN(IF(ISNUMBER(AG146:AG342),ROW(AG146:AG342),"")))</f>
        <v>0</v>
      </c>
      <c r="AI146" s="13">
        <f>IF('Données projet'!$A$62&gt;35,AI145+AH146-AQ145,IF(A146&lt;'Données projet'!$A$62,$AF$205^A146,IF(A146='Données projet'!$A$62,'Données projet'!$B$62,AI145+AH146-AQ145)))</f>
        <v>0</v>
      </c>
      <c r="AJ146" s="13">
        <f>AI146*VLOOKUP('Données projet'!$B$10,Paramètres!$A$1:$I$89,3,0)*VLOOKUP('Données projet'!$B$10,Paramètres!$A$1:$I$89,5,0)</f>
        <v>0</v>
      </c>
      <c r="AK146" s="13" t="e">
        <f t="shared" si="143"/>
        <v>#NUM!</v>
      </c>
      <c r="AL146" s="20" t="e">
        <f t="shared" si="112"/>
        <v>#NUM!</v>
      </c>
      <c r="AM146" s="59" t="e">
        <f t="shared" si="113"/>
        <v>#NUM!</v>
      </c>
      <c r="AN146" s="59">
        <f ca="1">AVERAGE(OFFSET($AM$3,0,0,'Données projet'!$E$10+1,1))-AVERAGE(OFFSET($H$3,0,0,'Données projet'!$E$10+1,1))</f>
        <v>261.78489480911571</v>
      </c>
      <c r="AO146" s="59">
        <f t="shared" si="144"/>
        <v>297.50513563712764</v>
      </c>
      <c r="AP146" s="15">
        <f>IF(ISNA(VLOOKUP(A146,'Données projet'!$A$61:$I$81,3,0)),0,VLOOKUP(A146,'Données projet'!$A$61:$I$81,3,0))</f>
        <v>0</v>
      </c>
      <c r="AQ146" s="15">
        <f>IF(ISNA(VLOOKUP(A146,'Données projet'!$A$61:$I$81,4,0)),0,VLOOKUP(A146,'Données projet'!$A$61:$I$81,4,0))</f>
        <v>0</v>
      </c>
      <c r="AR146" s="16">
        <f>IF(ISNA(VLOOKUP(A146,'Données projet'!$A$61:$I$81,5,0)),0%,VLOOKUP(A146,'Données projet'!$A$61:$I$81,5,0)*VLOOKUP('Données projet'!$B$10,Paramètres!$A$1:$I$89,7,0))</f>
        <v>0</v>
      </c>
      <c r="AS146" s="16">
        <f>IF(ISNA(VLOOKUP(A146,'Données projet'!$A$61:$I$81,6,0)),0%,VLOOKUP(A146,'Données projet'!$A$61:$I$81,6,0)*VLOOKUP('Données projet'!$B$10,Paramètres!$A$1:$I$89,7,0))</f>
        <v>0</v>
      </c>
      <c r="AT146" s="16">
        <f>IF(ISNA(VLOOKUP(A146,'Données projet'!$A$61:$I$81,7,0)),0%,VLOOKUP(A146,'Données projet'!$A$61:$I$81,7,0))</f>
        <v>0</v>
      </c>
      <c r="AU146" s="21">
        <f>EXP(-LN(2)/35)*AU145+(1-EXP(-LN(2)/35))/(LN(2)/35)*AQ146*AR146*VLOOKUP('Données projet'!$B$10,Paramètres!$A$1:$I$89,3,0)*0.475*44/12</f>
        <v>0.8901775454349925</v>
      </c>
      <c r="AV146" s="21">
        <f>EXP(-LN(2)/25)*AV145+(1-EXP(-LN(2)/25))/(LN(2)/25)*Calculateur!AQ146*Calculateur!AS146*VLOOKUP('Données projet'!$B$10,Paramètres!$A$1:$I$89,3,0)*0.475*44/12</f>
        <v>1.2147287959484414</v>
      </c>
      <c r="AW146" s="21">
        <f>EXP(-LN(2)/2)*AW145+(1-EXP(-LN(2)/2))/(LN(2)/2)*AQ146*AT146*VLOOKUP('Données projet'!$B$10,Paramètres!$A$1:$I$89,3,0)*0.475*44/12</f>
        <v>2.3945078866854196E-16</v>
      </c>
      <c r="AX146" s="21">
        <f t="shared" si="114"/>
        <v>2.1049063413834346</v>
      </c>
      <c r="AY146" s="74">
        <f>('Scénario référence'!$F$8+'Scénario référence'!$F$9+'Scénario référence'!$B$17+'Scénario référence'!$B$9+'Scénario référence'!$B$10)*70+IF((45+25*(1-EXP(-0.0175*A146)))&lt;70,'Scénario référence'!$B$16*(45+25*(1-EXP(-0.0175*A146))),70*'Scénario référence'!$B$16)+IF((32+38*(1-EXP(-0.0175*A146)))&lt;70,'Scénario référence'!$B$18*(32+38*(1-EXP(-0.0175*A146))),70*'Scénario référence'!$B$18)</f>
        <v>70</v>
      </c>
      <c r="AZ146" s="12">
        <f>IF(A146&gt;30,10,('Scénario référence'!$B$16+'Scénario référence'!$B$17+'Scénario référence'!$B$18+'Scénario référence'!$B$9+'Scénario référence'!$B$10)*A146*10/30+('Scénario référence'!$F$8+'Scénario référence'!$F$9)*10)</f>
        <v>10</v>
      </c>
      <c r="BA146" s="12" t="e">
        <f>VLOOKUP(A146,'Données projet'!$A$87:$I$107,2,0)</f>
        <v>#N/A</v>
      </c>
      <c r="BB146" s="12" t="e">
        <f>VLOOKUP(A146,'Données projet'!$A$87:$I$107,9,0)</f>
        <v>#N/A</v>
      </c>
      <c r="BC146" s="12">
        <f t="array" ref="BC146">INDEX(BB:BB,MIN(IF(ISNUMBER(BB146:BB342),ROW(BB146:BB342),"")))</f>
        <v>0</v>
      </c>
      <c r="BD146" s="12">
        <f>IF('Données projet'!$A$88&gt;35,BD145+BC146-BL145,IF(A146&lt;'Données projet'!$A$88,$BA$205^A146,IF(A146='Données projet'!$A$88,'Données projet'!$B$88,BD145+BC146-BL145)))</f>
        <v>553.99999999999955</v>
      </c>
      <c r="BE146" s="13">
        <f>BD146*VLOOKUP('Données projet'!$B$11,Paramètres!$A$1:$I$89,3,0)*VLOOKUP('Données projet'!$B$11,Paramètres!$A$1:$I$89,5,0)</f>
        <v>331.29199999999975</v>
      </c>
      <c r="BF146" s="13">
        <f t="shared" si="145"/>
        <v>77.698110787752</v>
      </c>
      <c r="BG146" s="20">
        <f t="shared" si="115"/>
        <v>712.32444295533423</v>
      </c>
      <c r="BH146" s="59">
        <f t="shared" si="116"/>
        <v>1005.6577762886675</v>
      </c>
      <c r="BI146" s="59">
        <f ca="1">AVERAGE(OFFSET($BH$3,0,0,'Données projet'!$E$11+1,1))-AVERAGE(OFFSET($H$3,0,0,'Données projet'!$E$11+1,1))</f>
        <v>316.58509520829671</v>
      </c>
      <c r="BJ146" s="59">
        <f t="shared" si="146"/>
        <v>240.71332110643596</v>
      </c>
      <c r="BK146" s="15">
        <f>IF(ISNA(VLOOKUP(A146,'Données projet'!$A$87:$I$107,3,0)),0,VLOOKUP(A146,'Données projet'!$A$87:$I$107,3,0))</f>
        <v>0</v>
      </c>
      <c r="BL146" s="15">
        <f>IF(ISNA(VLOOKUP(A146,'Données projet'!$A$87:$I$107,4,0)),0,VLOOKUP(A146,'Données projet'!$A$87:$I$107,4,0))</f>
        <v>0</v>
      </c>
      <c r="BM146" s="16">
        <f>IF(ISNA(VLOOKUP(A146,'Données projet'!$A$87:$I$107,5,0)),0%,VLOOKUP(A146,'Données projet'!$A$87:$I$107,5,0)*VLOOKUP('Données projet'!$B$11,Paramètres!$A$1:$I$89,7,0))</f>
        <v>0</v>
      </c>
      <c r="BN146" s="16">
        <f>IF(ISNA(VLOOKUP(A146,'Données projet'!$A$87:$I$107,6,0)),0%,VLOOKUP(A146,'Données projet'!$A$87:$I$107,6,0)*VLOOKUP('Données projet'!$B$11,Paramètres!$A$1:$I$89,7,0))</f>
        <v>0</v>
      </c>
      <c r="BO146" s="16">
        <f>IF(ISNA(VLOOKUP(A146,'Données projet'!$A$87:$I$107,7,0)),0%,VLOOKUP(A146,'Données projet'!$A$87:$I$107,7,0))</f>
        <v>0</v>
      </c>
      <c r="BP146" s="21">
        <f>EXP(-LN(2)/35)*BP145+(1-EXP(-LN(2)/35))/(LN(2)/35)*BL146*BM146*VLOOKUP('Données projet'!$B$11,Paramètres!$A$1:$I$89,3,0)*0.475*44/12</f>
        <v>0.27039805277071127</v>
      </c>
      <c r="BQ146" s="21">
        <f>EXP(-LN(2)/25)*BQ145+(1-EXP(-LN(2)/25))/(LN(2)/25)*Calculateur!BL146*Calculateur!BN146*VLOOKUP('Données projet'!$B$11,Paramètres!$A$1:$I$89,3,0)*0.475*44/12</f>
        <v>0.66546387787039851</v>
      </c>
      <c r="BR146" s="21">
        <f>EXP(-LN(2)/2)*BR145+(1-EXP(-LN(2)/2))/(LN(2)/2)*BL146*BO146*VLOOKUP('Données projet'!$B$11,Paramètres!$A$1:$I$89,3,0)*0.475*44/12</f>
        <v>2.1529248189315262E-16</v>
      </c>
      <c r="BS146" s="22">
        <f t="shared" si="117"/>
        <v>0.93586193064111001</v>
      </c>
      <c r="BT146" s="75">
        <f>('Scénario référence'!$F$8+'Scénario référence'!$F$9+'Scénario référence'!$B$17+'Scénario référence'!$B$9+'Scénario référence'!$B$10)*70+IF((45+25*(1-EXP(-0.0175*A146)))&lt;70,'Scénario référence'!$B$16*(45+25*(1-EXP(-0.0175*A146))),70*'Scénario référence'!$B$16)+IF((32+38*(1-EXP(-0.0175*A146)))&lt;70,'Scénario référence'!$B$18*(32+38*(1-EXP(-0.0175*A146))),70*'Scénario référence'!$B$18)</f>
        <v>70</v>
      </c>
      <c r="BU146" s="12">
        <f>IF(A146&gt;30,10,('Scénario référence'!$B$16+'Scénario référence'!$B$17+'Scénario référence'!$B$18+'Scénario référence'!$B$9+'Scénario référence'!$B$10)*A146*10/30+('Scénario référence'!$F$8+'Scénario référence'!$F$9)*10)</f>
        <v>10</v>
      </c>
      <c r="BV146" s="12" t="e">
        <f>VLOOKUP(A146,'Données projet'!$A$113:$I$133,2,0)</f>
        <v>#N/A</v>
      </c>
      <c r="BW146" s="12" t="e">
        <f>VLOOKUP(A146,'Données projet'!$A$113:$I$133,9,0)</f>
        <v>#N/A</v>
      </c>
      <c r="BX146" s="12">
        <f t="array" ref="BX146">INDEX(BW:BW,MIN(IF(ISNUMBER(BW146:BW342),ROW(BW146:BW342),"")))</f>
        <v>0</v>
      </c>
      <c r="BY146" s="12">
        <f>IF('Données projet'!$A$114&gt;35,BY145+BX146-CG145,IF(A146&lt;'Données projet'!$A$114,$BV$205^A146,IF(A146='Données projet'!$A$114,'Données projet'!$B$114,BY145+BX146-CG145)))</f>
        <v>333.99999999999977</v>
      </c>
      <c r="BZ146" s="13">
        <f>BY146*VLOOKUP('Données projet'!$B$12,Paramètres!$A$1:$I$89,3,0)*VLOOKUP('Données projet'!$B$12,Paramètres!$A$1:$I$89,5,0)</f>
        <v>191.04799999999986</v>
      </c>
      <c r="CA146" s="13">
        <f t="shared" si="147"/>
        <v>47.771576544305155</v>
      </c>
      <c r="CB146" s="20">
        <f t="shared" si="118"/>
        <v>415.94409581466454</v>
      </c>
      <c r="CC146" s="59">
        <f t="shared" si="119"/>
        <v>709.27742914799785</v>
      </c>
      <c r="CD146" s="59">
        <f ca="1">AVERAGE(OFFSET($CC$3,0,0,'Données projet'!$E$12+1,1))-AVERAGE(OFFSET($H$3,0,0,'Données projet'!$E$12+1,1))</f>
        <v>188.64374818906128</v>
      </c>
      <c r="CE146" s="59">
        <f t="shared" si="148"/>
        <v>211.95157880548652</v>
      </c>
      <c r="CF146" s="15">
        <f>IF(ISNA(VLOOKUP(A146,'Données projet'!$A$113:$I$133,3,0)),0,VLOOKUP(A146,'Données projet'!$A$113:$I$133,3,0))</f>
        <v>0</v>
      </c>
      <c r="CG146" s="15">
        <f>IF(ISNA(VLOOKUP(A146,'Données projet'!$A$113:$I$133,4,0)),0,VLOOKUP(A146,'Données projet'!$A$113:$I$133,4,0))</f>
        <v>0</v>
      </c>
      <c r="CH146" s="16">
        <f>IF(ISNA(VLOOKUP(A146,'Données projet'!$A$113:$I$133,5,0)),0%,VLOOKUP(A146,'Données projet'!$A$113:$I$133,5,0)*VLOOKUP('Données projet'!$B$12,Paramètres!$A$1:$I$89,7,0))</f>
        <v>0</v>
      </c>
      <c r="CI146" s="16">
        <f>IF(ISNA(VLOOKUP(A146,'Données projet'!$A$113:$I$133,6,0)),0%,VLOOKUP(A146,'Données projet'!$A$113:$I$133,6,0)*VLOOKUP('Données projet'!$B$12,Paramètres!$A$1:$I$89,7,0))</f>
        <v>0</v>
      </c>
      <c r="CJ146" s="16">
        <f>IF(ISNA(VLOOKUP(A146,'Données projet'!$A$113:$I$133,7,0)),0%,VLOOKUP(A146,'Données projet'!$A$113:$I$133,7,0))</f>
        <v>0</v>
      </c>
      <c r="CK146" s="21">
        <f>EXP(-LN(2)/35)*CK145+(1-EXP(-LN(2)/35))/(LN(2)/35)*CG146*CH146*VLOOKUP('Données projet'!$B$12,Paramètres!$A$1:$I$89,3,0)*0.475*44/12</f>
        <v>0.26228445535138167</v>
      </c>
      <c r="CL146" s="21">
        <f>EXP(-LN(2)/25)*CL145+(1-EXP(-LN(2)/25))/(LN(2)/25)*Calculateur!CG146*Calculateur!CI146*VLOOKUP('Données projet'!$B$12,Paramètres!$A$1:$I$89,3,0)*0.475*44/12</f>
        <v>0.62634966912684431</v>
      </c>
      <c r="CM146" s="21">
        <f>EXP(-LN(2)/2)*CM145+(1-EXP(-LN(2)/2))/(LN(2)/2)*CG146*CJ146*VLOOKUP('Données projet'!$B$12,Paramètres!$A$1:$I$89,3,0)*0.475*44/12</f>
        <v>2.0849392397956599E-16</v>
      </c>
      <c r="CN146" s="22">
        <f t="shared" si="120"/>
        <v>0.88863412447822621</v>
      </c>
      <c r="CO146" s="75">
        <f>('Scénario référence'!$F$8+'Scénario référence'!$F$9+'Scénario référence'!$B$17+'Scénario référence'!$B$9+'Scénario référence'!$B$10)*70+IF((45+25*(1-EXP(-0.0175*A146)))&lt;70,'Scénario référence'!$B$16*(45+25*(1-EXP(-0.0175*A146))),70*'Scénario référence'!$B$16)+IF((32+38*(1-EXP(-0.0175*A146)))&lt;70,'Scénario référence'!$B$18*(32+38*(1-EXP(-0.0175*A146))),70*'Scénario référence'!$B$18)</f>
        <v>70</v>
      </c>
      <c r="CP146" s="12">
        <f>IF(A146&gt;30,10,('Scénario référence'!$B$16+'Scénario référence'!$B$17+'Scénario référence'!$B$18+'Scénario référence'!$B$9+'Scénario référence'!$B$10)*A146*10/30+('Scénario référence'!$F$8+'Scénario référence'!$F$9)*10)</f>
        <v>10</v>
      </c>
      <c r="CQ146" s="12" t="e">
        <f>VLOOKUP(A146,'Données projet'!$A$139:$I$159,2,0)</f>
        <v>#N/A</v>
      </c>
      <c r="CR146" s="12" t="e">
        <f>VLOOKUP(A146,'Données projet'!$A$139:$I$159,9,0)</f>
        <v>#N/A</v>
      </c>
      <c r="CS146" s="12">
        <f t="array" ref="CS146">INDEX(CR:CR,MIN(IF(ISNUMBER(CR146:CR342),ROW(CR146:CR342),"")))</f>
        <v>0</v>
      </c>
      <c r="CT146" s="12">
        <f>IF('Données projet'!$A$140&gt;35,CT145+CS146-DB145,IF(A146&lt;'Données projet'!$A$140,$CQ$205^A146,IF(A146='Données projet'!$A$140,'Données projet'!$B$140,CT145+CS146-DB145)))</f>
        <v>0</v>
      </c>
      <c r="CU146" s="17" t="e">
        <f>CT146*VLOOKUP('Données projet'!$B$13,Paramètres!$A$1:$I$89,3,0)*VLOOKUP('Données projet'!$B$13,Paramètres!$A$1:$I$89,5,0)</f>
        <v>#N/A</v>
      </c>
      <c r="CV146" s="13" t="e">
        <f t="shared" si="149"/>
        <v>#N/A</v>
      </c>
      <c r="CW146" s="20" t="e">
        <f t="shared" si="121"/>
        <v>#N/A</v>
      </c>
      <c r="CX146" s="59" t="e">
        <f t="shared" si="122"/>
        <v>#N/A</v>
      </c>
      <c r="CY146" s="59" t="e">
        <f ca="1">AVERAGE(OFFSET($CX$3,0,0,'Données projet'!$E$13+1,1))-AVERAGE(OFFSET($H$3,0,0,'Données projet'!$E$13+1,1))</f>
        <v>#N/A</v>
      </c>
      <c r="CZ146" s="59" t="e">
        <f t="shared" si="150"/>
        <v>#N/A</v>
      </c>
      <c r="DA146" s="15">
        <f>IF(ISNA(VLOOKUP(A146,'Données projet'!$A$139:$I$159,3,0)),0,VLOOKUP(A146,'Données projet'!$A$139:$I$159,3,0))</f>
        <v>0</v>
      </c>
      <c r="DB146" s="15">
        <f>IF(ISNA(VLOOKUP(A146,'Données projet'!$A$139:$I$159,4,0)),0,VLOOKUP(A146,'Données projet'!$A$139:$I$159,4,0))</f>
        <v>0</v>
      </c>
      <c r="DC146" s="16">
        <f>IF(ISNA(VLOOKUP(A146,'Données projet'!$A$139:$I$159,5,0)),0%,VLOOKUP(A146,'Données projet'!$A$139:$I$159,5,0)*VLOOKUP('Données projet'!$B$13,Paramètres!$A$1:$I$89,7,0))</f>
        <v>0</v>
      </c>
      <c r="DD146" s="16">
        <f>IF(ISNA(VLOOKUP(A146,'Données projet'!$A$139:$I$159,6,0)),0%,VLOOKUP(A146,'Données projet'!$A$139:$I$159,6,0)*VLOOKUP('Données projet'!$B$13,Paramètres!$A$1:$I$89,7,0))</f>
        <v>0</v>
      </c>
      <c r="DE146" s="16">
        <f>IF(ISNA(VLOOKUP(A146,'Données projet'!$A$139:$I$159,7,0)),0%,VLOOKUP(A146,'Données projet'!$A$139:$I$159,7,0))</f>
        <v>0</v>
      </c>
      <c r="DF146" s="21" t="e">
        <f>EXP(-LN(2)/35)*DF145+(1-EXP(-LN(2)/35))/(LN(2)/35)*DB146*DC146*VLOOKUP('Données projet'!$B$13,Paramètres!$A$1:$I$89,3,0)*0.475*44/12</f>
        <v>#N/A</v>
      </c>
      <c r="DG146" s="21" t="e">
        <f>EXP(-LN(2)/25)*DG145+(1-EXP(-LN(2)/25))/(LN(2)/25)*Calculateur!DB146*Calculateur!DD146*VLOOKUP('Données projet'!$B$13,Paramètres!$A$1:$I$89,3,0)*0.475*44/12</f>
        <v>#N/A</v>
      </c>
      <c r="DH146" s="21" t="e">
        <f>EXP(-LN(2)/2)*DH145+(1-EXP(-LN(2)/2))/(LN(2)/2)*DB146*DE146*VLOOKUP('Données projet'!$B$13,Paramètres!$A$1:$I$89,3,0)*0.475*44/12</f>
        <v>#N/A</v>
      </c>
      <c r="DI146" s="22" t="e">
        <f t="shared" si="123"/>
        <v>#N/A</v>
      </c>
      <c r="DJ146" s="75">
        <f>('Scénario référence'!$F$8+'Scénario référence'!$F$9+'Scénario référence'!$B$17+'Scénario référence'!$B$9+'Scénario référence'!$B$10)*70+IF((45+25*(1-EXP(-0.0175*A146)))&lt;70,'Scénario référence'!$B$16*(45+25*(1-EXP(-0.0175*A146))),70*'Scénario référence'!$B$16)+IF((32+38*(1-EXP(-0.0175*A146)))&lt;70,'Scénario référence'!$B$18*(32+38*(1-EXP(-0.0175*A146))),70*'Scénario référence'!$B$18)</f>
        <v>70</v>
      </c>
      <c r="DK146" s="12">
        <f>IF(A146&gt;30,10,('Scénario référence'!$B$16+'Scénario référence'!$B$17+'Scénario référence'!$B$18+'Scénario référence'!$B$9+'Scénario référence'!$B$10)*A146*10/30+('Scénario référence'!$F$8+'Scénario référence'!$F$9)*10)</f>
        <v>10</v>
      </c>
      <c r="DL146" s="12" t="e">
        <f>VLOOKUP(A146,'Données projet'!$A$165:$I$185,2,0)</f>
        <v>#N/A</v>
      </c>
      <c r="DM146" s="12" t="e">
        <f>VLOOKUP(A146,'Données projet'!$A$165:$I$185,9,0)</f>
        <v>#N/A</v>
      </c>
      <c r="DN146" s="12">
        <f t="array" ref="DN146">INDEX(DM:DM,MIN(IF(ISNUMBER(DM146:DM342),ROW(DM146:DM342),"")))</f>
        <v>0</v>
      </c>
      <c r="DO146" s="12">
        <f>IF('Données projet'!$A$166&gt;35,DO145+DN146-DW145,IF(A146&lt;'Données projet'!$A$166,$DL$205^A146,IF(A146='Données projet'!$A$166,'Données projet'!$B$166,DO145+DN146-DW145)))</f>
        <v>268.00000000000017</v>
      </c>
      <c r="DP146" s="17">
        <f>DO146*VLOOKUP('Données projet'!$B$14,Paramètres!$A$1:$I$89,3,0)*VLOOKUP('Données projet'!$B$14,Paramètres!$A$1:$I$89,5,0)</f>
        <v>175.59360000000012</v>
      </c>
      <c r="DQ146" s="13">
        <f t="shared" si="151"/>
        <v>44.340433728638573</v>
      </c>
      <c r="DR146" s="20">
        <f t="shared" si="124"/>
        <v>383.05177541071242</v>
      </c>
      <c r="DS146" s="59">
        <f t="shared" si="125"/>
        <v>676.38510874404574</v>
      </c>
      <c r="DT146" s="59">
        <f ca="1">AVERAGE(OFFSET($DS$3,0,0,'Données projet'!$E$14+1,1))-AVERAGE(OFFSET($H$3,0,0,'Données projet'!$E$14+1,1))</f>
        <v>188.68915783955595</v>
      </c>
      <c r="DU146" s="59">
        <f t="shared" si="152"/>
        <v>240.82467772396944</v>
      </c>
      <c r="DV146" s="15">
        <f>IF(ISNA(VLOOKUP(A146,'Données projet'!$A$165:$I$185,3,0)),0,VLOOKUP(A146,'Données projet'!$A$165:$I$185,3,0))</f>
        <v>0</v>
      </c>
      <c r="DW146" s="15">
        <f>IF(ISNA(VLOOKUP(A146,'Données projet'!$A$165:$I$185,4,0)),0,VLOOKUP(A146,'Données projet'!$A$165:$I$185,4,0))</f>
        <v>0</v>
      </c>
      <c r="DX146" s="16">
        <f>IF(ISNA(VLOOKUP(A146,'Données projet'!$A$165:$I$185,5,0)),0%,VLOOKUP(A146,'Données projet'!$A$165:$I$185,5,0)*VLOOKUP('Données projet'!$B$14,Paramètres!$A$1:$I$89,7,0))</f>
        <v>0</v>
      </c>
      <c r="DY146" s="16">
        <f>IF(ISNA(VLOOKUP(A146,'Données projet'!$A$165:$I$185,6,0)),0%,VLOOKUP(A146,'Données projet'!$A$165:$I$185,6,0)*VLOOKUP('Données projet'!$B$14,Paramètres!$A$1:$I$89,7,0))</f>
        <v>0</v>
      </c>
      <c r="DZ146" s="16">
        <f>IF(ISNA(VLOOKUP(A146,'Données projet'!$A$165:$I$185,7,0)),0%,VLOOKUP(A146,'Données projet'!$A$165:$I$185,7,0))</f>
        <v>0</v>
      </c>
      <c r="EA146" s="21">
        <f>EXP(-LN(2)/35)*EA145+(1-EXP(-LN(2)/35))/(LN(2)/35)*DW146*DX146*VLOOKUP('Données projet'!$B$14,Paramètres!$A$1:$I$89,3,0)*0.475*44/12</f>
        <v>0.16613556620531528</v>
      </c>
      <c r="EB146" s="21">
        <f>EXP(-LN(2)/25)*EB145+(1-EXP(-LN(2)/25))/(LN(2)/25)*Calculateur!DW146*Calculateur!DY146*VLOOKUP('Données projet'!$B$14,Paramètres!$A$1:$I$89,3,0)*0.475*44/12</f>
        <v>0.3503434492585159</v>
      </c>
      <c r="EC146" s="21">
        <f>EXP(-LN(2)/2)*EC145+(1-EXP(-LN(2)/2))/(LN(2)/2)*DW146*DZ146*VLOOKUP('Données projet'!$B$14,Paramètres!$A$1:$I$89,3,0)*0.475*44/12</f>
        <v>1.3734784142378194E-16</v>
      </c>
      <c r="ED146" s="22">
        <f t="shared" si="126"/>
        <v>0.51647901546383135</v>
      </c>
      <c r="EE146" s="75">
        <f>('Scénario référence'!$F$8+'Scénario référence'!$F$9+'Scénario référence'!$B$17+'Scénario référence'!$B$9+'Scénario référence'!$B$10)*70+IF((45+25*(1-EXP(-0.0175*A146)))&lt;70,'Scénario référence'!$B$16*(45+25*(1-EXP(-0.0175*A146))),70*'Scénario référence'!$B$16)+IF((32+38*(1-EXP(-0.0175*A146)))&lt;70,'Scénario référence'!$B$18*(32+38*(1-EXP(-0.0175*A146))),70*'Scénario référence'!$B$18)</f>
        <v>70</v>
      </c>
      <c r="EF146" s="12">
        <f>IF(A146&gt;30,10,('Scénario référence'!$B$16+'Scénario référence'!$B$17+'Scénario référence'!$B$18+'Scénario référence'!$B$9+'Scénario référence'!$B$10)*A146*10/30+('Scénario référence'!$F$8+'Scénario référence'!$F$9)*10)</f>
        <v>10</v>
      </c>
      <c r="EG146" s="12" t="e">
        <f>VLOOKUP(A146,'Données projet'!$A$191:$I$211,2,0)</f>
        <v>#N/A</v>
      </c>
      <c r="EH146" s="12" t="e">
        <f>VLOOKUP(A146,'Données projet'!$A$191:$I$211,9,0)</f>
        <v>#N/A</v>
      </c>
      <c r="EI146" s="12">
        <f t="array" ref="EI146">INDEX(EH:EH,MIN(IF(ISNUMBER(EH146:EH342),ROW(EH146:EH342),"")))</f>
        <v>0</v>
      </c>
      <c r="EJ146" s="12">
        <f>IF('Données projet'!$A$192&gt;35,EJ145+EI146-ER145,IF(A146&lt;'Données projet'!$A$192,$EG$205^A146,IF(A146='Données projet'!$A$192,'Données projet'!$B$192,EJ145+EI146-ER145)))</f>
        <v>275.99999999999972</v>
      </c>
      <c r="EK146" s="17">
        <f>EJ146*VLOOKUP('Données projet'!$B$15,Paramètres!$A$1:$I$89,3,0)*VLOOKUP('Données projet'!$B$15,Paramètres!$A$1:$I$89,5,0)</f>
        <v>223.8911999999998</v>
      </c>
      <c r="EL146" s="13">
        <f t="shared" si="153"/>
        <v>54.95975389514858</v>
      </c>
      <c r="EM146" s="20">
        <f t="shared" si="127"/>
        <v>485.66541136738346</v>
      </c>
      <c r="EN146" s="59">
        <f t="shared" si="128"/>
        <v>778.99874470071677</v>
      </c>
      <c r="EO146" s="59">
        <f ca="1">AVERAGE(OFFSET($EN$3,0,0,'Données projet'!$E$15+1,1))-AVERAGE(OFFSET($H$3,0,0,'Données projet'!$E$15+1,1))</f>
        <v>205.5272583787887</v>
      </c>
      <c r="EP146" s="59">
        <f t="shared" si="154"/>
        <v>180.54762778843178</v>
      </c>
      <c r="EQ146" s="15">
        <f>IF(ISNA(VLOOKUP(A146,'Données projet'!$A$191:$I$211,3,0)),0,VLOOKUP(A146,'Données projet'!$A$191:$I$211,3,0))</f>
        <v>0</v>
      </c>
      <c r="ER146" s="15">
        <f>IF(ISNA(VLOOKUP(A146,'Données projet'!$A$191:$I$211,4,0)),0,VLOOKUP(A146,'Données projet'!$A$191:$I$211,4,0))</f>
        <v>0</v>
      </c>
      <c r="ES146" s="16">
        <f>IF(ISNA(VLOOKUP(A146,'Données projet'!$A$191:$I$211,5,0)),0%,VLOOKUP(A146,'Données projet'!$A$191:$I$211,5,0)*VLOOKUP('Données projet'!$B$15,Paramètres!$A$1:$I$89,7,0))</f>
        <v>0</v>
      </c>
      <c r="ET146" s="16">
        <f>IF(ISNA(VLOOKUP(A146,'Données projet'!$A$191:$I$211,6,0)),0%,VLOOKUP(A146,'Données projet'!$A$191:$I$211,6,0)*VLOOKUP('Données projet'!$B$15,Paramètres!$A$1:$I$89,7,0))</f>
        <v>0</v>
      </c>
      <c r="EU146" s="16">
        <f>IF(ISNA(VLOOKUP(A146,'Données projet'!$A$191:$I$211,7,0)),0%,VLOOKUP(A146,'Données projet'!$A$191:$I$211,7,0))</f>
        <v>0</v>
      </c>
      <c r="EV146" s="21">
        <f>EXP(-LN(2)/35)*EV145+(1-EXP(-LN(2)/35))/(LN(2)/35)*ER146*ES146*VLOOKUP('Données projet'!$B$15,Paramètres!$A$1:$I$89,3,0)*0.475*44/12</f>
        <v>0.10695965976646971</v>
      </c>
      <c r="EW146" s="21">
        <f>EXP(-LN(2)/25)*EW145+(1-EXP(-LN(2)/25))/(LN(2)/25)*Calculateur!ER146*Calculateur!ET146*VLOOKUP('Données projet'!$B$15,Paramètres!$A$1:$I$89,3,0)*0.475*44/12</f>
        <v>0.25295859837122103</v>
      </c>
      <c r="EX146" s="21">
        <f>EXP(-LN(2)/2)*EX145+(1-EXP(-LN(2)/2))/(LN(2)/2)*ER146*EU146*VLOOKUP('Données projet'!$B$15,Paramètres!$A$1:$I$89,3,0)*0.475*44/12</f>
        <v>8.8932828880492083E-17</v>
      </c>
      <c r="EY146" s="22">
        <f t="shared" si="129"/>
        <v>0.35991825813769085</v>
      </c>
      <c r="EZ146" s="75">
        <f>('Scénario référence'!$F$8+'Scénario référence'!$F$9+'Scénario référence'!$B$17+'Scénario référence'!$B$9+'Scénario référence'!$B$10)*70+IF((45+25*(1-EXP(-0.0175*A146)))&lt;70,'Scénario référence'!$B$16*(45+25*(1-EXP(-0.0175*A146))),70*'Scénario référence'!$B$16)+IF((32+38*(1-EXP(-0.0175*A146)))&lt;70,'Scénario référence'!$B$18*(32+38*(1-EXP(-0.0175*A146))),70*'Scénario référence'!$B$18)</f>
        <v>70</v>
      </c>
      <c r="FA146" s="12">
        <f>IF(A146&gt;30,10,('Scénario référence'!$B$16+'Scénario référence'!$B$17+'Scénario référence'!$B$18+'Scénario référence'!$B$9+'Scénario référence'!$B$10)*A146*10/30+('Scénario référence'!$F$8+'Scénario référence'!$F$9)*10)</f>
        <v>10</v>
      </c>
      <c r="FB146" s="12" t="e">
        <f>VLOOKUP(A146,'Données projet'!$A$217:$I$237,2,0)</f>
        <v>#N/A</v>
      </c>
      <c r="FC146" s="12" t="e">
        <f>VLOOKUP(A146,'Données projet'!$A$217:$I$237,9,0)</f>
        <v>#N/A</v>
      </c>
      <c r="FD146" s="12">
        <f t="array" ref="FD146">INDEX(FC:FC,MIN(IF(ISNUMBER(FC146:FC342),ROW(FC146:FC342),"")))</f>
        <v>4.7</v>
      </c>
      <c r="FE146" s="12">
        <f>IF('Données projet'!$A$218&gt;35,FE145+FD146-FM145,IF(A146&lt;'Données projet'!$A$218,$FB$205^A146,IF(A146='Données projet'!$A$218,'Données projet'!$B$218,FE145+FD146-FM145)))</f>
        <v>426.09999999999991</v>
      </c>
      <c r="FF146" s="17">
        <f>FE146*VLOOKUP('Données projet'!$B$16,Paramètres!$A$1:$I$89,3,0)*VLOOKUP('Données projet'!$B$16,Paramètres!$A$1:$I$89,5,0)</f>
        <v>365.59379999999993</v>
      </c>
      <c r="FG146" s="13">
        <f t="shared" si="155"/>
        <v>84.765245472337341</v>
      </c>
      <c r="FH146" s="20">
        <f t="shared" si="130"/>
        <v>784.37533753098739</v>
      </c>
      <c r="FI146" s="59">
        <f t="shared" si="131"/>
        <v>1077.7086708643208</v>
      </c>
      <c r="FJ146" s="59">
        <f ca="1">AVERAGE(OFFSET($FI$3,0,0,'Données projet'!$E$16+1,1))-AVERAGE(OFFSET($H$3,0,0,'Données projet'!$E$16+1,1))</f>
        <v>383.97627237444709</v>
      </c>
      <c r="FK146" s="59">
        <f t="shared" si="156"/>
        <v>203.35476578922339</v>
      </c>
      <c r="FL146" s="15">
        <f>IF(ISNA(VLOOKUP(A146,'Données projet'!$A$217:$I$237,3,0)),0,VLOOKUP(A146,'Données projet'!$A$217:$I$237,3,0))</f>
        <v>0</v>
      </c>
      <c r="FM146" s="15">
        <f>IF(ISNA(VLOOKUP(A146,'Données projet'!$A$217:$I$237,4,0)),0,VLOOKUP(A146,'Données projet'!$A$217:$I$237,4,0))</f>
        <v>0</v>
      </c>
      <c r="FN146" s="16">
        <f>IF(ISNA(VLOOKUP(A146,'Données projet'!$A$217:$I$237,5,0)),0%,VLOOKUP(A146,'Données projet'!$A$217:$I$237,5,0)*VLOOKUP('Données projet'!$B$16,Paramètres!$A$1:$I$89,7,0))</f>
        <v>0</v>
      </c>
      <c r="FO146" s="16">
        <f>IF(ISNA(VLOOKUP(A146,'Données projet'!$A$217:$I$237,6,0)),0%,VLOOKUP(A146,'Données projet'!$A$217:$I$237,6,0)*VLOOKUP('Données projet'!$B$16,Paramètres!$A$1:$I$89,7,0))</f>
        <v>0</v>
      </c>
      <c r="FP146" s="16">
        <f>IF(ISNA(VLOOKUP(A146,'Données projet'!$A$217:$I$237,7,0)),0%,VLOOKUP(A146,'Données projet'!$A$217:$I$237,7,0))</f>
        <v>0</v>
      </c>
      <c r="FQ146" s="21">
        <f>EXP(-LN(2)/35)*FQ145+(1-EXP(-LN(2)/35))/(LN(2)/35)*FM146*FN146*VLOOKUP('Données projet'!$B$16,Paramètres!$A$1:$I$89,3,0)*0.475*44/12</f>
        <v>0.5497146233396546</v>
      </c>
      <c r="FR146" s="21">
        <f>EXP(-LN(2)/25)*FR145+(1-EXP(-LN(2)/25))/(LN(2)/25)*Calculateur!FM146*Calculateur!FO146*VLOOKUP('Données projet'!$B$16,Paramètres!$A$1:$I$89,3,0)*0.475*44/12</f>
        <v>0.25677912310274748</v>
      </c>
      <c r="FS146" s="21">
        <f>EXP(-LN(2)/2)*FS145+(1-EXP(-LN(2)/2))/(LN(2)/2)*FM146*FP146*VLOOKUP('Données projet'!$B$16,Paramètres!$A$1:$I$89,3,0)*0.475*44/12</f>
        <v>1.633513549944681E-16</v>
      </c>
      <c r="FT146" s="22">
        <f t="shared" si="132"/>
        <v>0.80649374644240213</v>
      </c>
      <c r="FU146" s="75">
        <f>('Scénario référence'!$F$8+'Scénario référence'!$F$9+'Scénario référence'!$B$17+'Scénario référence'!$B$9+'Scénario référence'!$B$10)*70+IF((45+25*(1-EXP(-0.0175*A146)))&lt;70,'Scénario référence'!$B$16*(45+25*(1-EXP(-0.0175*A146))),70*'Scénario référence'!$B$16)+IF((32+38*(1-EXP(-0.0175*A146)))&lt;70,'Scénario référence'!$B$18*(32+38*(1-EXP(-0.0175*A146))),70*'Scénario référence'!$B$18)</f>
        <v>70</v>
      </c>
      <c r="FV146" s="12">
        <f>IF(A146&gt;30,10,('Scénario référence'!$B$16+'Scénario référence'!$B$17+'Scénario référence'!$B$18+'Scénario référence'!$B$9+'Scénario référence'!$B$10)*A146*10/30+('Scénario référence'!$F$8+'Scénario référence'!$F$9)*10)</f>
        <v>10</v>
      </c>
      <c r="FW146" s="12" t="e">
        <f>VLOOKUP(A146,'Données projet'!$A$243:$I$263,2,0)</f>
        <v>#N/A</v>
      </c>
      <c r="FX146" s="12" t="e">
        <f>VLOOKUP(A146,'Données projet'!$A$243:$I$263,9,0)</f>
        <v>#N/A</v>
      </c>
      <c r="FY146" s="12">
        <f t="array" ref="FY146">INDEX(FX:FX,MIN(IF(ISNUMBER(FX146:FX342),ROW(FX146:FX342),"")))</f>
        <v>0</v>
      </c>
      <c r="FZ146" s="12">
        <f>IF('Données projet'!$A$244&gt;35,FZ145+FY146-GH145,IF(A146&lt;'Données projet'!$A$244,$FW$205^A146,IF(A146='Données projet'!$A$244,'Données projet'!$B$244,FZ145+FY146-GH145)))</f>
        <v>4.5474735088646412E-13</v>
      </c>
      <c r="GA146" s="17">
        <f>FZ146*VLOOKUP('Données projet'!$B$17,Paramètres!$A$1:$I$89,3,0)*VLOOKUP('Données projet'!$B$17,Paramètres!$A$1:$I$89,5,0)</f>
        <v>4.8949004849418999E-13</v>
      </c>
      <c r="GB146" s="13">
        <f t="shared" si="157"/>
        <v>6.1123715499968684E-12</v>
      </c>
      <c r="GC146" s="20">
        <f t="shared" si="133"/>
        <v>1.1498242284038591E-11</v>
      </c>
      <c r="GD146" s="59">
        <f t="shared" si="134"/>
        <v>293.3333333333448</v>
      </c>
      <c r="GE146" s="59">
        <f ca="1">AVERAGE(OFFSET($GD$3,0,0,'Données projet'!$E$17+1,1))-AVERAGE(OFFSET($H$3,0,0,'Données projet'!$E$17+1,1))</f>
        <v>286.77702855541287</v>
      </c>
      <c r="GF146" s="59">
        <f t="shared" si="158"/>
        <v>227.12211541860779</v>
      </c>
      <c r="GG146" s="15">
        <f>IF(ISNA(VLOOKUP(A146,'Données projet'!$A$243:$I$263,3,0)),0,VLOOKUP(A146,'Données projet'!$A$243:$I$263,3,0))</f>
        <v>0</v>
      </c>
      <c r="GH146" s="15">
        <f>IF(ISNA(VLOOKUP(A146,'Données projet'!$A$243:$I$263,4,0)),0,VLOOKUP(A146,'Données projet'!$A$243:$I$263,4,0))</f>
        <v>0</v>
      </c>
      <c r="GI146" s="16">
        <f>IF(ISNA(VLOOKUP(A146,'Données projet'!$A$243:$I$263,5,0)),0%,VLOOKUP(A146,'Données projet'!$A$243:$I$263,5,0)*VLOOKUP('Données projet'!$B$17,Paramètres!$A$1:$I$89,7,0))</f>
        <v>0</v>
      </c>
      <c r="GJ146" s="16">
        <f>IF(ISNA(VLOOKUP(A146,'Données projet'!$A$243:$I$263,6,0)),0%,VLOOKUP(A146,'Données projet'!$A$243:$I$263,6,0)*VLOOKUP('Données projet'!$B$17,Paramètres!$A$1:$I$89,7,0))</f>
        <v>0</v>
      </c>
      <c r="GK146" s="16">
        <f>IF(ISNA(VLOOKUP(A146,'Données projet'!$A$243:$I$263,7,0)),0%,VLOOKUP(A146,'Données projet'!$A$243:$I$263,7,0))</f>
        <v>0</v>
      </c>
      <c r="GL146" s="21">
        <f>EXP(-LN(2)/35)*GL145+(1-EXP(-LN(2)/35))/(LN(2)/35)*GH146*GI146*VLOOKUP('Données projet'!$B$17,Paramètres!$A$1:$I$89,3,0)*0.475*44/12</f>
        <v>0</v>
      </c>
      <c r="GM146" s="21">
        <f>EXP(-LN(2)/25)*GM145+(1-EXP(-LN(2)/25))/(LN(2)/25)*Calculateur!GH146*Calculateur!GJ146*VLOOKUP('Données projet'!$B$17,Paramètres!$A$1:$I$89,3,0)*0.475*44/12</f>
        <v>0</v>
      </c>
      <c r="GN146" s="21">
        <f>EXP(-LN(2)/2)*GN145+(1-EXP(-LN(2)/2))/(LN(2)/2)*GH146*GK146*VLOOKUP('Données projet'!$B$17,Paramètres!$A$1:$I$89,3,0)*0.475*44/12</f>
        <v>0</v>
      </c>
      <c r="GO146" s="21">
        <f t="shared" si="135"/>
        <v>0</v>
      </c>
      <c r="GP146" s="75">
        <f>('Scénario référence'!$F$8+'Scénario référence'!$F$9+'Scénario référence'!$B$17+'Scénario référence'!$B$9+'Scénario référence'!$B$10)*70+IF((45+25*(1-EXP(-0.0175*A146)))&lt;70,'Scénario référence'!$B$16*(45+25*(1-EXP(-0.0175*A146))),70*'Scénario référence'!$B$16)+IF((32+38*(1-EXP(-0.0175*A146)))&lt;70,'Scénario référence'!$B$18*(32+38*(1-EXP(-0.0175*A146))),70*'Scénario référence'!$B$18)</f>
        <v>70</v>
      </c>
      <c r="GQ146" s="12">
        <f>IF(A146&gt;30,10,('Scénario référence'!$B$16+'Scénario référence'!$B$17+'Scénario référence'!$B$18+'Scénario référence'!$B$9+'Scénario référence'!$B$10)*A146*10/30+('Scénario référence'!$F$8+'Scénario référence'!$F$9)*10)</f>
        <v>10</v>
      </c>
      <c r="GR146" s="12" t="e">
        <f>VLOOKUP(A146,'Données projet'!$A$269:$I$289,2,0)</f>
        <v>#N/A</v>
      </c>
      <c r="GS146" s="12" t="e">
        <f>VLOOKUP(A146,'Données projet'!$A$269:$I$289,9,0)</f>
        <v>#N/A</v>
      </c>
      <c r="GT146" s="12">
        <f t="array" ref="GT146">INDEX(GS:GS,MIN(IF(ISNUMBER(GS146:GS342),ROW(GS146:GS342),"")))</f>
        <v>0</v>
      </c>
      <c r="GU146" s="12">
        <f>IF('Données projet'!$A$270&gt;35,GU145+GT146-HC145,IF(A146&lt;'Données projet'!$A$270,$GR$205^A146,IF(A146='Données projet'!$A$270,'Données projet'!$B$270,GU145+GT146-HC145)))</f>
        <v>4.5474735088646412E-13</v>
      </c>
      <c r="GV146" s="17">
        <f>GU146*VLOOKUP('Données projet'!$B$18,Paramètres!$A$1:$I$89,3,0)*VLOOKUP('Données projet'!$B$18,Paramètres!$A$1:$I$89,5,0)</f>
        <v>4.8949004849418999E-13</v>
      </c>
      <c r="GW146" s="13">
        <f t="shared" si="159"/>
        <v>6.1123715499968684E-12</v>
      </c>
      <c r="GX146" s="20">
        <f t="shared" si="136"/>
        <v>1.1498242284038591E-11</v>
      </c>
      <c r="GY146" s="59">
        <f t="shared" si="137"/>
        <v>293.3333333333448</v>
      </c>
      <c r="GZ146" s="59">
        <f ca="1">AVERAGE(OFFSET($GY$3,0,0,'Données projet'!$E$18+1,1))-AVERAGE(OFFSET($H$3,0,0,'Données projet'!$E$18+1,1))</f>
        <v>286.77702855541287</v>
      </c>
      <c r="HA146" s="59">
        <f t="shared" si="160"/>
        <v>227.12211541860779</v>
      </c>
      <c r="HB146" s="15">
        <f>IF(ISNA(VLOOKUP(A146,'Données projet'!$A$269:$I$289,3,0)),0,VLOOKUP(A146,'Données projet'!$A$269:$I$289,3,0))</f>
        <v>0</v>
      </c>
      <c r="HC146" s="15">
        <f>IF(ISNA(VLOOKUP(A146,'Données projet'!$A$269:$I$289,4,0)),0,VLOOKUP(A146,'Données projet'!$A$269:$I$289,4,0))</f>
        <v>0</v>
      </c>
      <c r="HD146" s="16">
        <f>IF(ISNA(VLOOKUP(A146,'Données projet'!$A$269:$I$289,5,0)),0%,VLOOKUP(A146,'Données projet'!$A$269:$I$289,5,0)*VLOOKUP('Données projet'!$B$18,Paramètres!$A$1:$I$89,7,0))</f>
        <v>0</v>
      </c>
      <c r="HE146" s="16">
        <f>IF(ISNA(VLOOKUP(A146,'Données projet'!$A$269:$I$289,6,0)),0%,VLOOKUP(A146,'Données projet'!$A$269:$I$289,6,0)*VLOOKUP('Données projet'!$B$18,Paramètres!$A$1:$I$89,7,0))</f>
        <v>0</v>
      </c>
      <c r="HF146" s="16">
        <f>IF(ISNA(VLOOKUP(A146,'Données projet'!$A$269:$I$289,7,0)),0%,VLOOKUP(A146,'Données projet'!$A$269:$I$289,7,0))</f>
        <v>0</v>
      </c>
      <c r="HG146" s="21">
        <f>EXP(-LN(2)/35)*HG145+(1-EXP(-LN(2)/35))/(LN(2)/35)*HC146*HD146*VLOOKUP('Données projet'!$B$18,Paramètres!$A$1:$I$89,3,0)*0.475*44/12</f>
        <v>0</v>
      </c>
      <c r="HH146" s="21">
        <f>EXP(-LN(2)/25)*HH145+(1-EXP(-LN(2)/25))/(LN(2)/25)*Calculateur!HC146*Calculateur!HE146*VLOOKUP('Données projet'!$B$18,Paramètres!$A$1:$I$89,3,0)*0.475*44/12</f>
        <v>0</v>
      </c>
      <c r="HI146" s="21">
        <f>EXP(-LN(2)/2)*HI145+(1-EXP(-LN(2)/2))/(LN(2)/2)*HC146*HF146*VLOOKUP('Données projet'!$B$18,Paramètres!$A$1:$I$89,3,0)*0.475*44/12</f>
        <v>0</v>
      </c>
      <c r="HJ146" s="22">
        <f t="shared" si="138"/>
        <v>0</v>
      </c>
    </row>
    <row r="147" spans="1:218" x14ac:dyDescent="0.25">
      <c r="A147" s="10">
        <f t="shared" si="139"/>
        <v>144</v>
      </c>
      <c r="B147" s="73">
        <f>'Scénario référence'!$B$16*5+'Scénario référence'!$B$17*0+'Scénario référence'!$B$18*5</f>
        <v>0</v>
      </c>
      <c r="C147" s="19">
        <f>Calculateur!C146+'Scénario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128.04480000000024</v>
      </c>
      <c r="D147" s="11">
        <f t="shared" si="140"/>
        <v>33.544172323452237</v>
      </c>
      <c r="E14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47" s="11">
        <f>IF(OR('Scénario référence'!$F$8&gt;0,'Scénario référence'!$F$9&gt;0),('Scénario référence'!$F$8+'Scénario référence'!$F$9)*10,0)</f>
        <v>10</v>
      </c>
      <c r="G147" s="11">
        <f>'Scénario référence'!$B$8*B147*44/12+'Scénario référence'!$B$9*(C147+D147)/0.475*44/12+'Scénario référence'!$B$10*(C147+D147)/0.475*44/12+'Scénario référence'!$F$8*(C147+D147)/0.475*44/12+'Scénario référence'!$F$9*(C147+D147)/0.475*44/12</f>
        <v>1247.3534705670015</v>
      </c>
      <c r="H147" s="67">
        <f t="shared" si="110"/>
        <v>574.76746013001298</v>
      </c>
      <c r="I147" s="70">
        <f>('Scénario référence'!$F$8+'Scénario référence'!$F$9+'Scénario référence'!$B$17+'Scénario référence'!$B$9+'Scénario référence'!$B$10)*70+IF((45+25*(1-EXP(-0.0175*A147)))&lt;70,'Scénario référence'!$B$16*(45+25*(1-EXP(-0.0175*A147))),70*'Scénario référence'!$B$16)+IF((32+38*(1-EXP(-0.0175*A147)))&lt;70,'Scénario référence'!$B$18*(32+38*(1-EXP(-0.0175*A147))),70*'Scénario référence'!$B$18)</f>
        <v>70</v>
      </c>
      <c r="J147" s="13">
        <f>IF(A147&gt;30,10,('Scénario référence'!$B$16+'Scénario référence'!$B$17+'Scénario référence'!$B$18+'Scénario référence'!$B$9+'Scénario référence'!$B$10)*A147*10/30+('Scénario référence'!$F$8+'Scénario référence'!$F$9)*10)</f>
        <v>10</v>
      </c>
      <c r="K147" s="12" t="e">
        <f>VLOOKUP(A147,'Données projet'!$A$35:$I$55,2,0)</f>
        <v>#N/A</v>
      </c>
      <c r="L147" s="12" t="e">
        <f>VLOOKUP(A147,'Données projet'!$A$35:$I$55,9,0)</f>
        <v>#N/A</v>
      </c>
      <c r="M147" s="12">
        <f t="array" ref="M147">INDEX(L:L,MIN(IF(ISNUMBER(L147:L343),ROW(L147:L343),"")))</f>
        <v>0</v>
      </c>
      <c r="N147" s="13">
        <f>IF('Données projet'!$A$36&gt;35,N146+M147-V146,IF(A147&lt;'Données projet'!$A$36,$K$205^A147,IF(A147='Données projet'!$A$36,'Données projet'!$B$36,N146+M147-V146)))</f>
        <v>-2.2737367544323206E-13</v>
      </c>
      <c r="O147" s="13">
        <f>N147*VLOOKUP('Données projet'!$B$9,Paramètres!$A$1:$I$89,3,0)*VLOOKUP('Données projet'!$B$9,Paramètres!$A$1:$I$89,5,0)</f>
        <v>-1.2710188457276673E-13</v>
      </c>
      <c r="P147" s="13" t="e">
        <f t="shared" si="141"/>
        <v>#NUM!</v>
      </c>
      <c r="Q147" s="20" t="e">
        <f t="shared" si="108"/>
        <v>#NUM!</v>
      </c>
      <c r="R147" s="59" t="e">
        <f t="shared" si="109"/>
        <v>#NUM!</v>
      </c>
      <c r="S147" s="59">
        <f ca="1">AVERAGE(OFFSET($R$3,0,0,'Données projet'!$E$9+1,1))-AVERAGE(OFFSET($H$3,0,0,'Données projet'!$E$9+1,1))</f>
        <v>255.5374979188561</v>
      </c>
      <c r="T147" s="59">
        <f t="shared" si="142"/>
        <v>343.10418468620901</v>
      </c>
      <c r="U147" s="15">
        <f>IF(ISNA(VLOOKUP(A147,'Données projet'!$A$35:$I$55,3,0)),0,VLOOKUP(A147,'Données projet'!$A$35:$I$55,3,0))</f>
        <v>0</v>
      </c>
      <c r="V147" s="15">
        <f>IF(ISNA(VLOOKUP(A147,'Données projet'!$A$35:$I$55,4,0)),0,VLOOKUP(A147,'Données projet'!$A$35:$I$55,4,0))</f>
        <v>0</v>
      </c>
      <c r="W147" s="16">
        <f>IF(ISNA(VLOOKUP(A147,'Données projet'!$A$35:$I$55,5,0)),0%,VLOOKUP(A147,'Données projet'!$A$35:$I$55,5,0)*VLOOKUP('Données projet'!$B$9,Paramètres!$A$1:$I$89,7,0))</f>
        <v>0</v>
      </c>
      <c r="X147" s="16">
        <f>IF(ISNA(VLOOKUP(A147,'Données projet'!$A$35:$I$55,6,0)),0%,VLOOKUP(A147,'Données projet'!$A$35:$I$55,6,0)*VLOOKUP('Données projet'!$B$9,Paramètres!$A$1:$I$89,7,0))</f>
        <v>0</v>
      </c>
      <c r="Y147" s="16">
        <f>IF(ISNA(VLOOKUP(A147,'Données projet'!$A$35:$I$55,7,0)),0%,VLOOKUP(A147,'Données projet'!$A$35:$I$55,7,0))</f>
        <v>0</v>
      </c>
      <c r="Z147" s="21">
        <f>EXP(-LN(2)/35)*Z146+(1-EXP(-LN(2)/35))/(LN(2)/35)*V147*W147*VLOOKUP('Données projet'!$B$9,Paramètres!$A$1:$I$89,3,0)*0.475*44/12</f>
        <v>0.32319640409602529</v>
      </c>
      <c r="AA147" s="21">
        <f>EXP(-LN(2)/25)*AA146+(1-EXP(-LN(2)/25))/(LN(2)/25)*Calculateur!V147*Calculateur!X147*VLOOKUP('Données projet'!$B$9,Paramètres!$A$1:$I$89,3,0)*0.475*44/12</f>
        <v>0.67661739385336994</v>
      </c>
      <c r="AB147" s="21">
        <f>EXP(-LN(2)/2)*AB146+(1-EXP(-LN(2)/2))/(LN(2)/2)*V147*Y147*VLOOKUP('Données projet'!$B$9,Paramètres!$A$1:$I$89,3,0)*0.475*44/12</f>
        <v>1.1745133195559712E-17</v>
      </c>
      <c r="AC147" s="22">
        <f t="shared" si="111"/>
        <v>0.99981379794939529</v>
      </c>
      <c r="AD147" s="13">
        <f>('Scénario référence'!$F$8+'Scénario référence'!$F$9+'Scénario référence'!$B$17+'Scénario référence'!$B$9+'Scénario référence'!$B$10)*70+IF((45+25*(1-EXP(-0.0175*A147)))&lt;70,'Scénario référence'!$B$16*(45+25*(1-EXP(-0.0175*A147))),70*'Scénario référence'!$B$16)+IF((32+38*(1-EXP(-0.0175*A147)))&lt;70,'Scénario référence'!$B$18*(32+38*(1-EXP(-0.0175*A147))),70*'Scénario référence'!$B$18)</f>
        <v>70</v>
      </c>
      <c r="AE147" s="13">
        <f>IF(A147&gt;30,10,('Scénario référence'!$B$16+'Scénario référence'!$B$17+'Scénario référence'!$B$18+'Scénario référence'!$B$9+'Scénario référence'!$B$10)*A147*10/30+('Scénario référence'!$F$8+'Scénario référence'!$F$9)*10)</f>
        <v>10</v>
      </c>
      <c r="AF147" s="12" t="e">
        <f>VLOOKUP(A147,'Données projet'!$A$61:$I$81,2,0)</f>
        <v>#N/A</v>
      </c>
      <c r="AG147" s="12" t="e">
        <f>VLOOKUP(A147,'Données projet'!$A$61:$I$81,9,0)</f>
        <v>#N/A</v>
      </c>
      <c r="AH147" s="12">
        <f t="array" ref="AH147">INDEX(AG:AG,MIN(IF(ISNUMBER(AG147:AG343),ROW(AG147:AG343),"")))</f>
        <v>0</v>
      </c>
      <c r="AI147" s="13">
        <f>IF('Données projet'!$A$62&gt;35,AI146+AH147-AQ146,IF(A147&lt;'Données projet'!$A$62,$AF$205^A147,IF(A147='Données projet'!$A$62,'Données projet'!$B$62,AI146+AH147-AQ146)))</f>
        <v>0</v>
      </c>
      <c r="AJ147" s="13">
        <f>AI147*VLOOKUP('Données projet'!$B$10,Paramètres!$A$1:$I$89,3,0)*VLOOKUP('Données projet'!$B$10,Paramètres!$A$1:$I$89,5,0)</f>
        <v>0</v>
      </c>
      <c r="AK147" s="13" t="e">
        <f t="shared" si="143"/>
        <v>#NUM!</v>
      </c>
      <c r="AL147" s="20" t="e">
        <f t="shared" si="112"/>
        <v>#NUM!</v>
      </c>
      <c r="AM147" s="59" t="e">
        <f t="shared" si="113"/>
        <v>#NUM!</v>
      </c>
      <c r="AN147" s="59">
        <f ca="1">AVERAGE(OFFSET($AM$3,0,0,'Données projet'!$E$10+1,1))-AVERAGE(OFFSET($H$3,0,0,'Données projet'!$E$10+1,1))</f>
        <v>261.78489480911571</v>
      </c>
      <c r="AO147" s="59">
        <f t="shared" si="144"/>
        <v>297.50513563712764</v>
      </c>
      <c r="AP147" s="15">
        <f>IF(ISNA(VLOOKUP(A147,'Données projet'!$A$61:$I$81,3,0)),0,VLOOKUP(A147,'Données projet'!$A$61:$I$81,3,0))</f>
        <v>0</v>
      </c>
      <c r="AQ147" s="15">
        <f>IF(ISNA(VLOOKUP(A147,'Données projet'!$A$61:$I$81,4,0)),0,VLOOKUP(A147,'Données projet'!$A$61:$I$81,4,0))</f>
        <v>0</v>
      </c>
      <c r="AR147" s="16">
        <f>IF(ISNA(VLOOKUP(A147,'Données projet'!$A$61:$I$81,5,0)),0%,VLOOKUP(A147,'Données projet'!$A$61:$I$81,5,0)*VLOOKUP('Données projet'!$B$10,Paramètres!$A$1:$I$89,7,0))</f>
        <v>0</v>
      </c>
      <c r="AS147" s="16">
        <f>IF(ISNA(VLOOKUP(A147,'Données projet'!$A$61:$I$81,6,0)),0%,VLOOKUP(A147,'Données projet'!$A$61:$I$81,6,0)*VLOOKUP('Données projet'!$B$10,Paramètres!$A$1:$I$89,7,0))</f>
        <v>0</v>
      </c>
      <c r="AT147" s="16">
        <f>IF(ISNA(VLOOKUP(A147,'Données projet'!$A$61:$I$81,7,0)),0%,VLOOKUP(A147,'Données projet'!$A$61:$I$81,7,0))</f>
        <v>0</v>
      </c>
      <c r="AU147" s="21">
        <f>EXP(-LN(2)/35)*AU146+(1-EXP(-LN(2)/35))/(LN(2)/35)*AQ147*AR147*VLOOKUP('Données projet'!$B$10,Paramètres!$A$1:$I$89,3,0)*0.475*44/12</f>
        <v>0.87272170672370264</v>
      </c>
      <c r="AV147" s="21">
        <f>EXP(-LN(2)/25)*AV146+(1-EXP(-LN(2)/25))/(LN(2)/25)*Calculateur!AQ147*Calculateur!AS147*VLOOKUP('Données projet'!$B$10,Paramètres!$A$1:$I$89,3,0)*0.475*44/12</f>
        <v>1.1815119731434203</v>
      </c>
      <c r="AW147" s="21">
        <f>EXP(-LN(2)/2)*AW146+(1-EXP(-LN(2)/2))/(LN(2)/2)*AQ147*AT147*VLOOKUP('Données projet'!$B$10,Paramètres!$A$1:$I$89,3,0)*0.475*44/12</f>
        <v>1.6931727642799293E-16</v>
      </c>
      <c r="AX147" s="21">
        <f t="shared" si="114"/>
        <v>2.054233679867123</v>
      </c>
      <c r="AY147" s="74">
        <f>('Scénario référence'!$F$8+'Scénario référence'!$F$9+'Scénario référence'!$B$17+'Scénario référence'!$B$9+'Scénario référence'!$B$10)*70+IF((45+25*(1-EXP(-0.0175*A147)))&lt;70,'Scénario référence'!$B$16*(45+25*(1-EXP(-0.0175*A147))),70*'Scénario référence'!$B$16)+IF((32+38*(1-EXP(-0.0175*A147)))&lt;70,'Scénario référence'!$B$18*(32+38*(1-EXP(-0.0175*A147))),70*'Scénario référence'!$B$18)</f>
        <v>70</v>
      </c>
      <c r="AZ147" s="12">
        <f>IF(A147&gt;30,10,('Scénario référence'!$B$16+'Scénario référence'!$B$17+'Scénario référence'!$B$18+'Scénario référence'!$B$9+'Scénario référence'!$B$10)*A147*10/30+('Scénario référence'!$F$8+'Scénario référence'!$F$9)*10)</f>
        <v>10</v>
      </c>
      <c r="BA147" s="12" t="e">
        <f>VLOOKUP(A147,'Données projet'!$A$87:$I$107,2,0)</f>
        <v>#N/A</v>
      </c>
      <c r="BB147" s="12" t="e">
        <f>VLOOKUP(A147,'Données projet'!$A$87:$I$107,9,0)</f>
        <v>#N/A</v>
      </c>
      <c r="BC147" s="12">
        <f t="array" ref="BC147">INDEX(BB:BB,MIN(IF(ISNUMBER(BB147:BB343),ROW(BB147:BB343),"")))</f>
        <v>0</v>
      </c>
      <c r="BD147" s="12">
        <f>IF('Données projet'!$A$88&gt;35,BD146+BC147-BL146,IF(A147&lt;'Données projet'!$A$88,$BA$205^A147,IF(A147='Données projet'!$A$88,'Données projet'!$B$88,BD146+BC147-BL146)))</f>
        <v>553.99999999999955</v>
      </c>
      <c r="BE147" s="13">
        <f>BD147*VLOOKUP('Données projet'!$B$11,Paramètres!$A$1:$I$89,3,0)*VLOOKUP('Données projet'!$B$11,Paramètres!$A$1:$I$89,5,0)</f>
        <v>331.29199999999975</v>
      </c>
      <c r="BF147" s="13">
        <f t="shared" si="145"/>
        <v>77.698110787752</v>
      </c>
      <c r="BG147" s="20">
        <f t="shared" si="115"/>
        <v>712.32444295533423</v>
      </c>
      <c r="BH147" s="59">
        <f t="shared" si="116"/>
        <v>1005.6577762886675</v>
      </c>
      <c r="BI147" s="59">
        <f ca="1">AVERAGE(OFFSET($BH$3,0,0,'Données projet'!$E$11+1,1))-AVERAGE(OFFSET($H$3,0,0,'Données projet'!$E$11+1,1))</f>
        <v>316.58509520829671</v>
      </c>
      <c r="BJ147" s="59">
        <f t="shared" si="146"/>
        <v>240.71332110643596</v>
      </c>
      <c r="BK147" s="15">
        <f>IF(ISNA(VLOOKUP(A147,'Données projet'!$A$87:$I$107,3,0)),0,VLOOKUP(A147,'Données projet'!$A$87:$I$107,3,0))</f>
        <v>0</v>
      </c>
      <c r="BL147" s="15">
        <f>IF(ISNA(VLOOKUP(A147,'Données projet'!$A$87:$I$107,4,0)),0,VLOOKUP(A147,'Données projet'!$A$87:$I$107,4,0))</f>
        <v>0</v>
      </c>
      <c r="BM147" s="16">
        <f>IF(ISNA(VLOOKUP(A147,'Données projet'!$A$87:$I$107,5,0)),0%,VLOOKUP(A147,'Données projet'!$A$87:$I$107,5,0)*VLOOKUP('Données projet'!$B$11,Paramètres!$A$1:$I$89,7,0))</f>
        <v>0</v>
      </c>
      <c r="BN147" s="16">
        <f>IF(ISNA(VLOOKUP(A147,'Données projet'!$A$87:$I$107,6,0)),0%,VLOOKUP(A147,'Données projet'!$A$87:$I$107,6,0)*VLOOKUP('Données projet'!$B$11,Paramètres!$A$1:$I$89,7,0))</f>
        <v>0</v>
      </c>
      <c r="BO147" s="16">
        <f>IF(ISNA(VLOOKUP(A147,'Données projet'!$A$87:$I$107,7,0)),0%,VLOOKUP(A147,'Données projet'!$A$87:$I$107,7,0))</f>
        <v>0</v>
      </c>
      <c r="BP147" s="21">
        <f>EXP(-LN(2)/35)*BP146+(1-EXP(-LN(2)/35))/(LN(2)/35)*BL147*BM147*VLOOKUP('Données projet'!$B$11,Paramètres!$A$1:$I$89,3,0)*0.475*44/12</f>
        <v>0.26509571188240466</v>
      </c>
      <c r="BQ147" s="21">
        <f>EXP(-LN(2)/25)*BQ146+(1-EXP(-LN(2)/25))/(LN(2)/25)*Calculateur!BL147*Calculateur!BN147*VLOOKUP('Données projet'!$B$11,Paramètres!$A$1:$I$89,3,0)*0.475*44/12</f>
        <v>0.64726673313480809</v>
      </c>
      <c r="BR147" s="21">
        <f>EXP(-LN(2)/2)*BR146+(1-EXP(-LN(2)/2))/(LN(2)/2)*BL147*BO147*VLOOKUP('Données projet'!$B$11,Paramètres!$A$1:$I$89,3,0)*0.475*44/12</f>
        <v>1.5223477388513021E-16</v>
      </c>
      <c r="BS147" s="22">
        <f t="shared" si="117"/>
        <v>0.91236244501721286</v>
      </c>
      <c r="BT147" s="75">
        <f>('Scénario référence'!$F$8+'Scénario référence'!$F$9+'Scénario référence'!$B$17+'Scénario référence'!$B$9+'Scénario référence'!$B$10)*70+IF((45+25*(1-EXP(-0.0175*A147)))&lt;70,'Scénario référence'!$B$16*(45+25*(1-EXP(-0.0175*A147))),70*'Scénario référence'!$B$16)+IF((32+38*(1-EXP(-0.0175*A147)))&lt;70,'Scénario référence'!$B$18*(32+38*(1-EXP(-0.0175*A147))),70*'Scénario référence'!$B$18)</f>
        <v>70</v>
      </c>
      <c r="BU147" s="12">
        <f>IF(A147&gt;30,10,('Scénario référence'!$B$16+'Scénario référence'!$B$17+'Scénario référence'!$B$18+'Scénario référence'!$B$9+'Scénario référence'!$B$10)*A147*10/30+('Scénario référence'!$F$8+'Scénario référence'!$F$9)*10)</f>
        <v>10</v>
      </c>
      <c r="BV147" s="12" t="e">
        <f>VLOOKUP(A147,'Données projet'!$A$113:$I$133,2,0)</f>
        <v>#N/A</v>
      </c>
      <c r="BW147" s="12" t="e">
        <f>VLOOKUP(A147,'Données projet'!$A$113:$I$133,9,0)</f>
        <v>#N/A</v>
      </c>
      <c r="BX147" s="12">
        <f t="array" ref="BX147">INDEX(BW:BW,MIN(IF(ISNUMBER(BW147:BW343),ROW(BW147:BW343),"")))</f>
        <v>0</v>
      </c>
      <c r="BY147" s="12">
        <f>IF('Données projet'!$A$114&gt;35,BY146+BX147-CG146,IF(A147&lt;'Données projet'!$A$114,$BV$205^A147,IF(A147='Données projet'!$A$114,'Données projet'!$B$114,BY146+BX147-CG146)))</f>
        <v>333.99999999999977</v>
      </c>
      <c r="BZ147" s="13">
        <f>BY147*VLOOKUP('Données projet'!$B$12,Paramètres!$A$1:$I$89,3,0)*VLOOKUP('Données projet'!$B$12,Paramètres!$A$1:$I$89,5,0)</f>
        <v>191.04799999999986</v>
      </c>
      <c r="CA147" s="13">
        <f t="shared" si="147"/>
        <v>47.771576544305155</v>
      </c>
      <c r="CB147" s="20">
        <f t="shared" si="118"/>
        <v>415.94409581466454</v>
      </c>
      <c r="CC147" s="59">
        <f t="shared" si="119"/>
        <v>709.27742914799785</v>
      </c>
      <c r="CD147" s="59">
        <f ca="1">AVERAGE(OFFSET($CC$3,0,0,'Données projet'!$E$12+1,1))-AVERAGE(OFFSET($H$3,0,0,'Données projet'!$E$12+1,1))</f>
        <v>188.64374818906128</v>
      </c>
      <c r="CE147" s="59">
        <f t="shared" si="148"/>
        <v>211.95157880548652</v>
      </c>
      <c r="CF147" s="15">
        <f>IF(ISNA(VLOOKUP(A147,'Données projet'!$A$113:$I$133,3,0)),0,VLOOKUP(A147,'Données projet'!$A$113:$I$133,3,0))</f>
        <v>0</v>
      </c>
      <c r="CG147" s="15">
        <f>IF(ISNA(VLOOKUP(A147,'Données projet'!$A$113:$I$133,4,0)),0,VLOOKUP(A147,'Données projet'!$A$113:$I$133,4,0))</f>
        <v>0</v>
      </c>
      <c r="CH147" s="16">
        <f>IF(ISNA(VLOOKUP(A147,'Données projet'!$A$113:$I$133,5,0)),0%,VLOOKUP(A147,'Données projet'!$A$113:$I$133,5,0)*VLOOKUP('Données projet'!$B$12,Paramètres!$A$1:$I$89,7,0))</f>
        <v>0</v>
      </c>
      <c r="CI147" s="16">
        <f>IF(ISNA(VLOOKUP(A147,'Données projet'!$A$113:$I$133,6,0)),0%,VLOOKUP(A147,'Données projet'!$A$113:$I$133,6,0)*VLOOKUP('Données projet'!$B$12,Paramètres!$A$1:$I$89,7,0))</f>
        <v>0</v>
      </c>
      <c r="CJ147" s="16">
        <f>IF(ISNA(VLOOKUP(A147,'Données projet'!$A$113:$I$133,7,0)),0%,VLOOKUP(A147,'Données projet'!$A$113:$I$133,7,0))</f>
        <v>0</v>
      </c>
      <c r="CK147" s="21">
        <f>EXP(-LN(2)/35)*CK146+(1-EXP(-LN(2)/35))/(LN(2)/35)*CG147*CH147*VLOOKUP('Données projet'!$B$12,Paramètres!$A$1:$I$89,3,0)*0.475*44/12</f>
        <v>0.25714121715966237</v>
      </c>
      <c r="CL147" s="21">
        <f>EXP(-LN(2)/25)*CL146+(1-EXP(-LN(2)/25))/(LN(2)/25)*Calculateur!CG147*Calculateur!CI147*VLOOKUP('Données projet'!$B$12,Paramètres!$A$1:$I$89,3,0)*0.475*44/12</f>
        <v>0.60922210448627323</v>
      </c>
      <c r="CM147" s="21">
        <f>EXP(-LN(2)/2)*CM146+(1-EXP(-LN(2)/2))/(LN(2)/2)*CG147*CJ147*VLOOKUP('Données projet'!$B$12,Paramètres!$A$1:$I$89,3,0)*0.475*44/12</f>
        <v>1.4742746748214364E-16</v>
      </c>
      <c r="CN147" s="22">
        <f t="shared" si="120"/>
        <v>0.86636332164593577</v>
      </c>
      <c r="CO147" s="75">
        <f>('Scénario référence'!$F$8+'Scénario référence'!$F$9+'Scénario référence'!$B$17+'Scénario référence'!$B$9+'Scénario référence'!$B$10)*70+IF((45+25*(1-EXP(-0.0175*A147)))&lt;70,'Scénario référence'!$B$16*(45+25*(1-EXP(-0.0175*A147))),70*'Scénario référence'!$B$16)+IF((32+38*(1-EXP(-0.0175*A147)))&lt;70,'Scénario référence'!$B$18*(32+38*(1-EXP(-0.0175*A147))),70*'Scénario référence'!$B$18)</f>
        <v>70</v>
      </c>
      <c r="CP147" s="12">
        <f>IF(A147&gt;30,10,('Scénario référence'!$B$16+'Scénario référence'!$B$17+'Scénario référence'!$B$18+'Scénario référence'!$B$9+'Scénario référence'!$B$10)*A147*10/30+('Scénario référence'!$F$8+'Scénario référence'!$F$9)*10)</f>
        <v>10</v>
      </c>
      <c r="CQ147" s="12" t="e">
        <f>VLOOKUP(A147,'Données projet'!$A$139:$I$159,2,0)</f>
        <v>#N/A</v>
      </c>
      <c r="CR147" s="12" t="e">
        <f>VLOOKUP(A147,'Données projet'!$A$139:$I$159,9,0)</f>
        <v>#N/A</v>
      </c>
      <c r="CS147" s="12">
        <f t="array" ref="CS147">INDEX(CR:CR,MIN(IF(ISNUMBER(CR147:CR343),ROW(CR147:CR343),"")))</f>
        <v>0</v>
      </c>
      <c r="CT147" s="12">
        <f>IF('Données projet'!$A$140&gt;35,CT146+CS147-DB146,IF(A147&lt;'Données projet'!$A$140,$CQ$205^A147,IF(A147='Données projet'!$A$140,'Données projet'!$B$140,CT146+CS147-DB146)))</f>
        <v>0</v>
      </c>
      <c r="CU147" s="17" t="e">
        <f>CT147*VLOOKUP('Données projet'!$B$13,Paramètres!$A$1:$I$89,3,0)*VLOOKUP('Données projet'!$B$13,Paramètres!$A$1:$I$89,5,0)</f>
        <v>#N/A</v>
      </c>
      <c r="CV147" s="13" t="e">
        <f t="shared" si="149"/>
        <v>#N/A</v>
      </c>
      <c r="CW147" s="20" t="e">
        <f t="shared" si="121"/>
        <v>#N/A</v>
      </c>
      <c r="CX147" s="59" t="e">
        <f t="shared" si="122"/>
        <v>#N/A</v>
      </c>
      <c r="CY147" s="59" t="e">
        <f ca="1">AVERAGE(OFFSET($CX$3,0,0,'Données projet'!$E$13+1,1))-AVERAGE(OFFSET($H$3,0,0,'Données projet'!$E$13+1,1))</f>
        <v>#N/A</v>
      </c>
      <c r="CZ147" s="59" t="e">
        <f t="shared" si="150"/>
        <v>#N/A</v>
      </c>
      <c r="DA147" s="15">
        <f>IF(ISNA(VLOOKUP(A147,'Données projet'!$A$139:$I$159,3,0)),0,VLOOKUP(A147,'Données projet'!$A$139:$I$159,3,0))</f>
        <v>0</v>
      </c>
      <c r="DB147" s="15">
        <f>IF(ISNA(VLOOKUP(A147,'Données projet'!$A$139:$I$159,4,0)),0,VLOOKUP(A147,'Données projet'!$A$139:$I$159,4,0))</f>
        <v>0</v>
      </c>
      <c r="DC147" s="16">
        <f>IF(ISNA(VLOOKUP(A147,'Données projet'!$A$139:$I$159,5,0)),0%,VLOOKUP(A147,'Données projet'!$A$139:$I$159,5,0)*VLOOKUP('Données projet'!$B$13,Paramètres!$A$1:$I$89,7,0))</f>
        <v>0</v>
      </c>
      <c r="DD147" s="16">
        <f>IF(ISNA(VLOOKUP(A147,'Données projet'!$A$139:$I$159,6,0)),0%,VLOOKUP(A147,'Données projet'!$A$139:$I$159,6,0)*VLOOKUP('Données projet'!$B$13,Paramètres!$A$1:$I$89,7,0))</f>
        <v>0</v>
      </c>
      <c r="DE147" s="16">
        <f>IF(ISNA(VLOOKUP(A147,'Données projet'!$A$139:$I$159,7,0)),0%,VLOOKUP(A147,'Données projet'!$A$139:$I$159,7,0))</f>
        <v>0</v>
      </c>
      <c r="DF147" s="21" t="e">
        <f>EXP(-LN(2)/35)*DF146+(1-EXP(-LN(2)/35))/(LN(2)/35)*DB147*DC147*VLOOKUP('Données projet'!$B$13,Paramètres!$A$1:$I$89,3,0)*0.475*44/12</f>
        <v>#N/A</v>
      </c>
      <c r="DG147" s="21" t="e">
        <f>EXP(-LN(2)/25)*DG146+(1-EXP(-LN(2)/25))/(LN(2)/25)*Calculateur!DB147*Calculateur!DD147*VLOOKUP('Données projet'!$B$13,Paramètres!$A$1:$I$89,3,0)*0.475*44/12</f>
        <v>#N/A</v>
      </c>
      <c r="DH147" s="21" t="e">
        <f>EXP(-LN(2)/2)*DH146+(1-EXP(-LN(2)/2))/(LN(2)/2)*DB147*DE147*VLOOKUP('Données projet'!$B$13,Paramètres!$A$1:$I$89,3,0)*0.475*44/12</f>
        <v>#N/A</v>
      </c>
      <c r="DI147" s="22" t="e">
        <f t="shared" si="123"/>
        <v>#N/A</v>
      </c>
      <c r="DJ147" s="75">
        <f>('Scénario référence'!$F$8+'Scénario référence'!$F$9+'Scénario référence'!$B$17+'Scénario référence'!$B$9+'Scénario référence'!$B$10)*70+IF((45+25*(1-EXP(-0.0175*A147)))&lt;70,'Scénario référence'!$B$16*(45+25*(1-EXP(-0.0175*A147))),70*'Scénario référence'!$B$16)+IF((32+38*(1-EXP(-0.0175*A147)))&lt;70,'Scénario référence'!$B$18*(32+38*(1-EXP(-0.0175*A147))),70*'Scénario référence'!$B$18)</f>
        <v>70</v>
      </c>
      <c r="DK147" s="12">
        <f>IF(A147&gt;30,10,('Scénario référence'!$B$16+'Scénario référence'!$B$17+'Scénario référence'!$B$18+'Scénario référence'!$B$9+'Scénario référence'!$B$10)*A147*10/30+('Scénario référence'!$F$8+'Scénario référence'!$F$9)*10)</f>
        <v>10</v>
      </c>
      <c r="DL147" s="12" t="e">
        <f>VLOOKUP(A147,'Données projet'!$A$165:$I$185,2,0)</f>
        <v>#N/A</v>
      </c>
      <c r="DM147" s="12" t="e">
        <f>VLOOKUP(A147,'Données projet'!$A$165:$I$185,9,0)</f>
        <v>#N/A</v>
      </c>
      <c r="DN147" s="12">
        <f t="array" ref="DN147">INDEX(DM:DM,MIN(IF(ISNUMBER(DM147:DM343),ROW(DM147:DM343),"")))</f>
        <v>0</v>
      </c>
      <c r="DO147" s="12">
        <f>IF('Données projet'!$A$166&gt;35,DO146+DN147-DW146,IF(A147&lt;'Données projet'!$A$166,$DL$205^A147,IF(A147='Données projet'!$A$166,'Données projet'!$B$166,DO146+DN147-DW146)))</f>
        <v>268.00000000000017</v>
      </c>
      <c r="DP147" s="17">
        <f>DO147*VLOOKUP('Données projet'!$B$14,Paramètres!$A$1:$I$89,3,0)*VLOOKUP('Données projet'!$B$14,Paramètres!$A$1:$I$89,5,0)</f>
        <v>175.59360000000012</v>
      </c>
      <c r="DQ147" s="13">
        <f t="shared" si="151"/>
        <v>44.340433728638573</v>
      </c>
      <c r="DR147" s="20">
        <f t="shared" si="124"/>
        <v>383.05177541071242</v>
      </c>
      <c r="DS147" s="59">
        <f t="shared" si="125"/>
        <v>676.38510874404574</v>
      </c>
      <c r="DT147" s="59">
        <f ca="1">AVERAGE(OFFSET($DS$3,0,0,'Données projet'!$E$14+1,1))-AVERAGE(OFFSET($H$3,0,0,'Données projet'!$E$14+1,1))</f>
        <v>188.68915783955595</v>
      </c>
      <c r="DU147" s="59">
        <f t="shared" si="152"/>
        <v>240.82467772396944</v>
      </c>
      <c r="DV147" s="15">
        <f>IF(ISNA(VLOOKUP(A147,'Données projet'!$A$165:$I$185,3,0)),0,VLOOKUP(A147,'Données projet'!$A$165:$I$185,3,0))</f>
        <v>0</v>
      </c>
      <c r="DW147" s="15">
        <f>IF(ISNA(VLOOKUP(A147,'Données projet'!$A$165:$I$185,4,0)),0,VLOOKUP(A147,'Données projet'!$A$165:$I$185,4,0))</f>
        <v>0</v>
      </c>
      <c r="DX147" s="16">
        <f>IF(ISNA(VLOOKUP(A147,'Données projet'!$A$165:$I$185,5,0)),0%,VLOOKUP(A147,'Données projet'!$A$165:$I$185,5,0)*VLOOKUP('Données projet'!$B$14,Paramètres!$A$1:$I$89,7,0))</f>
        <v>0</v>
      </c>
      <c r="DY147" s="16">
        <f>IF(ISNA(VLOOKUP(A147,'Données projet'!$A$165:$I$185,6,0)),0%,VLOOKUP(A147,'Données projet'!$A$165:$I$185,6,0)*VLOOKUP('Données projet'!$B$14,Paramètres!$A$1:$I$89,7,0))</f>
        <v>0</v>
      </c>
      <c r="DZ147" s="16">
        <f>IF(ISNA(VLOOKUP(A147,'Données projet'!$A$165:$I$185,7,0)),0%,VLOOKUP(A147,'Données projet'!$A$165:$I$185,7,0))</f>
        <v>0</v>
      </c>
      <c r="EA147" s="21">
        <f>EXP(-LN(2)/35)*EA146+(1-EXP(-LN(2)/35))/(LN(2)/35)*DW147*DX147*VLOOKUP('Données projet'!$B$14,Paramètres!$A$1:$I$89,3,0)*0.475*44/12</f>
        <v>0.16287774908471866</v>
      </c>
      <c r="EB147" s="21">
        <f>EXP(-LN(2)/25)*EB146+(1-EXP(-LN(2)/25))/(LN(2)/25)*Calculateur!DW147*Calculateur!DY147*VLOOKUP('Données projet'!$B$14,Paramètres!$A$1:$I$89,3,0)*0.475*44/12</f>
        <v>0.3407632892147805</v>
      </c>
      <c r="EC147" s="21">
        <f>EXP(-LN(2)/2)*EC146+(1-EXP(-LN(2)/2))/(LN(2)/2)*DW147*DZ147*VLOOKUP('Données projet'!$B$14,Paramètres!$A$1:$I$89,3,0)*0.475*44/12</f>
        <v>9.7119590052090804E-17</v>
      </c>
      <c r="ED147" s="22">
        <f t="shared" si="126"/>
        <v>0.50364103829949924</v>
      </c>
      <c r="EE147" s="75">
        <f>('Scénario référence'!$F$8+'Scénario référence'!$F$9+'Scénario référence'!$B$17+'Scénario référence'!$B$9+'Scénario référence'!$B$10)*70+IF((45+25*(1-EXP(-0.0175*A147)))&lt;70,'Scénario référence'!$B$16*(45+25*(1-EXP(-0.0175*A147))),70*'Scénario référence'!$B$16)+IF((32+38*(1-EXP(-0.0175*A147)))&lt;70,'Scénario référence'!$B$18*(32+38*(1-EXP(-0.0175*A147))),70*'Scénario référence'!$B$18)</f>
        <v>70</v>
      </c>
      <c r="EF147" s="12">
        <f>IF(A147&gt;30,10,('Scénario référence'!$B$16+'Scénario référence'!$B$17+'Scénario référence'!$B$18+'Scénario référence'!$B$9+'Scénario référence'!$B$10)*A147*10/30+('Scénario référence'!$F$8+'Scénario référence'!$F$9)*10)</f>
        <v>10</v>
      </c>
      <c r="EG147" s="12" t="e">
        <f>VLOOKUP(A147,'Données projet'!$A$191:$I$211,2,0)</f>
        <v>#N/A</v>
      </c>
      <c r="EH147" s="12" t="e">
        <f>VLOOKUP(A147,'Données projet'!$A$191:$I$211,9,0)</f>
        <v>#N/A</v>
      </c>
      <c r="EI147" s="12">
        <f t="array" ref="EI147">INDEX(EH:EH,MIN(IF(ISNUMBER(EH147:EH343),ROW(EH147:EH343),"")))</f>
        <v>0</v>
      </c>
      <c r="EJ147" s="12">
        <f>IF('Données projet'!$A$192&gt;35,EJ146+EI147-ER146,IF(A147&lt;'Données projet'!$A$192,$EG$205^A147,IF(A147='Données projet'!$A$192,'Données projet'!$B$192,EJ146+EI147-ER146)))</f>
        <v>275.99999999999972</v>
      </c>
      <c r="EK147" s="17">
        <f>EJ147*VLOOKUP('Données projet'!$B$15,Paramètres!$A$1:$I$89,3,0)*VLOOKUP('Données projet'!$B$15,Paramètres!$A$1:$I$89,5,0)</f>
        <v>223.8911999999998</v>
      </c>
      <c r="EL147" s="13">
        <f t="shared" si="153"/>
        <v>54.95975389514858</v>
      </c>
      <c r="EM147" s="20">
        <f t="shared" si="127"/>
        <v>485.66541136738346</v>
      </c>
      <c r="EN147" s="59">
        <f t="shared" si="128"/>
        <v>778.99874470071677</v>
      </c>
      <c r="EO147" s="59">
        <f ca="1">AVERAGE(OFFSET($EN$3,0,0,'Données projet'!$E$15+1,1))-AVERAGE(OFFSET($H$3,0,0,'Données projet'!$E$15+1,1))</f>
        <v>205.5272583787887</v>
      </c>
      <c r="EP147" s="59">
        <f t="shared" si="154"/>
        <v>180.54762778843178</v>
      </c>
      <c r="EQ147" s="15">
        <f>IF(ISNA(VLOOKUP(A147,'Données projet'!$A$191:$I$211,3,0)),0,VLOOKUP(A147,'Données projet'!$A$191:$I$211,3,0))</f>
        <v>0</v>
      </c>
      <c r="ER147" s="15">
        <f>IF(ISNA(VLOOKUP(A147,'Données projet'!$A$191:$I$211,4,0)),0,VLOOKUP(A147,'Données projet'!$A$191:$I$211,4,0))</f>
        <v>0</v>
      </c>
      <c r="ES147" s="16">
        <f>IF(ISNA(VLOOKUP(A147,'Données projet'!$A$191:$I$211,5,0)),0%,VLOOKUP(A147,'Données projet'!$A$191:$I$211,5,0)*VLOOKUP('Données projet'!$B$15,Paramètres!$A$1:$I$89,7,0))</f>
        <v>0</v>
      </c>
      <c r="ET147" s="16">
        <f>IF(ISNA(VLOOKUP(A147,'Données projet'!$A$191:$I$211,6,0)),0%,VLOOKUP(A147,'Données projet'!$A$191:$I$211,6,0)*VLOOKUP('Données projet'!$B$15,Paramètres!$A$1:$I$89,7,0))</f>
        <v>0</v>
      </c>
      <c r="EU147" s="16">
        <f>IF(ISNA(VLOOKUP(A147,'Données projet'!$A$191:$I$211,7,0)),0%,VLOOKUP(A147,'Données projet'!$A$191:$I$211,7,0))</f>
        <v>0</v>
      </c>
      <c r="EV147" s="21">
        <f>EXP(-LN(2)/35)*EV146+(1-EXP(-LN(2)/35))/(LN(2)/35)*ER147*ES147*VLOOKUP('Données projet'!$B$15,Paramètres!$A$1:$I$89,3,0)*0.475*44/12</f>
        <v>0.10486224607739988</v>
      </c>
      <c r="EW147" s="21">
        <f>EXP(-LN(2)/25)*EW146+(1-EXP(-LN(2)/25))/(LN(2)/25)*Calculateur!ER147*Calculateur!ET147*VLOOKUP('Données projet'!$B$15,Paramètres!$A$1:$I$89,3,0)*0.475*44/12</f>
        <v>0.24604143219624544</v>
      </c>
      <c r="EX147" s="21">
        <f>EXP(-LN(2)/2)*EX146+(1-EXP(-LN(2)/2))/(LN(2)/2)*ER147*EU147*VLOOKUP('Données projet'!$B$15,Paramètres!$A$1:$I$89,3,0)*0.475*44/12</f>
        <v>6.2885006371498788E-17</v>
      </c>
      <c r="EY147" s="22">
        <f t="shared" si="129"/>
        <v>0.35090367827364538</v>
      </c>
      <c r="EZ147" s="75">
        <f>('Scénario référence'!$F$8+'Scénario référence'!$F$9+'Scénario référence'!$B$17+'Scénario référence'!$B$9+'Scénario référence'!$B$10)*70+IF((45+25*(1-EXP(-0.0175*A147)))&lt;70,'Scénario référence'!$B$16*(45+25*(1-EXP(-0.0175*A147))),70*'Scénario référence'!$B$16)+IF((32+38*(1-EXP(-0.0175*A147)))&lt;70,'Scénario référence'!$B$18*(32+38*(1-EXP(-0.0175*A147))),70*'Scénario référence'!$B$18)</f>
        <v>70</v>
      </c>
      <c r="FA147" s="12">
        <f>IF(A147&gt;30,10,('Scénario référence'!$B$16+'Scénario référence'!$B$17+'Scénario référence'!$B$18+'Scénario référence'!$B$9+'Scénario référence'!$B$10)*A147*10/30+('Scénario référence'!$F$8+'Scénario référence'!$F$9)*10)</f>
        <v>10</v>
      </c>
      <c r="FB147" s="12" t="e">
        <f>VLOOKUP(A147,'Données projet'!$A$217:$I$237,2,0)</f>
        <v>#N/A</v>
      </c>
      <c r="FC147" s="12" t="e">
        <f>VLOOKUP(A147,'Données projet'!$A$217:$I$237,9,0)</f>
        <v>#N/A</v>
      </c>
      <c r="FD147" s="12">
        <f t="array" ref="FD147">INDEX(FC:FC,MIN(IF(ISNUMBER(FC147:FC343),ROW(FC147:FC343),"")))</f>
        <v>4.7</v>
      </c>
      <c r="FE147" s="12">
        <f>IF('Données projet'!$A$218&gt;35,FE146+FD147-FM146,IF(A147&lt;'Données projet'!$A$218,$FB$205^A147,IF(A147='Données projet'!$A$218,'Données projet'!$B$218,FE146+FD147-FM146)))</f>
        <v>430.7999999999999</v>
      </c>
      <c r="FF147" s="17">
        <f>FE147*VLOOKUP('Données projet'!$B$16,Paramètres!$A$1:$I$89,3,0)*VLOOKUP('Données projet'!$B$16,Paramètres!$A$1:$I$89,5,0)</f>
        <v>369.62639999999999</v>
      </c>
      <c r="FG147" s="13">
        <f t="shared" si="155"/>
        <v>85.590869081575732</v>
      </c>
      <c r="FH147" s="20">
        <f t="shared" si="130"/>
        <v>792.83674365041099</v>
      </c>
      <c r="FI147" s="59">
        <f t="shared" si="131"/>
        <v>1086.1700769837444</v>
      </c>
      <c r="FJ147" s="59">
        <f ca="1">AVERAGE(OFFSET($FI$3,0,0,'Données projet'!$E$16+1,1))-AVERAGE(OFFSET($H$3,0,0,'Données projet'!$E$16+1,1))</f>
        <v>383.97627237444709</v>
      </c>
      <c r="FK147" s="59">
        <f t="shared" si="156"/>
        <v>203.35476578922339</v>
      </c>
      <c r="FL147" s="15">
        <f>IF(ISNA(VLOOKUP(A147,'Données projet'!$A$217:$I$237,3,0)),0,VLOOKUP(A147,'Données projet'!$A$217:$I$237,3,0))</f>
        <v>0</v>
      </c>
      <c r="FM147" s="15">
        <f>IF(ISNA(VLOOKUP(A147,'Données projet'!$A$217:$I$237,4,0)),0,VLOOKUP(A147,'Données projet'!$A$217:$I$237,4,0))</f>
        <v>0</v>
      </c>
      <c r="FN147" s="16">
        <f>IF(ISNA(VLOOKUP(A147,'Données projet'!$A$217:$I$237,5,0)),0%,VLOOKUP(A147,'Données projet'!$A$217:$I$237,5,0)*VLOOKUP('Données projet'!$B$16,Paramètres!$A$1:$I$89,7,0))</f>
        <v>0</v>
      </c>
      <c r="FO147" s="16">
        <f>IF(ISNA(VLOOKUP(A147,'Données projet'!$A$217:$I$237,6,0)),0%,VLOOKUP(A147,'Données projet'!$A$217:$I$237,6,0)*VLOOKUP('Données projet'!$B$16,Paramètres!$A$1:$I$89,7,0))</f>
        <v>0</v>
      </c>
      <c r="FP147" s="16">
        <f>IF(ISNA(VLOOKUP(A147,'Données projet'!$A$217:$I$237,7,0)),0%,VLOOKUP(A147,'Données projet'!$A$217:$I$237,7,0))</f>
        <v>0</v>
      </c>
      <c r="FQ147" s="21">
        <f>EXP(-LN(2)/35)*FQ146+(1-EXP(-LN(2)/35))/(LN(2)/35)*FM147*FN147*VLOOKUP('Données projet'!$B$16,Paramètres!$A$1:$I$89,3,0)*0.475*44/12</f>
        <v>0.5389350548687768</v>
      </c>
      <c r="FR147" s="21">
        <f>EXP(-LN(2)/25)*FR146+(1-EXP(-LN(2)/25))/(LN(2)/25)*Calculateur!FM147*Calculateur!FO147*VLOOKUP('Données projet'!$B$16,Paramètres!$A$1:$I$89,3,0)*0.475*44/12</f>
        <v>0.24975748447807564</v>
      </c>
      <c r="FS147" s="21">
        <f>EXP(-LN(2)/2)*FS146+(1-EXP(-LN(2)/2))/(LN(2)/2)*FM147*FP147*VLOOKUP('Données projet'!$B$16,Paramètres!$A$1:$I$89,3,0)*0.475*44/12</f>
        <v>1.155068508325994E-16</v>
      </c>
      <c r="FT147" s="22">
        <f t="shared" si="132"/>
        <v>0.78869253934685257</v>
      </c>
      <c r="FU147" s="75">
        <f>('Scénario référence'!$F$8+'Scénario référence'!$F$9+'Scénario référence'!$B$17+'Scénario référence'!$B$9+'Scénario référence'!$B$10)*70+IF((45+25*(1-EXP(-0.0175*A147)))&lt;70,'Scénario référence'!$B$16*(45+25*(1-EXP(-0.0175*A147))),70*'Scénario référence'!$B$16)+IF((32+38*(1-EXP(-0.0175*A147)))&lt;70,'Scénario référence'!$B$18*(32+38*(1-EXP(-0.0175*A147))),70*'Scénario référence'!$B$18)</f>
        <v>70</v>
      </c>
      <c r="FV147" s="12">
        <f>IF(A147&gt;30,10,('Scénario référence'!$B$16+'Scénario référence'!$B$17+'Scénario référence'!$B$18+'Scénario référence'!$B$9+'Scénario référence'!$B$10)*A147*10/30+('Scénario référence'!$F$8+'Scénario référence'!$F$9)*10)</f>
        <v>10</v>
      </c>
      <c r="FW147" s="12" t="e">
        <f>VLOOKUP(A147,'Données projet'!$A$243:$I$263,2,0)</f>
        <v>#N/A</v>
      </c>
      <c r="FX147" s="12" t="e">
        <f>VLOOKUP(A147,'Données projet'!$A$243:$I$263,9,0)</f>
        <v>#N/A</v>
      </c>
      <c r="FY147" s="12">
        <f t="array" ref="FY147">INDEX(FX:FX,MIN(IF(ISNUMBER(FX147:FX343),ROW(FX147:FX343),"")))</f>
        <v>0</v>
      </c>
      <c r="FZ147" s="12">
        <f>IF('Données projet'!$A$244&gt;35,FZ146+FY147-GH146,IF(A147&lt;'Données projet'!$A$244,$FW$205^A147,IF(A147='Données projet'!$A$244,'Données projet'!$B$244,FZ146+FY147-GH146)))</f>
        <v>4.5474735088646412E-13</v>
      </c>
      <c r="GA147" s="17">
        <f>FZ147*VLOOKUP('Données projet'!$B$17,Paramètres!$A$1:$I$89,3,0)*VLOOKUP('Données projet'!$B$17,Paramètres!$A$1:$I$89,5,0)</f>
        <v>4.8949004849418999E-13</v>
      </c>
      <c r="GB147" s="13">
        <f t="shared" si="157"/>
        <v>6.1123715499968684E-12</v>
      </c>
      <c r="GC147" s="20">
        <f t="shared" si="133"/>
        <v>1.1498242284038591E-11</v>
      </c>
      <c r="GD147" s="59">
        <f t="shared" si="134"/>
        <v>293.3333333333448</v>
      </c>
      <c r="GE147" s="59">
        <f ca="1">AVERAGE(OFFSET($GD$3,0,0,'Données projet'!$E$17+1,1))-AVERAGE(OFFSET($H$3,0,0,'Données projet'!$E$17+1,1))</f>
        <v>286.77702855541287</v>
      </c>
      <c r="GF147" s="59">
        <f t="shared" si="158"/>
        <v>227.12211541860779</v>
      </c>
      <c r="GG147" s="15">
        <f>IF(ISNA(VLOOKUP(A147,'Données projet'!$A$243:$I$263,3,0)),0,VLOOKUP(A147,'Données projet'!$A$243:$I$263,3,0))</f>
        <v>0</v>
      </c>
      <c r="GH147" s="15">
        <f>IF(ISNA(VLOOKUP(A147,'Données projet'!$A$243:$I$263,4,0)),0,VLOOKUP(A147,'Données projet'!$A$243:$I$263,4,0))</f>
        <v>0</v>
      </c>
      <c r="GI147" s="16">
        <f>IF(ISNA(VLOOKUP(A147,'Données projet'!$A$243:$I$263,5,0)),0%,VLOOKUP(A147,'Données projet'!$A$243:$I$263,5,0)*VLOOKUP('Données projet'!$B$17,Paramètres!$A$1:$I$89,7,0))</f>
        <v>0</v>
      </c>
      <c r="GJ147" s="16">
        <f>IF(ISNA(VLOOKUP(A147,'Données projet'!$A$243:$I$263,6,0)),0%,VLOOKUP(A147,'Données projet'!$A$243:$I$263,6,0)*VLOOKUP('Données projet'!$B$17,Paramètres!$A$1:$I$89,7,0))</f>
        <v>0</v>
      </c>
      <c r="GK147" s="16">
        <f>IF(ISNA(VLOOKUP(A147,'Données projet'!$A$243:$I$263,7,0)),0%,VLOOKUP(A147,'Données projet'!$A$243:$I$263,7,0))</f>
        <v>0</v>
      </c>
      <c r="GL147" s="21">
        <f>EXP(-LN(2)/35)*GL146+(1-EXP(-LN(2)/35))/(LN(2)/35)*GH147*GI147*VLOOKUP('Données projet'!$B$17,Paramètres!$A$1:$I$89,3,0)*0.475*44/12</f>
        <v>0</v>
      </c>
      <c r="GM147" s="21">
        <f>EXP(-LN(2)/25)*GM146+(1-EXP(-LN(2)/25))/(LN(2)/25)*Calculateur!GH147*Calculateur!GJ147*VLOOKUP('Données projet'!$B$17,Paramètres!$A$1:$I$89,3,0)*0.475*44/12</f>
        <v>0</v>
      </c>
      <c r="GN147" s="21">
        <f>EXP(-LN(2)/2)*GN146+(1-EXP(-LN(2)/2))/(LN(2)/2)*GH147*GK147*VLOOKUP('Données projet'!$B$17,Paramètres!$A$1:$I$89,3,0)*0.475*44/12</f>
        <v>0</v>
      </c>
      <c r="GO147" s="21">
        <f t="shared" si="135"/>
        <v>0</v>
      </c>
      <c r="GP147" s="75">
        <f>('Scénario référence'!$F$8+'Scénario référence'!$F$9+'Scénario référence'!$B$17+'Scénario référence'!$B$9+'Scénario référence'!$B$10)*70+IF((45+25*(1-EXP(-0.0175*A147)))&lt;70,'Scénario référence'!$B$16*(45+25*(1-EXP(-0.0175*A147))),70*'Scénario référence'!$B$16)+IF((32+38*(1-EXP(-0.0175*A147)))&lt;70,'Scénario référence'!$B$18*(32+38*(1-EXP(-0.0175*A147))),70*'Scénario référence'!$B$18)</f>
        <v>70</v>
      </c>
      <c r="GQ147" s="12">
        <f>IF(A147&gt;30,10,('Scénario référence'!$B$16+'Scénario référence'!$B$17+'Scénario référence'!$B$18+'Scénario référence'!$B$9+'Scénario référence'!$B$10)*A147*10/30+('Scénario référence'!$F$8+'Scénario référence'!$F$9)*10)</f>
        <v>10</v>
      </c>
      <c r="GR147" s="12" t="e">
        <f>VLOOKUP(A147,'Données projet'!$A$269:$I$289,2,0)</f>
        <v>#N/A</v>
      </c>
      <c r="GS147" s="12" t="e">
        <f>VLOOKUP(A147,'Données projet'!$A$269:$I$289,9,0)</f>
        <v>#N/A</v>
      </c>
      <c r="GT147" s="12">
        <f t="array" ref="GT147">INDEX(GS:GS,MIN(IF(ISNUMBER(GS147:GS343),ROW(GS147:GS343),"")))</f>
        <v>0</v>
      </c>
      <c r="GU147" s="12">
        <f>IF('Données projet'!$A$270&gt;35,GU146+GT147-HC146,IF(A147&lt;'Données projet'!$A$270,$GR$205^A147,IF(A147='Données projet'!$A$270,'Données projet'!$B$270,GU146+GT147-HC146)))</f>
        <v>4.5474735088646412E-13</v>
      </c>
      <c r="GV147" s="17">
        <f>GU147*VLOOKUP('Données projet'!$B$18,Paramètres!$A$1:$I$89,3,0)*VLOOKUP('Données projet'!$B$18,Paramètres!$A$1:$I$89,5,0)</f>
        <v>4.8949004849418999E-13</v>
      </c>
      <c r="GW147" s="13">
        <f t="shared" si="159"/>
        <v>6.1123715499968684E-12</v>
      </c>
      <c r="GX147" s="20">
        <f t="shared" si="136"/>
        <v>1.1498242284038591E-11</v>
      </c>
      <c r="GY147" s="59">
        <f t="shared" si="137"/>
        <v>293.3333333333448</v>
      </c>
      <c r="GZ147" s="59">
        <f ca="1">AVERAGE(OFFSET($GY$3,0,0,'Données projet'!$E$18+1,1))-AVERAGE(OFFSET($H$3,0,0,'Données projet'!$E$18+1,1))</f>
        <v>286.77702855541287</v>
      </c>
      <c r="HA147" s="59">
        <f t="shared" si="160"/>
        <v>227.12211541860779</v>
      </c>
      <c r="HB147" s="15">
        <f>IF(ISNA(VLOOKUP(A147,'Données projet'!$A$269:$I$289,3,0)),0,VLOOKUP(A147,'Données projet'!$A$269:$I$289,3,0))</f>
        <v>0</v>
      </c>
      <c r="HC147" s="15">
        <f>IF(ISNA(VLOOKUP(A147,'Données projet'!$A$269:$I$289,4,0)),0,VLOOKUP(A147,'Données projet'!$A$269:$I$289,4,0))</f>
        <v>0</v>
      </c>
      <c r="HD147" s="16">
        <f>IF(ISNA(VLOOKUP(A147,'Données projet'!$A$269:$I$289,5,0)),0%,VLOOKUP(A147,'Données projet'!$A$269:$I$289,5,0)*VLOOKUP('Données projet'!$B$18,Paramètres!$A$1:$I$89,7,0))</f>
        <v>0</v>
      </c>
      <c r="HE147" s="16">
        <f>IF(ISNA(VLOOKUP(A147,'Données projet'!$A$269:$I$289,6,0)),0%,VLOOKUP(A147,'Données projet'!$A$269:$I$289,6,0)*VLOOKUP('Données projet'!$B$18,Paramètres!$A$1:$I$89,7,0))</f>
        <v>0</v>
      </c>
      <c r="HF147" s="16">
        <f>IF(ISNA(VLOOKUP(A147,'Données projet'!$A$269:$I$289,7,0)),0%,VLOOKUP(A147,'Données projet'!$A$269:$I$289,7,0))</f>
        <v>0</v>
      </c>
      <c r="HG147" s="21">
        <f>EXP(-LN(2)/35)*HG146+(1-EXP(-LN(2)/35))/(LN(2)/35)*HC147*HD147*VLOOKUP('Données projet'!$B$18,Paramètres!$A$1:$I$89,3,0)*0.475*44/12</f>
        <v>0</v>
      </c>
      <c r="HH147" s="21">
        <f>EXP(-LN(2)/25)*HH146+(1-EXP(-LN(2)/25))/(LN(2)/25)*Calculateur!HC147*Calculateur!HE147*VLOOKUP('Données projet'!$B$18,Paramètres!$A$1:$I$89,3,0)*0.475*44/12</f>
        <v>0</v>
      </c>
      <c r="HI147" s="21">
        <f>EXP(-LN(2)/2)*HI146+(1-EXP(-LN(2)/2))/(LN(2)/2)*HC147*HF147*VLOOKUP('Données projet'!$B$18,Paramètres!$A$1:$I$89,3,0)*0.475*44/12</f>
        <v>0</v>
      </c>
      <c r="HJ147" s="22">
        <f t="shared" si="138"/>
        <v>0</v>
      </c>
    </row>
    <row r="148" spans="1:218" x14ac:dyDescent="0.25">
      <c r="A148" s="10">
        <f t="shared" si="139"/>
        <v>145</v>
      </c>
      <c r="B148" s="73">
        <f>'Scénario référence'!$B$16*5+'Scénario référence'!$B$17*0+'Scénario référence'!$B$18*5</f>
        <v>0</v>
      </c>
      <c r="C148" s="19">
        <f>Calculateur!C147+'Scénario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128.93400000000022</v>
      </c>
      <c r="D148" s="11">
        <f t="shared" si="140"/>
        <v>33.749920116221446</v>
      </c>
      <c r="E14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48" s="11">
        <f>IF(OR('Scénario référence'!$F$8&gt;0,'Scénario référence'!$F$9&gt;0),('Scénario référence'!$F$8+'Scénario référence'!$F$9)*10,0)</f>
        <v>10</v>
      </c>
      <c r="G148" s="11">
        <f>'Scénario référence'!$B$8*B148*44/12+'Scénario référence'!$B$9*(C148+D148)/0.475*44/12+'Scénario référence'!$B$10*(C148+D148)/0.475*44/12+'Scénario référence'!$F$8*(C148+D148)/0.475*44/12+'Scénario référence'!$F$9*(C148+D148)/0.475*44/12</f>
        <v>1255.8056991427636</v>
      </c>
      <c r="H148" s="67">
        <f t="shared" si="110"/>
        <v>576.6744942024194</v>
      </c>
      <c r="I148" s="70">
        <f>('Scénario référence'!$F$8+'Scénario référence'!$F$9+'Scénario référence'!$B$17+'Scénario référence'!$B$9+'Scénario référence'!$B$10)*70+IF((45+25*(1-EXP(-0.0175*A148)))&lt;70,'Scénario référence'!$B$16*(45+25*(1-EXP(-0.0175*A148))),70*'Scénario référence'!$B$16)+IF((32+38*(1-EXP(-0.0175*A148)))&lt;70,'Scénario référence'!$B$18*(32+38*(1-EXP(-0.0175*A148))),70*'Scénario référence'!$B$18)</f>
        <v>70</v>
      </c>
      <c r="J148" s="13">
        <f>IF(A148&gt;30,10,('Scénario référence'!$B$16+'Scénario référence'!$B$17+'Scénario référence'!$B$18+'Scénario référence'!$B$9+'Scénario référence'!$B$10)*A148*10/30+('Scénario référence'!$F$8+'Scénario référence'!$F$9)*10)</f>
        <v>10</v>
      </c>
      <c r="K148" s="12" t="e">
        <f>VLOOKUP(A148,'Données projet'!$A$35:$I$55,2,0)</f>
        <v>#N/A</v>
      </c>
      <c r="L148" s="12" t="e">
        <f>VLOOKUP(A148,'Données projet'!$A$35:$I$55,9,0)</f>
        <v>#N/A</v>
      </c>
      <c r="M148" s="12">
        <f t="array" ref="M148">INDEX(L:L,MIN(IF(ISNUMBER(L148:L344),ROW(L148:L344),"")))</f>
        <v>0</v>
      </c>
      <c r="N148" s="13">
        <f>IF('Données projet'!$A$36&gt;35,N147+M148-V147,IF(A148&lt;'Données projet'!$A$36,$K$205^A148,IF(A148='Données projet'!$A$36,'Données projet'!$B$36,N147+M148-V147)))</f>
        <v>-2.2737367544323206E-13</v>
      </c>
      <c r="O148" s="13">
        <f>N148*VLOOKUP('Données projet'!$B$9,Paramètres!$A$1:$I$89,3,0)*VLOOKUP('Données projet'!$B$9,Paramètres!$A$1:$I$89,5,0)</f>
        <v>-1.2710188457276673E-13</v>
      </c>
      <c r="P148" s="13" t="e">
        <f t="shared" si="141"/>
        <v>#NUM!</v>
      </c>
      <c r="Q148" s="20" t="e">
        <f t="shared" si="108"/>
        <v>#NUM!</v>
      </c>
      <c r="R148" s="59" t="e">
        <f t="shared" si="109"/>
        <v>#NUM!</v>
      </c>
      <c r="S148" s="59">
        <f ca="1">AVERAGE(OFFSET($R$3,0,0,'Données projet'!$E$9+1,1))-AVERAGE(OFFSET($H$3,0,0,'Données projet'!$E$9+1,1))</f>
        <v>255.5374979188561</v>
      </c>
      <c r="T148" s="59">
        <f t="shared" si="142"/>
        <v>343.10418468620901</v>
      </c>
      <c r="U148" s="15">
        <f>IF(ISNA(VLOOKUP(A148,'Données projet'!$A$35:$I$55,3,0)),0,VLOOKUP(A148,'Données projet'!$A$35:$I$55,3,0))</f>
        <v>0</v>
      </c>
      <c r="V148" s="15">
        <f>IF(ISNA(VLOOKUP(A148,'Données projet'!$A$35:$I$55,4,0)),0,VLOOKUP(A148,'Données projet'!$A$35:$I$55,4,0))</f>
        <v>0</v>
      </c>
      <c r="W148" s="16">
        <f>IF(ISNA(VLOOKUP(A148,'Données projet'!$A$35:$I$55,5,0)),0%,VLOOKUP(A148,'Données projet'!$A$35:$I$55,5,0)*VLOOKUP('Données projet'!$B$9,Paramètres!$A$1:$I$89,7,0))</f>
        <v>0</v>
      </c>
      <c r="X148" s="16">
        <f>IF(ISNA(VLOOKUP(A148,'Données projet'!$A$35:$I$55,6,0)),0%,VLOOKUP(A148,'Données projet'!$A$35:$I$55,6,0)*VLOOKUP('Données projet'!$B$9,Paramètres!$A$1:$I$89,7,0))</f>
        <v>0</v>
      </c>
      <c r="Y148" s="16">
        <f>IF(ISNA(VLOOKUP(A148,'Données projet'!$A$35:$I$55,7,0)),0%,VLOOKUP(A148,'Données projet'!$A$35:$I$55,7,0))</f>
        <v>0</v>
      </c>
      <c r="Z148" s="21">
        <f>EXP(-LN(2)/35)*Z147+(1-EXP(-LN(2)/35))/(LN(2)/35)*V148*W148*VLOOKUP('Données projet'!$B$9,Paramètres!$A$1:$I$89,3,0)*0.475*44/12</f>
        <v>0.31685871974204372</v>
      </c>
      <c r="AA148" s="21">
        <f>EXP(-LN(2)/25)*AA147+(1-EXP(-LN(2)/25))/(LN(2)/25)*Calculateur!V148*Calculateur!X148*VLOOKUP('Données projet'!$B$9,Paramètres!$A$1:$I$89,3,0)*0.475*44/12</f>
        <v>0.65811525563668727</v>
      </c>
      <c r="AB148" s="21">
        <f>EXP(-LN(2)/2)*AB147+(1-EXP(-LN(2)/2))/(LN(2)/2)*V148*Y148*VLOOKUP('Données projet'!$B$9,Paramètres!$A$1:$I$89,3,0)*0.475*44/12</f>
        <v>8.3050633285194971E-18</v>
      </c>
      <c r="AC148" s="22">
        <f t="shared" si="111"/>
        <v>0.97497397537873098</v>
      </c>
      <c r="AD148" s="13">
        <f>('Scénario référence'!$F$8+'Scénario référence'!$F$9+'Scénario référence'!$B$17+'Scénario référence'!$B$9+'Scénario référence'!$B$10)*70+IF((45+25*(1-EXP(-0.0175*A148)))&lt;70,'Scénario référence'!$B$16*(45+25*(1-EXP(-0.0175*A148))),70*'Scénario référence'!$B$16)+IF((32+38*(1-EXP(-0.0175*A148)))&lt;70,'Scénario référence'!$B$18*(32+38*(1-EXP(-0.0175*A148))),70*'Scénario référence'!$B$18)</f>
        <v>70</v>
      </c>
      <c r="AE148" s="13">
        <f>IF(A148&gt;30,10,('Scénario référence'!$B$16+'Scénario référence'!$B$17+'Scénario référence'!$B$18+'Scénario référence'!$B$9+'Scénario référence'!$B$10)*A148*10/30+('Scénario référence'!$F$8+'Scénario référence'!$F$9)*10)</f>
        <v>10</v>
      </c>
      <c r="AF148" s="12" t="e">
        <f>VLOOKUP(A148,'Données projet'!$A$61:$I$81,2,0)</f>
        <v>#N/A</v>
      </c>
      <c r="AG148" s="12" t="e">
        <f>VLOOKUP(A148,'Données projet'!$A$61:$I$81,9,0)</f>
        <v>#N/A</v>
      </c>
      <c r="AH148" s="12">
        <f t="array" ref="AH148">INDEX(AG:AG,MIN(IF(ISNUMBER(AG148:AG344),ROW(AG148:AG344),"")))</f>
        <v>0</v>
      </c>
      <c r="AI148" s="13">
        <f>IF('Données projet'!$A$62&gt;35,AI147+AH148-AQ147,IF(A148&lt;'Données projet'!$A$62,$AF$205^A148,IF(A148='Données projet'!$A$62,'Données projet'!$B$62,AI147+AH148-AQ147)))</f>
        <v>0</v>
      </c>
      <c r="AJ148" s="13">
        <f>AI148*VLOOKUP('Données projet'!$B$10,Paramètres!$A$1:$I$89,3,0)*VLOOKUP('Données projet'!$B$10,Paramètres!$A$1:$I$89,5,0)</f>
        <v>0</v>
      </c>
      <c r="AK148" s="13" t="e">
        <f t="shared" si="143"/>
        <v>#NUM!</v>
      </c>
      <c r="AL148" s="20" t="e">
        <f t="shared" si="112"/>
        <v>#NUM!</v>
      </c>
      <c r="AM148" s="59" t="e">
        <f t="shared" si="113"/>
        <v>#NUM!</v>
      </c>
      <c r="AN148" s="59">
        <f ca="1">AVERAGE(OFFSET($AM$3,0,0,'Données projet'!$E$10+1,1))-AVERAGE(OFFSET($H$3,0,0,'Données projet'!$E$10+1,1))</f>
        <v>261.78489480911571</v>
      </c>
      <c r="AO148" s="59">
        <f t="shared" si="144"/>
        <v>297.50513563712764</v>
      </c>
      <c r="AP148" s="15">
        <f>IF(ISNA(VLOOKUP(A148,'Données projet'!$A$61:$I$81,3,0)),0,VLOOKUP(A148,'Données projet'!$A$61:$I$81,3,0))</f>
        <v>0</v>
      </c>
      <c r="AQ148" s="15">
        <f>IF(ISNA(VLOOKUP(A148,'Données projet'!$A$61:$I$81,4,0)),0,VLOOKUP(A148,'Données projet'!$A$61:$I$81,4,0))</f>
        <v>0</v>
      </c>
      <c r="AR148" s="16">
        <f>IF(ISNA(VLOOKUP(A148,'Données projet'!$A$61:$I$81,5,0)),0%,VLOOKUP(A148,'Données projet'!$A$61:$I$81,5,0)*VLOOKUP('Données projet'!$B$10,Paramètres!$A$1:$I$89,7,0))</f>
        <v>0</v>
      </c>
      <c r="AS148" s="16">
        <f>IF(ISNA(VLOOKUP(A148,'Données projet'!$A$61:$I$81,6,0)),0%,VLOOKUP(A148,'Données projet'!$A$61:$I$81,6,0)*VLOOKUP('Données projet'!$B$10,Paramètres!$A$1:$I$89,7,0))</f>
        <v>0</v>
      </c>
      <c r="AT148" s="16">
        <f>IF(ISNA(VLOOKUP(A148,'Données projet'!$A$61:$I$81,7,0)),0%,VLOOKUP(A148,'Données projet'!$A$61:$I$81,7,0))</f>
        <v>0</v>
      </c>
      <c r="AU148" s="21">
        <f>EXP(-LN(2)/35)*AU147+(1-EXP(-LN(2)/35))/(LN(2)/35)*AQ148*AR148*VLOOKUP('Données projet'!$B$10,Paramètres!$A$1:$I$89,3,0)*0.475*44/12</f>
        <v>0.8556081663625309</v>
      </c>
      <c r="AV148" s="21">
        <f>EXP(-LN(2)/25)*AV147+(1-EXP(-LN(2)/25))/(LN(2)/25)*Calculateur!AQ148*Calculateur!AS148*VLOOKUP('Données projet'!$B$10,Paramètres!$A$1:$I$89,3,0)*0.475*44/12</f>
        <v>1.1492034661047992</v>
      </c>
      <c r="AW148" s="21">
        <f>EXP(-LN(2)/2)*AW147+(1-EXP(-LN(2)/2))/(LN(2)/2)*AQ148*AT148*VLOOKUP('Données projet'!$B$10,Paramètres!$A$1:$I$89,3,0)*0.475*44/12</f>
        <v>1.1972539433427098E-16</v>
      </c>
      <c r="AX148" s="21">
        <f t="shared" si="114"/>
        <v>2.0048116324673302</v>
      </c>
      <c r="AY148" s="74">
        <f>('Scénario référence'!$F$8+'Scénario référence'!$F$9+'Scénario référence'!$B$17+'Scénario référence'!$B$9+'Scénario référence'!$B$10)*70+IF((45+25*(1-EXP(-0.0175*A148)))&lt;70,'Scénario référence'!$B$16*(45+25*(1-EXP(-0.0175*A148))),70*'Scénario référence'!$B$16)+IF((32+38*(1-EXP(-0.0175*A148)))&lt;70,'Scénario référence'!$B$18*(32+38*(1-EXP(-0.0175*A148))),70*'Scénario référence'!$B$18)</f>
        <v>70</v>
      </c>
      <c r="AZ148" s="12">
        <f>IF(A148&gt;30,10,('Scénario référence'!$B$16+'Scénario référence'!$B$17+'Scénario référence'!$B$18+'Scénario référence'!$B$9+'Scénario référence'!$B$10)*A148*10/30+('Scénario référence'!$F$8+'Scénario référence'!$F$9)*10)</f>
        <v>10</v>
      </c>
      <c r="BA148" s="12" t="e">
        <f>VLOOKUP(A148,'Données projet'!$A$87:$I$107,2,0)</f>
        <v>#N/A</v>
      </c>
      <c r="BB148" s="12" t="e">
        <f>VLOOKUP(A148,'Données projet'!$A$87:$I$107,9,0)</f>
        <v>#N/A</v>
      </c>
      <c r="BC148" s="12">
        <f t="array" ref="BC148">INDEX(BB:BB,MIN(IF(ISNUMBER(BB148:BB344),ROW(BB148:BB344),"")))</f>
        <v>0</v>
      </c>
      <c r="BD148" s="12">
        <f>IF('Données projet'!$A$88&gt;35,BD147+BC148-BL147,IF(A148&lt;'Données projet'!$A$88,$BA$205^A148,IF(A148='Données projet'!$A$88,'Données projet'!$B$88,BD147+BC148-BL147)))</f>
        <v>553.99999999999955</v>
      </c>
      <c r="BE148" s="13">
        <f>BD148*VLOOKUP('Données projet'!$B$11,Paramètres!$A$1:$I$89,3,0)*VLOOKUP('Données projet'!$B$11,Paramètres!$A$1:$I$89,5,0)</f>
        <v>331.29199999999975</v>
      </c>
      <c r="BF148" s="13">
        <f t="shared" si="145"/>
        <v>77.698110787752</v>
      </c>
      <c r="BG148" s="20">
        <f t="shared" si="115"/>
        <v>712.32444295533423</v>
      </c>
      <c r="BH148" s="59">
        <f t="shared" si="116"/>
        <v>1005.6577762886675</v>
      </c>
      <c r="BI148" s="59">
        <f ca="1">AVERAGE(OFFSET($BH$3,0,0,'Données projet'!$E$11+1,1))-AVERAGE(OFFSET($H$3,0,0,'Données projet'!$E$11+1,1))</f>
        <v>316.58509520829671</v>
      </c>
      <c r="BJ148" s="59">
        <f t="shared" si="146"/>
        <v>240.71332110643596</v>
      </c>
      <c r="BK148" s="15">
        <f>IF(ISNA(VLOOKUP(A148,'Données projet'!$A$87:$I$107,3,0)),0,VLOOKUP(A148,'Données projet'!$A$87:$I$107,3,0))</f>
        <v>0</v>
      </c>
      <c r="BL148" s="15">
        <f>IF(ISNA(VLOOKUP(A148,'Données projet'!$A$87:$I$107,4,0)),0,VLOOKUP(A148,'Données projet'!$A$87:$I$107,4,0))</f>
        <v>0</v>
      </c>
      <c r="BM148" s="16">
        <f>IF(ISNA(VLOOKUP(A148,'Données projet'!$A$87:$I$107,5,0)),0%,VLOOKUP(A148,'Données projet'!$A$87:$I$107,5,0)*VLOOKUP('Données projet'!$B$11,Paramètres!$A$1:$I$89,7,0))</f>
        <v>0</v>
      </c>
      <c r="BN148" s="16">
        <f>IF(ISNA(VLOOKUP(A148,'Données projet'!$A$87:$I$107,6,0)),0%,VLOOKUP(A148,'Données projet'!$A$87:$I$107,6,0)*VLOOKUP('Données projet'!$B$11,Paramètres!$A$1:$I$89,7,0))</f>
        <v>0</v>
      </c>
      <c r="BO148" s="16">
        <f>IF(ISNA(VLOOKUP(A148,'Données projet'!$A$87:$I$107,7,0)),0%,VLOOKUP(A148,'Données projet'!$A$87:$I$107,7,0))</f>
        <v>0</v>
      </c>
      <c r="BP148" s="21">
        <f>EXP(-LN(2)/35)*BP147+(1-EXP(-LN(2)/35))/(LN(2)/35)*BL148*BM148*VLOOKUP('Données projet'!$B$11,Paramètres!$A$1:$I$89,3,0)*0.475*44/12</f>
        <v>0.25989734666480918</v>
      </c>
      <c r="BQ148" s="21">
        <f>EXP(-LN(2)/25)*BQ147+(1-EXP(-LN(2)/25))/(LN(2)/25)*Calculateur!BL148*Calculateur!BN148*VLOOKUP('Données projet'!$B$11,Paramètres!$A$1:$I$89,3,0)*0.475*44/12</f>
        <v>0.62956719027895858</v>
      </c>
      <c r="BR148" s="21">
        <f>EXP(-LN(2)/2)*BR147+(1-EXP(-LN(2)/2))/(LN(2)/2)*BL148*BO148*VLOOKUP('Données projet'!$B$11,Paramètres!$A$1:$I$89,3,0)*0.475*44/12</f>
        <v>1.0764624094657631E-16</v>
      </c>
      <c r="BS148" s="22">
        <f t="shared" si="117"/>
        <v>0.88946453694376781</v>
      </c>
      <c r="BT148" s="75">
        <f>('Scénario référence'!$F$8+'Scénario référence'!$F$9+'Scénario référence'!$B$17+'Scénario référence'!$B$9+'Scénario référence'!$B$10)*70+IF((45+25*(1-EXP(-0.0175*A148)))&lt;70,'Scénario référence'!$B$16*(45+25*(1-EXP(-0.0175*A148))),70*'Scénario référence'!$B$16)+IF((32+38*(1-EXP(-0.0175*A148)))&lt;70,'Scénario référence'!$B$18*(32+38*(1-EXP(-0.0175*A148))),70*'Scénario référence'!$B$18)</f>
        <v>70</v>
      </c>
      <c r="BU148" s="12">
        <f>IF(A148&gt;30,10,('Scénario référence'!$B$16+'Scénario référence'!$B$17+'Scénario référence'!$B$18+'Scénario référence'!$B$9+'Scénario référence'!$B$10)*A148*10/30+('Scénario référence'!$F$8+'Scénario référence'!$F$9)*10)</f>
        <v>10</v>
      </c>
      <c r="BV148" s="12" t="e">
        <f>VLOOKUP(A148,'Données projet'!$A$113:$I$133,2,0)</f>
        <v>#N/A</v>
      </c>
      <c r="BW148" s="12" t="e">
        <f>VLOOKUP(A148,'Données projet'!$A$113:$I$133,9,0)</f>
        <v>#N/A</v>
      </c>
      <c r="BX148" s="12">
        <f t="array" ref="BX148">INDEX(BW:BW,MIN(IF(ISNUMBER(BW148:BW344),ROW(BW148:BW344),"")))</f>
        <v>0</v>
      </c>
      <c r="BY148" s="12">
        <f>IF('Données projet'!$A$114&gt;35,BY147+BX148-CG147,IF(A148&lt;'Données projet'!$A$114,$BV$205^A148,IF(A148='Données projet'!$A$114,'Données projet'!$B$114,BY147+BX148-CG147)))</f>
        <v>333.99999999999977</v>
      </c>
      <c r="BZ148" s="13">
        <f>BY148*VLOOKUP('Données projet'!$B$12,Paramètres!$A$1:$I$89,3,0)*VLOOKUP('Données projet'!$B$12,Paramètres!$A$1:$I$89,5,0)</f>
        <v>191.04799999999986</v>
      </c>
      <c r="CA148" s="13">
        <f t="shared" si="147"/>
        <v>47.771576544305155</v>
      </c>
      <c r="CB148" s="20">
        <f t="shared" si="118"/>
        <v>415.94409581466454</v>
      </c>
      <c r="CC148" s="59">
        <f t="shared" si="119"/>
        <v>709.27742914799785</v>
      </c>
      <c r="CD148" s="59">
        <f ca="1">AVERAGE(OFFSET($CC$3,0,0,'Données projet'!$E$12+1,1))-AVERAGE(OFFSET($H$3,0,0,'Données projet'!$E$12+1,1))</f>
        <v>188.64374818906128</v>
      </c>
      <c r="CE148" s="59">
        <f t="shared" si="148"/>
        <v>211.95157880548652</v>
      </c>
      <c r="CF148" s="15">
        <f>IF(ISNA(VLOOKUP(A148,'Données projet'!$A$113:$I$133,3,0)),0,VLOOKUP(A148,'Données projet'!$A$113:$I$133,3,0))</f>
        <v>0</v>
      </c>
      <c r="CG148" s="15">
        <f>IF(ISNA(VLOOKUP(A148,'Données projet'!$A$113:$I$133,4,0)),0,VLOOKUP(A148,'Données projet'!$A$113:$I$133,4,0))</f>
        <v>0</v>
      </c>
      <c r="CH148" s="16">
        <f>IF(ISNA(VLOOKUP(A148,'Données projet'!$A$113:$I$133,5,0)),0%,VLOOKUP(A148,'Données projet'!$A$113:$I$133,5,0)*VLOOKUP('Données projet'!$B$12,Paramètres!$A$1:$I$89,7,0))</f>
        <v>0</v>
      </c>
      <c r="CI148" s="16">
        <f>IF(ISNA(VLOOKUP(A148,'Données projet'!$A$113:$I$133,6,0)),0%,VLOOKUP(A148,'Données projet'!$A$113:$I$133,6,0)*VLOOKUP('Données projet'!$B$12,Paramètres!$A$1:$I$89,7,0))</f>
        <v>0</v>
      </c>
      <c r="CJ148" s="16">
        <f>IF(ISNA(VLOOKUP(A148,'Données projet'!$A$113:$I$133,7,0)),0%,VLOOKUP(A148,'Données projet'!$A$113:$I$133,7,0))</f>
        <v>0</v>
      </c>
      <c r="CK148" s="21">
        <f>EXP(-LN(2)/35)*CK147+(1-EXP(-LN(2)/35))/(LN(2)/35)*CG148*CH148*VLOOKUP('Données projet'!$B$12,Paramètres!$A$1:$I$89,3,0)*0.475*44/12</f>
        <v>0.25209883473181716</v>
      </c>
      <c r="CL148" s="21">
        <f>EXP(-LN(2)/25)*CL147+(1-EXP(-LN(2)/25))/(LN(2)/25)*Calculateur!CG148*Calculateur!CI148*VLOOKUP('Données projet'!$B$12,Paramètres!$A$1:$I$89,3,0)*0.475*44/12</f>
        <v>0.59256289400149798</v>
      </c>
      <c r="CM148" s="21">
        <f>EXP(-LN(2)/2)*CM147+(1-EXP(-LN(2)/2))/(LN(2)/2)*CG148*CJ148*VLOOKUP('Données projet'!$B$12,Paramètres!$A$1:$I$89,3,0)*0.475*44/12</f>
        <v>1.0424696198978299E-16</v>
      </c>
      <c r="CN148" s="22">
        <f t="shared" si="120"/>
        <v>0.84466172873331524</v>
      </c>
      <c r="CO148" s="75">
        <f>('Scénario référence'!$F$8+'Scénario référence'!$F$9+'Scénario référence'!$B$17+'Scénario référence'!$B$9+'Scénario référence'!$B$10)*70+IF((45+25*(1-EXP(-0.0175*A148)))&lt;70,'Scénario référence'!$B$16*(45+25*(1-EXP(-0.0175*A148))),70*'Scénario référence'!$B$16)+IF((32+38*(1-EXP(-0.0175*A148)))&lt;70,'Scénario référence'!$B$18*(32+38*(1-EXP(-0.0175*A148))),70*'Scénario référence'!$B$18)</f>
        <v>70</v>
      </c>
      <c r="CP148" s="12">
        <f>IF(A148&gt;30,10,('Scénario référence'!$B$16+'Scénario référence'!$B$17+'Scénario référence'!$B$18+'Scénario référence'!$B$9+'Scénario référence'!$B$10)*A148*10/30+('Scénario référence'!$F$8+'Scénario référence'!$F$9)*10)</f>
        <v>10</v>
      </c>
      <c r="CQ148" s="12" t="e">
        <f>VLOOKUP(A148,'Données projet'!$A$139:$I$159,2,0)</f>
        <v>#N/A</v>
      </c>
      <c r="CR148" s="12" t="e">
        <f>VLOOKUP(A148,'Données projet'!$A$139:$I$159,9,0)</f>
        <v>#N/A</v>
      </c>
      <c r="CS148" s="12">
        <f t="array" ref="CS148">INDEX(CR:CR,MIN(IF(ISNUMBER(CR148:CR344),ROW(CR148:CR344),"")))</f>
        <v>0</v>
      </c>
      <c r="CT148" s="12">
        <f>IF('Données projet'!$A$140&gt;35,CT147+CS148-DB147,IF(A148&lt;'Données projet'!$A$140,$CQ$205^A148,IF(A148='Données projet'!$A$140,'Données projet'!$B$140,CT147+CS148-DB147)))</f>
        <v>0</v>
      </c>
      <c r="CU148" s="17" t="e">
        <f>CT148*VLOOKUP('Données projet'!$B$13,Paramètres!$A$1:$I$89,3,0)*VLOOKUP('Données projet'!$B$13,Paramètres!$A$1:$I$89,5,0)</f>
        <v>#N/A</v>
      </c>
      <c r="CV148" s="13" t="e">
        <f t="shared" si="149"/>
        <v>#N/A</v>
      </c>
      <c r="CW148" s="20" t="e">
        <f t="shared" si="121"/>
        <v>#N/A</v>
      </c>
      <c r="CX148" s="59" t="e">
        <f t="shared" si="122"/>
        <v>#N/A</v>
      </c>
      <c r="CY148" s="59" t="e">
        <f ca="1">AVERAGE(OFFSET($CX$3,0,0,'Données projet'!$E$13+1,1))-AVERAGE(OFFSET($H$3,0,0,'Données projet'!$E$13+1,1))</f>
        <v>#N/A</v>
      </c>
      <c r="CZ148" s="59" t="e">
        <f t="shared" si="150"/>
        <v>#N/A</v>
      </c>
      <c r="DA148" s="15">
        <f>IF(ISNA(VLOOKUP(A148,'Données projet'!$A$139:$I$159,3,0)),0,VLOOKUP(A148,'Données projet'!$A$139:$I$159,3,0))</f>
        <v>0</v>
      </c>
      <c r="DB148" s="15">
        <f>IF(ISNA(VLOOKUP(A148,'Données projet'!$A$139:$I$159,4,0)),0,VLOOKUP(A148,'Données projet'!$A$139:$I$159,4,0))</f>
        <v>0</v>
      </c>
      <c r="DC148" s="16">
        <f>IF(ISNA(VLOOKUP(A148,'Données projet'!$A$139:$I$159,5,0)),0%,VLOOKUP(A148,'Données projet'!$A$139:$I$159,5,0)*VLOOKUP('Données projet'!$B$13,Paramètres!$A$1:$I$89,7,0))</f>
        <v>0</v>
      </c>
      <c r="DD148" s="16">
        <f>IF(ISNA(VLOOKUP(A148,'Données projet'!$A$139:$I$159,6,0)),0%,VLOOKUP(A148,'Données projet'!$A$139:$I$159,6,0)*VLOOKUP('Données projet'!$B$13,Paramètres!$A$1:$I$89,7,0))</f>
        <v>0</v>
      </c>
      <c r="DE148" s="16">
        <f>IF(ISNA(VLOOKUP(A148,'Données projet'!$A$139:$I$159,7,0)),0%,VLOOKUP(A148,'Données projet'!$A$139:$I$159,7,0))</f>
        <v>0</v>
      </c>
      <c r="DF148" s="21" t="e">
        <f>EXP(-LN(2)/35)*DF147+(1-EXP(-LN(2)/35))/(LN(2)/35)*DB148*DC148*VLOOKUP('Données projet'!$B$13,Paramètres!$A$1:$I$89,3,0)*0.475*44/12</f>
        <v>#N/A</v>
      </c>
      <c r="DG148" s="21" t="e">
        <f>EXP(-LN(2)/25)*DG147+(1-EXP(-LN(2)/25))/(LN(2)/25)*Calculateur!DB148*Calculateur!DD148*VLOOKUP('Données projet'!$B$13,Paramètres!$A$1:$I$89,3,0)*0.475*44/12</f>
        <v>#N/A</v>
      </c>
      <c r="DH148" s="21" t="e">
        <f>EXP(-LN(2)/2)*DH147+(1-EXP(-LN(2)/2))/(LN(2)/2)*DB148*DE148*VLOOKUP('Données projet'!$B$13,Paramètres!$A$1:$I$89,3,0)*0.475*44/12</f>
        <v>#N/A</v>
      </c>
      <c r="DI148" s="22" t="e">
        <f t="shared" si="123"/>
        <v>#N/A</v>
      </c>
      <c r="DJ148" s="75">
        <f>('Scénario référence'!$F$8+'Scénario référence'!$F$9+'Scénario référence'!$B$17+'Scénario référence'!$B$9+'Scénario référence'!$B$10)*70+IF((45+25*(1-EXP(-0.0175*A148)))&lt;70,'Scénario référence'!$B$16*(45+25*(1-EXP(-0.0175*A148))),70*'Scénario référence'!$B$16)+IF((32+38*(1-EXP(-0.0175*A148)))&lt;70,'Scénario référence'!$B$18*(32+38*(1-EXP(-0.0175*A148))),70*'Scénario référence'!$B$18)</f>
        <v>70</v>
      </c>
      <c r="DK148" s="12">
        <f>IF(A148&gt;30,10,('Scénario référence'!$B$16+'Scénario référence'!$B$17+'Scénario référence'!$B$18+'Scénario référence'!$B$9+'Scénario référence'!$B$10)*A148*10/30+('Scénario référence'!$F$8+'Scénario référence'!$F$9)*10)</f>
        <v>10</v>
      </c>
      <c r="DL148" s="12" t="e">
        <f>VLOOKUP(A148,'Données projet'!$A$165:$I$185,2,0)</f>
        <v>#N/A</v>
      </c>
      <c r="DM148" s="12" t="e">
        <f>VLOOKUP(A148,'Données projet'!$A$165:$I$185,9,0)</f>
        <v>#N/A</v>
      </c>
      <c r="DN148" s="12">
        <f t="array" ref="DN148">INDEX(DM:DM,MIN(IF(ISNUMBER(DM148:DM344),ROW(DM148:DM344),"")))</f>
        <v>0</v>
      </c>
      <c r="DO148" s="12">
        <f>IF('Données projet'!$A$166&gt;35,DO147+DN148-DW147,IF(A148&lt;'Données projet'!$A$166,$DL$205^A148,IF(A148='Données projet'!$A$166,'Données projet'!$B$166,DO147+DN148-DW147)))</f>
        <v>268.00000000000017</v>
      </c>
      <c r="DP148" s="17">
        <f>DO148*VLOOKUP('Données projet'!$B$14,Paramètres!$A$1:$I$89,3,0)*VLOOKUP('Données projet'!$B$14,Paramètres!$A$1:$I$89,5,0)</f>
        <v>175.59360000000012</v>
      </c>
      <c r="DQ148" s="13">
        <f t="shared" si="151"/>
        <v>44.340433728638573</v>
      </c>
      <c r="DR148" s="20">
        <f t="shared" si="124"/>
        <v>383.05177541071242</v>
      </c>
      <c r="DS148" s="59">
        <f t="shared" si="125"/>
        <v>676.38510874404574</v>
      </c>
      <c r="DT148" s="59">
        <f ca="1">AVERAGE(OFFSET($DS$3,0,0,'Données projet'!$E$14+1,1))-AVERAGE(OFFSET($H$3,0,0,'Données projet'!$E$14+1,1))</f>
        <v>188.68915783955595</v>
      </c>
      <c r="DU148" s="59">
        <f t="shared" si="152"/>
        <v>240.82467772396944</v>
      </c>
      <c r="DV148" s="15">
        <f>IF(ISNA(VLOOKUP(A148,'Données projet'!$A$165:$I$185,3,0)),0,VLOOKUP(A148,'Données projet'!$A$165:$I$185,3,0))</f>
        <v>0</v>
      </c>
      <c r="DW148" s="15">
        <f>IF(ISNA(VLOOKUP(A148,'Données projet'!$A$165:$I$185,4,0)),0,VLOOKUP(A148,'Données projet'!$A$165:$I$185,4,0))</f>
        <v>0</v>
      </c>
      <c r="DX148" s="16">
        <f>IF(ISNA(VLOOKUP(A148,'Données projet'!$A$165:$I$185,5,0)),0%,VLOOKUP(A148,'Données projet'!$A$165:$I$185,5,0)*VLOOKUP('Données projet'!$B$14,Paramètres!$A$1:$I$89,7,0))</f>
        <v>0</v>
      </c>
      <c r="DY148" s="16">
        <f>IF(ISNA(VLOOKUP(A148,'Données projet'!$A$165:$I$185,6,0)),0%,VLOOKUP(A148,'Données projet'!$A$165:$I$185,6,0)*VLOOKUP('Données projet'!$B$14,Paramètres!$A$1:$I$89,7,0))</f>
        <v>0</v>
      </c>
      <c r="DZ148" s="16">
        <f>IF(ISNA(VLOOKUP(A148,'Données projet'!$A$165:$I$185,7,0)),0%,VLOOKUP(A148,'Données projet'!$A$165:$I$185,7,0))</f>
        <v>0</v>
      </c>
      <c r="EA148" s="21">
        <f>EXP(-LN(2)/35)*EA147+(1-EXP(-LN(2)/35))/(LN(2)/35)*DW148*DX148*VLOOKUP('Données projet'!$B$14,Paramètres!$A$1:$I$89,3,0)*0.475*44/12</f>
        <v>0.15968381577078472</v>
      </c>
      <c r="EB148" s="21">
        <f>EXP(-LN(2)/25)*EB147+(1-EXP(-LN(2)/25))/(LN(2)/25)*Calculateur!DW148*Calculateur!DY148*VLOOKUP('Données projet'!$B$14,Paramètres!$A$1:$I$89,3,0)*0.475*44/12</f>
        <v>0.33144509915123976</v>
      </c>
      <c r="EC148" s="21">
        <f>EXP(-LN(2)/2)*EC147+(1-EXP(-LN(2)/2))/(LN(2)/2)*DW148*DZ148*VLOOKUP('Données projet'!$B$14,Paramètres!$A$1:$I$89,3,0)*0.475*44/12</f>
        <v>6.8673920711890969E-17</v>
      </c>
      <c r="ED148" s="22">
        <f t="shared" si="126"/>
        <v>0.49112891492202454</v>
      </c>
      <c r="EE148" s="75">
        <f>('Scénario référence'!$F$8+'Scénario référence'!$F$9+'Scénario référence'!$B$17+'Scénario référence'!$B$9+'Scénario référence'!$B$10)*70+IF((45+25*(1-EXP(-0.0175*A148)))&lt;70,'Scénario référence'!$B$16*(45+25*(1-EXP(-0.0175*A148))),70*'Scénario référence'!$B$16)+IF((32+38*(1-EXP(-0.0175*A148)))&lt;70,'Scénario référence'!$B$18*(32+38*(1-EXP(-0.0175*A148))),70*'Scénario référence'!$B$18)</f>
        <v>70</v>
      </c>
      <c r="EF148" s="12">
        <f>IF(A148&gt;30,10,('Scénario référence'!$B$16+'Scénario référence'!$B$17+'Scénario référence'!$B$18+'Scénario référence'!$B$9+'Scénario référence'!$B$10)*A148*10/30+('Scénario référence'!$F$8+'Scénario référence'!$F$9)*10)</f>
        <v>10</v>
      </c>
      <c r="EG148" s="12" t="e">
        <f>VLOOKUP(A148,'Données projet'!$A$191:$I$211,2,0)</f>
        <v>#N/A</v>
      </c>
      <c r="EH148" s="12" t="e">
        <f>VLOOKUP(A148,'Données projet'!$A$191:$I$211,9,0)</f>
        <v>#N/A</v>
      </c>
      <c r="EI148" s="12">
        <f t="array" ref="EI148">INDEX(EH:EH,MIN(IF(ISNUMBER(EH148:EH344),ROW(EH148:EH344),"")))</f>
        <v>0</v>
      </c>
      <c r="EJ148" s="12">
        <f>IF('Données projet'!$A$192&gt;35,EJ147+EI148-ER147,IF(A148&lt;'Données projet'!$A$192,$EG$205^A148,IF(A148='Données projet'!$A$192,'Données projet'!$B$192,EJ147+EI148-ER147)))</f>
        <v>275.99999999999972</v>
      </c>
      <c r="EK148" s="17">
        <f>EJ148*VLOOKUP('Données projet'!$B$15,Paramètres!$A$1:$I$89,3,0)*VLOOKUP('Données projet'!$B$15,Paramètres!$A$1:$I$89,5,0)</f>
        <v>223.8911999999998</v>
      </c>
      <c r="EL148" s="13">
        <f t="shared" si="153"/>
        <v>54.95975389514858</v>
      </c>
      <c r="EM148" s="20">
        <f t="shared" si="127"/>
        <v>485.66541136738346</v>
      </c>
      <c r="EN148" s="59">
        <f t="shared" si="128"/>
        <v>778.99874470071677</v>
      </c>
      <c r="EO148" s="59">
        <f ca="1">AVERAGE(OFFSET($EN$3,0,0,'Données projet'!$E$15+1,1))-AVERAGE(OFFSET($H$3,0,0,'Données projet'!$E$15+1,1))</f>
        <v>205.5272583787887</v>
      </c>
      <c r="EP148" s="59">
        <f t="shared" si="154"/>
        <v>180.54762778843178</v>
      </c>
      <c r="EQ148" s="15">
        <f>IF(ISNA(VLOOKUP(A148,'Données projet'!$A$191:$I$211,3,0)),0,VLOOKUP(A148,'Données projet'!$A$191:$I$211,3,0))</f>
        <v>0</v>
      </c>
      <c r="ER148" s="15">
        <f>IF(ISNA(VLOOKUP(A148,'Données projet'!$A$191:$I$211,4,0)),0,VLOOKUP(A148,'Données projet'!$A$191:$I$211,4,0))</f>
        <v>0</v>
      </c>
      <c r="ES148" s="16">
        <f>IF(ISNA(VLOOKUP(A148,'Données projet'!$A$191:$I$211,5,0)),0%,VLOOKUP(A148,'Données projet'!$A$191:$I$211,5,0)*VLOOKUP('Données projet'!$B$15,Paramètres!$A$1:$I$89,7,0))</f>
        <v>0</v>
      </c>
      <c r="ET148" s="16">
        <f>IF(ISNA(VLOOKUP(A148,'Données projet'!$A$191:$I$211,6,0)),0%,VLOOKUP(A148,'Données projet'!$A$191:$I$211,6,0)*VLOOKUP('Données projet'!$B$15,Paramètres!$A$1:$I$89,7,0))</f>
        <v>0</v>
      </c>
      <c r="EU148" s="16">
        <f>IF(ISNA(VLOOKUP(A148,'Données projet'!$A$191:$I$211,7,0)),0%,VLOOKUP(A148,'Données projet'!$A$191:$I$211,7,0))</f>
        <v>0</v>
      </c>
      <c r="EV148" s="21">
        <f>EXP(-LN(2)/35)*EV147+(1-EXP(-LN(2)/35))/(LN(2)/35)*ER148*ES148*VLOOKUP('Données projet'!$B$15,Paramètres!$A$1:$I$89,3,0)*0.475*44/12</f>
        <v>0.10280596139147669</v>
      </c>
      <c r="EW148" s="21">
        <f>EXP(-LN(2)/25)*EW147+(1-EXP(-LN(2)/25))/(LN(2)/25)*Calculateur!ER148*Calculateur!ET148*VLOOKUP('Données projet'!$B$15,Paramètres!$A$1:$I$89,3,0)*0.475*44/12</f>
        <v>0.23931341629408254</v>
      </c>
      <c r="EX148" s="21">
        <f>EXP(-LN(2)/2)*EX147+(1-EXP(-LN(2)/2))/(LN(2)/2)*ER148*EU148*VLOOKUP('Données projet'!$B$15,Paramètres!$A$1:$I$89,3,0)*0.475*44/12</f>
        <v>4.4466414440246041E-17</v>
      </c>
      <c r="EY148" s="22">
        <f t="shared" si="129"/>
        <v>0.34211937768555928</v>
      </c>
      <c r="EZ148" s="75">
        <f>('Scénario référence'!$F$8+'Scénario référence'!$F$9+'Scénario référence'!$B$17+'Scénario référence'!$B$9+'Scénario référence'!$B$10)*70+IF((45+25*(1-EXP(-0.0175*A148)))&lt;70,'Scénario référence'!$B$16*(45+25*(1-EXP(-0.0175*A148))),70*'Scénario référence'!$B$16)+IF((32+38*(1-EXP(-0.0175*A148)))&lt;70,'Scénario référence'!$B$18*(32+38*(1-EXP(-0.0175*A148))),70*'Scénario référence'!$B$18)</f>
        <v>70</v>
      </c>
      <c r="FA148" s="12">
        <f>IF(A148&gt;30,10,('Scénario référence'!$B$16+'Scénario référence'!$B$17+'Scénario référence'!$B$18+'Scénario référence'!$B$9+'Scénario référence'!$B$10)*A148*10/30+('Scénario référence'!$F$8+'Scénario référence'!$F$9)*10)</f>
        <v>10</v>
      </c>
      <c r="FB148" s="12" t="e">
        <f>VLOOKUP(A148,'Données projet'!$A$217:$I$237,2,0)</f>
        <v>#N/A</v>
      </c>
      <c r="FC148" s="12" t="e">
        <f>VLOOKUP(A148,'Données projet'!$A$217:$I$237,9,0)</f>
        <v>#N/A</v>
      </c>
      <c r="FD148" s="12">
        <f t="array" ref="FD148">INDEX(FC:FC,MIN(IF(ISNUMBER(FC148:FC344),ROW(FC148:FC344),"")))</f>
        <v>4.7</v>
      </c>
      <c r="FE148" s="12">
        <f>IF('Données projet'!$A$218&gt;35,FE147+FD148-FM147,IF(A148&lt;'Données projet'!$A$218,$FB$205^A148,IF(A148='Données projet'!$A$218,'Données projet'!$B$218,FE147+FD148-FM147)))</f>
        <v>435.49999999999989</v>
      </c>
      <c r="FF148" s="17">
        <f>FE148*VLOOKUP('Données projet'!$B$16,Paramètres!$A$1:$I$89,3,0)*VLOOKUP('Données projet'!$B$16,Paramètres!$A$1:$I$89,5,0)</f>
        <v>373.65899999999993</v>
      </c>
      <c r="FG148" s="13">
        <f t="shared" si="155"/>
        <v>86.415444861295697</v>
      </c>
      <c r="FH148" s="20">
        <f t="shared" si="130"/>
        <v>801.29632480008979</v>
      </c>
      <c r="FI148" s="59">
        <f t="shared" si="131"/>
        <v>1094.6296581334232</v>
      </c>
      <c r="FJ148" s="59">
        <f ca="1">AVERAGE(OFFSET($FI$3,0,0,'Données projet'!$E$16+1,1))-AVERAGE(OFFSET($H$3,0,0,'Données projet'!$E$16+1,1))</f>
        <v>383.97627237444709</v>
      </c>
      <c r="FK148" s="59">
        <f t="shared" si="156"/>
        <v>203.35476578922339</v>
      </c>
      <c r="FL148" s="15">
        <f>IF(ISNA(VLOOKUP(A148,'Données projet'!$A$217:$I$237,3,0)),0,VLOOKUP(A148,'Données projet'!$A$217:$I$237,3,0))</f>
        <v>0</v>
      </c>
      <c r="FM148" s="15">
        <f>IF(ISNA(VLOOKUP(A148,'Données projet'!$A$217:$I$237,4,0)),0,VLOOKUP(A148,'Données projet'!$A$217:$I$237,4,0))</f>
        <v>0</v>
      </c>
      <c r="FN148" s="16">
        <f>IF(ISNA(VLOOKUP(A148,'Données projet'!$A$217:$I$237,5,0)),0%,VLOOKUP(A148,'Données projet'!$A$217:$I$237,5,0)*VLOOKUP('Données projet'!$B$16,Paramètres!$A$1:$I$89,7,0))</f>
        <v>0</v>
      </c>
      <c r="FO148" s="16">
        <f>IF(ISNA(VLOOKUP(A148,'Données projet'!$A$217:$I$237,6,0)),0%,VLOOKUP(A148,'Données projet'!$A$217:$I$237,6,0)*VLOOKUP('Données projet'!$B$16,Paramètres!$A$1:$I$89,7,0))</f>
        <v>0</v>
      </c>
      <c r="FP148" s="16">
        <f>IF(ISNA(VLOOKUP(A148,'Données projet'!$A$217:$I$237,7,0)),0%,VLOOKUP(A148,'Données projet'!$A$217:$I$237,7,0))</f>
        <v>0</v>
      </c>
      <c r="FQ148" s="21">
        <f>EXP(-LN(2)/35)*FQ147+(1-EXP(-LN(2)/35))/(LN(2)/35)*FM148*FN148*VLOOKUP('Données projet'!$B$16,Paramètres!$A$1:$I$89,3,0)*0.475*44/12</f>
        <v>0.52836686716072534</v>
      </c>
      <c r="FR148" s="21">
        <f>EXP(-LN(2)/25)*FR147+(1-EXP(-LN(2)/25))/(LN(2)/25)*Calculateur!FM148*Calculateur!FO148*VLOOKUP('Données projet'!$B$16,Paramètres!$A$1:$I$89,3,0)*0.475*44/12</f>
        <v>0.24292785293084737</v>
      </c>
      <c r="FS148" s="21">
        <f>EXP(-LN(2)/2)*FS147+(1-EXP(-LN(2)/2))/(LN(2)/2)*FM148*FP148*VLOOKUP('Données projet'!$B$16,Paramètres!$A$1:$I$89,3,0)*0.475*44/12</f>
        <v>8.1675677497234049E-17</v>
      </c>
      <c r="FT148" s="22">
        <f t="shared" si="132"/>
        <v>0.77129472009157285</v>
      </c>
      <c r="FU148" s="75">
        <f>('Scénario référence'!$F$8+'Scénario référence'!$F$9+'Scénario référence'!$B$17+'Scénario référence'!$B$9+'Scénario référence'!$B$10)*70+IF((45+25*(1-EXP(-0.0175*A148)))&lt;70,'Scénario référence'!$B$16*(45+25*(1-EXP(-0.0175*A148))),70*'Scénario référence'!$B$16)+IF((32+38*(1-EXP(-0.0175*A148)))&lt;70,'Scénario référence'!$B$18*(32+38*(1-EXP(-0.0175*A148))),70*'Scénario référence'!$B$18)</f>
        <v>70</v>
      </c>
      <c r="FV148" s="12">
        <f>IF(A148&gt;30,10,('Scénario référence'!$B$16+'Scénario référence'!$B$17+'Scénario référence'!$B$18+'Scénario référence'!$B$9+'Scénario référence'!$B$10)*A148*10/30+('Scénario référence'!$F$8+'Scénario référence'!$F$9)*10)</f>
        <v>10</v>
      </c>
      <c r="FW148" s="12" t="e">
        <f>VLOOKUP(A148,'Données projet'!$A$243:$I$263,2,0)</f>
        <v>#N/A</v>
      </c>
      <c r="FX148" s="12" t="e">
        <f>VLOOKUP(A148,'Données projet'!$A$243:$I$263,9,0)</f>
        <v>#N/A</v>
      </c>
      <c r="FY148" s="12">
        <f t="array" ref="FY148">INDEX(FX:FX,MIN(IF(ISNUMBER(FX148:FX344),ROW(FX148:FX344),"")))</f>
        <v>0</v>
      </c>
      <c r="FZ148" s="12">
        <f>IF('Données projet'!$A$244&gt;35,FZ147+FY148-GH147,IF(A148&lt;'Données projet'!$A$244,$FW$205^A148,IF(A148='Données projet'!$A$244,'Données projet'!$B$244,FZ147+FY148-GH147)))</f>
        <v>4.5474735088646412E-13</v>
      </c>
      <c r="GA148" s="17">
        <f>FZ148*VLOOKUP('Données projet'!$B$17,Paramètres!$A$1:$I$89,3,0)*VLOOKUP('Données projet'!$B$17,Paramètres!$A$1:$I$89,5,0)</f>
        <v>4.8949004849418999E-13</v>
      </c>
      <c r="GB148" s="13">
        <f t="shared" si="157"/>
        <v>6.1123715499968684E-12</v>
      </c>
      <c r="GC148" s="20">
        <f t="shared" si="133"/>
        <v>1.1498242284038591E-11</v>
      </c>
      <c r="GD148" s="59">
        <f t="shared" si="134"/>
        <v>293.3333333333448</v>
      </c>
      <c r="GE148" s="59">
        <f ca="1">AVERAGE(OFFSET($GD$3,0,0,'Données projet'!$E$17+1,1))-AVERAGE(OFFSET($H$3,0,0,'Données projet'!$E$17+1,1))</f>
        <v>286.77702855541287</v>
      </c>
      <c r="GF148" s="59">
        <f t="shared" si="158"/>
        <v>227.12211541860779</v>
      </c>
      <c r="GG148" s="15">
        <f>IF(ISNA(VLOOKUP(A148,'Données projet'!$A$243:$I$263,3,0)),0,VLOOKUP(A148,'Données projet'!$A$243:$I$263,3,0))</f>
        <v>0</v>
      </c>
      <c r="GH148" s="15">
        <f>IF(ISNA(VLOOKUP(A148,'Données projet'!$A$243:$I$263,4,0)),0,VLOOKUP(A148,'Données projet'!$A$243:$I$263,4,0))</f>
        <v>0</v>
      </c>
      <c r="GI148" s="16">
        <f>IF(ISNA(VLOOKUP(A148,'Données projet'!$A$243:$I$263,5,0)),0%,VLOOKUP(A148,'Données projet'!$A$243:$I$263,5,0)*VLOOKUP('Données projet'!$B$17,Paramètres!$A$1:$I$89,7,0))</f>
        <v>0</v>
      </c>
      <c r="GJ148" s="16">
        <f>IF(ISNA(VLOOKUP(A148,'Données projet'!$A$243:$I$263,6,0)),0%,VLOOKUP(A148,'Données projet'!$A$243:$I$263,6,0)*VLOOKUP('Données projet'!$B$17,Paramètres!$A$1:$I$89,7,0))</f>
        <v>0</v>
      </c>
      <c r="GK148" s="16">
        <f>IF(ISNA(VLOOKUP(A148,'Données projet'!$A$243:$I$263,7,0)),0%,VLOOKUP(A148,'Données projet'!$A$243:$I$263,7,0))</f>
        <v>0</v>
      </c>
      <c r="GL148" s="21">
        <f>EXP(-LN(2)/35)*GL147+(1-EXP(-LN(2)/35))/(LN(2)/35)*GH148*GI148*VLOOKUP('Données projet'!$B$17,Paramètres!$A$1:$I$89,3,0)*0.475*44/12</f>
        <v>0</v>
      </c>
      <c r="GM148" s="21">
        <f>EXP(-LN(2)/25)*GM147+(1-EXP(-LN(2)/25))/(LN(2)/25)*Calculateur!GH148*Calculateur!GJ148*VLOOKUP('Données projet'!$B$17,Paramètres!$A$1:$I$89,3,0)*0.475*44/12</f>
        <v>0</v>
      </c>
      <c r="GN148" s="21">
        <f>EXP(-LN(2)/2)*GN147+(1-EXP(-LN(2)/2))/(LN(2)/2)*GH148*GK148*VLOOKUP('Données projet'!$B$17,Paramètres!$A$1:$I$89,3,0)*0.475*44/12</f>
        <v>0</v>
      </c>
      <c r="GO148" s="21">
        <f t="shared" si="135"/>
        <v>0</v>
      </c>
      <c r="GP148" s="75">
        <f>('Scénario référence'!$F$8+'Scénario référence'!$F$9+'Scénario référence'!$B$17+'Scénario référence'!$B$9+'Scénario référence'!$B$10)*70+IF((45+25*(1-EXP(-0.0175*A148)))&lt;70,'Scénario référence'!$B$16*(45+25*(1-EXP(-0.0175*A148))),70*'Scénario référence'!$B$16)+IF((32+38*(1-EXP(-0.0175*A148)))&lt;70,'Scénario référence'!$B$18*(32+38*(1-EXP(-0.0175*A148))),70*'Scénario référence'!$B$18)</f>
        <v>70</v>
      </c>
      <c r="GQ148" s="12">
        <f>IF(A148&gt;30,10,('Scénario référence'!$B$16+'Scénario référence'!$B$17+'Scénario référence'!$B$18+'Scénario référence'!$B$9+'Scénario référence'!$B$10)*A148*10/30+('Scénario référence'!$F$8+'Scénario référence'!$F$9)*10)</f>
        <v>10</v>
      </c>
      <c r="GR148" s="12" t="e">
        <f>VLOOKUP(A148,'Données projet'!$A$269:$I$289,2,0)</f>
        <v>#N/A</v>
      </c>
      <c r="GS148" s="12" t="e">
        <f>VLOOKUP(A148,'Données projet'!$A$269:$I$289,9,0)</f>
        <v>#N/A</v>
      </c>
      <c r="GT148" s="12">
        <f t="array" ref="GT148">INDEX(GS:GS,MIN(IF(ISNUMBER(GS148:GS344),ROW(GS148:GS344),"")))</f>
        <v>0</v>
      </c>
      <c r="GU148" s="12">
        <f>IF('Données projet'!$A$270&gt;35,GU147+GT148-HC147,IF(A148&lt;'Données projet'!$A$270,$GR$205^A148,IF(A148='Données projet'!$A$270,'Données projet'!$B$270,GU147+GT148-HC147)))</f>
        <v>4.5474735088646412E-13</v>
      </c>
      <c r="GV148" s="17">
        <f>GU148*VLOOKUP('Données projet'!$B$18,Paramètres!$A$1:$I$89,3,0)*VLOOKUP('Données projet'!$B$18,Paramètres!$A$1:$I$89,5,0)</f>
        <v>4.8949004849418999E-13</v>
      </c>
      <c r="GW148" s="13">
        <f t="shared" si="159"/>
        <v>6.1123715499968684E-12</v>
      </c>
      <c r="GX148" s="20">
        <f t="shared" si="136"/>
        <v>1.1498242284038591E-11</v>
      </c>
      <c r="GY148" s="59">
        <f t="shared" si="137"/>
        <v>293.3333333333448</v>
      </c>
      <c r="GZ148" s="59">
        <f ca="1">AVERAGE(OFFSET($GY$3,0,0,'Données projet'!$E$18+1,1))-AVERAGE(OFFSET($H$3,0,0,'Données projet'!$E$18+1,1))</f>
        <v>286.77702855541287</v>
      </c>
      <c r="HA148" s="59">
        <f t="shared" si="160"/>
        <v>227.12211541860779</v>
      </c>
      <c r="HB148" s="15">
        <f>IF(ISNA(VLOOKUP(A148,'Données projet'!$A$269:$I$289,3,0)),0,VLOOKUP(A148,'Données projet'!$A$269:$I$289,3,0))</f>
        <v>0</v>
      </c>
      <c r="HC148" s="15">
        <f>IF(ISNA(VLOOKUP(A148,'Données projet'!$A$269:$I$289,4,0)),0,VLOOKUP(A148,'Données projet'!$A$269:$I$289,4,0))</f>
        <v>0</v>
      </c>
      <c r="HD148" s="16">
        <f>IF(ISNA(VLOOKUP(A148,'Données projet'!$A$269:$I$289,5,0)),0%,VLOOKUP(A148,'Données projet'!$A$269:$I$289,5,0)*VLOOKUP('Données projet'!$B$18,Paramètres!$A$1:$I$89,7,0))</f>
        <v>0</v>
      </c>
      <c r="HE148" s="16">
        <f>IF(ISNA(VLOOKUP(A148,'Données projet'!$A$269:$I$289,6,0)),0%,VLOOKUP(A148,'Données projet'!$A$269:$I$289,6,0)*VLOOKUP('Données projet'!$B$18,Paramètres!$A$1:$I$89,7,0))</f>
        <v>0</v>
      </c>
      <c r="HF148" s="16">
        <f>IF(ISNA(VLOOKUP(A148,'Données projet'!$A$269:$I$289,7,0)),0%,VLOOKUP(A148,'Données projet'!$A$269:$I$289,7,0))</f>
        <v>0</v>
      </c>
      <c r="HG148" s="21">
        <f>EXP(-LN(2)/35)*HG147+(1-EXP(-LN(2)/35))/(LN(2)/35)*HC148*HD148*VLOOKUP('Données projet'!$B$18,Paramètres!$A$1:$I$89,3,0)*0.475*44/12</f>
        <v>0</v>
      </c>
      <c r="HH148" s="21">
        <f>EXP(-LN(2)/25)*HH147+(1-EXP(-LN(2)/25))/(LN(2)/25)*Calculateur!HC148*Calculateur!HE148*VLOOKUP('Données projet'!$B$18,Paramètres!$A$1:$I$89,3,0)*0.475*44/12</f>
        <v>0</v>
      </c>
      <c r="HI148" s="21">
        <f>EXP(-LN(2)/2)*HI147+(1-EXP(-LN(2)/2))/(LN(2)/2)*HC148*HF148*VLOOKUP('Données projet'!$B$18,Paramètres!$A$1:$I$89,3,0)*0.475*44/12</f>
        <v>0</v>
      </c>
      <c r="HJ148" s="22">
        <f t="shared" si="138"/>
        <v>0</v>
      </c>
    </row>
    <row r="149" spans="1:218" x14ac:dyDescent="0.25">
      <c r="A149" s="10">
        <f t="shared" si="139"/>
        <v>146</v>
      </c>
      <c r="B149" s="73">
        <f>'Scénario référence'!$B$16*5+'Scénario référence'!$B$17*0+'Scénario référence'!$B$18*5</f>
        <v>0</v>
      </c>
      <c r="C149" s="19">
        <f>Calculateur!C148+'Scénario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129.82320000000021</v>
      </c>
      <c r="D149" s="11">
        <f t="shared" si="140"/>
        <v>33.955502808068339</v>
      </c>
      <c r="E14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49" s="11">
        <f>IF(OR('Scénario référence'!$F$8&gt;0,'Scénario référence'!$F$9&gt;0),('Scénario référence'!$F$8+'Scénario référence'!$F$9)*10,0)</f>
        <v>10</v>
      </c>
      <c r="G149" s="11">
        <f>'Scénario référence'!$B$8*B149*44/12+'Scénario référence'!$B$9*(C149+D149)/0.475*44/12+'Scénario référence'!$B$10*(C149+D149)/0.475*44/12+'Scénario référence'!$F$8*(C149+D149)/0.475*44/12+'Scénario référence'!$F$9*(C149+D149)/0.475*44/12</f>
        <v>1264.256653255266</v>
      </c>
      <c r="H149" s="67">
        <f t="shared" si="110"/>
        <v>578.58124072405269</v>
      </c>
      <c r="I149" s="70">
        <f>('Scénario référence'!$F$8+'Scénario référence'!$F$9+'Scénario référence'!$B$17+'Scénario référence'!$B$9+'Scénario référence'!$B$10)*70+IF((45+25*(1-EXP(-0.0175*A149)))&lt;70,'Scénario référence'!$B$16*(45+25*(1-EXP(-0.0175*A149))),70*'Scénario référence'!$B$16)+IF((32+38*(1-EXP(-0.0175*A149)))&lt;70,'Scénario référence'!$B$18*(32+38*(1-EXP(-0.0175*A149))),70*'Scénario référence'!$B$18)</f>
        <v>70</v>
      </c>
      <c r="J149" s="13">
        <f>IF(A149&gt;30,10,('Scénario référence'!$B$16+'Scénario référence'!$B$17+'Scénario référence'!$B$18+'Scénario référence'!$B$9+'Scénario référence'!$B$10)*A149*10/30+('Scénario référence'!$F$8+'Scénario référence'!$F$9)*10)</f>
        <v>10</v>
      </c>
      <c r="K149" s="12" t="e">
        <f>VLOOKUP(A149,'Données projet'!$A$35:$I$55,2,0)</f>
        <v>#N/A</v>
      </c>
      <c r="L149" s="12" t="e">
        <f>VLOOKUP(A149,'Données projet'!$A$35:$I$55,9,0)</f>
        <v>#N/A</v>
      </c>
      <c r="M149" s="12">
        <f t="array" ref="M149">INDEX(L:L,MIN(IF(ISNUMBER(L149:L345),ROW(L149:L345),"")))</f>
        <v>0</v>
      </c>
      <c r="N149" s="13">
        <f>IF('Données projet'!$A$36&gt;35,N148+M149-V148,IF(A149&lt;'Données projet'!$A$36,$K$205^A149,IF(A149='Données projet'!$A$36,'Données projet'!$B$36,N148+M149-V148)))</f>
        <v>-2.2737367544323206E-13</v>
      </c>
      <c r="O149" s="13">
        <f>N149*VLOOKUP('Données projet'!$B$9,Paramètres!$A$1:$I$89,3,0)*VLOOKUP('Données projet'!$B$9,Paramètres!$A$1:$I$89,5,0)</f>
        <v>-1.2710188457276673E-13</v>
      </c>
      <c r="P149" s="13" t="e">
        <f t="shared" si="141"/>
        <v>#NUM!</v>
      </c>
      <c r="Q149" s="20" t="e">
        <f t="shared" si="108"/>
        <v>#NUM!</v>
      </c>
      <c r="R149" s="59" t="e">
        <f t="shared" si="109"/>
        <v>#NUM!</v>
      </c>
      <c r="S149" s="59">
        <f ca="1">AVERAGE(OFFSET($R$3,0,0,'Données projet'!$E$9+1,1))-AVERAGE(OFFSET($H$3,0,0,'Données projet'!$E$9+1,1))</f>
        <v>255.5374979188561</v>
      </c>
      <c r="T149" s="59">
        <f t="shared" si="142"/>
        <v>343.10418468620901</v>
      </c>
      <c r="U149" s="15">
        <f>IF(ISNA(VLOOKUP(A149,'Données projet'!$A$35:$I$55,3,0)),0,VLOOKUP(A149,'Données projet'!$A$35:$I$55,3,0))</f>
        <v>0</v>
      </c>
      <c r="V149" s="15">
        <f>IF(ISNA(VLOOKUP(A149,'Données projet'!$A$35:$I$55,4,0)),0,VLOOKUP(A149,'Données projet'!$A$35:$I$55,4,0))</f>
        <v>0</v>
      </c>
      <c r="W149" s="16">
        <f>IF(ISNA(VLOOKUP(A149,'Données projet'!$A$35:$I$55,5,0)),0%,VLOOKUP(A149,'Données projet'!$A$35:$I$55,5,0)*VLOOKUP('Données projet'!$B$9,Paramètres!$A$1:$I$89,7,0))</f>
        <v>0</v>
      </c>
      <c r="X149" s="16">
        <f>IF(ISNA(VLOOKUP(A149,'Données projet'!$A$35:$I$55,6,0)),0%,VLOOKUP(A149,'Données projet'!$A$35:$I$55,6,0)*VLOOKUP('Données projet'!$B$9,Paramètres!$A$1:$I$89,7,0))</f>
        <v>0</v>
      </c>
      <c r="Y149" s="16">
        <f>IF(ISNA(VLOOKUP(A149,'Données projet'!$A$35:$I$55,7,0)),0%,VLOOKUP(A149,'Données projet'!$A$35:$I$55,7,0))</f>
        <v>0</v>
      </c>
      <c r="Z149" s="21">
        <f>EXP(-LN(2)/35)*Z148+(1-EXP(-LN(2)/35))/(LN(2)/35)*V149*W149*VLOOKUP('Données projet'!$B$9,Paramètres!$A$1:$I$89,3,0)*0.475*44/12</f>
        <v>0.31064531351263797</v>
      </c>
      <c r="AA149" s="21">
        <f>EXP(-LN(2)/25)*AA148+(1-EXP(-LN(2)/25))/(LN(2)/25)*Calculateur!V149*Calculateur!X149*VLOOKUP('Données projet'!$B$9,Paramètres!$A$1:$I$89,3,0)*0.475*44/12</f>
        <v>0.64011905936252489</v>
      </c>
      <c r="AB149" s="21">
        <f>EXP(-LN(2)/2)*AB148+(1-EXP(-LN(2)/2))/(LN(2)/2)*V149*Y149*VLOOKUP('Données projet'!$B$9,Paramètres!$A$1:$I$89,3,0)*0.475*44/12</f>
        <v>5.8725665977798562E-18</v>
      </c>
      <c r="AC149" s="22">
        <f t="shared" si="111"/>
        <v>0.95076437287516291</v>
      </c>
      <c r="AD149" s="13">
        <f>('Scénario référence'!$F$8+'Scénario référence'!$F$9+'Scénario référence'!$B$17+'Scénario référence'!$B$9+'Scénario référence'!$B$10)*70+IF((45+25*(1-EXP(-0.0175*A149)))&lt;70,'Scénario référence'!$B$16*(45+25*(1-EXP(-0.0175*A149))),70*'Scénario référence'!$B$16)+IF((32+38*(1-EXP(-0.0175*A149)))&lt;70,'Scénario référence'!$B$18*(32+38*(1-EXP(-0.0175*A149))),70*'Scénario référence'!$B$18)</f>
        <v>70</v>
      </c>
      <c r="AE149" s="13">
        <f>IF(A149&gt;30,10,('Scénario référence'!$B$16+'Scénario référence'!$B$17+'Scénario référence'!$B$18+'Scénario référence'!$B$9+'Scénario référence'!$B$10)*A149*10/30+('Scénario référence'!$F$8+'Scénario référence'!$F$9)*10)</f>
        <v>10</v>
      </c>
      <c r="AF149" s="12" t="e">
        <f>VLOOKUP(A149,'Données projet'!$A$61:$I$81,2,0)</f>
        <v>#N/A</v>
      </c>
      <c r="AG149" s="12" t="e">
        <f>VLOOKUP(A149,'Données projet'!$A$61:$I$81,9,0)</f>
        <v>#N/A</v>
      </c>
      <c r="AH149" s="12">
        <f t="array" ref="AH149">INDEX(AG:AG,MIN(IF(ISNUMBER(AG149:AG345),ROW(AG149:AG345),"")))</f>
        <v>0</v>
      </c>
      <c r="AI149" s="13">
        <f>IF('Données projet'!$A$62&gt;35,AI148+AH149-AQ148,IF(A149&lt;'Données projet'!$A$62,$AF$205^A149,IF(A149='Données projet'!$A$62,'Données projet'!$B$62,AI148+AH149-AQ148)))</f>
        <v>0</v>
      </c>
      <c r="AJ149" s="13">
        <f>AI149*VLOOKUP('Données projet'!$B$10,Paramètres!$A$1:$I$89,3,0)*VLOOKUP('Données projet'!$B$10,Paramètres!$A$1:$I$89,5,0)</f>
        <v>0</v>
      </c>
      <c r="AK149" s="13" t="e">
        <f t="shared" si="143"/>
        <v>#NUM!</v>
      </c>
      <c r="AL149" s="20" t="e">
        <f t="shared" si="112"/>
        <v>#NUM!</v>
      </c>
      <c r="AM149" s="59" t="e">
        <f t="shared" si="113"/>
        <v>#NUM!</v>
      </c>
      <c r="AN149" s="59">
        <f ca="1">AVERAGE(OFFSET($AM$3,0,0,'Données projet'!$E$10+1,1))-AVERAGE(OFFSET($H$3,0,0,'Données projet'!$E$10+1,1))</f>
        <v>261.78489480911571</v>
      </c>
      <c r="AO149" s="59">
        <f t="shared" si="144"/>
        <v>297.50513563712764</v>
      </c>
      <c r="AP149" s="15">
        <f>IF(ISNA(VLOOKUP(A149,'Données projet'!$A$61:$I$81,3,0)),0,VLOOKUP(A149,'Données projet'!$A$61:$I$81,3,0))</f>
        <v>0</v>
      </c>
      <c r="AQ149" s="15">
        <f>IF(ISNA(VLOOKUP(A149,'Données projet'!$A$61:$I$81,4,0)),0,VLOOKUP(A149,'Données projet'!$A$61:$I$81,4,0))</f>
        <v>0</v>
      </c>
      <c r="AR149" s="16">
        <f>IF(ISNA(VLOOKUP(A149,'Données projet'!$A$61:$I$81,5,0)),0%,VLOOKUP(A149,'Données projet'!$A$61:$I$81,5,0)*VLOOKUP('Données projet'!$B$10,Paramètres!$A$1:$I$89,7,0))</f>
        <v>0</v>
      </c>
      <c r="AS149" s="16">
        <f>IF(ISNA(VLOOKUP(A149,'Données projet'!$A$61:$I$81,6,0)),0%,VLOOKUP(A149,'Données projet'!$A$61:$I$81,6,0)*VLOOKUP('Données projet'!$B$10,Paramètres!$A$1:$I$89,7,0))</f>
        <v>0</v>
      </c>
      <c r="AT149" s="16">
        <f>IF(ISNA(VLOOKUP(A149,'Données projet'!$A$61:$I$81,7,0)),0%,VLOOKUP(A149,'Données projet'!$A$61:$I$81,7,0))</f>
        <v>0</v>
      </c>
      <c r="AU149" s="21">
        <f>EXP(-LN(2)/35)*AU148+(1-EXP(-LN(2)/35))/(LN(2)/35)*AQ149*AR149*VLOOKUP('Données projet'!$B$10,Paramètres!$A$1:$I$89,3,0)*0.475*44/12</f>
        <v>0.83883021208961284</v>
      </c>
      <c r="AV149" s="21">
        <f>EXP(-LN(2)/25)*AV148+(1-EXP(-LN(2)/25))/(LN(2)/25)*Calculateur!AQ149*Calculateur!AS149*VLOOKUP('Données projet'!$B$10,Paramètres!$A$1:$I$89,3,0)*0.475*44/12</f>
        <v>1.1177784368901797</v>
      </c>
      <c r="AW149" s="21">
        <f>EXP(-LN(2)/2)*AW148+(1-EXP(-LN(2)/2))/(LN(2)/2)*AQ149*AT149*VLOOKUP('Données projet'!$B$10,Paramètres!$A$1:$I$89,3,0)*0.475*44/12</f>
        <v>8.4658638213996467E-17</v>
      </c>
      <c r="AX149" s="21">
        <f t="shared" si="114"/>
        <v>1.9566086489797927</v>
      </c>
      <c r="AY149" s="74">
        <f>('Scénario référence'!$F$8+'Scénario référence'!$F$9+'Scénario référence'!$B$17+'Scénario référence'!$B$9+'Scénario référence'!$B$10)*70+IF((45+25*(1-EXP(-0.0175*A149)))&lt;70,'Scénario référence'!$B$16*(45+25*(1-EXP(-0.0175*A149))),70*'Scénario référence'!$B$16)+IF((32+38*(1-EXP(-0.0175*A149)))&lt;70,'Scénario référence'!$B$18*(32+38*(1-EXP(-0.0175*A149))),70*'Scénario référence'!$B$18)</f>
        <v>70</v>
      </c>
      <c r="AZ149" s="12">
        <f>IF(A149&gt;30,10,('Scénario référence'!$B$16+'Scénario référence'!$B$17+'Scénario référence'!$B$18+'Scénario référence'!$B$9+'Scénario référence'!$B$10)*A149*10/30+('Scénario référence'!$F$8+'Scénario référence'!$F$9)*10)</f>
        <v>10</v>
      </c>
      <c r="BA149" s="12" t="e">
        <f>VLOOKUP(A149,'Données projet'!$A$87:$I$107,2,0)</f>
        <v>#N/A</v>
      </c>
      <c r="BB149" s="12" t="e">
        <f>VLOOKUP(A149,'Données projet'!$A$87:$I$107,9,0)</f>
        <v>#N/A</v>
      </c>
      <c r="BC149" s="12">
        <f t="array" ref="BC149">INDEX(BB:BB,MIN(IF(ISNUMBER(BB149:BB345),ROW(BB149:BB345),"")))</f>
        <v>0</v>
      </c>
      <c r="BD149" s="12">
        <f>IF('Données projet'!$A$88&gt;35,BD148+BC149-BL148,IF(A149&lt;'Données projet'!$A$88,$BA$205^A149,IF(A149='Données projet'!$A$88,'Données projet'!$B$88,BD148+BC149-BL148)))</f>
        <v>553.99999999999955</v>
      </c>
      <c r="BE149" s="13">
        <f>BD149*VLOOKUP('Données projet'!$B$11,Paramètres!$A$1:$I$89,3,0)*VLOOKUP('Données projet'!$B$11,Paramètres!$A$1:$I$89,5,0)</f>
        <v>331.29199999999975</v>
      </c>
      <c r="BF149" s="13">
        <f t="shared" si="145"/>
        <v>77.698110787752</v>
      </c>
      <c r="BG149" s="20">
        <f t="shared" si="115"/>
        <v>712.32444295533423</v>
      </c>
      <c r="BH149" s="59">
        <f t="shared" si="116"/>
        <v>1005.6577762886675</v>
      </c>
      <c r="BI149" s="59">
        <f ca="1">AVERAGE(OFFSET($BH$3,0,0,'Données projet'!$E$11+1,1))-AVERAGE(OFFSET($H$3,0,0,'Données projet'!$E$11+1,1))</f>
        <v>316.58509520829671</v>
      </c>
      <c r="BJ149" s="59">
        <f t="shared" si="146"/>
        <v>240.71332110643596</v>
      </c>
      <c r="BK149" s="15">
        <f>IF(ISNA(VLOOKUP(A149,'Données projet'!$A$87:$I$107,3,0)),0,VLOOKUP(A149,'Données projet'!$A$87:$I$107,3,0))</f>
        <v>0</v>
      </c>
      <c r="BL149" s="15">
        <f>IF(ISNA(VLOOKUP(A149,'Données projet'!$A$87:$I$107,4,0)),0,VLOOKUP(A149,'Données projet'!$A$87:$I$107,4,0))</f>
        <v>0</v>
      </c>
      <c r="BM149" s="16">
        <f>IF(ISNA(VLOOKUP(A149,'Données projet'!$A$87:$I$107,5,0)),0%,VLOOKUP(A149,'Données projet'!$A$87:$I$107,5,0)*VLOOKUP('Données projet'!$B$11,Paramètres!$A$1:$I$89,7,0))</f>
        <v>0</v>
      </c>
      <c r="BN149" s="16">
        <f>IF(ISNA(VLOOKUP(A149,'Données projet'!$A$87:$I$107,6,0)),0%,VLOOKUP(A149,'Données projet'!$A$87:$I$107,6,0)*VLOOKUP('Données projet'!$B$11,Paramètres!$A$1:$I$89,7,0))</f>
        <v>0</v>
      </c>
      <c r="BO149" s="16">
        <f>IF(ISNA(VLOOKUP(A149,'Données projet'!$A$87:$I$107,7,0)),0%,VLOOKUP(A149,'Données projet'!$A$87:$I$107,7,0))</f>
        <v>0</v>
      </c>
      <c r="BP149" s="21">
        <f>EXP(-LN(2)/35)*BP148+(1-EXP(-LN(2)/35))/(LN(2)/35)*BL149*BM149*VLOOKUP('Données projet'!$B$11,Paramètres!$A$1:$I$89,3,0)*0.475*44/12</f>
        <v>0.25480091821844103</v>
      </c>
      <c r="BQ149" s="21">
        <f>EXP(-LN(2)/25)*BQ148+(1-EXP(-LN(2)/25))/(LN(2)/25)*Calculateur!BL149*Calculateur!BN149*VLOOKUP('Données projet'!$B$11,Paramètres!$A$1:$I$89,3,0)*0.475*44/12</f>
        <v>0.61235164235328077</v>
      </c>
      <c r="BR149" s="21">
        <f>EXP(-LN(2)/2)*BR148+(1-EXP(-LN(2)/2))/(LN(2)/2)*BL149*BO149*VLOOKUP('Données projet'!$B$11,Paramètres!$A$1:$I$89,3,0)*0.475*44/12</f>
        <v>7.6117386942565105E-17</v>
      </c>
      <c r="BS149" s="22">
        <f t="shared" si="117"/>
        <v>0.86715256057172196</v>
      </c>
      <c r="BT149" s="75">
        <f>('Scénario référence'!$F$8+'Scénario référence'!$F$9+'Scénario référence'!$B$17+'Scénario référence'!$B$9+'Scénario référence'!$B$10)*70+IF((45+25*(1-EXP(-0.0175*A149)))&lt;70,'Scénario référence'!$B$16*(45+25*(1-EXP(-0.0175*A149))),70*'Scénario référence'!$B$16)+IF((32+38*(1-EXP(-0.0175*A149)))&lt;70,'Scénario référence'!$B$18*(32+38*(1-EXP(-0.0175*A149))),70*'Scénario référence'!$B$18)</f>
        <v>70</v>
      </c>
      <c r="BU149" s="12">
        <f>IF(A149&gt;30,10,('Scénario référence'!$B$16+'Scénario référence'!$B$17+'Scénario référence'!$B$18+'Scénario référence'!$B$9+'Scénario référence'!$B$10)*A149*10/30+('Scénario référence'!$F$8+'Scénario référence'!$F$9)*10)</f>
        <v>10</v>
      </c>
      <c r="BV149" s="12" t="e">
        <f>VLOOKUP(A149,'Données projet'!$A$113:$I$133,2,0)</f>
        <v>#N/A</v>
      </c>
      <c r="BW149" s="12" t="e">
        <f>VLOOKUP(A149,'Données projet'!$A$113:$I$133,9,0)</f>
        <v>#N/A</v>
      </c>
      <c r="BX149" s="12">
        <f t="array" ref="BX149">INDEX(BW:BW,MIN(IF(ISNUMBER(BW149:BW345),ROW(BW149:BW345),"")))</f>
        <v>0</v>
      </c>
      <c r="BY149" s="12">
        <f>IF('Données projet'!$A$114&gt;35,BY148+BX149-CG148,IF(A149&lt;'Données projet'!$A$114,$BV$205^A149,IF(A149='Données projet'!$A$114,'Données projet'!$B$114,BY148+BX149-CG148)))</f>
        <v>333.99999999999977</v>
      </c>
      <c r="BZ149" s="13">
        <f>BY149*VLOOKUP('Données projet'!$B$12,Paramètres!$A$1:$I$89,3,0)*VLOOKUP('Données projet'!$B$12,Paramètres!$A$1:$I$89,5,0)</f>
        <v>191.04799999999986</v>
      </c>
      <c r="CA149" s="13">
        <f t="shared" si="147"/>
        <v>47.771576544305155</v>
      </c>
      <c r="CB149" s="20">
        <f t="shared" si="118"/>
        <v>415.94409581466454</v>
      </c>
      <c r="CC149" s="59">
        <f t="shared" si="119"/>
        <v>709.27742914799785</v>
      </c>
      <c r="CD149" s="59">
        <f ca="1">AVERAGE(OFFSET($CC$3,0,0,'Données projet'!$E$12+1,1))-AVERAGE(OFFSET($H$3,0,0,'Données projet'!$E$12+1,1))</f>
        <v>188.64374818906128</v>
      </c>
      <c r="CE149" s="59">
        <f t="shared" si="148"/>
        <v>211.95157880548652</v>
      </c>
      <c r="CF149" s="15">
        <f>IF(ISNA(VLOOKUP(A149,'Données projet'!$A$113:$I$133,3,0)),0,VLOOKUP(A149,'Données projet'!$A$113:$I$133,3,0))</f>
        <v>0</v>
      </c>
      <c r="CG149" s="15">
        <f>IF(ISNA(VLOOKUP(A149,'Données projet'!$A$113:$I$133,4,0)),0,VLOOKUP(A149,'Données projet'!$A$113:$I$133,4,0))</f>
        <v>0</v>
      </c>
      <c r="CH149" s="16">
        <f>IF(ISNA(VLOOKUP(A149,'Données projet'!$A$113:$I$133,5,0)),0%,VLOOKUP(A149,'Données projet'!$A$113:$I$133,5,0)*VLOOKUP('Données projet'!$B$12,Paramètres!$A$1:$I$89,7,0))</f>
        <v>0</v>
      </c>
      <c r="CI149" s="16">
        <f>IF(ISNA(VLOOKUP(A149,'Données projet'!$A$113:$I$133,6,0)),0%,VLOOKUP(A149,'Données projet'!$A$113:$I$133,6,0)*VLOOKUP('Données projet'!$B$12,Paramètres!$A$1:$I$89,7,0))</f>
        <v>0</v>
      </c>
      <c r="CJ149" s="16">
        <f>IF(ISNA(VLOOKUP(A149,'Données projet'!$A$113:$I$133,7,0)),0%,VLOOKUP(A149,'Données projet'!$A$113:$I$133,7,0))</f>
        <v>0</v>
      </c>
      <c r="CK149" s="21">
        <f>EXP(-LN(2)/35)*CK148+(1-EXP(-LN(2)/35))/(LN(2)/35)*CG149*CH149*VLOOKUP('Données projet'!$B$12,Paramètres!$A$1:$I$89,3,0)*0.475*44/12</f>
        <v>0.24715533034783235</v>
      </c>
      <c r="CL149" s="21">
        <f>EXP(-LN(2)/25)*CL148+(1-EXP(-LN(2)/25))/(LN(2)/25)*Calculateur!CG149*Calculateur!CI149*VLOOKUP('Données projet'!$B$12,Paramètres!$A$1:$I$89,3,0)*0.475*44/12</f>
        <v>0.57635923050349869</v>
      </c>
      <c r="CM149" s="21">
        <f>EXP(-LN(2)/2)*CM148+(1-EXP(-LN(2)/2))/(LN(2)/2)*CG149*CJ149*VLOOKUP('Données projet'!$B$12,Paramètres!$A$1:$I$89,3,0)*0.475*44/12</f>
        <v>7.371373374107182E-17</v>
      </c>
      <c r="CN149" s="22">
        <f t="shared" si="120"/>
        <v>0.82351456085133112</v>
      </c>
      <c r="CO149" s="75">
        <f>('Scénario référence'!$F$8+'Scénario référence'!$F$9+'Scénario référence'!$B$17+'Scénario référence'!$B$9+'Scénario référence'!$B$10)*70+IF((45+25*(1-EXP(-0.0175*A149)))&lt;70,'Scénario référence'!$B$16*(45+25*(1-EXP(-0.0175*A149))),70*'Scénario référence'!$B$16)+IF((32+38*(1-EXP(-0.0175*A149)))&lt;70,'Scénario référence'!$B$18*(32+38*(1-EXP(-0.0175*A149))),70*'Scénario référence'!$B$18)</f>
        <v>70</v>
      </c>
      <c r="CP149" s="12">
        <f>IF(A149&gt;30,10,('Scénario référence'!$B$16+'Scénario référence'!$B$17+'Scénario référence'!$B$18+'Scénario référence'!$B$9+'Scénario référence'!$B$10)*A149*10/30+('Scénario référence'!$F$8+'Scénario référence'!$F$9)*10)</f>
        <v>10</v>
      </c>
      <c r="CQ149" s="12" t="e">
        <f>VLOOKUP(A149,'Données projet'!$A$139:$I$159,2,0)</f>
        <v>#N/A</v>
      </c>
      <c r="CR149" s="12" t="e">
        <f>VLOOKUP(A149,'Données projet'!$A$139:$I$159,9,0)</f>
        <v>#N/A</v>
      </c>
      <c r="CS149" s="12">
        <f t="array" ref="CS149">INDEX(CR:CR,MIN(IF(ISNUMBER(CR149:CR345),ROW(CR149:CR345),"")))</f>
        <v>0</v>
      </c>
      <c r="CT149" s="12">
        <f>IF('Données projet'!$A$140&gt;35,CT148+CS149-DB148,IF(A149&lt;'Données projet'!$A$140,$CQ$205^A149,IF(A149='Données projet'!$A$140,'Données projet'!$B$140,CT148+CS149-DB148)))</f>
        <v>0</v>
      </c>
      <c r="CU149" s="17" t="e">
        <f>CT149*VLOOKUP('Données projet'!$B$13,Paramètres!$A$1:$I$89,3,0)*VLOOKUP('Données projet'!$B$13,Paramètres!$A$1:$I$89,5,0)</f>
        <v>#N/A</v>
      </c>
      <c r="CV149" s="13" t="e">
        <f t="shared" si="149"/>
        <v>#N/A</v>
      </c>
      <c r="CW149" s="20" t="e">
        <f t="shared" si="121"/>
        <v>#N/A</v>
      </c>
      <c r="CX149" s="59" t="e">
        <f t="shared" si="122"/>
        <v>#N/A</v>
      </c>
      <c r="CY149" s="59" t="e">
        <f ca="1">AVERAGE(OFFSET($CX$3,0,0,'Données projet'!$E$13+1,1))-AVERAGE(OFFSET($H$3,0,0,'Données projet'!$E$13+1,1))</f>
        <v>#N/A</v>
      </c>
      <c r="CZ149" s="59" t="e">
        <f t="shared" si="150"/>
        <v>#N/A</v>
      </c>
      <c r="DA149" s="15">
        <f>IF(ISNA(VLOOKUP(A149,'Données projet'!$A$139:$I$159,3,0)),0,VLOOKUP(A149,'Données projet'!$A$139:$I$159,3,0))</f>
        <v>0</v>
      </c>
      <c r="DB149" s="15">
        <f>IF(ISNA(VLOOKUP(A149,'Données projet'!$A$139:$I$159,4,0)),0,VLOOKUP(A149,'Données projet'!$A$139:$I$159,4,0))</f>
        <v>0</v>
      </c>
      <c r="DC149" s="16">
        <f>IF(ISNA(VLOOKUP(A149,'Données projet'!$A$139:$I$159,5,0)),0%,VLOOKUP(A149,'Données projet'!$A$139:$I$159,5,0)*VLOOKUP('Données projet'!$B$13,Paramètres!$A$1:$I$89,7,0))</f>
        <v>0</v>
      </c>
      <c r="DD149" s="16">
        <f>IF(ISNA(VLOOKUP(A149,'Données projet'!$A$139:$I$159,6,0)),0%,VLOOKUP(A149,'Données projet'!$A$139:$I$159,6,0)*VLOOKUP('Données projet'!$B$13,Paramètres!$A$1:$I$89,7,0))</f>
        <v>0</v>
      </c>
      <c r="DE149" s="16">
        <f>IF(ISNA(VLOOKUP(A149,'Données projet'!$A$139:$I$159,7,0)),0%,VLOOKUP(A149,'Données projet'!$A$139:$I$159,7,0))</f>
        <v>0</v>
      </c>
      <c r="DF149" s="21" t="e">
        <f>EXP(-LN(2)/35)*DF148+(1-EXP(-LN(2)/35))/(LN(2)/35)*DB149*DC149*VLOOKUP('Données projet'!$B$13,Paramètres!$A$1:$I$89,3,0)*0.475*44/12</f>
        <v>#N/A</v>
      </c>
      <c r="DG149" s="21" t="e">
        <f>EXP(-LN(2)/25)*DG148+(1-EXP(-LN(2)/25))/(LN(2)/25)*Calculateur!DB149*Calculateur!DD149*VLOOKUP('Données projet'!$B$13,Paramètres!$A$1:$I$89,3,0)*0.475*44/12</f>
        <v>#N/A</v>
      </c>
      <c r="DH149" s="21" t="e">
        <f>EXP(-LN(2)/2)*DH148+(1-EXP(-LN(2)/2))/(LN(2)/2)*DB149*DE149*VLOOKUP('Données projet'!$B$13,Paramètres!$A$1:$I$89,3,0)*0.475*44/12</f>
        <v>#N/A</v>
      </c>
      <c r="DI149" s="22" t="e">
        <f t="shared" si="123"/>
        <v>#N/A</v>
      </c>
      <c r="DJ149" s="75">
        <f>('Scénario référence'!$F$8+'Scénario référence'!$F$9+'Scénario référence'!$B$17+'Scénario référence'!$B$9+'Scénario référence'!$B$10)*70+IF((45+25*(1-EXP(-0.0175*A149)))&lt;70,'Scénario référence'!$B$16*(45+25*(1-EXP(-0.0175*A149))),70*'Scénario référence'!$B$16)+IF((32+38*(1-EXP(-0.0175*A149)))&lt;70,'Scénario référence'!$B$18*(32+38*(1-EXP(-0.0175*A149))),70*'Scénario référence'!$B$18)</f>
        <v>70</v>
      </c>
      <c r="DK149" s="12">
        <f>IF(A149&gt;30,10,('Scénario référence'!$B$16+'Scénario référence'!$B$17+'Scénario référence'!$B$18+'Scénario référence'!$B$9+'Scénario référence'!$B$10)*A149*10/30+('Scénario référence'!$F$8+'Scénario référence'!$F$9)*10)</f>
        <v>10</v>
      </c>
      <c r="DL149" s="12" t="e">
        <f>VLOOKUP(A149,'Données projet'!$A$165:$I$185,2,0)</f>
        <v>#N/A</v>
      </c>
      <c r="DM149" s="12" t="e">
        <f>VLOOKUP(A149,'Données projet'!$A$165:$I$185,9,0)</f>
        <v>#N/A</v>
      </c>
      <c r="DN149" s="12">
        <f t="array" ref="DN149">INDEX(DM:DM,MIN(IF(ISNUMBER(DM149:DM345),ROW(DM149:DM345),"")))</f>
        <v>0</v>
      </c>
      <c r="DO149" s="12">
        <f>IF('Données projet'!$A$166&gt;35,DO148+DN149-DW148,IF(A149&lt;'Données projet'!$A$166,$DL$205^A149,IF(A149='Données projet'!$A$166,'Données projet'!$B$166,DO148+DN149-DW148)))</f>
        <v>268.00000000000017</v>
      </c>
      <c r="DP149" s="17">
        <f>DO149*VLOOKUP('Données projet'!$B$14,Paramètres!$A$1:$I$89,3,0)*VLOOKUP('Données projet'!$B$14,Paramètres!$A$1:$I$89,5,0)</f>
        <v>175.59360000000012</v>
      </c>
      <c r="DQ149" s="13">
        <f t="shared" si="151"/>
        <v>44.340433728638573</v>
      </c>
      <c r="DR149" s="20">
        <f t="shared" si="124"/>
        <v>383.05177541071242</v>
      </c>
      <c r="DS149" s="59">
        <f t="shared" si="125"/>
        <v>676.38510874404574</v>
      </c>
      <c r="DT149" s="59">
        <f ca="1">AVERAGE(OFFSET($DS$3,0,0,'Données projet'!$E$14+1,1))-AVERAGE(OFFSET($H$3,0,0,'Données projet'!$E$14+1,1))</f>
        <v>188.68915783955595</v>
      </c>
      <c r="DU149" s="59">
        <f t="shared" si="152"/>
        <v>240.82467772396944</v>
      </c>
      <c r="DV149" s="15">
        <f>IF(ISNA(VLOOKUP(A149,'Données projet'!$A$165:$I$185,3,0)),0,VLOOKUP(A149,'Données projet'!$A$165:$I$185,3,0))</f>
        <v>0</v>
      </c>
      <c r="DW149" s="15">
        <f>IF(ISNA(VLOOKUP(A149,'Données projet'!$A$165:$I$185,4,0)),0,VLOOKUP(A149,'Données projet'!$A$165:$I$185,4,0))</f>
        <v>0</v>
      </c>
      <c r="DX149" s="16">
        <f>IF(ISNA(VLOOKUP(A149,'Données projet'!$A$165:$I$185,5,0)),0%,VLOOKUP(A149,'Données projet'!$A$165:$I$185,5,0)*VLOOKUP('Données projet'!$B$14,Paramètres!$A$1:$I$89,7,0))</f>
        <v>0</v>
      </c>
      <c r="DY149" s="16">
        <f>IF(ISNA(VLOOKUP(A149,'Données projet'!$A$165:$I$185,6,0)),0%,VLOOKUP(A149,'Données projet'!$A$165:$I$185,6,0)*VLOOKUP('Données projet'!$B$14,Paramètres!$A$1:$I$89,7,0))</f>
        <v>0</v>
      </c>
      <c r="DZ149" s="16">
        <f>IF(ISNA(VLOOKUP(A149,'Données projet'!$A$165:$I$185,7,0)),0%,VLOOKUP(A149,'Données projet'!$A$165:$I$185,7,0))</f>
        <v>0</v>
      </c>
      <c r="EA149" s="21">
        <f>EXP(-LN(2)/35)*EA148+(1-EXP(-LN(2)/35))/(LN(2)/35)*DW149*DX149*VLOOKUP('Données projet'!$B$14,Paramètres!$A$1:$I$89,3,0)*0.475*44/12</f>
        <v>0.15655251354103006</v>
      </c>
      <c r="EB149" s="21">
        <f>EXP(-LN(2)/25)*EB148+(1-EXP(-LN(2)/25))/(LN(2)/25)*Calculateur!DW149*Calculateur!DY149*VLOOKUP('Données projet'!$B$14,Paramètres!$A$1:$I$89,3,0)*0.475*44/12</f>
        <v>0.32238171548500888</v>
      </c>
      <c r="EC149" s="21">
        <f>EXP(-LN(2)/2)*EC148+(1-EXP(-LN(2)/2))/(LN(2)/2)*DW149*DZ149*VLOOKUP('Données projet'!$B$14,Paramètres!$A$1:$I$89,3,0)*0.475*44/12</f>
        <v>4.8559795026045402E-17</v>
      </c>
      <c r="ED149" s="22">
        <f t="shared" si="126"/>
        <v>0.47893422902603899</v>
      </c>
      <c r="EE149" s="75">
        <f>('Scénario référence'!$F$8+'Scénario référence'!$F$9+'Scénario référence'!$B$17+'Scénario référence'!$B$9+'Scénario référence'!$B$10)*70+IF((45+25*(1-EXP(-0.0175*A149)))&lt;70,'Scénario référence'!$B$16*(45+25*(1-EXP(-0.0175*A149))),70*'Scénario référence'!$B$16)+IF((32+38*(1-EXP(-0.0175*A149)))&lt;70,'Scénario référence'!$B$18*(32+38*(1-EXP(-0.0175*A149))),70*'Scénario référence'!$B$18)</f>
        <v>70</v>
      </c>
      <c r="EF149" s="12">
        <f>IF(A149&gt;30,10,('Scénario référence'!$B$16+'Scénario référence'!$B$17+'Scénario référence'!$B$18+'Scénario référence'!$B$9+'Scénario référence'!$B$10)*A149*10/30+('Scénario référence'!$F$8+'Scénario référence'!$F$9)*10)</f>
        <v>10</v>
      </c>
      <c r="EG149" s="12" t="e">
        <f>VLOOKUP(A149,'Données projet'!$A$191:$I$211,2,0)</f>
        <v>#N/A</v>
      </c>
      <c r="EH149" s="12" t="e">
        <f>VLOOKUP(A149,'Données projet'!$A$191:$I$211,9,0)</f>
        <v>#N/A</v>
      </c>
      <c r="EI149" s="12">
        <f t="array" ref="EI149">INDEX(EH:EH,MIN(IF(ISNUMBER(EH149:EH345),ROW(EH149:EH345),"")))</f>
        <v>0</v>
      </c>
      <c r="EJ149" s="12">
        <f>IF('Données projet'!$A$192&gt;35,EJ148+EI149-ER148,IF(A149&lt;'Données projet'!$A$192,$EG$205^A149,IF(A149='Données projet'!$A$192,'Données projet'!$B$192,EJ148+EI149-ER148)))</f>
        <v>275.99999999999972</v>
      </c>
      <c r="EK149" s="17">
        <f>EJ149*VLOOKUP('Données projet'!$B$15,Paramètres!$A$1:$I$89,3,0)*VLOOKUP('Données projet'!$B$15,Paramètres!$A$1:$I$89,5,0)</f>
        <v>223.8911999999998</v>
      </c>
      <c r="EL149" s="13">
        <f t="shared" si="153"/>
        <v>54.95975389514858</v>
      </c>
      <c r="EM149" s="20">
        <f t="shared" si="127"/>
        <v>485.66541136738346</v>
      </c>
      <c r="EN149" s="59">
        <f t="shared" si="128"/>
        <v>778.99874470071677</v>
      </c>
      <c r="EO149" s="59">
        <f ca="1">AVERAGE(OFFSET($EN$3,0,0,'Données projet'!$E$15+1,1))-AVERAGE(OFFSET($H$3,0,0,'Données projet'!$E$15+1,1))</f>
        <v>205.5272583787887</v>
      </c>
      <c r="EP149" s="59">
        <f t="shared" si="154"/>
        <v>180.54762778843178</v>
      </c>
      <c r="EQ149" s="15">
        <f>IF(ISNA(VLOOKUP(A149,'Données projet'!$A$191:$I$211,3,0)),0,VLOOKUP(A149,'Données projet'!$A$191:$I$211,3,0))</f>
        <v>0</v>
      </c>
      <c r="ER149" s="15">
        <f>IF(ISNA(VLOOKUP(A149,'Données projet'!$A$191:$I$211,4,0)),0,VLOOKUP(A149,'Données projet'!$A$191:$I$211,4,0))</f>
        <v>0</v>
      </c>
      <c r="ES149" s="16">
        <f>IF(ISNA(VLOOKUP(A149,'Données projet'!$A$191:$I$211,5,0)),0%,VLOOKUP(A149,'Données projet'!$A$191:$I$211,5,0)*VLOOKUP('Données projet'!$B$15,Paramètres!$A$1:$I$89,7,0))</f>
        <v>0</v>
      </c>
      <c r="ET149" s="16">
        <f>IF(ISNA(VLOOKUP(A149,'Données projet'!$A$191:$I$211,6,0)),0%,VLOOKUP(A149,'Données projet'!$A$191:$I$211,6,0)*VLOOKUP('Données projet'!$B$15,Paramètres!$A$1:$I$89,7,0))</f>
        <v>0</v>
      </c>
      <c r="EU149" s="16">
        <f>IF(ISNA(VLOOKUP(A149,'Données projet'!$A$191:$I$211,7,0)),0%,VLOOKUP(A149,'Données projet'!$A$191:$I$211,7,0))</f>
        <v>0</v>
      </c>
      <c r="EV149" s="21">
        <f>EXP(-LN(2)/35)*EV148+(1-EXP(-LN(2)/35))/(LN(2)/35)*ER149*ES149*VLOOKUP('Données projet'!$B$15,Paramètres!$A$1:$I$89,3,0)*0.475*44/12</f>
        <v>0.10078999919403463</v>
      </c>
      <c r="EW149" s="21">
        <f>EXP(-LN(2)/25)*EW148+(1-EXP(-LN(2)/25))/(LN(2)/25)*Calculateur!ER149*Calculateur!ET149*VLOOKUP('Données projet'!$B$15,Paramètres!$A$1:$I$89,3,0)*0.475*44/12</f>
        <v>0.23276937834057523</v>
      </c>
      <c r="EX149" s="21">
        <f>EXP(-LN(2)/2)*EX148+(1-EXP(-LN(2)/2))/(LN(2)/2)*ER149*EU149*VLOOKUP('Données projet'!$B$15,Paramètres!$A$1:$I$89,3,0)*0.475*44/12</f>
        <v>3.1442503185749394E-17</v>
      </c>
      <c r="EY149" s="22">
        <f t="shared" si="129"/>
        <v>0.3335593775346099</v>
      </c>
      <c r="EZ149" s="75">
        <f>('Scénario référence'!$F$8+'Scénario référence'!$F$9+'Scénario référence'!$B$17+'Scénario référence'!$B$9+'Scénario référence'!$B$10)*70+IF((45+25*(1-EXP(-0.0175*A149)))&lt;70,'Scénario référence'!$B$16*(45+25*(1-EXP(-0.0175*A149))),70*'Scénario référence'!$B$16)+IF((32+38*(1-EXP(-0.0175*A149)))&lt;70,'Scénario référence'!$B$18*(32+38*(1-EXP(-0.0175*A149))),70*'Scénario référence'!$B$18)</f>
        <v>70</v>
      </c>
      <c r="FA149" s="12">
        <f>IF(A149&gt;30,10,('Scénario référence'!$B$16+'Scénario référence'!$B$17+'Scénario référence'!$B$18+'Scénario référence'!$B$9+'Scénario référence'!$B$10)*A149*10/30+('Scénario référence'!$F$8+'Scénario référence'!$F$9)*10)</f>
        <v>10</v>
      </c>
      <c r="FB149" s="12" t="e">
        <f>VLOOKUP(A149,'Données projet'!$A$217:$I$237,2,0)</f>
        <v>#N/A</v>
      </c>
      <c r="FC149" s="12" t="e">
        <f>VLOOKUP(A149,'Données projet'!$A$217:$I$237,9,0)</f>
        <v>#N/A</v>
      </c>
      <c r="FD149" s="12">
        <f t="array" ref="FD149">INDEX(FC:FC,MIN(IF(ISNUMBER(FC149:FC345),ROW(FC149:FC345),"")))</f>
        <v>4.7</v>
      </c>
      <c r="FE149" s="12">
        <f>IF('Données projet'!$A$218&gt;35,FE148+FD149-FM148,IF(A149&lt;'Données projet'!$A$218,$FB$205^A149,IF(A149='Données projet'!$A$218,'Données projet'!$B$218,FE148+FD149-FM148)))</f>
        <v>440.19999999999987</v>
      </c>
      <c r="FF149" s="17">
        <f>FE149*VLOOKUP('Données projet'!$B$16,Paramètres!$A$1:$I$89,3,0)*VLOOKUP('Données projet'!$B$16,Paramètres!$A$1:$I$89,5,0)</f>
        <v>377.69159999999994</v>
      </c>
      <c r="FG149" s="13">
        <f t="shared" si="155"/>
        <v>87.238985428736783</v>
      </c>
      <c r="FH149" s="20">
        <f t="shared" si="130"/>
        <v>809.75410295504969</v>
      </c>
      <c r="FI149" s="59">
        <f t="shared" si="131"/>
        <v>1103.0874362883831</v>
      </c>
      <c r="FJ149" s="59">
        <f ca="1">AVERAGE(OFFSET($FI$3,0,0,'Données projet'!$E$16+1,1))-AVERAGE(OFFSET($H$3,0,0,'Données projet'!$E$16+1,1))</f>
        <v>383.97627237444709</v>
      </c>
      <c r="FK149" s="59">
        <f t="shared" si="156"/>
        <v>203.35476578922339</v>
      </c>
      <c r="FL149" s="15">
        <f>IF(ISNA(VLOOKUP(A149,'Données projet'!$A$217:$I$237,3,0)),0,VLOOKUP(A149,'Données projet'!$A$217:$I$237,3,0))</f>
        <v>0</v>
      </c>
      <c r="FM149" s="15">
        <f>IF(ISNA(VLOOKUP(A149,'Données projet'!$A$217:$I$237,4,0)),0,VLOOKUP(A149,'Données projet'!$A$217:$I$237,4,0))</f>
        <v>0</v>
      </c>
      <c r="FN149" s="16">
        <f>IF(ISNA(VLOOKUP(A149,'Données projet'!$A$217:$I$237,5,0)),0%,VLOOKUP(A149,'Données projet'!$A$217:$I$237,5,0)*VLOOKUP('Données projet'!$B$16,Paramètres!$A$1:$I$89,7,0))</f>
        <v>0</v>
      </c>
      <c r="FO149" s="16">
        <f>IF(ISNA(VLOOKUP(A149,'Données projet'!$A$217:$I$237,6,0)),0%,VLOOKUP(A149,'Données projet'!$A$217:$I$237,6,0)*VLOOKUP('Données projet'!$B$16,Paramètres!$A$1:$I$89,7,0))</f>
        <v>0</v>
      </c>
      <c r="FP149" s="16">
        <f>IF(ISNA(VLOOKUP(A149,'Données projet'!$A$217:$I$237,7,0)),0%,VLOOKUP(A149,'Données projet'!$A$217:$I$237,7,0))</f>
        <v>0</v>
      </c>
      <c r="FQ149" s="21">
        <f>EXP(-LN(2)/35)*FQ148+(1-EXP(-LN(2)/35))/(LN(2)/35)*FM149*FN149*VLOOKUP('Données projet'!$B$16,Paramètres!$A$1:$I$89,3,0)*0.475*44/12</f>
        <v>0.51800591516767081</v>
      </c>
      <c r="FR149" s="21">
        <f>EXP(-LN(2)/25)*FR148+(1-EXP(-LN(2)/25))/(LN(2)/25)*Calculateur!FM149*Calculateur!FO149*VLOOKUP('Données projet'!$B$16,Paramètres!$A$1:$I$89,3,0)*0.475*44/12</f>
        <v>0.23628497801743278</v>
      </c>
      <c r="FS149" s="21">
        <f>EXP(-LN(2)/2)*FS148+(1-EXP(-LN(2)/2))/(LN(2)/2)*FM149*FP149*VLOOKUP('Données projet'!$B$16,Paramètres!$A$1:$I$89,3,0)*0.475*44/12</f>
        <v>5.77534254162997E-17</v>
      </c>
      <c r="FT149" s="22">
        <f t="shared" si="132"/>
        <v>0.75429089318510367</v>
      </c>
      <c r="FU149" s="75">
        <f>('Scénario référence'!$F$8+'Scénario référence'!$F$9+'Scénario référence'!$B$17+'Scénario référence'!$B$9+'Scénario référence'!$B$10)*70+IF((45+25*(1-EXP(-0.0175*A149)))&lt;70,'Scénario référence'!$B$16*(45+25*(1-EXP(-0.0175*A149))),70*'Scénario référence'!$B$16)+IF((32+38*(1-EXP(-0.0175*A149)))&lt;70,'Scénario référence'!$B$18*(32+38*(1-EXP(-0.0175*A149))),70*'Scénario référence'!$B$18)</f>
        <v>70</v>
      </c>
      <c r="FV149" s="12">
        <f>IF(A149&gt;30,10,('Scénario référence'!$B$16+'Scénario référence'!$B$17+'Scénario référence'!$B$18+'Scénario référence'!$B$9+'Scénario référence'!$B$10)*A149*10/30+('Scénario référence'!$F$8+'Scénario référence'!$F$9)*10)</f>
        <v>10</v>
      </c>
      <c r="FW149" s="12" t="e">
        <f>VLOOKUP(A149,'Données projet'!$A$243:$I$263,2,0)</f>
        <v>#N/A</v>
      </c>
      <c r="FX149" s="12" t="e">
        <f>VLOOKUP(A149,'Données projet'!$A$243:$I$263,9,0)</f>
        <v>#N/A</v>
      </c>
      <c r="FY149" s="12">
        <f t="array" ref="FY149">INDEX(FX:FX,MIN(IF(ISNUMBER(FX149:FX345),ROW(FX149:FX345),"")))</f>
        <v>0</v>
      </c>
      <c r="FZ149" s="12">
        <f>IF('Données projet'!$A$244&gt;35,FZ148+FY149-GH148,IF(A149&lt;'Données projet'!$A$244,$FW$205^A149,IF(A149='Données projet'!$A$244,'Données projet'!$B$244,FZ148+FY149-GH148)))</f>
        <v>4.5474735088646412E-13</v>
      </c>
      <c r="GA149" s="17">
        <f>FZ149*VLOOKUP('Données projet'!$B$17,Paramètres!$A$1:$I$89,3,0)*VLOOKUP('Données projet'!$B$17,Paramètres!$A$1:$I$89,5,0)</f>
        <v>4.8949004849418999E-13</v>
      </c>
      <c r="GB149" s="13">
        <f t="shared" si="157"/>
        <v>6.1123715499968684E-12</v>
      </c>
      <c r="GC149" s="20">
        <f t="shared" si="133"/>
        <v>1.1498242284038591E-11</v>
      </c>
      <c r="GD149" s="59">
        <f t="shared" si="134"/>
        <v>293.3333333333448</v>
      </c>
      <c r="GE149" s="59">
        <f ca="1">AVERAGE(OFFSET($GD$3,0,0,'Données projet'!$E$17+1,1))-AVERAGE(OFFSET($H$3,0,0,'Données projet'!$E$17+1,1))</f>
        <v>286.77702855541287</v>
      </c>
      <c r="GF149" s="59">
        <f t="shared" si="158"/>
        <v>227.12211541860779</v>
      </c>
      <c r="GG149" s="15">
        <f>IF(ISNA(VLOOKUP(A149,'Données projet'!$A$243:$I$263,3,0)),0,VLOOKUP(A149,'Données projet'!$A$243:$I$263,3,0))</f>
        <v>0</v>
      </c>
      <c r="GH149" s="15">
        <f>IF(ISNA(VLOOKUP(A149,'Données projet'!$A$243:$I$263,4,0)),0,VLOOKUP(A149,'Données projet'!$A$243:$I$263,4,0))</f>
        <v>0</v>
      </c>
      <c r="GI149" s="16">
        <f>IF(ISNA(VLOOKUP(A149,'Données projet'!$A$243:$I$263,5,0)),0%,VLOOKUP(A149,'Données projet'!$A$243:$I$263,5,0)*VLOOKUP('Données projet'!$B$17,Paramètres!$A$1:$I$89,7,0))</f>
        <v>0</v>
      </c>
      <c r="GJ149" s="16">
        <f>IF(ISNA(VLOOKUP(A149,'Données projet'!$A$243:$I$263,6,0)),0%,VLOOKUP(A149,'Données projet'!$A$243:$I$263,6,0)*VLOOKUP('Données projet'!$B$17,Paramètres!$A$1:$I$89,7,0))</f>
        <v>0</v>
      </c>
      <c r="GK149" s="16">
        <f>IF(ISNA(VLOOKUP(A149,'Données projet'!$A$243:$I$263,7,0)),0%,VLOOKUP(A149,'Données projet'!$A$243:$I$263,7,0))</f>
        <v>0</v>
      </c>
      <c r="GL149" s="21">
        <f>EXP(-LN(2)/35)*GL148+(1-EXP(-LN(2)/35))/(LN(2)/35)*GH149*GI149*VLOOKUP('Données projet'!$B$17,Paramètres!$A$1:$I$89,3,0)*0.475*44/12</f>
        <v>0</v>
      </c>
      <c r="GM149" s="21">
        <f>EXP(-LN(2)/25)*GM148+(1-EXP(-LN(2)/25))/(LN(2)/25)*Calculateur!GH149*Calculateur!GJ149*VLOOKUP('Données projet'!$B$17,Paramètres!$A$1:$I$89,3,0)*0.475*44/12</f>
        <v>0</v>
      </c>
      <c r="GN149" s="21">
        <f>EXP(-LN(2)/2)*GN148+(1-EXP(-LN(2)/2))/(LN(2)/2)*GH149*GK149*VLOOKUP('Données projet'!$B$17,Paramètres!$A$1:$I$89,3,0)*0.475*44/12</f>
        <v>0</v>
      </c>
      <c r="GO149" s="21">
        <f t="shared" si="135"/>
        <v>0</v>
      </c>
      <c r="GP149" s="75">
        <f>('Scénario référence'!$F$8+'Scénario référence'!$F$9+'Scénario référence'!$B$17+'Scénario référence'!$B$9+'Scénario référence'!$B$10)*70+IF((45+25*(1-EXP(-0.0175*A149)))&lt;70,'Scénario référence'!$B$16*(45+25*(1-EXP(-0.0175*A149))),70*'Scénario référence'!$B$16)+IF((32+38*(1-EXP(-0.0175*A149)))&lt;70,'Scénario référence'!$B$18*(32+38*(1-EXP(-0.0175*A149))),70*'Scénario référence'!$B$18)</f>
        <v>70</v>
      </c>
      <c r="GQ149" s="12">
        <f>IF(A149&gt;30,10,('Scénario référence'!$B$16+'Scénario référence'!$B$17+'Scénario référence'!$B$18+'Scénario référence'!$B$9+'Scénario référence'!$B$10)*A149*10/30+('Scénario référence'!$F$8+'Scénario référence'!$F$9)*10)</f>
        <v>10</v>
      </c>
      <c r="GR149" s="12" t="e">
        <f>VLOOKUP(A149,'Données projet'!$A$269:$I$289,2,0)</f>
        <v>#N/A</v>
      </c>
      <c r="GS149" s="12" t="e">
        <f>VLOOKUP(A149,'Données projet'!$A$269:$I$289,9,0)</f>
        <v>#N/A</v>
      </c>
      <c r="GT149" s="12">
        <f t="array" ref="GT149">INDEX(GS:GS,MIN(IF(ISNUMBER(GS149:GS345),ROW(GS149:GS345),"")))</f>
        <v>0</v>
      </c>
      <c r="GU149" s="12">
        <f>IF('Données projet'!$A$270&gt;35,GU148+GT149-HC148,IF(A149&lt;'Données projet'!$A$270,$GR$205^A149,IF(A149='Données projet'!$A$270,'Données projet'!$B$270,GU148+GT149-HC148)))</f>
        <v>4.5474735088646412E-13</v>
      </c>
      <c r="GV149" s="17">
        <f>GU149*VLOOKUP('Données projet'!$B$18,Paramètres!$A$1:$I$89,3,0)*VLOOKUP('Données projet'!$B$18,Paramètres!$A$1:$I$89,5,0)</f>
        <v>4.8949004849418999E-13</v>
      </c>
      <c r="GW149" s="13">
        <f t="shared" si="159"/>
        <v>6.1123715499968684E-12</v>
      </c>
      <c r="GX149" s="20">
        <f t="shared" si="136"/>
        <v>1.1498242284038591E-11</v>
      </c>
      <c r="GY149" s="59">
        <f t="shared" si="137"/>
        <v>293.3333333333448</v>
      </c>
      <c r="GZ149" s="59">
        <f ca="1">AVERAGE(OFFSET($GY$3,0,0,'Données projet'!$E$18+1,1))-AVERAGE(OFFSET($H$3,0,0,'Données projet'!$E$18+1,1))</f>
        <v>286.77702855541287</v>
      </c>
      <c r="HA149" s="59">
        <f t="shared" si="160"/>
        <v>227.12211541860779</v>
      </c>
      <c r="HB149" s="15">
        <f>IF(ISNA(VLOOKUP(A149,'Données projet'!$A$269:$I$289,3,0)),0,VLOOKUP(A149,'Données projet'!$A$269:$I$289,3,0))</f>
        <v>0</v>
      </c>
      <c r="HC149" s="15">
        <f>IF(ISNA(VLOOKUP(A149,'Données projet'!$A$269:$I$289,4,0)),0,VLOOKUP(A149,'Données projet'!$A$269:$I$289,4,0))</f>
        <v>0</v>
      </c>
      <c r="HD149" s="16">
        <f>IF(ISNA(VLOOKUP(A149,'Données projet'!$A$269:$I$289,5,0)),0%,VLOOKUP(A149,'Données projet'!$A$269:$I$289,5,0)*VLOOKUP('Données projet'!$B$18,Paramètres!$A$1:$I$89,7,0))</f>
        <v>0</v>
      </c>
      <c r="HE149" s="16">
        <f>IF(ISNA(VLOOKUP(A149,'Données projet'!$A$269:$I$289,6,0)),0%,VLOOKUP(A149,'Données projet'!$A$269:$I$289,6,0)*VLOOKUP('Données projet'!$B$18,Paramètres!$A$1:$I$89,7,0))</f>
        <v>0</v>
      </c>
      <c r="HF149" s="16">
        <f>IF(ISNA(VLOOKUP(A149,'Données projet'!$A$269:$I$289,7,0)),0%,VLOOKUP(A149,'Données projet'!$A$269:$I$289,7,0))</f>
        <v>0</v>
      </c>
      <c r="HG149" s="21">
        <f>EXP(-LN(2)/35)*HG148+(1-EXP(-LN(2)/35))/(LN(2)/35)*HC149*HD149*VLOOKUP('Données projet'!$B$18,Paramètres!$A$1:$I$89,3,0)*0.475*44/12</f>
        <v>0</v>
      </c>
      <c r="HH149" s="21">
        <f>EXP(-LN(2)/25)*HH148+(1-EXP(-LN(2)/25))/(LN(2)/25)*Calculateur!HC149*Calculateur!HE149*VLOOKUP('Données projet'!$B$18,Paramètres!$A$1:$I$89,3,0)*0.475*44/12</f>
        <v>0</v>
      </c>
      <c r="HI149" s="21">
        <f>EXP(-LN(2)/2)*HI148+(1-EXP(-LN(2)/2))/(LN(2)/2)*HC149*HF149*VLOOKUP('Données projet'!$B$18,Paramètres!$A$1:$I$89,3,0)*0.475*44/12</f>
        <v>0</v>
      </c>
      <c r="HJ149" s="22">
        <f t="shared" si="138"/>
        <v>0</v>
      </c>
    </row>
    <row r="150" spans="1:218" x14ac:dyDescent="0.25">
      <c r="A150" s="10">
        <f t="shared" si="139"/>
        <v>147</v>
      </c>
      <c r="B150" s="73">
        <f>'Scénario référence'!$B$16*5+'Scénario référence'!$B$17*0+'Scénario référence'!$B$18*5</f>
        <v>0</v>
      </c>
      <c r="C150" s="19">
        <f>Calculateur!C149+'Scénario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130.7124000000002</v>
      </c>
      <c r="D150" s="11">
        <f t="shared" si="140"/>
        <v>34.160921660966174</v>
      </c>
      <c r="E15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50" s="11">
        <f>IF(OR('Scénario référence'!$F$8&gt;0,'Scénario référence'!$F$9&gt;0),('Scénario référence'!$F$8+'Scénario référence'!$F$9)*10,0)</f>
        <v>10</v>
      </c>
      <c r="G150" s="11">
        <f>'Scénario référence'!$B$8*B150*44/12+'Scénario référence'!$B$9*(C150+D150)/0.475*44/12+'Scénario référence'!$B$10*(C150+D150)/0.475*44/12+'Scénario référence'!$F$8*(C150+D150)/0.475*44/12+'Scénario référence'!$F$9*(C150+D150)/0.475*44/12</f>
        <v>1272.7063426460566</v>
      </c>
      <c r="H150" s="67">
        <f t="shared" si="110"/>
        <v>580.48770189284971</v>
      </c>
      <c r="I150" s="70">
        <f>('Scénario référence'!$F$8+'Scénario référence'!$F$9+'Scénario référence'!$B$17+'Scénario référence'!$B$9+'Scénario référence'!$B$10)*70+IF((45+25*(1-EXP(-0.0175*A150)))&lt;70,'Scénario référence'!$B$16*(45+25*(1-EXP(-0.0175*A150))),70*'Scénario référence'!$B$16)+IF((32+38*(1-EXP(-0.0175*A150)))&lt;70,'Scénario référence'!$B$18*(32+38*(1-EXP(-0.0175*A150))),70*'Scénario référence'!$B$18)</f>
        <v>70</v>
      </c>
      <c r="J150" s="13">
        <f>IF(A150&gt;30,10,('Scénario référence'!$B$16+'Scénario référence'!$B$17+'Scénario référence'!$B$18+'Scénario référence'!$B$9+'Scénario référence'!$B$10)*A150*10/30+('Scénario référence'!$F$8+'Scénario référence'!$F$9)*10)</f>
        <v>10</v>
      </c>
      <c r="K150" s="12" t="e">
        <f>VLOOKUP(A150,'Données projet'!$A$35:$I$55,2,0)</f>
        <v>#N/A</v>
      </c>
      <c r="L150" s="12" t="e">
        <f>VLOOKUP(A150,'Données projet'!$A$35:$I$55,9,0)</f>
        <v>#N/A</v>
      </c>
      <c r="M150" s="12">
        <f t="array" ref="M150">INDEX(L:L,MIN(IF(ISNUMBER(L150:L346),ROW(L150:L346),"")))</f>
        <v>0</v>
      </c>
      <c r="N150" s="13">
        <f>IF('Données projet'!$A$36&gt;35,N149+M150-V149,IF(A150&lt;'Données projet'!$A$36,$K$205^A150,IF(A150='Données projet'!$A$36,'Données projet'!$B$36,N149+M150-V149)))</f>
        <v>-2.2737367544323206E-13</v>
      </c>
      <c r="O150" s="13">
        <f>N150*VLOOKUP('Données projet'!$B$9,Paramètres!$A$1:$I$89,3,0)*VLOOKUP('Données projet'!$B$9,Paramètres!$A$1:$I$89,5,0)</f>
        <v>-1.2710188457276673E-13</v>
      </c>
      <c r="P150" s="13" t="e">
        <f t="shared" si="141"/>
        <v>#NUM!</v>
      </c>
      <c r="Q150" s="20" t="e">
        <f t="shared" si="108"/>
        <v>#NUM!</v>
      </c>
      <c r="R150" s="59" t="e">
        <f t="shared" si="109"/>
        <v>#NUM!</v>
      </c>
      <c r="S150" s="59">
        <f ca="1">AVERAGE(OFFSET($R$3,0,0,'Données projet'!$E$9+1,1))-AVERAGE(OFFSET($H$3,0,0,'Données projet'!$E$9+1,1))</f>
        <v>255.5374979188561</v>
      </c>
      <c r="T150" s="59">
        <f t="shared" si="142"/>
        <v>343.10418468620901</v>
      </c>
      <c r="U150" s="15">
        <f>IF(ISNA(VLOOKUP(A150,'Données projet'!$A$35:$I$55,3,0)),0,VLOOKUP(A150,'Données projet'!$A$35:$I$55,3,0))</f>
        <v>0</v>
      </c>
      <c r="V150" s="15">
        <f>IF(ISNA(VLOOKUP(A150,'Données projet'!$A$35:$I$55,4,0)),0,VLOOKUP(A150,'Données projet'!$A$35:$I$55,4,0))</f>
        <v>0</v>
      </c>
      <c r="W150" s="16">
        <f>IF(ISNA(VLOOKUP(A150,'Données projet'!$A$35:$I$55,5,0)),0%,VLOOKUP(A150,'Données projet'!$A$35:$I$55,5,0)*VLOOKUP('Données projet'!$B$9,Paramètres!$A$1:$I$89,7,0))</f>
        <v>0</v>
      </c>
      <c r="X150" s="16">
        <f>IF(ISNA(VLOOKUP(A150,'Données projet'!$A$35:$I$55,6,0)),0%,VLOOKUP(A150,'Données projet'!$A$35:$I$55,6,0)*VLOOKUP('Données projet'!$B$9,Paramètres!$A$1:$I$89,7,0))</f>
        <v>0</v>
      </c>
      <c r="Y150" s="16">
        <f>IF(ISNA(VLOOKUP(A150,'Données projet'!$A$35:$I$55,7,0)),0%,VLOOKUP(A150,'Données projet'!$A$35:$I$55,7,0))</f>
        <v>0</v>
      </c>
      <c r="Z150" s="21">
        <f>EXP(-LN(2)/35)*Z149+(1-EXP(-LN(2)/35))/(LN(2)/35)*V150*W150*VLOOKUP('Données projet'!$B$9,Paramètres!$A$1:$I$89,3,0)*0.475*44/12</f>
        <v>0.30455374838958726</v>
      </c>
      <c r="AA150" s="21">
        <f>EXP(-LN(2)/25)*AA149+(1-EXP(-LN(2)/25))/(LN(2)/25)*Calculateur!V150*Calculateur!X150*VLOOKUP('Données projet'!$B$9,Paramètres!$A$1:$I$89,3,0)*0.475*44/12</f>
        <v>0.62261497002185828</v>
      </c>
      <c r="AB150" s="21">
        <f>EXP(-LN(2)/2)*AB149+(1-EXP(-LN(2)/2))/(LN(2)/2)*V150*Y150*VLOOKUP('Données projet'!$B$9,Paramètres!$A$1:$I$89,3,0)*0.475*44/12</f>
        <v>4.1525316642597486E-18</v>
      </c>
      <c r="AC150" s="22">
        <f t="shared" si="111"/>
        <v>0.92716871841144555</v>
      </c>
      <c r="AD150" s="13">
        <f>('Scénario référence'!$F$8+'Scénario référence'!$F$9+'Scénario référence'!$B$17+'Scénario référence'!$B$9+'Scénario référence'!$B$10)*70+IF((45+25*(1-EXP(-0.0175*A150)))&lt;70,'Scénario référence'!$B$16*(45+25*(1-EXP(-0.0175*A150))),70*'Scénario référence'!$B$16)+IF((32+38*(1-EXP(-0.0175*A150)))&lt;70,'Scénario référence'!$B$18*(32+38*(1-EXP(-0.0175*A150))),70*'Scénario référence'!$B$18)</f>
        <v>70</v>
      </c>
      <c r="AE150" s="13">
        <f>IF(A150&gt;30,10,('Scénario référence'!$B$16+'Scénario référence'!$B$17+'Scénario référence'!$B$18+'Scénario référence'!$B$9+'Scénario référence'!$B$10)*A150*10/30+('Scénario référence'!$F$8+'Scénario référence'!$F$9)*10)</f>
        <v>10</v>
      </c>
      <c r="AF150" s="12" t="e">
        <f>VLOOKUP(A150,'Données projet'!$A$61:$I$81,2,0)</f>
        <v>#N/A</v>
      </c>
      <c r="AG150" s="12" t="e">
        <f>VLOOKUP(A150,'Données projet'!$A$61:$I$81,9,0)</f>
        <v>#N/A</v>
      </c>
      <c r="AH150" s="12">
        <f t="array" ref="AH150">INDEX(AG:AG,MIN(IF(ISNUMBER(AG150:AG346),ROW(AG150:AG346),"")))</f>
        <v>0</v>
      </c>
      <c r="AI150" s="13">
        <f>IF('Données projet'!$A$62&gt;35,AI149+AH150-AQ149,IF(A150&lt;'Données projet'!$A$62,$AF$205^A150,IF(A150='Données projet'!$A$62,'Données projet'!$B$62,AI149+AH150-AQ149)))</f>
        <v>0</v>
      </c>
      <c r="AJ150" s="13">
        <f>AI150*VLOOKUP('Données projet'!$B$10,Paramètres!$A$1:$I$89,3,0)*VLOOKUP('Données projet'!$B$10,Paramètres!$A$1:$I$89,5,0)</f>
        <v>0</v>
      </c>
      <c r="AK150" s="13" t="e">
        <f t="shared" si="143"/>
        <v>#NUM!</v>
      </c>
      <c r="AL150" s="20" t="e">
        <f t="shared" si="112"/>
        <v>#NUM!</v>
      </c>
      <c r="AM150" s="59" t="e">
        <f t="shared" si="113"/>
        <v>#NUM!</v>
      </c>
      <c r="AN150" s="59">
        <f ca="1">AVERAGE(OFFSET($AM$3,0,0,'Données projet'!$E$10+1,1))-AVERAGE(OFFSET($H$3,0,0,'Données projet'!$E$10+1,1))</f>
        <v>261.78489480911571</v>
      </c>
      <c r="AO150" s="59">
        <f t="shared" si="144"/>
        <v>297.50513563712764</v>
      </c>
      <c r="AP150" s="15">
        <f>IF(ISNA(VLOOKUP(A150,'Données projet'!$A$61:$I$81,3,0)),0,VLOOKUP(A150,'Données projet'!$A$61:$I$81,3,0))</f>
        <v>0</v>
      </c>
      <c r="AQ150" s="15">
        <f>IF(ISNA(VLOOKUP(A150,'Données projet'!$A$61:$I$81,4,0)),0,VLOOKUP(A150,'Données projet'!$A$61:$I$81,4,0))</f>
        <v>0</v>
      </c>
      <c r="AR150" s="16">
        <f>IF(ISNA(VLOOKUP(A150,'Données projet'!$A$61:$I$81,5,0)),0%,VLOOKUP(A150,'Données projet'!$A$61:$I$81,5,0)*VLOOKUP('Données projet'!$B$10,Paramètres!$A$1:$I$89,7,0))</f>
        <v>0</v>
      </c>
      <c r="AS150" s="16">
        <f>IF(ISNA(VLOOKUP(A150,'Données projet'!$A$61:$I$81,6,0)),0%,VLOOKUP(A150,'Données projet'!$A$61:$I$81,6,0)*VLOOKUP('Données projet'!$B$10,Paramètres!$A$1:$I$89,7,0))</f>
        <v>0</v>
      </c>
      <c r="AT150" s="16">
        <f>IF(ISNA(VLOOKUP(A150,'Données projet'!$A$61:$I$81,7,0)),0%,VLOOKUP(A150,'Données projet'!$A$61:$I$81,7,0))</f>
        <v>0</v>
      </c>
      <c r="AU150" s="21">
        <f>EXP(-LN(2)/35)*AU149+(1-EXP(-LN(2)/35))/(LN(2)/35)*AQ150*AR150*VLOOKUP('Données projet'!$B$10,Paramètres!$A$1:$I$89,3,0)*0.475*44/12</f>
        <v>0.82238126326644501</v>
      </c>
      <c r="AV150" s="21">
        <f>EXP(-LN(2)/25)*AV149+(1-EXP(-LN(2)/25))/(LN(2)/25)*Calculateur!AQ150*Calculateur!AS150*VLOOKUP('Données projet'!$B$10,Paramètres!$A$1:$I$89,3,0)*0.475*44/12</f>
        <v>1.0872127267520044</v>
      </c>
      <c r="AW150" s="21">
        <f>EXP(-LN(2)/2)*AW149+(1-EXP(-LN(2)/2))/(LN(2)/2)*AQ150*AT150*VLOOKUP('Données projet'!$B$10,Paramètres!$A$1:$I$89,3,0)*0.475*44/12</f>
        <v>5.986269716713549E-17</v>
      </c>
      <c r="AX150" s="21">
        <f t="shared" si="114"/>
        <v>1.9095939900184495</v>
      </c>
      <c r="AY150" s="74">
        <f>('Scénario référence'!$F$8+'Scénario référence'!$F$9+'Scénario référence'!$B$17+'Scénario référence'!$B$9+'Scénario référence'!$B$10)*70+IF((45+25*(1-EXP(-0.0175*A150)))&lt;70,'Scénario référence'!$B$16*(45+25*(1-EXP(-0.0175*A150))),70*'Scénario référence'!$B$16)+IF((32+38*(1-EXP(-0.0175*A150)))&lt;70,'Scénario référence'!$B$18*(32+38*(1-EXP(-0.0175*A150))),70*'Scénario référence'!$B$18)</f>
        <v>70</v>
      </c>
      <c r="AZ150" s="12">
        <f>IF(A150&gt;30,10,('Scénario référence'!$B$16+'Scénario référence'!$B$17+'Scénario référence'!$B$18+'Scénario référence'!$B$9+'Scénario référence'!$B$10)*A150*10/30+('Scénario référence'!$F$8+'Scénario référence'!$F$9)*10)</f>
        <v>10</v>
      </c>
      <c r="BA150" s="12" t="e">
        <f>VLOOKUP(A150,'Données projet'!$A$87:$I$107,2,0)</f>
        <v>#N/A</v>
      </c>
      <c r="BB150" s="12" t="e">
        <f>VLOOKUP(A150,'Données projet'!$A$87:$I$107,9,0)</f>
        <v>#N/A</v>
      </c>
      <c r="BC150" s="12">
        <f t="array" ref="BC150">INDEX(BB:BB,MIN(IF(ISNUMBER(BB150:BB346),ROW(BB150:BB346),"")))</f>
        <v>0</v>
      </c>
      <c r="BD150" s="12">
        <f>IF('Données projet'!$A$88&gt;35,BD149+BC150-BL149,IF(A150&lt;'Données projet'!$A$88,$BA$205^A150,IF(A150='Données projet'!$A$88,'Données projet'!$B$88,BD149+BC150-BL149)))</f>
        <v>553.99999999999955</v>
      </c>
      <c r="BE150" s="13">
        <f>BD150*VLOOKUP('Données projet'!$B$11,Paramètres!$A$1:$I$89,3,0)*VLOOKUP('Données projet'!$B$11,Paramètres!$A$1:$I$89,5,0)</f>
        <v>331.29199999999975</v>
      </c>
      <c r="BF150" s="13">
        <f t="shared" si="145"/>
        <v>77.698110787752</v>
      </c>
      <c r="BG150" s="20">
        <f t="shared" si="115"/>
        <v>712.32444295533423</v>
      </c>
      <c r="BH150" s="59">
        <f t="shared" si="116"/>
        <v>1005.6577762886675</v>
      </c>
      <c r="BI150" s="59">
        <f ca="1">AVERAGE(OFFSET($BH$3,0,0,'Données projet'!$E$11+1,1))-AVERAGE(OFFSET($H$3,0,0,'Données projet'!$E$11+1,1))</f>
        <v>316.58509520829671</v>
      </c>
      <c r="BJ150" s="59">
        <f t="shared" si="146"/>
        <v>240.71332110643596</v>
      </c>
      <c r="BK150" s="15">
        <f>IF(ISNA(VLOOKUP(A150,'Données projet'!$A$87:$I$107,3,0)),0,VLOOKUP(A150,'Données projet'!$A$87:$I$107,3,0))</f>
        <v>0</v>
      </c>
      <c r="BL150" s="15">
        <f>IF(ISNA(VLOOKUP(A150,'Données projet'!$A$87:$I$107,4,0)),0,VLOOKUP(A150,'Données projet'!$A$87:$I$107,4,0))</f>
        <v>0</v>
      </c>
      <c r="BM150" s="16">
        <f>IF(ISNA(VLOOKUP(A150,'Données projet'!$A$87:$I$107,5,0)),0%,VLOOKUP(A150,'Données projet'!$A$87:$I$107,5,0)*VLOOKUP('Données projet'!$B$11,Paramètres!$A$1:$I$89,7,0))</f>
        <v>0</v>
      </c>
      <c r="BN150" s="16">
        <f>IF(ISNA(VLOOKUP(A150,'Données projet'!$A$87:$I$107,6,0)),0%,VLOOKUP(A150,'Données projet'!$A$87:$I$107,6,0)*VLOOKUP('Données projet'!$B$11,Paramètres!$A$1:$I$89,7,0))</f>
        <v>0</v>
      </c>
      <c r="BO150" s="16">
        <f>IF(ISNA(VLOOKUP(A150,'Données projet'!$A$87:$I$107,7,0)),0%,VLOOKUP(A150,'Données projet'!$A$87:$I$107,7,0))</f>
        <v>0</v>
      </c>
      <c r="BP150" s="21">
        <f>EXP(-LN(2)/35)*BP149+(1-EXP(-LN(2)/35))/(LN(2)/35)*BL150*BM150*VLOOKUP('Données projet'!$B$11,Paramètres!$A$1:$I$89,3,0)*0.475*44/12</f>
        <v>0.24980442762539173</v>
      </c>
      <c r="BQ150" s="21">
        <f>EXP(-LN(2)/25)*BQ149+(1-EXP(-LN(2)/25))/(LN(2)/25)*Calculateur!BL150*Calculateur!BN150*VLOOKUP('Données projet'!$B$11,Paramètres!$A$1:$I$89,3,0)*0.475*44/12</f>
        <v>0.59560685449095696</v>
      </c>
      <c r="BR150" s="21">
        <f>EXP(-LN(2)/2)*BR149+(1-EXP(-LN(2)/2))/(LN(2)/2)*BL150*BO150*VLOOKUP('Données projet'!$B$11,Paramètres!$A$1:$I$89,3,0)*0.475*44/12</f>
        <v>5.3823120473288154E-17</v>
      </c>
      <c r="BS150" s="22">
        <f t="shared" si="117"/>
        <v>0.84541128211634864</v>
      </c>
      <c r="BT150" s="75">
        <f>('Scénario référence'!$F$8+'Scénario référence'!$F$9+'Scénario référence'!$B$17+'Scénario référence'!$B$9+'Scénario référence'!$B$10)*70+IF((45+25*(1-EXP(-0.0175*A150)))&lt;70,'Scénario référence'!$B$16*(45+25*(1-EXP(-0.0175*A150))),70*'Scénario référence'!$B$16)+IF((32+38*(1-EXP(-0.0175*A150)))&lt;70,'Scénario référence'!$B$18*(32+38*(1-EXP(-0.0175*A150))),70*'Scénario référence'!$B$18)</f>
        <v>70</v>
      </c>
      <c r="BU150" s="12">
        <f>IF(A150&gt;30,10,('Scénario référence'!$B$16+'Scénario référence'!$B$17+'Scénario référence'!$B$18+'Scénario référence'!$B$9+'Scénario référence'!$B$10)*A150*10/30+('Scénario référence'!$F$8+'Scénario référence'!$F$9)*10)</f>
        <v>10</v>
      </c>
      <c r="BV150" s="12" t="e">
        <f>VLOOKUP(A150,'Données projet'!$A$113:$I$133,2,0)</f>
        <v>#N/A</v>
      </c>
      <c r="BW150" s="12" t="e">
        <f>VLOOKUP(A150,'Données projet'!$A$113:$I$133,9,0)</f>
        <v>#N/A</v>
      </c>
      <c r="BX150" s="12">
        <f t="array" ref="BX150">INDEX(BW:BW,MIN(IF(ISNUMBER(BW150:BW346),ROW(BW150:BW346),"")))</f>
        <v>0</v>
      </c>
      <c r="BY150" s="12">
        <f>IF('Données projet'!$A$114&gt;35,BY149+BX150-CG149,IF(A150&lt;'Données projet'!$A$114,$BV$205^A150,IF(A150='Données projet'!$A$114,'Données projet'!$B$114,BY149+BX150-CG149)))</f>
        <v>333.99999999999977</v>
      </c>
      <c r="BZ150" s="13">
        <f>BY150*VLOOKUP('Données projet'!$B$12,Paramètres!$A$1:$I$89,3,0)*VLOOKUP('Données projet'!$B$12,Paramètres!$A$1:$I$89,5,0)</f>
        <v>191.04799999999986</v>
      </c>
      <c r="CA150" s="13">
        <f t="shared" si="147"/>
        <v>47.771576544305155</v>
      </c>
      <c r="CB150" s="20">
        <f t="shared" si="118"/>
        <v>415.94409581466454</v>
      </c>
      <c r="CC150" s="59">
        <f t="shared" si="119"/>
        <v>709.27742914799785</v>
      </c>
      <c r="CD150" s="59">
        <f ca="1">AVERAGE(OFFSET($CC$3,0,0,'Données projet'!$E$12+1,1))-AVERAGE(OFFSET($H$3,0,0,'Données projet'!$E$12+1,1))</f>
        <v>188.64374818906128</v>
      </c>
      <c r="CE150" s="59">
        <f t="shared" si="148"/>
        <v>211.95157880548652</v>
      </c>
      <c r="CF150" s="15">
        <f>IF(ISNA(VLOOKUP(A150,'Données projet'!$A$113:$I$133,3,0)),0,VLOOKUP(A150,'Données projet'!$A$113:$I$133,3,0))</f>
        <v>0</v>
      </c>
      <c r="CG150" s="15">
        <f>IF(ISNA(VLOOKUP(A150,'Données projet'!$A$113:$I$133,4,0)),0,VLOOKUP(A150,'Données projet'!$A$113:$I$133,4,0))</f>
        <v>0</v>
      </c>
      <c r="CH150" s="16">
        <f>IF(ISNA(VLOOKUP(A150,'Données projet'!$A$113:$I$133,5,0)),0%,VLOOKUP(A150,'Données projet'!$A$113:$I$133,5,0)*VLOOKUP('Données projet'!$B$12,Paramètres!$A$1:$I$89,7,0))</f>
        <v>0</v>
      </c>
      <c r="CI150" s="16">
        <f>IF(ISNA(VLOOKUP(A150,'Données projet'!$A$113:$I$133,6,0)),0%,VLOOKUP(A150,'Données projet'!$A$113:$I$133,6,0)*VLOOKUP('Données projet'!$B$12,Paramètres!$A$1:$I$89,7,0))</f>
        <v>0</v>
      </c>
      <c r="CJ150" s="16">
        <f>IF(ISNA(VLOOKUP(A150,'Données projet'!$A$113:$I$133,7,0)),0%,VLOOKUP(A150,'Données projet'!$A$113:$I$133,7,0))</f>
        <v>0</v>
      </c>
      <c r="CK150" s="21">
        <f>EXP(-LN(2)/35)*CK149+(1-EXP(-LN(2)/35))/(LN(2)/35)*CG150*CH150*VLOOKUP('Données projet'!$B$12,Paramètres!$A$1:$I$89,3,0)*0.475*44/12</f>
        <v>0.24230876506957755</v>
      </c>
      <c r="CL150" s="21">
        <f>EXP(-LN(2)/25)*CL149+(1-EXP(-LN(2)/25))/(LN(2)/25)*Calculateur!CG150*Calculateur!CI150*VLOOKUP('Données projet'!$B$12,Paramètres!$A$1:$I$89,3,0)*0.475*44/12</f>
        <v>0.5605986570359659</v>
      </c>
      <c r="CM150" s="21">
        <f>EXP(-LN(2)/2)*CM149+(1-EXP(-LN(2)/2))/(LN(2)/2)*CG150*CJ150*VLOOKUP('Données projet'!$B$12,Paramètres!$A$1:$I$89,3,0)*0.475*44/12</f>
        <v>5.2123480994891497E-17</v>
      </c>
      <c r="CN150" s="22">
        <f t="shared" si="120"/>
        <v>0.80290742210554344</v>
      </c>
      <c r="CO150" s="75">
        <f>('Scénario référence'!$F$8+'Scénario référence'!$F$9+'Scénario référence'!$B$17+'Scénario référence'!$B$9+'Scénario référence'!$B$10)*70+IF((45+25*(1-EXP(-0.0175*A150)))&lt;70,'Scénario référence'!$B$16*(45+25*(1-EXP(-0.0175*A150))),70*'Scénario référence'!$B$16)+IF((32+38*(1-EXP(-0.0175*A150)))&lt;70,'Scénario référence'!$B$18*(32+38*(1-EXP(-0.0175*A150))),70*'Scénario référence'!$B$18)</f>
        <v>70</v>
      </c>
      <c r="CP150" s="12">
        <f>IF(A150&gt;30,10,('Scénario référence'!$B$16+'Scénario référence'!$B$17+'Scénario référence'!$B$18+'Scénario référence'!$B$9+'Scénario référence'!$B$10)*A150*10/30+('Scénario référence'!$F$8+'Scénario référence'!$F$9)*10)</f>
        <v>10</v>
      </c>
      <c r="CQ150" s="12" t="e">
        <f>VLOOKUP(A150,'Données projet'!$A$139:$I$159,2,0)</f>
        <v>#N/A</v>
      </c>
      <c r="CR150" s="12" t="e">
        <f>VLOOKUP(A150,'Données projet'!$A$139:$I$159,9,0)</f>
        <v>#N/A</v>
      </c>
      <c r="CS150" s="12">
        <f t="array" ref="CS150">INDEX(CR:CR,MIN(IF(ISNUMBER(CR150:CR346),ROW(CR150:CR346),"")))</f>
        <v>0</v>
      </c>
      <c r="CT150" s="12">
        <f>IF('Données projet'!$A$140&gt;35,CT149+CS150-DB149,IF(A150&lt;'Données projet'!$A$140,$CQ$205^A150,IF(A150='Données projet'!$A$140,'Données projet'!$B$140,CT149+CS150-DB149)))</f>
        <v>0</v>
      </c>
      <c r="CU150" s="17" t="e">
        <f>CT150*VLOOKUP('Données projet'!$B$13,Paramètres!$A$1:$I$89,3,0)*VLOOKUP('Données projet'!$B$13,Paramètres!$A$1:$I$89,5,0)</f>
        <v>#N/A</v>
      </c>
      <c r="CV150" s="13" t="e">
        <f t="shared" si="149"/>
        <v>#N/A</v>
      </c>
      <c r="CW150" s="20" t="e">
        <f t="shared" si="121"/>
        <v>#N/A</v>
      </c>
      <c r="CX150" s="59" t="e">
        <f t="shared" si="122"/>
        <v>#N/A</v>
      </c>
      <c r="CY150" s="59" t="e">
        <f ca="1">AVERAGE(OFFSET($CX$3,0,0,'Données projet'!$E$13+1,1))-AVERAGE(OFFSET($H$3,0,0,'Données projet'!$E$13+1,1))</f>
        <v>#N/A</v>
      </c>
      <c r="CZ150" s="59" t="e">
        <f t="shared" si="150"/>
        <v>#N/A</v>
      </c>
      <c r="DA150" s="15">
        <f>IF(ISNA(VLOOKUP(A150,'Données projet'!$A$139:$I$159,3,0)),0,VLOOKUP(A150,'Données projet'!$A$139:$I$159,3,0))</f>
        <v>0</v>
      </c>
      <c r="DB150" s="15">
        <f>IF(ISNA(VLOOKUP(A150,'Données projet'!$A$139:$I$159,4,0)),0,VLOOKUP(A150,'Données projet'!$A$139:$I$159,4,0))</f>
        <v>0</v>
      </c>
      <c r="DC150" s="16">
        <f>IF(ISNA(VLOOKUP(A150,'Données projet'!$A$139:$I$159,5,0)),0%,VLOOKUP(A150,'Données projet'!$A$139:$I$159,5,0)*VLOOKUP('Données projet'!$B$13,Paramètres!$A$1:$I$89,7,0))</f>
        <v>0</v>
      </c>
      <c r="DD150" s="16">
        <f>IF(ISNA(VLOOKUP(A150,'Données projet'!$A$139:$I$159,6,0)),0%,VLOOKUP(A150,'Données projet'!$A$139:$I$159,6,0)*VLOOKUP('Données projet'!$B$13,Paramètres!$A$1:$I$89,7,0))</f>
        <v>0</v>
      </c>
      <c r="DE150" s="16">
        <f>IF(ISNA(VLOOKUP(A150,'Données projet'!$A$139:$I$159,7,0)),0%,VLOOKUP(A150,'Données projet'!$A$139:$I$159,7,0))</f>
        <v>0</v>
      </c>
      <c r="DF150" s="21" t="e">
        <f>EXP(-LN(2)/35)*DF149+(1-EXP(-LN(2)/35))/(LN(2)/35)*DB150*DC150*VLOOKUP('Données projet'!$B$13,Paramètres!$A$1:$I$89,3,0)*0.475*44/12</f>
        <v>#N/A</v>
      </c>
      <c r="DG150" s="21" t="e">
        <f>EXP(-LN(2)/25)*DG149+(1-EXP(-LN(2)/25))/(LN(2)/25)*Calculateur!DB150*Calculateur!DD150*VLOOKUP('Données projet'!$B$13,Paramètres!$A$1:$I$89,3,0)*0.475*44/12</f>
        <v>#N/A</v>
      </c>
      <c r="DH150" s="21" t="e">
        <f>EXP(-LN(2)/2)*DH149+(1-EXP(-LN(2)/2))/(LN(2)/2)*DB150*DE150*VLOOKUP('Données projet'!$B$13,Paramètres!$A$1:$I$89,3,0)*0.475*44/12</f>
        <v>#N/A</v>
      </c>
      <c r="DI150" s="22" t="e">
        <f t="shared" si="123"/>
        <v>#N/A</v>
      </c>
      <c r="DJ150" s="75">
        <f>('Scénario référence'!$F$8+'Scénario référence'!$F$9+'Scénario référence'!$B$17+'Scénario référence'!$B$9+'Scénario référence'!$B$10)*70+IF((45+25*(1-EXP(-0.0175*A150)))&lt;70,'Scénario référence'!$B$16*(45+25*(1-EXP(-0.0175*A150))),70*'Scénario référence'!$B$16)+IF((32+38*(1-EXP(-0.0175*A150)))&lt;70,'Scénario référence'!$B$18*(32+38*(1-EXP(-0.0175*A150))),70*'Scénario référence'!$B$18)</f>
        <v>70</v>
      </c>
      <c r="DK150" s="12">
        <f>IF(A150&gt;30,10,('Scénario référence'!$B$16+'Scénario référence'!$B$17+'Scénario référence'!$B$18+'Scénario référence'!$B$9+'Scénario référence'!$B$10)*A150*10/30+('Scénario référence'!$F$8+'Scénario référence'!$F$9)*10)</f>
        <v>10</v>
      </c>
      <c r="DL150" s="12" t="e">
        <f>VLOOKUP(A150,'Données projet'!$A$165:$I$185,2,0)</f>
        <v>#N/A</v>
      </c>
      <c r="DM150" s="12" t="e">
        <f>VLOOKUP(A150,'Données projet'!$A$165:$I$185,9,0)</f>
        <v>#N/A</v>
      </c>
      <c r="DN150" s="12">
        <f t="array" ref="DN150">INDEX(DM:DM,MIN(IF(ISNUMBER(DM150:DM346),ROW(DM150:DM346),"")))</f>
        <v>0</v>
      </c>
      <c r="DO150" s="12">
        <f>IF('Données projet'!$A$166&gt;35,DO149+DN150-DW149,IF(A150&lt;'Données projet'!$A$166,$DL$205^A150,IF(A150='Données projet'!$A$166,'Données projet'!$B$166,DO149+DN150-DW149)))</f>
        <v>268.00000000000017</v>
      </c>
      <c r="DP150" s="17">
        <f>DO150*VLOOKUP('Données projet'!$B$14,Paramètres!$A$1:$I$89,3,0)*VLOOKUP('Données projet'!$B$14,Paramètres!$A$1:$I$89,5,0)</f>
        <v>175.59360000000012</v>
      </c>
      <c r="DQ150" s="13">
        <f t="shared" si="151"/>
        <v>44.340433728638573</v>
      </c>
      <c r="DR150" s="20">
        <f t="shared" si="124"/>
        <v>383.05177541071242</v>
      </c>
      <c r="DS150" s="59">
        <f t="shared" si="125"/>
        <v>676.38510874404574</v>
      </c>
      <c r="DT150" s="59">
        <f ca="1">AVERAGE(OFFSET($DS$3,0,0,'Données projet'!$E$14+1,1))-AVERAGE(OFFSET($H$3,0,0,'Données projet'!$E$14+1,1))</f>
        <v>188.68915783955595</v>
      </c>
      <c r="DU150" s="59">
        <f t="shared" si="152"/>
        <v>240.82467772396944</v>
      </c>
      <c r="DV150" s="15">
        <f>IF(ISNA(VLOOKUP(A150,'Données projet'!$A$165:$I$185,3,0)),0,VLOOKUP(A150,'Données projet'!$A$165:$I$185,3,0))</f>
        <v>0</v>
      </c>
      <c r="DW150" s="15">
        <f>IF(ISNA(VLOOKUP(A150,'Données projet'!$A$165:$I$185,4,0)),0,VLOOKUP(A150,'Données projet'!$A$165:$I$185,4,0))</f>
        <v>0</v>
      </c>
      <c r="DX150" s="16">
        <f>IF(ISNA(VLOOKUP(A150,'Données projet'!$A$165:$I$185,5,0)),0%,VLOOKUP(A150,'Données projet'!$A$165:$I$185,5,0)*VLOOKUP('Données projet'!$B$14,Paramètres!$A$1:$I$89,7,0))</f>
        <v>0</v>
      </c>
      <c r="DY150" s="16">
        <f>IF(ISNA(VLOOKUP(A150,'Données projet'!$A$165:$I$185,6,0)),0%,VLOOKUP(A150,'Données projet'!$A$165:$I$185,6,0)*VLOOKUP('Données projet'!$B$14,Paramètres!$A$1:$I$89,7,0))</f>
        <v>0</v>
      </c>
      <c r="DZ150" s="16">
        <f>IF(ISNA(VLOOKUP(A150,'Données projet'!$A$165:$I$185,7,0)),0%,VLOOKUP(A150,'Données projet'!$A$165:$I$185,7,0))</f>
        <v>0</v>
      </c>
      <c r="EA150" s="21">
        <f>EXP(-LN(2)/35)*EA149+(1-EXP(-LN(2)/35))/(LN(2)/35)*DW150*DX150*VLOOKUP('Données projet'!$B$14,Paramètres!$A$1:$I$89,3,0)*0.475*44/12</f>
        <v>0.15348261423809509</v>
      </c>
      <c r="EB150" s="21">
        <f>EXP(-LN(2)/25)*EB149+(1-EXP(-LN(2)/25))/(LN(2)/25)*Calculateur!DW150*Calculateur!DY150*VLOOKUP('Données projet'!$B$14,Paramètres!$A$1:$I$89,3,0)*0.475*44/12</f>
        <v>0.31356617052175373</v>
      </c>
      <c r="EC150" s="21">
        <f>EXP(-LN(2)/2)*EC149+(1-EXP(-LN(2)/2))/(LN(2)/2)*DW150*DZ150*VLOOKUP('Données projet'!$B$14,Paramètres!$A$1:$I$89,3,0)*0.475*44/12</f>
        <v>3.4336960355945485E-17</v>
      </c>
      <c r="ED150" s="22">
        <f t="shared" si="126"/>
        <v>0.46704878475984885</v>
      </c>
      <c r="EE150" s="75">
        <f>('Scénario référence'!$F$8+'Scénario référence'!$F$9+'Scénario référence'!$B$17+'Scénario référence'!$B$9+'Scénario référence'!$B$10)*70+IF((45+25*(1-EXP(-0.0175*A150)))&lt;70,'Scénario référence'!$B$16*(45+25*(1-EXP(-0.0175*A150))),70*'Scénario référence'!$B$16)+IF((32+38*(1-EXP(-0.0175*A150)))&lt;70,'Scénario référence'!$B$18*(32+38*(1-EXP(-0.0175*A150))),70*'Scénario référence'!$B$18)</f>
        <v>70</v>
      </c>
      <c r="EF150" s="12">
        <f>IF(A150&gt;30,10,('Scénario référence'!$B$16+'Scénario référence'!$B$17+'Scénario référence'!$B$18+'Scénario référence'!$B$9+'Scénario référence'!$B$10)*A150*10/30+('Scénario référence'!$F$8+'Scénario référence'!$F$9)*10)</f>
        <v>10</v>
      </c>
      <c r="EG150" s="12" t="e">
        <f>VLOOKUP(A150,'Données projet'!$A$191:$I$211,2,0)</f>
        <v>#N/A</v>
      </c>
      <c r="EH150" s="12" t="e">
        <f>VLOOKUP(A150,'Données projet'!$A$191:$I$211,9,0)</f>
        <v>#N/A</v>
      </c>
      <c r="EI150" s="12">
        <f t="array" ref="EI150">INDEX(EH:EH,MIN(IF(ISNUMBER(EH150:EH346),ROW(EH150:EH346),"")))</f>
        <v>0</v>
      </c>
      <c r="EJ150" s="12">
        <f>IF('Données projet'!$A$192&gt;35,EJ149+EI150-ER149,IF(A150&lt;'Données projet'!$A$192,$EG$205^A150,IF(A150='Données projet'!$A$192,'Données projet'!$B$192,EJ149+EI150-ER149)))</f>
        <v>275.99999999999972</v>
      </c>
      <c r="EK150" s="17">
        <f>EJ150*VLOOKUP('Données projet'!$B$15,Paramètres!$A$1:$I$89,3,0)*VLOOKUP('Données projet'!$B$15,Paramètres!$A$1:$I$89,5,0)</f>
        <v>223.8911999999998</v>
      </c>
      <c r="EL150" s="13">
        <f t="shared" si="153"/>
        <v>54.95975389514858</v>
      </c>
      <c r="EM150" s="20">
        <f t="shared" si="127"/>
        <v>485.66541136738346</v>
      </c>
      <c r="EN150" s="59">
        <f t="shared" si="128"/>
        <v>778.99874470071677</v>
      </c>
      <c r="EO150" s="59">
        <f ca="1">AVERAGE(OFFSET($EN$3,0,0,'Données projet'!$E$15+1,1))-AVERAGE(OFFSET($H$3,0,0,'Données projet'!$E$15+1,1))</f>
        <v>205.5272583787887</v>
      </c>
      <c r="EP150" s="59">
        <f t="shared" si="154"/>
        <v>180.54762778843178</v>
      </c>
      <c r="EQ150" s="15">
        <f>IF(ISNA(VLOOKUP(A150,'Données projet'!$A$191:$I$211,3,0)),0,VLOOKUP(A150,'Données projet'!$A$191:$I$211,3,0))</f>
        <v>0</v>
      </c>
      <c r="ER150" s="15">
        <f>IF(ISNA(VLOOKUP(A150,'Données projet'!$A$191:$I$211,4,0)),0,VLOOKUP(A150,'Données projet'!$A$191:$I$211,4,0))</f>
        <v>0</v>
      </c>
      <c r="ES150" s="16">
        <f>IF(ISNA(VLOOKUP(A150,'Données projet'!$A$191:$I$211,5,0)),0%,VLOOKUP(A150,'Données projet'!$A$191:$I$211,5,0)*VLOOKUP('Données projet'!$B$15,Paramètres!$A$1:$I$89,7,0))</f>
        <v>0</v>
      </c>
      <c r="ET150" s="16">
        <f>IF(ISNA(VLOOKUP(A150,'Données projet'!$A$191:$I$211,6,0)),0%,VLOOKUP(A150,'Données projet'!$A$191:$I$211,6,0)*VLOOKUP('Données projet'!$B$15,Paramètres!$A$1:$I$89,7,0))</f>
        <v>0</v>
      </c>
      <c r="EU150" s="16">
        <f>IF(ISNA(VLOOKUP(A150,'Données projet'!$A$191:$I$211,7,0)),0%,VLOOKUP(A150,'Données projet'!$A$191:$I$211,7,0))</f>
        <v>0</v>
      </c>
      <c r="EV150" s="21">
        <f>EXP(-LN(2)/35)*EV149+(1-EXP(-LN(2)/35))/(LN(2)/35)*ER150*ES150*VLOOKUP('Données projet'!$B$15,Paramètres!$A$1:$I$89,3,0)*0.475*44/12</f>
        <v>9.8813568785668882E-2</v>
      </c>
      <c r="EW150" s="21">
        <f>EXP(-LN(2)/25)*EW149+(1-EXP(-LN(2)/25))/(LN(2)/25)*Calculateur!ER150*Calculateur!ET150*VLOOKUP('Données projet'!$B$15,Paramètres!$A$1:$I$89,3,0)*0.475*44/12</f>
        <v>0.22640428744904259</v>
      </c>
      <c r="EX150" s="21">
        <f>EXP(-LN(2)/2)*EX149+(1-EXP(-LN(2)/2))/(LN(2)/2)*ER150*EU150*VLOOKUP('Données projet'!$B$15,Paramètres!$A$1:$I$89,3,0)*0.475*44/12</f>
        <v>2.2233207220123021E-17</v>
      </c>
      <c r="EY150" s="22">
        <f t="shared" si="129"/>
        <v>0.32521785623471144</v>
      </c>
      <c r="EZ150" s="75">
        <f>('Scénario référence'!$F$8+'Scénario référence'!$F$9+'Scénario référence'!$B$17+'Scénario référence'!$B$9+'Scénario référence'!$B$10)*70+IF((45+25*(1-EXP(-0.0175*A150)))&lt;70,'Scénario référence'!$B$16*(45+25*(1-EXP(-0.0175*A150))),70*'Scénario référence'!$B$16)+IF((32+38*(1-EXP(-0.0175*A150)))&lt;70,'Scénario référence'!$B$18*(32+38*(1-EXP(-0.0175*A150))),70*'Scénario référence'!$B$18)</f>
        <v>70</v>
      </c>
      <c r="FA150" s="12">
        <f>IF(A150&gt;30,10,('Scénario référence'!$B$16+'Scénario référence'!$B$17+'Scénario référence'!$B$18+'Scénario référence'!$B$9+'Scénario référence'!$B$10)*A150*10/30+('Scénario référence'!$F$8+'Scénario référence'!$F$9)*10)</f>
        <v>10</v>
      </c>
      <c r="FB150" s="12" t="e">
        <f>VLOOKUP(A150,'Données projet'!$A$217:$I$237,2,0)</f>
        <v>#N/A</v>
      </c>
      <c r="FC150" s="12" t="e">
        <f>VLOOKUP(A150,'Données projet'!$A$217:$I$237,9,0)</f>
        <v>#N/A</v>
      </c>
      <c r="FD150" s="12">
        <f t="array" ref="FD150">INDEX(FC:FC,MIN(IF(ISNUMBER(FC150:FC346),ROW(FC150:FC346),"")))</f>
        <v>4.7</v>
      </c>
      <c r="FE150" s="12">
        <f>IF('Données projet'!$A$218&gt;35,FE149+FD150-FM149,IF(A150&lt;'Données projet'!$A$218,$FB$205^A150,IF(A150='Données projet'!$A$218,'Données projet'!$B$218,FE149+FD150-FM149)))</f>
        <v>444.89999999999986</v>
      </c>
      <c r="FF150" s="17">
        <f>FE150*VLOOKUP('Données projet'!$B$16,Paramètres!$A$1:$I$89,3,0)*VLOOKUP('Données projet'!$B$16,Paramètres!$A$1:$I$89,5,0)</f>
        <v>381.72419999999994</v>
      </c>
      <c r="FG150" s="13">
        <f t="shared" si="155"/>
        <v>88.061503116190977</v>
      </c>
      <c r="FH150" s="20">
        <f t="shared" si="130"/>
        <v>818.21009959403239</v>
      </c>
      <c r="FI150" s="59">
        <f t="shared" si="131"/>
        <v>1111.5434329273658</v>
      </c>
      <c r="FJ150" s="59">
        <f ca="1">AVERAGE(OFFSET($FI$3,0,0,'Données projet'!$E$16+1,1))-AVERAGE(OFFSET($H$3,0,0,'Données projet'!$E$16+1,1))</f>
        <v>383.97627237444709</v>
      </c>
      <c r="FK150" s="59">
        <f t="shared" si="156"/>
        <v>203.35476578922339</v>
      </c>
      <c r="FL150" s="15">
        <f>IF(ISNA(VLOOKUP(A150,'Données projet'!$A$217:$I$237,3,0)),0,VLOOKUP(A150,'Données projet'!$A$217:$I$237,3,0))</f>
        <v>0</v>
      </c>
      <c r="FM150" s="15">
        <f>IF(ISNA(VLOOKUP(A150,'Données projet'!$A$217:$I$237,4,0)),0,VLOOKUP(A150,'Données projet'!$A$217:$I$237,4,0))</f>
        <v>0</v>
      </c>
      <c r="FN150" s="16">
        <f>IF(ISNA(VLOOKUP(A150,'Données projet'!$A$217:$I$237,5,0)),0%,VLOOKUP(A150,'Données projet'!$A$217:$I$237,5,0)*VLOOKUP('Données projet'!$B$16,Paramètres!$A$1:$I$89,7,0))</f>
        <v>0</v>
      </c>
      <c r="FO150" s="16">
        <f>IF(ISNA(VLOOKUP(A150,'Données projet'!$A$217:$I$237,6,0)),0%,VLOOKUP(A150,'Données projet'!$A$217:$I$237,6,0)*VLOOKUP('Données projet'!$B$16,Paramètres!$A$1:$I$89,7,0))</f>
        <v>0</v>
      </c>
      <c r="FP150" s="16">
        <f>IF(ISNA(VLOOKUP(A150,'Données projet'!$A$217:$I$237,7,0)),0%,VLOOKUP(A150,'Données projet'!$A$217:$I$237,7,0))</f>
        <v>0</v>
      </c>
      <c r="FQ150" s="21">
        <f>EXP(-LN(2)/35)*FQ149+(1-EXP(-LN(2)/35))/(LN(2)/35)*FM150*FN150*VLOOKUP('Données projet'!$B$16,Paramètres!$A$1:$I$89,3,0)*0.475*44/12</f>
        <v>0.50784813512364335</v>
      </c>
      <c r="FR150" s="21">
        <f>EXP(-LN(2)/25)*FR149+(1-EXP(-LN(2)/25))/(LN(2)/25)*Calculateur!FM150*Calculateur!FO150*VLOOKUP('Données projet'!$B$16,Paramètres!$A$1:$I$89,3,0)*0.475*44/12</f>
        <v>0.22982375286785914</v>
      </c>
      <c r="FS150" s="21">
        <f>EXP(-LN(2)/2)*FS149+(1-EXP(-LN(2)/2))/(LN(2)/2)*FM150*FP150*VLOOKUP('Données projet'!$B$16,Paramètres!$A$1:$I$89,3,0)*0.475*44/12</f>
        <v>4.0837838748617024E-17</v>
      </c>
      <c r="FT150" s="22">
        <f t="shared" si="132"/>
        <v>0.73767188799150252</v>
      </c>
      <c r="FU150" s="75">
        <f>('Scénario référence'!$F$8+'Scénario référence'!$F$9+'Scénario référence'!$B$17+'Scénario référence'!$B$9+'Scénario référence'!$B$10)*70+IF((45+25*(1-EXP(-0.0175*A150)))&lt;70,'Scénario référence'!$B$16*(45+25*(1-EXP(-0.0175*A150))),70*'Scénario référence'!$B$16)+IF((32+38*(1-EXP(-0.0175*A150)))&lt;70,'Scénario référence'!$B$18*(32+38*(1-EXP(-0.0175*A150))),70*'Scénario référence'!$B$18)</f>
        <v>70</v>
      </c>
      <c r="FV150" s="12">
        <f>IF(A150&gt;30,10,('Scénario référence'!$B$16+'Scénario référence'!$B$17+'Scénario référence'!$B$18+'Scénario référence'!$B$9+'Scénario référence'!$B$10)*A150*10/30+('Scénario référence'!$F$8+'Scénario référence'!$F$9)*10)</f>
        <v>10</v>
      </c>
      <c r="FW150" s="12" t="e">
        <f>VLOOKUP(A150,'Données projet'!$A$243:$I$263,2,0)</f>
        <v>#N/A</v>
      </c>
      <c r="FX150" s="12" t="e">
        <f>VLOOKUP(A150,'Données projet'!$A$243:$I$263,9,0)</f>
        <v>#N/A</v>
      </c>
      <c r="FY150" s="12">
        <f t="array" ref="FY150">INDEX(FX:FX,MIN(IF(ISNUMBER(FX150:FX346),ROW(FX150:FX346),"")))</f>
        <v>0</v>
      </c>
      <c r="FZ150" s="12">
        <f>IF('Données projet'!$A$244&gt;35,FZ149+FY150-GH149,IF(A150&lt;'Données projet'!$A$244,$FW$205^A150,IF(A150='Données projet'!$A$244,'Données projet'!$B$244,FZ149+FY150-GH149)))</f>
        <v>4.5474735088646412E-13</v>
      </c>
      <c r="GA150" s="17">
        <f>FZ150*VLOOKUP('Données projet'!$B$17,Paramètres!$A$1:$I$89,3,0)*VLOOKUP('Données projet'!$B$17,Paramètres!$A$1:$I$89,5,0)</f>
        <v>4.8949004849418999E-13</v>
      </c>
      <c r="GB150" s="13">
        <f t="shared" si="157"/>
        <v>6.1123715499968684E-12</v>
      </c>
      <c r="GC150" s="20">
        <f t="shared" si="133"/>
        <v>1.1498242284038591E-11</v>
      </c>
      <c r="GD150" s="59">
        <f t="shared" si="134"/>
        <v>293.3333333333448</v>
      </c>
      <c r="GE150" s="59">
        <f ca="1">AVERAGE(OFFSET($GD$3,0,0,'Données projet'!$E$17+1,1))-AVERAGE(OFFSET($H$3,0,0,'Données projet'!$E$17+1,1))</f>
        <v>286.77702855541287</v>
      </c>
      <c r="GF150" s="59">
        <f t="shared" si="158"/>
        <v>227.12211541860779</v>
      </c>
      <c r="GG150" s="15">
        <f>IF(ISNA(VLOOKUP(A150,'Données projet'!$A$243:$I$263,3,0)),0,VLOOKUP(A150,'Données projet'!$A$243:$I$263,3,0))</f>
        <v>0</v>
      </c>
      <c r="GH150" s="15">
        <f>IF(ISNA(VLOOKUP(A150,'Données projet'!$A$243:$I$263,4,0)),0,VLOOKUP(A150,'Données projet'!$A$243:$I$263,4,0))</f>
        <v>0</v>
      </c>
      <c r="GI150" s="16">
        <f>IF(ISNA(VLOOKUP(A150,'Données projet'!$A$243:$I$263,5,0)),0%,VLOOKUP(A150,'Données projet'!$A$243:$I$263,5,0)*VLOOKUP('Données projet'!$B$17,Paramètres!$A$1:$I$89,7,0))</f>
        <v>0</v>
      </c>
      <c r="GJ150" s="16">
        <f>IF(ISNA(VLOOKUP(A150,'Données projet'!$A$243:$I$263,6,0)),0%,VLOOKUP(A150,'Données projet'!$A$243:$I$263,6,0)*VLOOKUP('Données projet'!$B$17,Paramètres!$A$1:$I$89,7,0))</f>
        <v>0</v>
      </c>
      <c r="GK150" s="16">
        <f>IF(ISNA(VLOOKUP(A150,'Données projet'!$A$243:$I$263,7,0)),0%,VLOOKUP(A150,'Données projet'!$A$243:$I$263,7,0))</f>
        <v>0</v>
      </c>
      <c r="GL150" s="21">
        <f>EXP(-LN(2)/35)*GL149+(1-EXP(-LN(2)/35))/(LN(2)/35)*GH150*GI150*VLOOKUP('Données projet'!$B$17,Paramètres!$A$1:$I$89,3,0)*0.475*44/12</f>
        <v>0</v>
      </c>
      <c r="GM150" s="21">
        <f>EXP(-LN(2)/25)*GM149+(1-EXP(-LN(2)/25))/(LN(2)/25)*Calculateur!GH150*Calculateur!GJ150*VLOOKUP('Données projet'!$B$17,Paramètres!$A$1:$I$89,3,0)*0.475*44/12</f>
        <v>0</v>
      </c>
      <c r="GN150" s="21">
        <f>EXP(-LN(2)/2)*GN149+(1-EXP(-LN(2)/2))/(LN(2)/2)*GH150*GK150*VLOOKUP('Données projet'!$B$17,Paramètres!$A$1:$I$89,3,0)*0.475*44/12</f>
        <v>0</v>
      </c>
      <c r="GO150" s="21">
        <f t="shared" si="135"/>
        <v>0</v>
      </c>
      <c r="GP150" s="75">
        <f>('Scénario référence'!$F$8+'Scénario référence'!$F$9+'Scénario référence'!$B$17+'Scénario référence'!$B$9+'Scénario référence'!$B$10)*70+IF((45+25*(1-EXP(-0.0175*A150)))&lt;70,'Scénario référence'!$B$16*(45+25*(1-EXP(-0.0175*A150))),70*'Scénario référence'!$B$16)+IF((32+38*(1-EXP(-0.0175*A150)))&lt;70,'Scénario référence'!$B$18*(32+38*(1-EXP(-0.0175*A150))),70*'Scénario référence'!$B$18)</f>
        <v>70</v>
      </c>
      <c r="GQ150" s="12">
        <f>IF(A150&gt;30,10,('Scénario référence'!$B$16+'Scénario référence'!$B$17+'Scénario référence'!$B$18+'Scénario référence'!$B$9+'Scénario référence'!$B$10)*A150*10/30+('Scénario référence'!$F$8+'Scénario référence'!$F$9)*10)</f>
        <v>10</v>
      </c>
      <c r="GR150" s="12" t="e">
        <f>VLOOKUP(A150,'Données projet'!$A$269:$I$289,2,0)</f>
        <v>#N/A</v>
      </c>
      <c r="GS150" s="12" t="e">
        <f>VLOOKUP(A150,'Données projet'!$A$269:$I$289,9,0)</f>
        <v>#N/A</v>
      </c>
      <c r="GT150" s="12">
        <f t="array" ref="GT150">INDEX(GS:GS,MIN(IF(ISNUMBER(GS150:GS346),ROW(GS150:GS346),"")))</f>
        <v>0</v>
      </c>
      <c r="GU150" s="12">
        <f>IF('Données projet'!$A$270&gt;35,GU149+GT150-HC149,IF(A150&lt;'Données projet'!$A$270,$GR$205^A150,IF(A150='Données projet'!$A$270,'Données projet'!$B$270,GU149+GT150-HC149)))</f>
        <v>4.5474735088646412E-13</v>
      </c>
      <c r="GV150" s="17">
        <f>GU150*VLOOKUP('Données projet'!$B$18,Paramètres!$A$1:$I$89,3,0)*VLOOKUP('Données projet'!$B$18,Paramètres!$A$1:$I$89,5,0)</f>
        <v>4.8949004849418999E-13</v>
      </c>
      <c r="GW150" s="13">
        <f t="shared" si="159"/>
        <v>6.1123715499968684E-12</v>
      </c>
      <c r="GX150" s="20">
        <f t="shared" si="136"/>
        <v>1.1498242284038591E-11</v>
      </c>
      <c r="GY150" s="59">
        <f t="shared" si="137"/>
        <v>293.3333333333448</v>
      </c>
      <c r="GZ150" s="59">
        <f ca="1">AVERAGE(OFFSET($GY$3,0,0,'Données projet'!$E$18+1,1))-AVERAGE(OFFSET($H$3,0,0,'Données projet'!$E$18+1,1))</f>
        <v>286.77702855541287</v>
      </c>
      <c r="HA150" s="59">
        <f t="shared" si="160"/>
        <v>227.12211541860779</v>
      </c>
      <c r="HB150" s="15">
        <f>IF(ISNA(VLOOKUP(A150,'Données projet'!$A$269:$I$289,3,0)),0,VLOOKUP(A150,'Données projet'!$A$269:$I$289,3,0))</f>
        <v>0</v>
      </c>
      <c r="HC150" s="15">
        <f>IF(ISNA(VLOOKUP(A150,'Données projet'!$A$269:$I$289,4,0)),0,VLOOKUP(A150,'Données projet'!$A$269:$I$289,4,0))</f>
        <v>0</v>
      </c>
      <c r="HD150" s="16">
        <f>IF(ISNA(VLOOKUP(A150,'Données projet'!$A$269:$I$289,5,0)),0%,VLOOKUP(A150,'Données projet'!$A$269:$I$289,5,0)*VLOOKUP('Données projet'!$B$18,Paramètres!$A$1:$I$89,7,0))</f>
        <v>0</v>
      </c>
      <c r="HE150" s="16">
        <f>IF(ISNA(VLOOKUP(A150,'Données projet'!$A$269:$I$289,6,0)),0%,VLOOKUP(A150,'Données projet'!$A$269:$I$289,6,0)*VLOOKUP('Données projet'!$B$18,Paramètres!$A$1:$I$89,7,0))</f>
        <v>0</v>
      </c>
      <c r="HF150" s="16">
        <f>IF(ISNA(VLOOKUP(A150,'Données projet'!$A$269:$I$289,7,0)),0%,VLOOKUP(A150,'Données projet'!$A$269:$I$289,7,0))</f>
        <v>0</v>
      </c>
      <c r="HG150" s="21">
        <f>EXP(-LN(2)/35)*HG149+(1-EXP(-LN(2)/35))/(LN(2)/35)*HC150*HD150*VLOOKUP('Données projet'!$B$18,Paramètres!$A$1:$I$89,3,0)*0.475*44/12</f>
        <v>0</v>
      </c>
      <c r="HH150" s="21">
        <f>EXP(-LN(2)/25)*HH149+(1-EXP(-LN(2)/25))/(LN(2)/25)*Calculateur!HC150*Calculateur!HE150*VLOOKUP('Données projet'!$B$18,Paramètres!$A$1:$I$89,3,0)*0.475*44/12</f>
        <v>0</v>
      </c>
      <c r="HI150" s="21">
        <f>EXP(-LN(2)/2)*HI149+(1-EXP(-LN(2)/2))/(LN(2)/2)*HC150*HF150*VLOOKUP('Données projet'!$B$18,Paramètres!$A$1:$I$89,3,0)*0.475*44/12</f>
        <v>0</v>
      </c>
      <c r="HJ150" s="22">
        <f t="shared" si="138"/>
        <v>0</v>
      </c>
    </row>
    <row r="151" spans="1:218" x14ac:dyDescent="0.25">
      <c r="A151" s="10">
        <f t="shared" si="139"/>
        <v>148</v>
      </c>
      <c r="B151" s="73">
        <f>'Scénario référence'!$B$16*5+'Scénario référence'!$B$17*0+'Scénario référence'!$B$18*5</f>
        <v>0</v>
      </c>
      <c r="C151" s="19">
        <f>Calculateur!C150+'Scénario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131.60160000000019</v>
      </c>
      <c r="D151" s="11">
        <f t="shared" si="140"/>
        <v>34.366177918726152</v>
      </c>
      <c r="E15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51" s="11">
        <f>IF(OR('Scénario référence'!$F$8&gt;0,'Scénario référence'!$F$9&gt;0),('Scénario référence'!$F$8+'Scénario référence'!$F$9)*10,0)</f>
        <v>10</v>
      </c>
      <c r="G151" s="11">
        <f>'Scénario référence'!$B$8*B151*44/12+'Scénario référence'!$B$9*(C151+D151)/0.475*44/12+'Scénario référence'!$B$10*(C151+D151)/0.475*44/12+'Scénario référence'!$F$8*(C151+D151)/0.475*44/12+'Scénario référence'!$F$9*(C151+D151)/0.475*44/12</f>
        <v>1281.1547769164843</v>
      </c>
      <c r="H151" s="67">
        <f t="shared" si="110"/>
        <v>582.39387987511509</v>
      </c>
      <c r="I151" s="70">
        <f>('Scénario référence'!$F$8+'Scénario référence'!$F$9+'Scénario référence'!$B$17+'Scénario référence'!$B$9+'Scénario référence'!$B$10)*70+IF((45+25*(1-EXP(-0.0175*A151)))&lt;70,'Scénario référence'!$B$16*(45+25*(1-EXP(-0.0175*A151))),70*'Scénario référence'!$B$16)+IF((32+38*(1-EXP(-0.0175*A151)))&lt;70,'Scénario référence'!$B$18*(32+38*(1-EXP(-0.0175*A151))),70*'Scénario référence'!$B$18)</f>
        <v>70</v>
      </c>
      <c r="J151" s="13">
        <f>IF(A151&gt;30,10,('Scénario référence'!$B$16+'Scénario référence'!$B$17+'Scénario référence'!$B$18+'Scénario référence'!$B$9+'Scénario référence'!$B$10)*A151*10/30+('Scénario référence'!$F$8+'Scénario référence'!$F$9)*10)</f>
        <v>10</v>
      </c>
      <c r="K151" s="12" t="e">
        <f>VLOOKUP(A151,'Données projet'!$A$35:$I$55,2,0)</f>
        <v>#N/A</v>
      </c>
      <c r="L151" s="12" t="e">
        <f>VLOOKUP(A151,'Données projet'!$A$35:$I$55,9,0)</f>
        <v>#N/A</v>
      </c>
      <c r="M151" s="12">
        <f t="array" ref="M151">INDEX(L:L,MIN(IF(ISNUMBER(L151:L347),ROW(L151:L347),"")))</f>
        <v>0</v>
      </c>
      <c r="N151" s="13">
        <f>IF('Données projet'!$A$36&gt;35,N150+M151-V150,IF(A151&lt;'Données projet'!$A$36,$K$205^A151,IF(A151='Données projet'!$A$36,'Données projet'!$B$36,N150+M151-V150)))</f>
        <v>-2.2737367544323206E-13</v>
      </c>
      <c r="O151" s="13">
        <f>N151*VLOOKUP('Données projet'!$B$9,Paramètres!$A$1:$I$89,3,0)*VLOOKUP('Données projet'!$B$9,Paramètres!$A$1:$I$89,5,0)</f>
        <v>-1.2710188457276673E-13</v>
      </c>
      <c r="P151" s="13" t="e">
        <f t="shared" si="141"/>
        <v>#NUM!</v>
      </c>
      <c r="Q151" s="20" t="e">
        <f t="shared" si="108"/>
        <v>#NUM!</v>
      </c>
      <c r="R151" s="59" t="e">
        <f t="shared" si="109"/>
        <v>#NUM!</v>
      </c>
      <c r="S151" s="59">
        <f ca="1">AVERAGE(OFFSET($R$3,0,0,'Données projet'!$E$9+1,1))-AVERAGE(OFFSET($H$3,0,0,'Données projet'!$E$9+1,1))</f>
        <v>255.5374979188561</v>
      </c>
      <c r="T151" s="59">
        <f t="shared" si="142"/>
        <v>343.10418468620901</v>
      </c>
      <c r="U151" s="15">
        <f>IF(ISNA(VLOOKUP(A151,'Données projet'!$A$35:$I$55,3,0)),0,VLOOKUP(A151,'Données projet'!$A$35:$I$55,3,0))</f>
        <v>0</v>
      </c>
      <c r="V151" s="15">
        <f>IF(ISNA(VLOOKUP(A151,'Données projet'!$A$35:$I$55,4,0)),0,VLOOKUP(A151,'Données projet'!$A$35:$I$55,4,0))</f>
        <v>0</v>
      </c>
      <c r="W151" s="16">
        <f>IF(ISNA(VLOOKUP(A151,'Données projet'!$A$35:$I$55,5,0)),0%,VLOOKUP(A151,'Données projet'!$A$35:$I$55,5,0)*VLOOKUP('Données projet'!$B$9,Paramètres!$A$1:$I$89,7,0))</f>
        <v>0</v>
      </c>
      <c r="X151" s="16">
        <f>IF(ISNA(VLOOKUP(A151,'Données projet'!$A$35:$I$55,6,0)),0%,VLOOKUP(A151,'Données projet'!$A$35:$I$55,6,0)*VLOOKUP('Données projet'!$B$9,Paramètres!$A$1:$I$89,7,0))</f>
        <v>0</v>
      </c>
      <c r="Y151" s="16">
        <f>IF(ISNA(VLOOKUP(A151,'Données projet'!$A$35:$I$55,7,0)),0%,VLOOKUP(A151,'Données projet'!$A$35:$I$55,7,0))</f>
        <v>0</v>
      </c>
      <c r="Z151" s="21">
        <f>EXP(-LN(2)/35)*Z150+(1-EXP(-LN(2)/35))/(LN(2)/35)*V151*W151*VLOOKUP('Données projet'!$B$9,Paramètres!$A$1:$I$89,3,0)*0.475*44/12</f>
        <v>0.29858163514311176</v>
      </c>
      <c r="AA151" s="21">
        <f>EXP(-LN(2)/25)*AA150+(1-EXP(-LN(2)/25))/(LN(2)/25)*Calculateur!V151*Calculateur!X151*VLOOKUP('Données projet'!$B$9,Paramètres!$A$1:$I$89,3,0)*0.475*44/12</f>
        <v>0.60558953092471235</v>
      </c>
      <c r="AB151" s="21">
        <f>EXP(-LN(2)/2)*AB150+(1-EXP(-LN(2)/2))/(LN(2)/2)*V151*Y151*VLOOKUP('Données projet'!$B$9,Paramètres!$A$1:$I$89,3,0)*0.475*44/12</f>
        <v>2.9362832988899281E-18</v>
      </c>
      <c r="AC151" s="22">
        <f t="shared" si="111"/>
        <v>0.90417116606782411</v>
      </c>
      <c r="AD151" s="13">
        <f>('Scénario référence'!$F$8+'Scénario référence'!$F$9+'Scénario référence'!$B$17+'Scénario référence'!$B$9+'Scénario référence'!$B$10)*70+IF((45+25*(1-EXP(-0.0175*A151)))&lt;70,'Scénario référence'!$B$16*(45+25*(1-EXP(-0.0175*A151))),70*'Scénario référence'!$B$16)+IF((32+38*(1-EXP(-0.0175*A151)))&lt;70,'Scénario référence'!$B$18*(32+38*(1-EXP(-0.0175*A151))),70*'Scénario référence'!$B$18)</f>
        <v>70</v>
      </c>
      <c r="AE151" s="13">
        <f>IF(A151&gt;30,10,('Scénario référence'!$B$16+'Scénario référence'!$B$17+'Scénario référence'!$B$18+'Scénario référence'!$B$9+'Scénario référence'!$B$10)*A151*10/30+('Scénario référence'!$F$8+'Scénario référence'!$F$9)*10)</f>
        <v>10</v>
      </c>
      <c r="AF151" s="12" t="e">
        <f>VLOOKUP(A151,'Données projet'!$A$61:$I$81,2,0)</f>
        <v>#N/A</v>
      </c>
      <c r="AG151" s="12" t="e">
        <f>VLOOKUP(A151,'Données projet'!$A$61:$I$81,9,0)</f>
        <v>#N/A</v>
      </c>
      <c r="AH151" s="12">
        <f t="array" ref="AH151">INDEX(AG:AG,MIN(IF(ISNUMBER(AG151:AG347),ROW(AG151:AG347),"")))</f>
        <v>0</v>
      </c>
      <c r="AI151" s="13">
        <f>IF('Données projet'!$A$62&gt;35,AI150+AH151-AQ150,IF(A151&lt;'Données projet'!$A$62,$AF$205^A151,IF(A151='Données projet'!$A$62,'Données projet'!$B$62,AI150+AH151-AQ150)))</f>
        <v>0</v>
      </c>
      <c r="AJ151" s="13">
        <f>AI151*VLOOKUP('Données projet'!$B$10,Paramètres!$A$1:$I$89,3,0)*VLOOKUP('Données projet'!$B$10,Paramètres!$A$1:$I$89,5,0)</f>
        <v>0</v>
      </c>
      <c r="AK151" s="13" t="e">
        <f t="shared" si="143"/>
        <v>#NUM!</v>
      </c>
      <c r="AL151" s="20" t="e">
        <f t="shared" si="112"/>
        <v>#NUM!</v>
      </c>
      <c r="AM151" s="59" t="e">
        <f t="shared" si="113"/>
        <v>#NUM!</v>
      </c>
      <c r="AN151" s="59">
        <f ca="1">AVERAGE(OFFSET($AM$3,0,0,'Données projet'!$E$10+1,1))-AVERAGE(OFFSET($H$3,0,0,'Données projet'!$E$10+1,1))</f>
        <v>261.78489480911571</v>
      </c>
      <c r="AO151" s="59">
        <f t="shared" si="144"/>
        <v>297.50513563712764</v>
      </c>
      <c r="AP151" s="15">
        <f>IF(ISNA(VLOOKUP(A151,'Données projet'!$A$61:$I$81,3,0)),0,VLOOKUP(A151,'Données projet'!$A$61:$I$81,3,0))</f>
        <v>0</v>
      </c>
      <c r="AQ151" s="15">
        <f>IF(ISNA(VLOOKUP(A151,'Données projet'!$A$61:$I$81,4,0)),0,VLOOKUP(A151,'Données projet'!$A$61:$I$81,4,0))</f>
        <v>0</v>
      </c>
      <c r="AR151" s="16">
        <f>IF(ISNA(VLOOKUP(A151,'Données projet'!$A$61:$I$81,5,0)),0%,VLOOKUP(A151,'Données projet'!$A$61:$I$81,5,0)*VLOOKUP('Données projet'!$B$10,Paramètres!$A$1:$I$89,7,0))</f>
        <v>0</v>
      </c>
      <c r="AS151" s="16">
        <f>IF(ISNA(VLOOKUP(A151,'Données projet'!$A$61:$I$81,6,0)),0%,VLOOKUP(A151,'Données projet'!$A$61:$I$81,6,0)*VLOOKUP('Données projet'!$B$10,Paramètres!$A$1:$I$89,7,0))</f>
        <v>0</v>
      </c>
      <c r="AT151" s="16">
        <f>IF(ISNA(VLOOKUP(A151,'Données projet'!$A$61:$I$81,7,0)),0%,VLOOKUP(A151,'Données projet'!$A$61:$I$81,7,0))</f>
        <v>0</v>
      </c>
      <c r="AU151" s="21">
        <f>EXP(-LN(2)/35)*AU150+(1-EXP(-LN(2)/35))/(LN(2)/35)*AQ151*AR151*VLOOKUP('Données projet'!$B$10,Paramètres!$A$1:$I$89,3,0)*0.475*44/12</f>
        <v>0.80625486829683146</v>
      </c>
      <c r="AV151" s="21">
        <f>EXP(-LN(2)/25)*AV150+(1-EXP(-LN(2)/25))/(LN(2)/25)*Calculateur!AQ151*Calculateur!AS151*VLOOKUP('Données projet'!$B$10,Paramètres!$A$1:$I$89,3,0)*0.475*44/12</f>
        <v>1.0574828375649383</v>
      </c>
      <c r="AW151" s="21">
        <f>EXP(-LN(2)/2)*AW150+(1-EXP(-LN(2)/2))/(LN(2)/2)*AQ151*AT151*VLOOKUP('Données projet'!$B$10,Paramètres!$A$1:$I$89,3,0)*0.475*44/12</f>
        <v>4.2329319106998234E-17</v>
      </c>
      <c r="AX151" s="21">
        <f t="shared" si="114"/>
        <v>1.8637377058617699</v>
      </c>
      <c r="AY151" s="74">
        <f>('Scénario référence'!$F$8+'Scénario référence'!$F$9+'Scénario référence'!$B$17+'Scénario référence'!$B$9+'Scénario référence'!$B$10)*70+IF((45+25*(1-EXP(-0.0175*A151)))&lt;70,'Scénario référence'!$B$16*(45+25*(1-EXP(-0.0175*A151))),70*'Scénario référence'!$B$16)+IF((32+38*(1-EXP(-0.0175*A151)))&lt;70,'Scénario référence'!$B$18*(32+38*(1-EXP(-0.0175*A151))),70*'Scénario référence'!$B$18)</f>
        <v>70</v>
      </c>
      <c r="AZ151" s="12">
        <f>IF(A151&gt;30,10,('Scénario référence'!$B$16+'Scénario référence'!$B$17+'Scénario référence'!$B$18+'Scénario référence'!$B$9+'Scénario référence'!$B$10)*A151*10/30+('Scénario référence'!$F$8+'Scénario référence'!$F$9)*10)</f>
        <v>10</v>
      </c>
      <c r="BA151" s="12" t="e">
        <f>VLOOKUP(A151,'Données projet'!$A$87:$I$107,2,0)</f>
        <v>#N/A</v>
      </c>
      <c r="BB151" s="12" t="e">
        <f>VLOOKUP(A151,'Données projet'!$A$87:$I$107,9,0)</f>
        <v>#N/A</v>
      </c>
      <c r="BC151" s="12">
        <f t="array" ref="BC151">INDEX(BB:BB,MIN(IF(ISNUMBER(BB151:BB347),ROW(BB151:BB347),"")))</f>
        <v>0</v>
      </c>
      <c r="BD151" s="12">
        <f>IF('Données projet'!$A$88&gt;35,BD150+BC151-BL150,IF(A151&lt;'Données projet'!$A$88,$BA$205^A151,IF(A151='Données projet'!$A$88,'Données projet'!$B$88,BD150+BC151-BL150)))</f>
        <v>553.99999999999955</v>
      </c>
      <c r="BE151" s="13">
        <f>BD151*VLOOKUP('Données projet'!$B$11,Paramètres!$A$1:$I$89,3,0)*VLOOKUP('Données projet'!$B$11,Paramètres!$A$1:$I$89,5,0)</f>
        <v>331.29199999999975</v>
      </c>
      <c r="BF151" s="13">
        <f t="shared" si="145"/>
        <v>77.698110787752</v>
      </c>
      <c r="BG151" s="20">
        <f t="shared" si="115"/>
        <v>712.32444295533423</v>
      </c>
      <c r="BH151" s="59">
        <f t="shared" si="116"/>
        <v>1005.6577762886675</v>
      </c>
      <c r="BI151" s="59">
        <f ca="1">AVERAGE(OFFSET($BH$3,0,0,'Données projet'!$E$11+1,1))-AVERAGE(OFFSET($H$3,0,0,'Données projet'!$E$11+1,1))</f>
        <v>316.58509520829671</v>
      </c>
      <c r="BJ151" s="59">
        <f t="shared" si="146"/>
        <v>240.71332110643596</v>
      </c>
      <c r="BK151" s="15">
        <f>IF(ISNA(VLOOKUP(A151,'Données projet'!$A$87:$I$107,3,0)),0,VLOOKUP(A151,'Données projet'!$A$87:$I$107,3,0))</f>
        <v>0</v>
      </c>
      <c r="BL151" s="15">
        <f>IF(ISNA(VLOOKUP(A151,'Données projet'!$A$87:$I$107,4,0)),0,VLOOKUP(A151,'Données projet'!$A$87:$I$107,4,0))</f>
        <v>0</v>
      </c>
      <c r="BM151" s="16">
        <f>IF(ISNA(VLOOKUP(A151,'Données projet'!$A$87:$I$107,5,0)),0%,VLOOKUP(A151,'Données projet'!$A$87:$I$107,5,0)*VLOOKUP('Données projet'!$B$11,Paramètres!$A$1:$I$89,7,0))</f>
        <v>0</v>
      </c>
      <c r="BN151" s="16">
        <f>IF(ISNA(VLOOKUP(A151,'Données projet'!$A$87:$I$107,6,0)),0%,VLOOKUP(A151,'Données projet'!$A$87:$I$107,6,0)*VLOOKUP('Données projet'!$B$11,Paramètres!$A$1:$I$89,7,0))</f>
        <v>0</v>
      </c>
      <c r="BO151" s="16">
        <f>IF(ISNA(VLOOKUP(A151,'Données projet'!$A$87:$I$107,7,0)),0%,VLOOKUP(A151,'Données projet'!$A$87:$I$107,7,0))</f>
        <v>0</v>
      </c>
      <c r="BP151" s="21">
        <f>EXP(-LN(2)/35)*BP150+(1-EXP(-LN(2)/35))/(LN(2)/35)*BL151*BM151*VLOOKUP('Données projet'!$B$11,Paramètres!$A$1:$I$89,3,0)*0.475*44/12</f>
        <v>0.24490591516531379</v>
      </c>
      <c r="BQ151" s="21">
        <f>EXP(-LN(2)/25)*BQ150+(1-EXP(-LN(2)/25))/(LN(2)/25)*Calculateur!BL151*Calculateur!BN151*VLOOKUP('Données projet'!$B$11,Paramètres!$A$1:$I$89,3,0)*0.475*44/12</f>
        <v>0.57931995373329859</v>
      </c>
      <c r="BR151" s="21">
        <f>EXP(-LN(2)/2)*BR150+(1-EXP(-LN(2)/2))/(LN(2)/2)*BL151*BO151*VLOOKUP('Données projet'!$B$11,Paramètres!$A$1:$I$89,3,0)*0.475*44/12</f>
        <v>3.8058693471282553E-17</v>
      </c>
      <c r="BS151" s="22">
        <f t="shared" si="117"/>
        <v>0.82422586889861238</v>
      </c>
      <c r="BT151" s="75">
        <f>('Scénario référence'!$F$8+'Scénario référence'!$F$9+'Scénario référence'!$B$17+'Scénario référence'!$B$9+'Scénario référence'!$B$10)*70+IF((45+25*(1-EXP(-0.0175*A151)))&lt;70,'Scénario référence'!$B$16*(45+25*(1-EXP(-0.0175*A151))),70*'Scénario référence'!$B$16)+IF((32+38*(1-EXP(-0.0175*A151)))&lt;70,'Scénario référence'!$B$18*(32+38*(1-EXP(-0.0175*A151))),70*'Scénario référence'!$B$18)</f>
        <v>70</v>
      </c>
      <c r="BU151" s="12">
        <f>IF(A151&gt;30,10,('Scénario référence'!$B$16+'Scénario référence'!$B$17+'Scénario référence'!$B$18+'Scénario référence'!$B$9+'Scénario référence'!$B$10)*A151*10/30+('Scénario référence'!$F$8+'Scénario référence'!$F$9)*10)</f>
        <v>10</v>
      </c>
      <c r="BV151" s="12" t="e">
        <f>VLOOKUP(A151,'Données projet'!$A$113:$I$133,2,0)</f>
        <v>#N/A</v>
      </c>
      <c r="BW151" s="12" t="e">
        <f>VLOOKUP(A151,'Données projet'!$A$113:$I$133,9,0)</f>
        <v>#N/A</v>
      </c>
      <c r="BX151" s="12">
        <f t="array" ref="BX151">INDEX(BW:BW,MIN(IF(ISNUMBER(BW151:BW347),ROW(BW151:BW347),"")))</f>
        <v>0</v>
      </c>
      <c r="BY151" s="12">
        <f>IF('Données projet'!$A$114&gt;35,BY150+BX151-CG150,IF(A151&lt;'Données projet'!$A$114,$BV$205^A151,IF(A151='Données projet'!$A$114,'Données projet'!$B$114,BY150+BX151-CG150)))</f>
        <v>333.99999999999977</v>
      </c>
      <c r="BZ151" s="13">
        <f>BY151*VLOOKUP('Données projet'!$B$12,Paramètres!$A$1:$I$89,3,0)*VLOOKUP('Données projet'!$B$12,Paramètres!$A$1:$I$89,5,0)</f>
        <v>191.04799999999986</v>
      </c>
      <c r="CA151" s="13">
        <f t="shared" si="147"/>
        <v>47.771576544305155</v>
      </c>
      <c r="CB151" s="20">
        <f t="shared" si="118"/>
        <v>415.94409581466454</v>
      </c>
      <c r="CC151" s="59">
        <f t="shared" si="119"/>
        <v>709.27742914799785</v>
      </c>
      <c r="CD151" s="59">
        <f ca="1">AVERAGE(OFFSET($CC$3,0,0,'Données projet'!$E$12+1,1))-AVERAGE(OFFSET($H$3,0,0,'Données projet'!$E$12+1,1))</f>
        <v>188.64374818906128</v>
      </c>
      <c r="CE151" s="59">
        <f t="shared" si="148"/>
        <v>211.95157880548652</v>
      </c>
      <c r="CF151" s="15">
        <f>IF(ISNA(VLOOKUP(A151,'Données projet'!$A$113:$I$133,3,0)),0,VLOOKUP(A151,'Données projet'!$A$113:$I$133,3,0))</f>
        <v>0</v>
      </c>
      <c r="CG151" s="15">
        <f>IF(ISNA(VLOOKUP(A151,'Données projet'!$A$113:$I$133,4,0)),0,VLOOKUP(A151,'Données projet'!$A$113:$I$133,4,0))</f>
        <v>0</v>
      </c>
      <c r="CH151" s="16">
        <f>IF(ISNA(VLOOKUP(A151,'Données projet'!$A$113:$I$133,5,0)),0%,VLOOKUP(A151,'Données projet'!$A$113:$I$133,5,0)*VLOOKUP('Données projet'!$B$12,Paramètres!$A$1:$I$89,7,0))</f>
        <v>0</v>
      </c>
      <c r="CI151" s="16">
        <f>IF(ISNA(VLOOKUP(A151,'Données projet'!$A$113:$I$133,6,0)),0%,VLOOKUP(A151,'Données projet'!$A$113:$I$133,6,0)*VLOOKUP('Données projet'!$B$12,Paramètres!$A$1:$I$89,7,0))</f>
        <v>0</v>
      </c>
      <c r="CJ151" s="16">
        <f>IF(ISNA(VLOOKUP(A151,'Données projet'!$A$113:$I$133,7,0)),0%,VLOOKUP(A151,'Données projet'!$A$113:$I$133,7,0))</f>
        <v>0</v>
      </c>
      <c r="CK151" s="21">
        <f>EXP(-LN(2)/35)*CK150+(1-EXP(-LN(2)/35))/(LN(2)/35)*CG151*CH151*VLOOKUP('Données projet'!$B$12,Paramètres!$A$1:$I$89,3,0)*0.475*44/12</f>
        <v>0.23755723798031642</v>
      </c>
      <c r="CL151" s="21">
        <f>EXP(-LN(2)/25)*CL150+(1-EXP(-LN(2)/25))/(LN(2)/25)*Calculateur!CG151*Calculateur!CI151*VLOOKUP('Données projet'!$B$12,Paramètres!$A$1:$I$89,3,0)*0.475*44/12</f>
        <v>0.54526905727871533</v>
      </c>
      <c r="CM151" s="21">
        <f>EXP(-LN(2)/2)*CM150+(1-EXP(-LN(2)/2))/(LN(2)/2)*CG151*CJ151*VLOOKUP('Données projet'!$B$12,Paramètres!$A$1:$I$89,3,0)*0.475*44/12</f>
        <v>3.685686687053591E-17</v>
      </c>
      <c r="CN151" s="22">
        <f t="shared" si="120"/>
        <v>0.78282629525903169</v>
      </c>
      <c r="CO151" s="75">
        <f>('Scénario référence'!$F$8+'Scénario référence'!$F$9+'Scénario référence'!$B$17+'Scénario référence'!$B$9+'Scénario référence'!$B$10)*70+IF((45+25*(1-EXP(-0.0175*A151)))&lt;70,'Scénario référence'!$B$16*(45+25*(1-EXP(-0.0175*A151))),70*'Scénario référence'!$B$16)+IF((32+38*(1-EXP(-0.0175*A151)))&lt;70,'Scénario référence'!$B$18*(32+38*(1-EXP(-0.0175*A151))),70*'Scénario référence'!$B$18)</f>
        <v>70</v>
      </c>
      <c r="CP151" s="12">
        <f>IF(A151&gt;30,10,('Scénario référence'!$B$16+'Scénario référence'!$B$17+'Scénario référence'!$B$18+'Scénario référence'!$B$9+'Scénario référence'!$B$10)*A151*10/30+('Scénario référence'!$F$8+'Scénario référence'!$F$9)*10)</f>
        <v>10</v>
      </c>
      <c r="CQ151" s="12" t="e">
        <f>VLOOKUP(A151,'Données projet'!$A$139:$I$159,2,0)</f>
        <v>#N/A</v>
      </c>
      <c r="CR151" s="12" t="e">
        <f>VLOOKUP(A151,'Données projet'!$A$139:$I$159,9,0)</f>
        <v>#N/A</v>
      </c>
      <c r="CS151" s="12">
        <f t="array" ref="CS151">INDEX(CR:CR,MIN(IF(ISNUMBER(CR151:CR347),ROW(CR151:CR347),"")))</f>
        <v>0</v>
      </c>
      <c r="CT151" s="12">
        <f>IF('Données projet'!$A$140&gt;35,CT150+CS151-DB150,IF(A151&lt;'Données projet'!$A$140,$CQ$205^A151,IF(A151='Données projet'!$A$140,'Données projet'!$B$140,CT150+CS151-DB150)))</f>
        <v>0</v>
      </c>
      <c r="CU151" s="17" t="e">
        <f>CT151*VLOOKUP('Données projet'!$B$13,Paramètres!$A$1:$I$89,3,0)*VLOOKUP('Données projet'!$B$13,Paramètres!$A$1:$I$89,5,0)</f>
        <v>#N/A</v>
      </c>
      <c r="CV151" s="13" t="e">
        <f t="shared" si="149"/>
        <v>#N/A</v>
      </c>
      <c r="CW151" s="20" t="e">
        <f t="shared" si="121"/>
        <v>#N/A</v>
      </c>
      <c r="CX151" s="59" t="e">
        <f t="shared" si="122"/>
        <v>#N/A</v>
      </c>
      <c r="CY151" s="59" t="e">
        <f ca="1">AVERAGE(OFFSET($CX$3,0,0,'Données projet'!$E$13+1,1))-AVERAGE(OFFSET($H$3,0,0,'Données projet'!$E$13+1,1))</f>
        <v>#N/A</v>
      </c>
      <c r="CZ151" s="59" t="e">
        <f t="shared" si="150"/>
        <v>#N/A</v>
      </c>
      <c r="DA151" s="15">
        <f>IF(ISNA(VLOOKUP(A151,'Données projet'!$A$139:$I$159,3,0)),0,VLOOKUP(A151,'Données projet'!$A$139:$I$159,3,0))</f>
        <v>0</v>
      </c>
      <c r="DB151" s="15">
        <f>IF(ISNA(VLOOKUP(A151,'Données projet'!$A$139:$I$159,4,0)),0,VLOOKUP(A151,'Données projet'!$A$139:$I$159,4,0))</f>
        <v>0</v>
      </c>
      <c r="DC151" s="16">
        <f>IF(ISNA(VLOOKUP(A151,'Données projet'!$A$139:$I$159,5,0)),0%,VLOOKUP(A151,'Données projet'!$A$139:$I$159,5,0)*VLOOKUP('Données projet'!$B$13,Paramètres!$A$1:$I$89,7,0))</f>
        <v>0</v>
      </c>
      <c r="DD151" s="16">
        <f>IF(ISNA(VLOOKUP(A151,'Données projet'!$A$139:$I$159,6,0)),0%,VLOOKUP(A151,'Données projet'!$A$139:$I$159,6,0)*VLOOKUP('Données projet'!$B$13,Paramètres!$A$1:$I$89,7,0))</f>
        <v>0</v>
      </c>
      <c r="DE151" s="16">
        <f>IF(ISNA(VLOOKUP(A151,'Données projet'!$A$139:$I$159,7,0)),0%,VLOOKUP(A151,'Données projet'!$A$139:$I$159,7,0))</f>
        <v>0</v>
      </c>
      <c r="DF151" s="21" t="e">
        <f>EXP(-LN(2)/35)*DF150+(1-EXP(-LN(2)/35))/(LN(2)/35)*DB151*DC151*VLOOKUP('Données projet'!$B$13,Paramètres!$A$1:$I$89,3,0)*0.475*44/12</f>
        <v>#N/A</v>
      </c>
      <c r="DG151" s="21" t="e">
        <f>EXP(-LN(2)/25)*DG150+(1-EXP(-LN(2)/25))/(LN(2)/25)*Calculateur!DB151*Calculateur!DD151*VLOOKUP('Données projet'!$B$13,Paramètres!$A$1:$I$89,3,0)*0.475*44/12</f>
        <v>#N/A</v>
      </c>
      <c r="DH151" s="21" t="e">
        <f>EXP(-LN(2)/2)*DH150+(1-EXP(-LN(2)/2))/(LN(2)/2)*DB151*DE151*VLOOKUP('Données projet'!$B$13,Paramètres!$A$1:$I$89,3,0)*0.475*44/12</f>
        <v>#N/A</v>
      </c>
      <c r="DI151" s="22" t="e">
        <f t="shared" si="123"/>
        <v>#N/A</v>
      </c>
      <c r="DJ151" s="75">
        <f>('Scénario référence'!$F$8+'Scénario référence'!$F$9+'Scénario référence'!$B$17+'Scénario référence'!$B$9+'Scénario référence'!$B$10)*70+IF((45+25*(1-EXP(-0.0175*A151)))&lt;70,'Scénario référence'!$B$16*(45+25*(1-EXP(-0.0175*A151))),70*'Scénario référence'!$B$16)+IF((32+38*(1-EXP(-0.0175*A151)))&lt;70,'Scénario référence'!$B$18*(32+38*(1-EXP(-0.0175*A151))),70*'Scénario référence'!$B$18)</f>
        <v>70</v>
      </c>
      <c r="DK151" s="12">
        <f>IF(A151&gt;30,10,('Scénario référence'!$B$16+'Scénario référence'!$B$17+'Scénario référence'!$B$18+'Scénario référence'!$B$9+'Scénario référence'!$B$10)*A151*10/30+('Scénario référence'!$F$8+'Scénario référence'!$F$9)*10)</f>
        <v>10</v>
      </c>
      <c r="DL151" s="12" t="e">
        <f>VLOOKUP(A151,'Données projet'!$A$165:$I$185,2,0)</f>
        <v>#N/A</v>
      </c>
      <c r="DM151" s="12" t="e">
        <f>VLOOKUP(A151,'Données projet'!$A$165:$I$185,9,0)</f>
        <v>#N/A</v>
      </c>
      <c r="DN151" s="12">
        <f t="array" ref="DN151">INDEX(DM:DM,MIN(IF(ISNUMBER(DM151:DM347),ROW(DM151:DM347),"")))</f>
        <v>0</v>
      </c>
      <c r="DO151" s="12">
        <f>IF('Données projet'!$A$166&gt;35,DO150+DN151-DW150,IF(A151&lt;'Données projet'!$A$166,$DL$205^A151,IF(A151='Données projet'!$A$166,'Données projet'!$B$166,DO150+DN151-DW150)))</f>
        <v>268.00000000000017</v>
      </c>
      <c r="DP151" s="17">
        <f>DO151*VLOOKUP('Données projet'!$B$14,Paramètres!$A$1:$I$89,3,0)*VLOOKUP('Données projet'!$B$14,Paramètres!$A$1:$I$89,5,0)</f>
        <v>175.59360000000012</v>
      </c>
      <c r="DQ151" s="13">
        <f t="shared" si="151"/>
        <v>44.340433728638573</v>
      </c>
      <c r="DR151" s="20">
        <f t="shared" si="124"/>
        <v>383.05177541071242</v>
      </c>
      <c r="DS151" s="59">
        <f t="shared" si="125"/>
        <v>676.38510874404574</v>
      </c>
      <c r="DT151" s="59">
        <f ca="1">AVERAGE(OFFSET($DS$3,0,0,'Données projet'!$E$14+1,1))-AVERAGE(OFFSET($H$3,0,0,'Données projet'!$E$14+1,1))</f>
        <v>188.68915783955595</v>
      </c>
      <c r="DU151" s="59">
        <f t="shared" si="152"/>
        <v>240.82467772396944</v>
      </c>
      <c r="DV151" s="15">
        <f>IF(ISNA(VLOOKUP(A151,'Données projet'!$A$165:$I$185,3,0)),0,VLOOKUP(A151,'Données projet'!$A$165:$I$185,3,0))</f>
        <v>0</v>
      </c>
      <c r="DW151" s="15">
        <f>IF(ISNA(VLOOKUP(A151,'Données projet'!$A$165:$I$185,4,0)),0,VLOOKUP(A151,'Données projet'!$A$165:$I$185,4,0))</f>
        <v>0</v>
      </c>
      <c r="DX151" s="16">
        <f>IF(ISNA(VLOOKUP(A151,'Données projet'!$A$165:$I$185,5,0)),0%,VLOOKUP(A151,'Données projet'!$A$165:$I$185,5,0)*VLOOKUP('Données projet'!$B$14,Paramètres!$A$1:$I$89,7,0))</f>
        <v>0</v>
      </c>
      <c r="DY151" s="16">
        <f>IF(ISNA(VLOOKUP(A151,'Données projet'!$A$165:$I$185,6,0)),0%,VLOOKUP(A151,'Données projet'!$A$165:$I$185,6,0)*VLOOKUP('Données projet'!$B$14,Paramètres!$A$1:$I$89,7,0))</f>
        <v>0</v>
      </c>
      <c r="DZ151" s="16">
        <f>IF(ISNA(VLOOKUP(A151,'Données projet'!$A$165:$I$185,7,0)),0%,VLOOKUP(A151,'Données projet'!$A$165:$I$185,7,0))</f>
        <v>0</v>
      </c>
      <c r="EA151" s="21">
        <f>EXP(-LN(2)/35)*EA150+(1-EXP(-LN(2)/35))/(LN(2)/35)*DW151*DX151*VLOOKUP('Données projet'!$B$14,Paramètres!$A$1:$I$89,3,0)*0.475*44/12</f>
        <v>0.15047291378803701</v>
      </c>
      <c r="EB151" s="21">
        <f>EXP(-LN(2)/25)*EB150+(1-EXP(-LN(2)/25))/(LN(2)/25)*Calculateur!DW151*Calculateur!DY151*VLOOKUP('Données projet'!$B$14,Paramètres!$A$1:$I$89,3,0)*0.475*44/12</f>
        <v>0.30499168709910812</v>
      </c>
      <c r="EC151" s="21">
        <f>EXP(-LN(2)/2)*EC150+(1-EXP(-LN(2)/2))/(LN(2)/2)*DW151*DZ151*VLOOKUP('Données projet'!$B$14,Paramètres!$A$1:$I$89,3,0)*0.475*44/12</f>
        <v>2.4279897513022701E-17</v>
      </c>
      <c r="ED151" s="22">
        <f t="shared" si="126"/>
        <v>0.45546460088714513</v>
      </c>
      <c r="EE151" s="75">
        <f>('Scénario référence'!$F$8+'Scénario référence'!$F$9+'Scénario référence'!$B$17+'Scénario référence'!$B$9+'Scénario référence'!$B$10)*70+IF((45+25*(1-EXP(-0.0175*A151)))&lt;70,'Scénario référence'!$B$16*(45+25*(1-EXP(-0.0175*A151))),70*'Scénario référence'!$B$16)+IF((32+38*(1-EXP(-0.0175*A151)))&lt;70,'Scénario référence'!$B$18*(32+38*(1-EXP(-0.0175*A151))),70*'Scénario référence'!$B$18)</f>
        <v>70</v>
      </c>
      <c r="EF151" s="12">
        <f>IF(A151&gt;30,10,('Scénario référence'!$B$16+'Scénario référence'!$B$17+'Scénario référence'!$B$18+'Scénario référence'!$B$9+'Scénario référence'!$B$10)*A151*10/30+('Scénario référence'!$F$8+'Scénario référence'!$F$9)*10)</f>
        <v>10</v>
      </c>
      <c r="EG151" s="12" t="e">
        <f>VLOOKUP(A151,'Données projet'!$A$191:$I$211,2,0)</f>
        <v>#N/A</v>
      </c>
      <c r="EH151" s="12" t="e">
        <f>VLOOKUP(A151,'Données projet'!$A$191:$I$211,9,0)</f>
        <v>#N/A</v>
      </c>
      <c r="EI151" s="12">
        <f t="array" ref="EI151">INDEX(EH:EH,MIN(IF(ISNUMBER(EH151:EH347),ROW(EH151:EH347),"")))</f>
        <v>0</v>
      </c>
      <c r="EJ151" s="12">
        <f>IF('Données projet'!$A$192&gt;35,EJ150+EI151-ER150,IF(A151&lt;'Données projet'!$A$192,$EG$205^A151,IF(A151='Données projet'!$A$192,'Données projet'!$B$192,EJ150+EI151-ER150)))</f>
        <v>275.99999999999972</v>
      </c>
      <c r="EK151" s="17">
        <f>EJ151*VLOOKUP('Données projet'!$B$15,Paramètres!$A$1:$I$89,3,0)*VLOOKUP('Données projet'!$B$15,Paramètres!$A$1:$I$89,5,0)</f>
        <v>223.8911999999998</v>
      </c>
      <c r="EL151" s="13">
        <f t="shared" si="153"/>
        <v>54.95975389514858</v>
      </c>
      <c r="EM151" s="20">
        <f t="shared" si="127"/>
        <v>485.66541136738346</v>
      </c>
      <c r="EN151" s="59">
        <f t="shared" si="128"/>
        <v>778.99874470071677</v>
      </c>
      <c r="EO151" s="59">
        <f ca="1">AVERAGE(OFFSET($EN$3,0,0,'Données projet'!$E$15+1,1))-AVERAGE(OFFSET($H$3,0,0,'Données projet'!$E$15+1,1))</f>
        <v>205.5272583787887</v>
      </c>
      <c r="EP151" s="59">
        <f t="shared" si="154"/>
        <v>180.54762778843178</v>
      </c>
      <c r="EQ151" s="15">
        <f>IF(ISNA(VLOOKUP(A151,'Données projet'!$A$191:$I$211,3,0)),0,VLOOKUP(A151,'Données projet'!$A$191:$I$211,3,0))</f>
        <v>0</v>
      </c>
      <c r="ER151" s="15">
        <f>IF(ISNA(VLOOKUP(A151,'Données projet'!$A$191:$I$211,4,0)),0,VLOOKUP(A151,'Données projet'!$A$191:$I$211,4,0))</f>
        <v>0</v>
      </c>
      <c r="ES151" s="16">
        <f>IF(ISNA(VLOOKUP(A151,'Données projet'!$A$191:$I$211,5,0)),0%,VLOOKUP(A151,'Données projet'!$A$191:$I$211,5,0)*VLOOKUP('Données projet'!$B$15,Paramètres!$A$1:$I$89,7,0))</f>
        <v>0</v>
      </c>
      <c r="ET151" s="16">
        <f>IF(ISNA(VLOOKUP(A151,'Données projet'!$A$191:$I$211,6,0)),0%,VLOOKUP(A151,'Données projet'!$A$191:$I$211,6,0)*VLOOKUP('Données projet'!$B$15,Paramètres!$A$1:$I$89,7,0))</f>
        <v>0</v>
      </c>
      <c r="EU151" s="16">
        <f>IF(ISNA(VLOOKUP(A151,'Données projet'!$A$191:$I$211,7,0)),0%,VLOOKUP(A151,'Données projet'!$A$191:$I$211,7,0))</f>
        <v>0</v>
      </c>
      <c r="EV151" s="21">
        <f>EXP(-LN(2)/35)*EV150+(1-EXP(-LN(2)/35))/(LN(2)/35)*ER151*ES151*VLOOKUP('Données projet'!$B$15,Paramètres!$A$1:$I$89,3,0)*0.475*44/12</f>
        <v>9.6875894972107676E-2</v>
      </c>
      <c r="EW151" s="21">
        <f>EXP(-LN(2)/25)*EW150+(1-EXP(-LN(2)/25))/(LN(2)/25)*Calculateur!ER151*Calculateur!ET151*VLOOKUP('Données projet'!$B$15,Paramètres!$A$1:$I$89,3,0)*0.475*44/12</f>
        <v>0.2202132503026645</v>
      </c>
      <c r="EX151" s="21">
        <f>EXP(-LN(2)/2)*EX150+(1-EXP(-LN(2)/2))/(LN(2)/2)*ER151*EU151*VLOOKUP('Données projet'!$B$15,Paramètres!$A$1:$I$89,3,0)*0.475*44/12</f>
        <v>1.5721251592874697E-17</v>
      </c>
      <c r="EY151" s="22">
        <f t="shared" si="129"/>
        <v>0.31708914527477217</v>
      </c>
      <c r="EZ151" s="75">
        <f>('Scénario référence'!$F$8+'Scénario référence'!$F$9+'Scénario référence'!$B$17+'Scénario référence'!$B$9+'Scénario référence'!$B$10)*70+IF((45+25*(1-EXP(-0.0175*A151)))&lt;70,'Scénario référence'!$B$16*(45+25*(1-EXP(-0.0175*A151))),70*'Scénario référence'!$B$16)+IF((32+38*(1-EXP(-0.0175*A151)))&lt;70,'Scénario référence'!$B$18*(32+38*(1-EXP(-0.0175*A151))),70*'Scénario référence'!$B$18)</f>
        <v>70</v>
      </c>
      <c r="FA151" s="12">
        <f>IF(A151&gt;30,10,('Scénario référence'!$B$16+'Scénario référence'!$B$17+'Scénario référence'!$B$18+'Scénario référence'!$B$9+'Scénario référence'!$B$10)*A151*10/30+('Scénario référence'!$F$8+'Scénario référence'!$F$9)*10)</f>
        <v>10</v>
      </c>
      <c r="FB151" s="12" t="e">
        <f>VLOOKUP(A151,'Données projet'!$A$217:$I$237,2,0)</f>
        <v>#N/A</v>
      </c>
      <c r="FC151" s="12" t="e">
        <f>VLOOKUP(A151,'Données projet'!$A$217:$I$237,9,0)</f>
        <v>#N/A</v>
      </c>
      <c r="FD151" s="12">
        <f t="array" ref="FD151">INDEX(FC:FC,MIN(IF(ISNUMBER(FC151:FC347),ROW(FC151:FC347),"")))</f>
        <v>4.7</v>
      </c>
      <c r="FE151" s="12">
        <f>IF('Données projet'!$A$218&gt;35,FE150+FD151-FM150,IF(A151&lt;'Données projet'!$A$218,$FB$205^A151,IF(A151='Données projet'!$A$218,'Données projet'!$B$218,FE150+FD151-FM150)))</f>
        <v>449.59999999999985</v>
      </c>
      <c r="FF151" s="17">
        <f>FE151*VLOOKUP('Données projet'!$B$16,Paramètres!$A$1:$I$89,3,0)*VLOOKUP('Données projet'!$B$16,Paramètres!$A$1:$I$89,5,0)</f>
        <v>385.75679999999994</v>
      </c>
      <c r="FG151" s="13">
        <f t="shared" si="155"/>
        <v>88.883009980379086</v>
      </c>
      <c r="FH151" s="20">
        <f t="shared" si="130"/>
        <v>826.66433571582672</v>
      </c>
      <c r="FI151" s="59">
        <f t="shared" si="131"/>
        <v>1119.9976690491601</v>
      </c>
      <c r="FJ151" s="59">
        <f ca="1">AVERAGE(OFFSET($FI$3,0,0,'Données projet'!$E$16+1,1))-AVERAGE(OFFSET($H$3,0,0,'Données projet'!$E$16+1,1))</f>
        <v>383.97627237444709</v>
      </c>
      <c r="FK151" s="59">
        <f t="shared" si="156"/>
        <v>203.35476578922339</v>
      </c>
      <c r="FL151" s="15">
        <f>IF(ISNA(VLOOKUP(A151,'Données projet'!$A$217:$I$237,3,0)),0,VLOOKUP(A151,'Données projet'!$A$217:$I$237,3,0))</f>
        <v>0</v>
      </c>
      <c r="FM151" s="15">
        <f>IF(ISNA(VLOOKUP(A151,'Données projet'!$A$217:$I$237,4,0)),0,VLOOKUP(A151,'Données projet'!$A$217:$I$237,4,0))</f>
        <v>0</v>
      </c>
      <c r="FN151" s="16">
        <f>IF(ISNA(VLOOKUP(A151,'Données projet'!$A$217:$I$237,5,0)),0%,VLOOKUP(A151,'Données projet'!$A$217:$I$237,5,0)*VLOOKUP('Données projet'!$B$16,Paramètres!$A$1:$I$89,7,0))</f>
        <v>0</v>
      </c>
      <c r="FO151" s="16">
        <f>IF(ISNA(VLOOKUP(A151,'Données projet'!$A$217:$I$237,6,0)),0%,VLOOKUP(A151,'Données projet'!$A$217:$I$237,6,0)*VLOOKUP('Données projet'!$B$16,Paramètres!$A$1:$I$89,7,0))</f>
        <v>0</v>
      </c>
      <c r="FP151" s="16">
        <f>IF(ISNA(VLOOKUP(A151,'Données projet'!$A$217:$I$237,7,0)),0%,VLOOKUP(A151,'Données projet'!$A$217:$I$237,7,0))</f>
        <v>0</v>
      </c>
      <c r="FQ151" s="21">
        <f>EXP(-LN(2)/35)*FQ150+(1-EXP(-LN(2)/35))/(LN(2)/35)*FM151*FN151*VLOOKUP('Données projet'!$B$16,Paramètres!$A$1:$I$89,3,0)*0.475*44/12</f>
        <v>0.49788954295064519</v>
      </c>
      <c r="FR151" s="21">
        <f>EXP(-LN(2)/25)*FR150+(1-EXP(-LN(2)/25))/(LN(2)/25)*Calculateur!FM151*Calculateur!FO151*VLOOKUP('Données projet'!$B$16,Paramètres!$A$1:$I$89,3,0)*0.475*44/12</f>
        <v>0.22353921025978163</v>
      </c>
      <c r="FS151" s="21">
        <f>EXP(-LN(2)/2)*FS150+(1-EXP(-LN(2)/2))/(LN(2)/2)*FM151*FP151*VLOOKUP('Données projet'!$B$16,Paramètres!$A$1:$I$89,3,0)*0.475*44/12</f>
        <v>2.887671270814985E-17</v>
      </c>
      <c r="FT151" s="22">
        <f t="shared" si="132"/>
        <v>0.72142875321042688</v>
      </c>
      <c r="FU151" s="75">
        <f>('Scénario référence'!$F$8+'Scénario référence'!$F$9+'Scénario référence'!$B$17+'Scénario référence'!$B$9+'Scénario référence'!$B$10)*70+IF((45+25*(1-EXP(-0.0175*A151)))&lt;70,'Scénario référence'!$B$16*(45+25*(1-EXP(-0.0175*A151))),70*'Scénario référence'!$B$16)+IF((32+38*(1-EXP(-0.0175*A151)))&lt;70,'Scénario référence'!$B$18*(32+38*(1-EXP(-0.0175*A151))),70*'Scénario référence'!$B$18)</f>
        <v>70</v>
      </c>
      <c r="FV151" s="12">
        <f>IF(A151&gt;30,10,('Scénario référence'!$B$16+'Scénario référence'!$B$17+'Scénario référence'!$B$18+'Scénario référence'!$B$9+'Scénario référence'!$B$10)*A151*10/30+('Scénario référence'!$F$8+'Scénario référence'!$F$9)*10)</f>
        <v>10</v>
      </c>
      <c r="FW151" s="12" t="e">
        <f>VLOOKUP(A151,'Données projet'!$A$243:$I$263,2,0)</f>
        <v>#N/A</v>
      </c>
      <c r="FX151" s="12" t="e">
        <f>VLOOKUP(A151,'Données projet'!$A$243:$I$263,9,0)</f>
        <v>#N/A</v>
      </c>
      <c r="FY151" s="12">
        <f t="array" ref="FY151">INDEX(FX:FX,MIN(IF(ISNUMBER(FX151:FX347),ROW(FX151:FX347),"")))</f>
        <v>0</v>
      </c>
      <c r="FZ151" s="12">
        <f>IF('Données projet'!$A$244&gt;35,FZ150+FY151-GH150,IF(A151&lt;'Données projet'!$A$244,$FW$205^A151,IF(A151='Données projet'!$A$244,'Données projet'!$B$244,FZ150+FY151-GH150)))</f>
        <v>4.5474735088646412E-13</v>
      </c>
      <c r="GA151" s="17">
        <f>FZ151*VLOOKUP('Données projet'!$B$17,Paramètres!$A$1:$I$89,3,0)*VLOOKUP('Données projet'!$B$17,Paramètres!$A$1:$I$89,5,0)</f>
        <v>4.8949004849418999E-13</v>
      </c>
      <c r="GB151" s="13">
        <f t="shared" si="157"/>
        <v>6.1123715499968684E-12</v>
      </c>
      <c r="GC151" s="20">
        <f t="shared" si="133"/>
        <v>1.1498242284038591E-11</v>
      </c>
      <c r="GD151" s="59">
        <f t="shared" si="134"/>
        <v>293.3333333333448</v>
      </c>
      <c r="GE151" s="59">
        <f ca="1">AVERAGE(OFFSET($GD$3,0,0,'Données projet'!$E$17+1,1))-AVERAGE(OFFSET($H$3,0,0,'Données projet'!$E$17+1,1))</f>
        <v>286.77702855541287</v>
      </c>
      <c r="GF151" s="59">
        <f t="shared" si="158"/>
        <v>227.12211541860779</v>
      </c>
      <c r="GG151" s="15">
        <f>IF(ISNA(VLOOKUP(A151,'Données projet'!$A$243:$I$263,3,0)),0,VLOOKUP(A151,'Données projet'!$A$243:$I$263,3,0))</f>
        <v>0</v>
      </c>
      <c r="GH151" s="15">
        <f>IF(ISNA(VLOOKUP(A151,'Données projet'!$A$243:$I$263,4,0)),0,VLOOKUP(A151,'Données projet'!$A$243:$I$263,4,0))</f>
        <v>0</v>
      </c>
      <c r="GI151" s="16">
        <f>IF(ISNA(VLOOKUP(A151,'Données projet'!$A$243:$I$263,5,0)),0%,VLOOKUP(A151,'Données projet'!$A$243:$I$263,5,0)*VLOOKUP('Données projet'!$B$17,Paramètres!$A$1:$I$89,7,0))</f>
        <v>0</v>
      </c>
      <c r="GJ151" s="16">
        <f>IF(ISNA(VLOOKUP(A151,'Données projet'!$A$243:$I$263,6,0)),0%,VLOOKUP(A151,'Données projet'!$A$243:$I$263,6,0)*VLOOKUP('Données projet'!$B$17,Paramètres!$A$1:$I$89,7,0))</f>
        <v>0</v>
      </c>
      <c r="GK151" s="16">
        <f>IF(ISNA(VLOOKUP(A151,'Données projet'!$A$243:$I$263,7,0)),0%,VLOOKUP(A151,'Données projet'!$A$243:$I$263,7,0))</f>
        <v>0</v>
      </c>
      <c r="GL151" s="21">
        <f>EXP(-LN(2)/35)*GL150+(1-EXP(-LN(2)/35))/(LN(2)/35)*GH151*GI151*VLOOKUP('Données projet'!$B$17,Paramètres!$A$1:$I$89,3,0)*0.475*44/12</f>
        <v>0</v>
      </c>
      <c r="GM151" s="21">
        <f>EXP(-LN(2)/25)*GM150+(1-EXP(-LN(2)/25))/(LN(2)/25)*Calculateur!GH151*Calculateur!GJ151*VLOOKUP('Données projet'!$B$17,Paramètres!$A$1:$I$89,3,0)*0.475*44/12</f>
        <v>0</v>
      </c>
      <c r="GN151" s="21">
        <f>EXP(-LN(2)/2)*GN150+(1-EXP(-LN(2)/2))/(LN(2)/2)*GH151*GK151*VLOOKUP('Données projet'!$B$17,Paramètres!$A$1:$I$89,3,0)*0.475*44/12</f>
        <v>0</v>
      </c>
      <c r="GO151" s="21">
        <f t="shared" si="135"/>
        <v>0</v>
      </c>
      <c r="GP151" s="75">
        <f>('Scénario référence'!$F$8+'Scénario référence'!$F$9+'Scénario référence'!$B$17+'Scénario référence'!$B$9+'Scénario référence'!$B$10)*70+IF((45+25*(1-EXP(-0.0175*A151)))&lt;70,'Scénario référence'!$B$16*(45+25*(1-EXP(-0.0175*A151))),70*'Scénario référence'!$B$16)+IF((32+38*(1-EXP(-0.0175*A151)))&lt;70,'Scénario référence'!$B$18*(32+38*(1-EXP(-0.0175*A151))),70*'Scénario référence'!$B$18)</f>
        <v>70</v>
      </c>
      <c r="GQ151" s="12">
        <f>IF(A151&gt;30,10,('Scénario référence'!$B$16+'Scénario référence'!$B$17+'Scénario référence'!$B$18+'Scénario référence'!$B$9+'Scénario référence'!$B$10)*A151*10/30+('Scénario référence'!$F$8+'Scénario référence'!$F$9)*10)</f>
        <v>10</v>
      </c>
      <c r="GR151" s="12" t="e">
        <f>VLOOKUP(A151,'Données projet'!$A$269:$I$289,2,0)</f>
        <v>#N/A</v>
      </c>
      <c r="GS151" s="12" t="e">
        <f>VLOOKUP(A151,'Données projet'!$A$269:$I$289,9,0)</f>
        <v>#N/A</v>
      </c>
      <c r="GT151" s="12">
        <f t="array" ref="GT151">INDEX(GS:GS,MIN(IF(ISNUMBER(GS151:GS347),ROW(GS151:GS347),"")))</f>
        <v>0</v>
      </c>
      <c r="GU151" s="12">
        <f>IF('Données projet'!$A$270&gt;35,GU150+GT151-HC150,IF(A151&lt;'Données projet'!$A$270,$GR$205^A151,IF(A151='Données projet'!$A$270,'Données projet'!$B$270,GU150+GT151-HC150)))</f>
        <v>4.5474735088646412E-13</v>
      </c>
      <c r="GV151" s="17">
        <f>GU151*VLOOKUP('Données projet'!$B$18,Paramètres!$A$1:$I$89,3,0)*VLOOKUP('Données projet'!$B$18,Paramètres!$A$1:$I$89,5,0)</f>
        <v>4.8949004849418999E-13</v>
      </c>
      <c r="GW151" s="13">
        <f t="shared" si="159"/>
        <v>6.1123715499968684E-12</v>
      </c>
      <c r="GX151" s="20">
        <f t="shared" si="136"/>
        <v>1.1498242284038591E-11</v>
      </c>
      <c r="GY151" s="59">
        <f t="shared" si="137"/>
        <v>293.3333333333448</v>
      </c>
      <c r="GZ151" s="59">
        <f ca="1">AVERAGE(OFFSET($GY$3,0,0,'Données projet'!$E$18+1,1))-AVERAGE(OFFSET($H$3,0,0,'Données projet'!$E$18+1,1))</f>
        <v>286.77702855541287</v>
      </c>
      <c r="HA151" s="59">
        <f t="shared" si="160"/>
        <v>227.12211541860779</v>
      </c>
      <c r="HB151" s="15">
        <f>IF(ISNA(VLOOKUP(A151,'Données projet'!$A$269:$I$289,3,0)),0,VLOOKUP(A151,'Données projet'!$A$269:$I$289,3,0))</f>
        <v>0</v>
      </c>
      <c r="HC151" s="15">
        <f>IF(ISNA(VLOOKUP(A151,'Données projet'!$A$269:$I$289,4,0)),0,VLOOKUP(A151,'Données projet'!$A$269:$I$289,4,0))</f>
        <v>0</v>
      </c>
      <c r="HD151" s="16">
        <f>IF(ISNA(VLOOKUP(A151,'Données projet'!$A$269:$I$289,5,0)),0%,VLOOKUP(A151,'Données projet'!$A$269:$I$289,5,0)*VLOOKUP('Données projet'!$B$18,Paramètres!$A$1:$I$89,7,0))</f>
        <v>0</v>
      </c>
      <c r="HE151" s="16">
        <f>IF(ISNA(VLOOKUP(A151,'Données projet'!$A$269:$I$289,6,0)),0%,VLOOKUP(A151,'Données projet'!$A$269:$I$289,6,0)*VLOOKUP('Données projet'!$B$18,Paramètres!$A$1:$I$89,7,0))</f>
        <v>0</v>
      </c>
      <c r="HF151" s="16">
        <f>IF(ISNA(VLOOKUP(A151,'Données projet'!$A$269:$I$289,7,0)),0%,VLOOKUP(A151,'Données projet'!$A$269:$I$289,7,0))</f>
        <v>0</v>
      </c>
      <c r="HG151" s="21">
        <f>EXP(-LN(2)/35)*HG150+(1-EXP(-LN(2)/35))/(LN(2)/35)*HC151*HD151*VLOOKUP('Données projet'!$B$18,Paramètres!$A$1:$I$89,3,0)*0.475*44/12</f>
        <v>0</v>
      </c>
      <c r="HH151" s="21">
        <f>EXP(-LN(2)/25)*HH150+(1-EXP(-LN(2)/25))/(LN(2)/25)*Calculateur!HC151*Calculateur!HE151*VLOOKUP('Données projet'!$B$18,Paramètres!$A$1:$I$89,3,0)*0.475*44/12</f>
        <v>0</v>
      </c>
      <c r="HI151" s="21">
        <f>EXP(-LN(2)/2)*HI150+(1-EXP(-LN(2)/2))/(LN(2)/2)*HC151*HF151*VLOOKUP('Données projet'!$B$18,Paramètres!$A$1:$I$89,3,0)*0.475*44/12</f>
        <v>0</v>
      </c>
      <c r="HJ151" s="22">
        <f t="shared" si="138"/>
        <v>0</v>
      </c>
    </row>
    <row r="152" spans="1:218" x14ac:dyDescent="0.25">
      <c r="A152" s="10">
        <f t="shared" si="139"/>
        <v>149</v>
      </c>
      <c r="B152" s="73">
        <f>'Scénario référence'!$B$16*5+'Scénario référence'!$B$17*0+'Scénario référence'!$B$18*5</f>
        <v>0</v>
      </c>
      <c r="C152" s="19">
        <f>Calculateur!C151+'Scénario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132.49080000000018</v>
      </c>
      <c r="D152" s="11">
        <f t="shared" si="140"/>
        <v>34.571272807379401</v>
      </c>
      <c r="E15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52" s="11">
        <f>IF(OR('Scénario référence'!$F$8&gt;0,'Scénario référence'!$F$9&gt;0),('Scénario référence'!$F$8+'Scénario référence'!$F$9)*10,0)</f>
        <v>10</v>
      </c>
      <c r="G152" s="11">
        <f>'Scénario référence'!$B$8*B152*44/12+'Scénario référence'!$B$9*(C152+D152)/0.475*44/12+'Scénario référence'!$B$10*(C152+D152)/0.475*44/12+'Scénario référence'!$F$8*(C152+D152)/0.475*44/12+'Scénario référence'!$F$9*(C152+D152)/0.475*44/12</f>
        <v>1289.6019655306493</v>
      </c>
      <c r="H152" s="67">
        <f t="shared" si="110"/>
        <v>584.29977680618606</v>
      </c>
      <c r="I152" s="70">
        <f>('Scénario référence'!$F$8+'Scénario référence'!$F$9+'Scénario référence'!$B$17+'Scénario référence'!$B$9+'Scénario référence'!$B$10)*70+IF((45+25*(1-EXP(-0.0175*A152)))&lt;70,'Scénario référence'!$B$16*(45+25*(1-EXP(-0.0175*A152))),70*'Scénario référence'!$B$16)+IF((32+38*(1-EXP(-0.0175*A152)))&lt;70,'Scénario référence'!$B$18*(32+38*(1-EXP(-0.0175*A152))),70*'Scénario référence'!$B$18)</f>
        <v>70</v>
      </c>
      <c r="J152" s="13">
        <f>IF(A152&gt;30,10,('Scénario référence'!$B$16+'Scénario référence'!$B$17+'Scénario référence'!$B$18+'Scénario référence'!$B$9+'Scénario référence'!$B$10)*A152*10/30+('Scénario référence'!$F$8+'Scénario référence'!$F$9)*10)</f>
        <v>10</v>
      </c>
      <c r="K152" s="12" t="e">
        <f>VLOOKUP(A152,'Données projet'!$A$35:$I$55,2,0)</f>
        <v>#N/A</v>
      </c>
      <c r="L152" s="12" t="e">
        <f>VLOOKUP(A152,'Données projet'!$A$35:$I$55,9,0)</f>
        <v>#N/A</v>
      </c>
      <c r="M152" s="12">
        <f t="array" ref="M152">INDEX(L:L,MIN(IF(ISNUMBER(L152:L348),ROW(L152:L348),"")))</f>
        <v>0</v>
      </c>
      <c r="N152" s="13">
        <f>IF('Données projet'!$A$36&gt;35,N151+M152-V151,IF(A152&lt;'Données projet'!$A$36,$K$205^A152,IF(A152='Données projet'!$A$36,'Données projet'!$B$36,N151+M152-V151)))</f>
        <v>-2.2737367544323206E-13</v>
      </c>
      <c r="O152" s="13">
        <f>N152*VLOOKUP('Données projet'!$B$9,Paramètres!$A$1:$I$89,3,0)*VLOOKUP('Données projet'!$B$9,Paramètres!$A$1:$I$89,5,0)</f>
        <v>-1.2710188457276673E-13</v>
      </c>
      <c r="P152" s="13" t="e">
        <f t="shared" si="141"/>
        <v>#NUM!</v>
      </c>
      <c r="Q152" s="20" t="e">
        <f t="shared" si="108"/>
        <v>#NUM!</v>
      </c>
      <c r="R152" s="59" t="e">
        <f t="shared" si="109"/>
        <v>#NUM!</v>
      </c>
      <c r="S152" s="59">
        <f ca="1">AVERAGE(OFFSET($R$3,0,0,'Données projet'!$E$9+1,1))-AVERAGE(OFFSET($H$3,0,0,'Données projet'!$E$9+1,1))</f>
        <v>255.5374979188561</v>
      </c>
      <c r="T152" s="59">
        <f t="shared" si="142"/>
        <v>343.10418468620901</v>
      </c>
      <c r="U152" s="15">
        <f>IF(ISNA(VLOOKUP(A152,'Données projet'!$A$35:$I$55,3,0)),0,VLOOKUP(A152,'Données projet'!$A$35:$I$55,3,0))</f>
        <v>0</v>
      </c>
      <c r="V152" s="15">
        <f>IF(ISNA(VLOOKUP(A152,'Données projet'!$A$35:$I$55,4,0)),0,VLOOKUP(A152,'Données projet'!$A$35:$I$55,4,0))</f>
        <v>0</v>
      </c>
      <c r="W152" s="16">
        <f>IF(ISNA(VLOOKUP(A152,'Données projet'!$A$35:$I$55,5,0)),0%,VLOOKUP(A152,'Données projet'!$A$35:$I$55,5,0)*VLOOKUP('Données projet'!$B$9,Paramètres!$A$1:$I$89,7,0))</f>
        <v>0</v>
      </c>
      <c r="X152" s="16">
        <f>IF(ISNA(VLOOKUP(A152,'Données projet'!$A$35:$I$55,6,0)),0%,VLOOKUP(A152,'Données projet'!$A$35:$I$55,6,0)*VLOOKUP('Données projet'!$B$9,Paramètres!$A$1:$I$89,7,0))</f>
        <v>0</v>
      </c>
      <c r="Y152" s="16">
        <f>IF(ISNA(VLOOKUP(A152,'Données projet'!$A$35:$I$55,7,0)),0%,VLOOKUP(A152,'Données projet'!$A$35:$I$55,7,0))</f>
        <v>0</v>
      </c>
      <c r="Z152" s="21">
        <f>EXP(-LN(2)/35)*Z151+(1-EXP(-LN(2)/35))/(LN(2)/35)*V152*W152*VLOOKUP('Données projet'!$B$9,Paramètres!$A$1:$I$89,3,0)*0.475*44/12</f>
        <v>0.29272663139477023</v>
      </c>
      <c r="AA152" s="21">
        <f>EXP(-LN(2)/25)*AA151+(1-EXP(-LN(2)/25))/(LN(2)/25)*Calculateur!V152*Calculateur!X152*VLOOKUP('Données projet'!$B$9,Paramètres!$A$1:$I$89,3,0)*0.475*44/12</f>
        <v>0.58902965335500679</v>
      </c>
      <c r="AB152" s="21">
        <f>EXP(-LN(2)/2)*AB151+(1-EXP(-LN(2)/2))/(LN(2)/2)*V152*Y152*VLOOKUP('Données projet'!$B$9,Paramètres!$A$1:$I$89,3,0)*0.475*44/12</f>
        <v>2.0762658321298743E-18</v>
      </c>
      <c r="AC152" s="22">
        <f t="shared" si="111"/>
        <v>0.88175628474977708</v>
      </c>
      <c r="AD152" s="13">
        <f>('Scénario référence'!$F$8+'Scénario référence'!$F$9+'Scénario référence'!$B$17+'Scénario référence'!$B$9+'Scénario référence'!$B$10)*70+IF((45+25*(1-EXP(-0.0175*A152)))&lt;70,'Scénario référence'!$B$16*(45+25*(1-EXP(-0.0175*A152))),70*'Scénario référence'!$B$16)+IF((32+38*(1-EXP(-0.0175*A152)))&lt;70,'Scénario référence'!$B$18*(32+38*(1-EXP(-0.0175*A152))),70*'Scénario référence'!$B$18)</f>
        <v>70</v>
      </c>
      <c r="AE152" s="13">
        <f>IF(A152&gt;30,10,('Scénario référence'!$B$16+'Scénario référence'!$B$17+'Scénario référence'!$B$18+'Scénario référence'!$B$9+'Scénario référence'!$B$10)*A152*10/30+('Scénario référence'!$F$8+'Scénario référence'!$F$9)*10)</f>
        <v>10</v>
      </c>
      <c r="AF152" s="12" t="e">
        <f>VLOOKUP(A152,'Données projet'!$A$61:$I$81,2,0)</f>
        <v>#N/A</v>
      </c>
      <c r="AG152" s="12" t="e">
        <f>VLOOKUP(A152,'Données projet'!$A$61:$I$81,9,0)</f>
        <v>#N/A</v>
      </c>
      <c r="AH152" s="12">
        <f t="array" ref="AH152">INDEX(AG:AG,MIN(IF(ISNUMBER(AG152:AG348),ROW(AG152:AG348),"")))</f>
        <v>0</v>
      </c>
      <c r="AI152" s="13">
        <f>IF('Données projet'!$A$62&gt;35,AI151+AH152-AQ151,IF(A152&lt;'Données projet'!$A$62,$AF$205^A152,IF(A152='Données projet'!$A$62,'Données projet'!$B$62,AI151+AH152-AQ151)))</f>
        <v>0</v>
      </c>
      <c r="AJ152" s="13">
        <f>AI152*VLOOKUP('Données projet'!$B$10,Paramètres!$A$1:$I$89,3,0)*VLOOKUP('Données projet'!$B$10,Paramètres!$A$1:$I$89,5,0)</f>
        <v>0</v>
      </c>
      <c r="AK152" s="13" t="e">
        <f t="shared" si="143"/>
        <v>#NUM!</v>
      </c>
      <c r="AL152" s="20" t="e">
        <f t="shared" si="112"/>
        <v>#NUM!</v>
      </c>
      <c r="AM152" s="59" t="e">
        <f t="shared" si="113"/>
        <v>#NUM!</v>
      </c>
      <c r="AN152" s="59">
        <f ca="1">AVERAGE(OFFSET($AM$3,0,0,'Données projet'!$E$10+1,1))-AVERAGE(OFFSET($H$3,0,0,'Données projet'!$E$10+1,1))</f>
        <v>261.78489480911571</v>
      </c>
      <c r="AO152" s="59">
        <f t="shared" si="144"/>
        <v>297.50513563712764</v>
      </c>
      <c r="AP152" s="15">
        <f>IF(ISNA(VLOOKUP(A152,'Données projet'!$A$61:$I$81,3,0)),0,VLOOKUP(A152,'Données projet'!$A$61:$I$81,3,0))</f>
        <v>0</v>
      </c>
      <c r="AQ152" s="15">
        <f>IF(ISNA(VLOOKUP(A152,'Données projet'!$A$61:$I$81,4,0)),0,VLOOKUP(A152,'Données projet'!$A$61:$I$81,4,0))</f>
        <v>0</v>
      </c>
      <c r="AR152" s="16">
        <f>IF(ISNA(VLOOKUP(A152,'Données projet'!$A$61:$I$81,5,0)),0%,VLOOKUP(A152,'Données projet'!$A$61:$I$81,5,0)*VLOOKUP('Données projet'!$B$10,Paramètres!$A$1:$I$89,7,0))</f>
        <v>0</v>
      </c>
      <c r="AS152" s="16">
        <f>IF(ISNA(VLOOKUP(A152,'Données projet'!$A$61:$I$81,6,0)),0%,VLOOKUP(A152,'Données projet'!$A$61:$I$81,6,0)*VLOOKUP('Données projet'!$B$10,Paramètres!$A$1:$I$89,7,0))</f>
        <v>0</v>
      </c>
      <c r="AT152" s="16">
        <f>IF(ISNA(VLOOKUP(A152,'Données projet'!$A$61:$I$81,7,0)),0%,VLOOKUP(A152,'Données projet'!$A$61:$I$81,7,0))</f>
        <v>0</v>
      </c>
      <c r="AU152" s="21">
        <f>EXP(-LN(2)/35)*AU151+(1-EXP(-LN(2)/35))/(LN(2)/35)*AQ152*AR152*VLOOKUP('Données projet'!$B$10,Paramètres!$A$1:$I$89,3,0)*0.475*44/12</f>
        <v>0.79044470209644235</v>
      </c>
      <c r="AV152" s="21">
        <f>EXP(-LN(2)/25)*AV151+(1-EXP(-LN(2)/25))/(LN(2)/25)*Calculateur!AQ152*Calculateur!AS152*VLOOKUP('Données projet'!$B$10,Paramètres!$A$1:$I$89,3,0)*0.475*44/12</f>
        <v>1.0285659137611196</v>
      </c>
      <c r="AW152" s="21">
        <f>EXP(-LN(2)/2)*AW151+(1-EXP(-LN(2)/2))/(LN(2)/2)*AQ152*AT152*VLOOKUP('Données projet'!$B$10,Paramètres!$A$1:$I$89,3,0)*0.475*44/12</f>
        <v>2.9931348583567745E-17</v>
      </c>
      <c r="AX152" s="21">
        <f t="shared" si="114"/>
        <v>1.8190106158575619</v>
      </c>
      <c r="AY152" s="74">
        <f>('Scénario référence'!$F$8+'Scénario référence'!$F$9+'Scénario référence'!$B$17+'Scénario référence'!$B$9+'Scénario référence'!$B$10)*70+IF((45+25*(1-EXP(-0.0175*A152)))&lt;70,'Scénario référence'!$B$16*(45+25*(1-EXP(-0.0175*A152))),70*'Scénario référence'!$B$16)+IF((32+38*(1-EXP(-0.0175*A152)))&lt;70,'Scénario référence'!$B$18*(32+38*(1-EXP(-0.0175*A152))),70*'Scénario référence'!$B$18)</f>
        <v>70</v>
      </c>
      <c r="AZ152" s="12">
        <f>IF(A152&gt;30,10,('Scénario référence'!$B$16+'Scénario référence'!$B$17+'Scénario référence'!$B$18+'Scénario référence'!$B$9+'Scénario référence'!$B$10)*A152*10/30+('Scénario référence'!$F$8+'Scénario référence'!$F$9)*10)</f>
        <v>10</v>
      </c>
      <c r="BA152" s="12" t="e">
        <f>VLOOKUP(A152,'Données projet'!$A$87:$I$107,2,0)</f>
        <v>#N/A</v>
      </c>
      <c r="BB152" s="12" t="e">
        <f>VLOOKUP(A152,'Données projet'!$A$87:$I$107,9,0)</f>
        <v>#N/A</v>
      </c>
      <c r="BC152" s="12">
        <f t="array" ref="BC152">INDEX(BB:BB,MIN(IF(ISNUMBER(BB152:BB348),ROW(BB152:BB348),"")))</f>
        <v>0</v>
      </c>
      <c r="BD152" s="12">
        <f>IF('Données projet'!$A$88&gt;35,BD151+BC152-BL151,IF(A152&lt;'Données projet'!$A$88,$BA$205^A152,IF(A152='Données projet'!$A$88,'Données projet'!$B$88,BD151+BC152-BL151)))</f>
        <v>553.99999999999955</v>
      </c>
      <c r="BE152" s="13">
        <f>BD152*VLOOKUP('Données projet'!$B$11,Paramètres!$A$1:$I$89,3,0)*VLOOKUP('Données projet'!$B$11,Paramètres!$A$1:$I$89,5,0)</f>
        <v>331.29199999999975</v>
      </c>
      <c r="BF152" s="13">
        <f t="shared" si="145"/>
        <v>77.698110787752</v>
      </c>
      <c r="BG152" s="20">
        <f t="shared" si="115"/>
        <v>712.32444295533423</v>
      </c>
      <c r="BH152" s="59">
        <f t="shared" si="116"/>
        <v>1005.6577762886675</v>
      </c>
      <c r="BI152" s="59">
        <f ca="1">AVERAGE(OFFSET($BH$3,0,0,'Données projet'!$E$11+1,1))-AVERAGE(OFFSET($H$3,0,0,'Données projet'!$E$11+1,1))</f>
        <v>316.58509520829671</v>
      </c>
      <c r="BJ152" s="59">
        <f t="shared" si="146"/>
        <v>240.71332110643596</v>
      </c>
      <c r="BK152" s="15">
        <f>IF(ISNA(VLOOKUP(A152,'Données projet'!$A$87:$I$107,3,0)),0,VLOOKUP(A152,'Données projet'!$A$87:$I$107,3,0))</f>
        <v>0</v>
      </c>
      <c r="BL152" s="15">
        <f>IF(ISNA(VLOOKUP(A152,'Données projet'!$A$87:$I$107,4,0)),0,VLOOKUP(A152,'Données projet'!$A$87:$I$107,4,0))</f>
        <v>0</v>
      </c>
      <c r="BM152" s="16">
        <f>IF(ISNA(VLOOKUP(A152,'Données projet'!$A$87:$I$107,5,0)),0%,VLOOKUP(A152,'Données projet'!$A$87:$I$107,5,0)*VLOOKUP('Données projet'!$B$11,Paramètres!$A$1:$I$89,7,0))</f>
        <v>0</v>
      </c>
      <c r="BN152" s="16">
        <f>IF(ISNA(VLOOKUP(A152,'Données projet'!$A$87:$I$107,6,0)),0%,VLOOKUP(A152,'Données projet'!$A$87:$I$107,6,0)*VLOOKUP('Données projet'!$B$11,Paramètres!$A$1:$I$89,7,0))</f>
        <v>0</v>
      </c>
      <c r="BO152" s="16">
        <f>IF(ISNA(VLOOKUP(A152,'Données projet'!$A$87:$I$107,7,0)),0%,VLOOKUP(A152,'Données projet'!$A$87:$I$107,7,0))</f>
        <v>0</v>
      </c>
      <c r="BP152" s="21">
        <f>EXP(-LN(2)/35)*BP151+(1-EXP(-LN(2)/35))/(LN(2)/35)*BL152*BM152*VLOOKUP('Données projet'!$B$11,Paramètres!$A$1:$I$89,3,0)*0.475*44/12</f>
        <v>0.24010345954678039</v>
      </c>
      <c r="BQ152" s="21">
        <f>EXP(-LN(2)/25)*BQ151+(1-EXP(-LN(2)/25))/(LN(2)/25)*Calculateur!BL152*Calculateur!BN152*VLOOKUP('Données projet'!$B$11,Paramètres!$A$1:$I$89,3,0)*0.475*44/12</f>
        <v>0.56347841913334917</v>
      </c>
      <c r="BR152" s="21">
        <f>EXP(-LN(2)/2)*BR151+(1-EXP(-LN(2)/2))/(LN(2)/2)*BL152*BO152*VLOOKUP('Données projet'!$B$11,Paramètres!$A$1:$I$89,3,0)*0.475*44/12</f>
        <v>2.6911560236644077E-17</v>
      </c>
      <c r="BS152" s="22">
        <f t="shared" si="117"/>
        <v>0.80358187868012954</v>
      </c>
      <c r="BT152" s="75">
        <f>('Scénario référence'!$F$8+'Scénario référence'!$F$9+'Scénario référence'!$B$17+'Scénario référence'!$B$9+'Scénario référence'!$B$10)*70+IF((45+25*(1-EXP(-0.0175*A152)))&lt;70,'Scénario référence'!$B$16*(45+25*(1-EXP(-0.0175*A152))),70*'Scénario référence'!$B$16)+IF((32+38*(1-EXP(-0.0175*A152)))&lt;70,'Scénario référence'!$B$18*(32+38*(1-EXP(-0.0175*A152))),70*'Scénario référence'!$B$18)</f>
        <v>70</v>
      </c>
      <c r="BU152" s="12">
        <f>IF(A152&gt;30,10,('Scénario référence'!$B$16+'Scénario référence'!$B$17+'Scénario référence'!$B$18+'Scénario référence'!$B$9+'Scénario référence'!$B$10)*A152*10/30+('Scénario référence'!$F$8+'Scénario référence'!$F$9)*10)</f>
        <v>10</v>
      </c>
      <c r="BV152" s="12" t="e">
        <f>VLOOKUP(A152,'Données projet'!$A$113:$I$133,2,0)</f>
        <v>#N/A</v>
      </c>
      <c r="BW152" s="12" t="e">
        <f>VLOOKUP(A152,'Données projet'!$A$113:$I$133,9,0)</f>
        <v>#N/A</v>
      </c>
      <c r="BX152" s="12">
        <f t="array" ref="BX152">INDEX(BW:BW,MIN(IF(ISNUMBER(BW152:BW348),ROW(BW152:BW348),"")))</f>
        <v>0</v>
      </c>
      <c r="BY152" s="12">
        <f>IF('Données projet'!$A$114&gt;35,BY151+BX152-CG151,IF(A152&lt;'Données projet'!$A$114,$BV$205^A152,IF(A152='Données projet'!$A$114,'Données projet'!$B$114,BY151+BX152-CG151)))</f>
        <v>333.99999999999977</v>
      </c>
      <c r="BZ152" s="13">
        <f>BY152*VLOOKUP('Données projet'!$B$12,Paramètres!$A$1:$I$89,3,0)*VLOOKUP('Données projet'!$B$12,Paramètres!$A$1:$I$89,5,0)</f>
        <v>191.04799999999986</v>
      </c>
      <c r="CA152" s="13">
        <f t="shared" si="147"/>
        <v>47.771576544305155</v>
      </c>
      <c r="CB152" s="20">
        <f t="shared" si="118"/>
        <v>415.94409581466454</v>
      </c>
      <c r="CC152" s="59">
        <f t="shared" si="119"/>
        <v>709.27742914799785</v>
      </c>
      <c r="CD152" s="59">
        <f ca="1">AVERAGE(OFFSET($CC$3,0,0,'Données projet'!$E$12+1,1))-AVERAGE(OFFSET($H$3,0,0,'Données projet'!$E$12+1,1))</f>
        <v>188.64374818906128</v>
      </c>
      <c r="CE152" s="59">
        <f t="shared" si="148"/>
        <v>211.95157880548652</v>
      </c>
      <c r="CF152" s="15">
        <f>IF(ISNA(VLOOKUP(A152,'Données projet'!$A$113:$I$133,3,0)),0,VLOOKUP(A152,'Données projet'!$A$113:$I$133,3,0))</f>
        <v>0</v>
      </c>
      <c r="CG152" s="15">
        <f>IF(ISNA(VLOOKUP(A152,'Données projet'!$A$113:$I$133,4,0)),0,VLOOKUP(A152,'Données projet'!$A$113:$I$133,4,0))</f>
        <v>0</v>
      </c>
      <c r="CH152" s="16">
        <f>IF(ISNA(VLOOKUP(A152,'Données projet'!$A$113:$I$133,5,0)),0%,VLOOKUP(A152,'Données projet'!$A$113:$I$133,5,0)*VLOOKUP('Données projet'!$B$12,Paramètres!$A$1:$I$89,7,0))</f>
        <v>0</v>
      </c>
      <c r="CI152" s="16">
        <f>IF(ISNA(VLOOKUP(A152,'Données projet'!$A$113:$I$133,6,0)),0%,VLOOKUP(A152,'Données projet'!$A$113:$I$133,6,0)*VLOOKUP('Données projet'!$B$12,Paramètres!$A$1:$I$89,7,0))</f>
        <v>0</v>
      </c>
      <c r="CJ152" s="16">
        <f>IF(ISNA(VLOOKUP(A152,'Données projet'!$A$113:$I$133,7,0)),0%,VLOOKUP(A152,'Données projet'!$A$113:$I$133,7,0))</f>
        <v>0</v>
      </c>
      <c r="CK152" s="21">
        <f>EXP(-LN(2)/35)*CK151+(1-EXP(-LN(2)/35))/(LN(2)/35)*CG152*CH152*VLOOKUP('Données projet'!$B$12,Paramètres!$A$1:$I$89,3,0)*0.475*44/12</f>
        <v>0.23289888543913032</v>
      </c>
      <c r="CL152" s="21">
        <f>EXP(-LN(2)/25)*CL151+(1-EXP(-LN(2)/25))/(LN(2)/25)*Calculateur!CG152*Calculateur!CI152*VLOOKUP('Données projet'!$B$12,Paramètres!$A$1:$I$89,3,0)*0.475*44/12</f>
        <v>0.53035864623297535</v>
      </c>
      <c r="CM152" s="21">
        <f>EXP(-LN(2)/2)*CM151+(1-EXP(-LN(2)/2))/(LN(2)/2)*CG152*CJ152*VLOOKUP('Données projet'!$B$12,Paramètres!$A$1:$I$89,3,0)*0.475*44/12</f>
        <v>2.6061740497445749E-17</v>
      </c>
      <c r="CN152" s="22">
        <f t="shared" si="120"/>
        <v>0.76325753167210564</v>
      </c>
      <c r="CO152" s="75">
        <f>('Scénario référence'!$F$8+'Scénario référence'!$F$9+'Scénario référence'!$B$17+'Scénario référence'!$B$9+'Scénario référence'!$B$10)*70+IF((45+25*(1-EXP(-0.0175*A152)))&lt;70,'Scénario référence'!$B$16*(45+25*(1-EXP(-0.0175*A152))),70*'Scénario référence'!$B$16)+IF((32+38*(1-EXP(-0.0175*A152)))&lt;70,'Scénario référence'!$B$18*(32+38*(1-EXP(-0.0175*A152))),70*'Scénario référence'!$B$18)</f>
        <v>70</v>
      </c>
      <c r="CP152" s="12">
        <f>IF(A152&gt;30,10,('Scénario référence'!$B$16+'Scénario référence'!$B$17+'Scénario référence'!$B$18+'Scénario référence'!$B$9+'Scénario référence'!$B$10)*A152*10/30+('Scénario référence'!$F$8+'Scénario référence'!$F$9)*10)</f>
        <v>10</v>
      </c>
      <c r="CQ152" s="12" t="e">
        <f>VLOOKUP(A152,'Données projet'!$A$139:$I$159,2,0)</f>
        <v>#N/A</v>
      </c>
      <c r="CR152" s="12" t="e">
        <f>VLOOKUP(A152,'Données projet'!$A$139:$I$159,9,0)</f>
        <v>#N/A</v>
      </c>
      <c r="CS152" s="12">
        <f t="array" ref="CS152">INDEX(CR:CR,MIN(IF(ISNUMBER(CR152:CR348),ROW(CR152:CR348),"")))</f>
        <v>0</v>
      </c>
      <c r="CT152" s="12">
        <f>IF('Données projet'!$A$140&gt;35,CT151+CS152-DB151,IF(A152&lt;'Données projet'!$A$140,$CQ$205^A152,IF(A152='Données projet'!$A$140,'Données projet'!$B$140,CT151+CS152-DB151)))</f>
        <v>0</v>
      </c>
      <c r="CU152" s="17" t="e">
        <f>CT152*VLOOKUP('Données projet'!$B$13,Paramètres!$A$1:$I$89,3,0)*VLOOKUP('Données projet'!$B$13,Paramètres!$A$1:$I$89,5,0)</f>
        <v>#N/A</v>
      </c>
      <c r="CV152" s="13" t="e">
        <f t="shared" si="149"/>
        <v>#N/A</v>
      </c>
      <c r="CW152" s="20" t="e">
        <f t="shared" si="121"/>
        <v>#N/A</v>
      </c>
      <c r="CX152" s="59" t="e">
        <f t="shared" si="122"/>
        <v>#N/A</v>
      </c>
      <c r="CY152" s="59" t="e">
        <f ca="1">AVERAGE(OFFSET($CX$3,0,0,'Données projet'!$E$13+1,1))-AVERAGE(OFFSET($H$3,0,0,'Données projet'!$E$13+1,1))</f>
        <v>#N/A</v>
      </c>
      <c r="CZ152" s="59" t="e">
        <f t="shared" si="150"/>
        <v>#N/A</v>
      </c>
      <c r="DA152" s="15">
        <f>IF(ISNA(VLOOKUP(A152,'Données projet'!$A$139:$I$159,3,0)),0,VLOOKUP(A152,'Données projet'!$A$139:$I$159,3,0))</f>
        <v>0</v>
      </c>
      <c r="DB152" s="15">
        <f>IF(ISNA(VLOOKUP(A152,'Données projet'!$A$139:$I$159,4,0)),0,VLOOKUP(A152,'Données projet'!$A$139:$I$159,4,0))</f>
        <v>0</v>
      </c>
      <c r="DC152" s="16">
        <f>IF(ISNA(VLOOKUP(A152,'Données projet'!$A$139:$I$159,5,0)),0%,VLOOKUP(A152,'Données projet'!$A$139:$I$159,5,0)*VLOOKUP('Données projet'!$B$13,Paramètres!$A$1:$I$89,7,0))</f>
        <v>0</v>
      </c>
      <c r="DD152" s="16">
        <f>IF(ISNA(VLOOKUP(A152,'Données projet'!$A$139:$I$159,6,0)),0%,VLOOKUP(A152,'Données projet'!$A$139:$I$159,6,0)*VLOOKUP('Données projet'!$B$13,Paramètres!$A$1:$I$89,7,0))</f>
        <v>0</v>
      </c>
      <c r="DE152" s="16">
        <f>IF(ISNA(VLOOKUP(A152,'Données projet'!$A$139:$I$159,7,0)),0%,VLOOKUP(A152,'Données projet'!$A$139:$I$159,7,0))</f>
        <v>0</v>
      </c>
      <c r="DF152" s="21" t="e">
        <f>EXP(-LN(2)/35)*DF151+(1-EXP(-LN(2)/35))/(LN(2)/35)*DB152*DC152*VLOOKUP('Données projet'!$B$13,Paramètres!$A$1:$I$89,3,0)*0.475*44/12</f>
        <v>#N/A</v>
      </c>
      <c r="DG152" s="21" t="e">
        <f>EXP(-LN(2)/25)*DG151+(1-EXP(-LN(2)/25))/(LN(2)/25)*Calculateur!DB152*Calculateur!DD152*VLOOKUP('Données projet'!$B$13,Paramètres!$A$1:$I$89,3,0)*0.475*44/12</f>
        <v>#N/A</v>
      </c>
      <c r="DH152" s="21" t="e">
        <f>EXP(-LN(2)/2)*DH151+(1-EXP(-LN(2)/2))/(LN(2)/2)*DB152*DE152*VLOOKUP('Données projet'!$B$13,Paramètres!$A$1:$I$89,3,0)*0.475*44/12</f>
        <v>#N/A</v>
      </c>
      <c r="DI152" s="22" t="e">
        <f t="shared" si="123"/>
        <v>#N/A</v>
      </c>
      <c r="DJ152" s="75">
        <f>('Scénario référence'!$F$8+'Scénario référence'!$F$9+'Scénario référence'!$B$17+'Scénario référence'!$B$9+'Scénario référence'!$B$10)*70+IF((45+25*(1-EXP(-0.0175*A152)))&lt;70,'Scénario référence'!$B$16*(45+25*(1-EXP(-0.0175*A152))),70*'Scénario référence'!$B$16)+IF((32+38*(1-EXP(-0.0175*A152)))&lt;70,'Scénario référence'!$B$18*(32+38*(1-EXP(-0.0175*A152))),70*'Scénario référence'!$B$18)</f>
        <v>70</v>
      </c>
      <c r="DK152" s="12">
        <f>IF(A152&gt;30,10,('Scénario référence'!$B$16+'Scénario référence'!$B$17+'Scénario référence'!$B$18+'Scénario référence'!$B$9+'Scénario référence'!$B$10)*A152*10/30+('Scénario référence'!$F$8+'Scénario référence'!$F$9)*10)</f>
        <v>10</v>
      </c>
      <c r="DL152" s="12" t="e">
        <f>VLOOKUP(A152,'Données projet'!$A$165:$I$185,2,0)</f>
        <v>#N/A</v>
      </c>
      <c r="DM152" s="12" t="e">
        <f>VLOOKUP(A152,'Données projet'!$A$165:$I$185,9,0)</f>
        <v>#N/A</v>
      </c>
      <c r="DN152" s="12">
        <f t="array" ref="DN152">INDEX(DM:DM,MIN(IF(ISNUMBER(DM152:DM348),ROW(DM152:DM348),"")))</f>
        <v>0</v>
      </c>
      <c r="DO152" s="12">
        <f>IF('Données projet'!$A$166&gt;35,DO151+DN152-DW151,IF(A152&lt;'Données projet'!$A$166,$DL$205^A152,IF(A152='Données projet'!$A$166,'Données projet'!$B$166,DO151+DN152-DW151)))</f>
        <v>268.00000000000017</v>
      </c>
      <c r="DP152" s="17">
        <f>DO152*VLOOKUP('Données projet'!$B$14,Paramètres!$A$1:$I$89,3,0)*VLOOKUP('Données projet'!$B$14,Paramètres!$A$1:$I$89,5,0)</f>
        <v>175.59360000000012</v>
      </c>
      <c r="DQ152" s="13">
        <f t="shared" si="151"/>
        <v>44.340433728638573</v>
      </c>
      <c r="DR152" s="20">
        <f t="shared" si="124"/>
        <v>383.05177541071242</v>
      </c>
      <c r="DS152" s="59">
        <f t="shared" si="125"/>
        <v>676.38510874404574</v>
      </c>
      <c r="DT152" s="59">
        <f ca="1">AVERAGE(OFFSET($DS$3,0,0,'Données projet'!$E$14+1,1))-AVERAGE(OFFSET($H$3,0,0,'Données projet'!$E$14+1,1))</f>
        <v>188.68915783955595</v>
      </c>
      <c r="DU152" s="59">
        <f t="shared" si="152"/>
        <v>240.82467772396944</v>
      </c>
      <c r="DV152" s="15">
        <f>IF(ISNA(VLOOKUP(A152,'Données projet'!$A$165:$I$185,3,0)),0,VLOOKUP(A152,'Données projet'!$A$165:$I$185,3,0))</f>
        <v>0</v>
      </c>
      <c r="DW152" s="15">
        <f>IF(ISNA(VLOOKUP(A152,'Données projet'!$A$165:$I$185,4,0)),0,VLOOKUP(A152,'Données projet'!$A$165:$I$185,4,0))</f>
        <v>0</v>
      </c>
      <c r="DX152" s="16">
        <f>IF(ISNA(VLOOKUP(A152,'Données projet'!$A$165:$I$185,5,0)),0%,VLOOKUP(A152,'Données projet'!$A$165:$I$185,5,0)*VLOOKUP('Données projet'!$B$14,Paramètres!$A$1:$I$89,7,0))</f>
        <v>0</v>
      </c>
      <c r="DY152" s="16">
        <f>IF(ISNA(VLOOKUP(A152,'Données projet'!$A$165:$I$185,6,0)),0%,VLOOKUP(A152,'Données projet'!$A$165:$I$185,6,0)*VLOOKUP('Données projet'!$B$14,Paramètres!$A$1:$I$89,7,0))</f>
        <v>0</v>
      </c>
      <c r="DZ152" s="16">
        <f>IF(ISNA(VLOOKUP(A152,'Données projet'!$A$165:$I$185,7,0)),0%,VLOOKUP(A152,'Données projet'!$A$165:$I$185,7,0))</f>
        <v>0</v>
      </c>
      <c r="EA152" s="21">
        <f>EXP(-LN(2)/35)*EA151+(1-EXP(-LN(2)/35))/(LN(2)/35)*DW152*DX152*VLOOKUP('Données projet'!$B$14,Paramètres!$A$1:$I$89,3,0)*0.475*44/12</f>
        <v>0.14752223172806855</v>
      </c>
      <c r="EB152" s="21">
        <f>EXP(-LN(2)/25)*EB151+(1-EXP(-LN(2)/25))/(LN(2)/25)*Calculateur!DW152*Calculateur!DY152*VLOOKUP('Données projet'!$B$14,Paramètres!$A$1:$I$89,3,0)*0.475*44/12</f>
        <v>0.29665167337656723</v>
      </c>
      <c r="EC152" s="21">
        <f>EXP(-LN(2)/2)*EC151+(1-EXP(-LN(2)/2))/(LN(2)/2)*DW152*DZ152*VLOOKUP('Données projet'!$B$14,Paramètres!$A$1:$I$89,3,0)*0.475*44/12</f>
        <v>1.7168480177972742E-17</v>
      </c>
      <c r="ED152" s="22">
        <f t="shared" si="126"/>
        <v>0.44417390510463578</v>
      </c>
      <c r="EE152" s="75">
        <f>('Scénario référence'!$F$8+'Scénario référence'!$F$9+'Scénario référence'!$B$17+'Scénario référence'!$B$9+'Scénario référence'!$B$10)*70+IF((45+25*(1-EXP(-0.0175*A152)))&lt;70,'Scénario référence'!$B$16*(45+25*(1-EXP(-0.0175*A152))),70*'Scénario référence'!$B$16)+IF((32+38*(1-EXP(-0.0175*A152)))&lt;70,'Scénario référence'!$B$18*(32+38*(1-EXP(-0.0175*A152))),70*'Scénario référence'!$B$18)</f>
        <v>70</v>
      </c>
      <c r="EF152" s="12">
        <f>IF(A152&gt;30,10,('Scénario référence'!$B$16+'Scénario référence'!$B$17+'Scénario référence'!$B$18+'Scénario référence'!$B$9+'Scénario référence'!$B$10)*A152*10/30+('Scénario référence'!$F$8+'Scénario référence'!$F$9)*10)</f>
        <v>10</v>
      </c>
      <c r="EG152" s="12" t="e">
        <f>VLOOKUP(A152,'Données projet'!$A$191:$I$211,2,0)</f>
        <v>#N/A</v>
      </c>
      <c r="EH152" s="12" t="e">
        <f>VLOOKUP(A152,'Données projet'!$A$191:$I$211,9,0)</f>
        <v>#N/A</v>
      </c>
      <c r="EI152" s="12">
        <f t="array" ref="EI152">INDEX(EH:EH,MIN(IF(ISNUMBER(EH152:EH348),ROW(EH152:EH348),"")))</f>
        <v>0</v>
      </c>
      <c r="EJ152" s="12">
        <f>IF('Données projet'!$A$192&gt;35,EJ151+EI152-ER151,IF(A152&lt;'Données projet'!$A$192,$EG$205^A152,IF(A152='Données projet'!$A$192,'Données projet'!$B$192,EJ151+EI152-ER151)))</f>
        <v>275.99999999999972</v>
      </c>
      <c r="EK152" s="17">
        <f>EJ152*VLOOKUP('Données projet'!$B$15,Paramètres!$A$1:$I$89,3,0)*VLOOKUP('Données projet'!$B$15,Paramètres!$A$1:$I$89,5,0)</f>
        <v>223.8911999999998</v>
      </c>
      <c r="EL152" s="13">
        <f t="shared" si="153"/>
        <v>54.95975389514858</v>
      </c>
      <c r="EM152" s="20">
        <f t="shared" si="127"/>
        <v>485.66541136738346</v>
      </c>
      <c r="EN152" s="59">
        <f t="shared" si="128"/>
        <v>778.99874470071677</v>
      </c>
      <c r="EO152" s="59">
        <f ca="1">AVERAGE(OFFSET($EN$3,0,0,'Données projet'!$E$15+1,1))-AVERAGE(OFFSET($H$3,0,0,'Données projet'!$E$15+1,1))</f>
        <v>205.5272583787887</v>
      </c>
      <c r="EP152" s="59">
        <f t="shared" si="154"/>
        <v>180.54762778843178</v>
      </c>
      <c r="EQ152" s="15">
        <f>IF(ISNA(VLOOKUP(A152,'Données projet'!$A$191:$I$211,3,0)),0,VLOOKUP(A152,'Données projet'!$A$191:$I$211,3,0))</f>
        <v>0</v>
      </c>
      <c r="ER152" s="15">
        <f>IF(ISNA(VLOOKUP(A152,'Données projet'!$A$191:$I$211,4,0)),0,VLOOKUP(A152,'Données projet'!$A$191:$I$211,4,0))</f>
        <v>0</v>
      </c>
      <c r="ES152" s="16">
        <f>IF(ISNA(VLOOKUP(A152,'Données projet'!$A$191:$I$211,5,0)),0%,VLOOKUP(A152,'Données projet'!$A$191:$I$211,5,0)*VLOOKUP('Données projet'!$B$15,Paramètres!$A$1:$I$89,7,0))</f>
        <v>0</v>
      </c>
      <c r="ET152" s="16">
        <f>IF(ISNA(VLOOKUP(A152,'Données projet'!$A$191:$I$211,6,0)),0%,VLOOKUP(A152,'Données projet'!$A$191:$I$211,6,0)*VLOOKUP('Données projet'!$B$15,Paramètres!$A$1:$I$89,7,0))</f>
        <v>0</v>
      </c>
      <c r="EU152" s="16">
        <f>IF(ISNA(VLOOKUP(A152,'Données projet'!$A$191:$I$211,7,0)),0%,VLOOKUP(A152,'Données projet'!$A$191:$I$211,7,0))</f>
        <v>0</v>
      </c>
      <c r="EV152" s="21">
        <f>EXP(-LN(2)/35)*EV151+(1-EXP(-LN(2)/35))/(LN(2)/35)*ER152*ES152*VLOOKUP('Données projet'!$B$15,Paramètres!$A$1:$I$89,3,0)*0.475*44/12</f>
        <v>9.4976217760166071E-2</v>
      </c>
      <c r="EW152" s="21">
        <f>EXP(-LN(2)/25)*EW151+(1-EXP(-LN(2)/25))/(LN(2)/25)*Calculateur!ER152*Calculateur!ET152*VLOOKUP('Données projet'!$B$15,Paramètres!$A$1:$I$89,3,0)*0.475*44/12</f>
        <v>0.2141915073926266</v>
      </c>
      <c r="EX152" s="21">
        <f>EXP(-LN(2)/2)*EX151+(1-EXP(-LN(2)/2))/(LN(2)/2)*ER152*EU152*VLOOKUP('Données projet'!$B$15,Paramètres!$A$1:$I$89,3,0)*0.475*44/12</f>
        <v>1.111660361006151E-17</v>
      </c>
      <c r="EY152" s="22">
        <f t="shared" si="129"/>
        <v>0.30916772515279267</v>
      </c>
      <c r="EZ152" s="75">
        <f>('Scénario référence'!$F$8+'Scénario référence'!$F$9+'Scénario référence'!$B$17+'Scénario référence'!$B$9+'Scénario référence'!$B$10)*70+IF((45+25*(1-EXP(-0.0175*A152)))&lt;70,'Scénario référence'!$B$16*(45+25*(1-EXP(-0.0175*A152))),70*'Scénario référence'!$B$16)+IF((32+38*(1-EXP(-0.0175*A152)))&lt;70,'Scénario référence'!$B$18*(32+38*(1-EXP(-0.0175*A152))),70*'Scénario référence'!$B$18)</f>
        <v>70</v>
      </c>
      <c r="FA152" s="12">
        <f>IF(A152&gt;30,10,('Scénario référence'!$B$16+'Scénario référence'!$B$17+'Scénario référence'!$B$18+'Scénario référence'!$B$9+'Scénario référence'!$B$10)*A152*10/30+('Scénario référence'!$F$8+'Scénario référence'!$F$9)*10)</f>
        <v>10</v>
      </c>
      <c r="FB152" s="12" t="e">
        <f>VLOOKUP(A152,'Données projet'!$A$217:$I$237,2,0)</f>
        <v>#N/A</v>
      </c>
      <c r="FC152" s="12" t="e">
        <f>VLOOKUP(A152,'Données projet'!$A$217:$I$237,9,0)</f>
        <v>#N/A</v>
      </c>
      <c r="FD152" s="12">
        <f t="array" ref="FD152">INDEX(FC:FC,MIN(IF(ISNUMBER(FC152:FC348),ROW(FC152:FC348),"")))</f>
        <v>4.7</v>
      </c>
      <c r="FE152" s="12">
        <f>IF('Données projet'!$A$218&gt;35,FE151+FD152-FM151,IF(A152&lt;'Données projet'!$A$218,$FB$205^A152,IF(A152='Données projet'!$A$218,'Données projet'!$B$218,FE151+FD152-FM151)))</f>
        <v>454.29999999999984</v>
      </c>
      <c r="FF152" s="17">
        <f>FE152*VLOOKUP('Données projet'!$B$16,Paramètres!$A$1:$I$89,3,0)*VLOOKUP('Données projet'!$B$16,Paramètres!$A$1:$I$89,5,0)</f>
        <v>389.78939999999989</v>
      </c>
      <c r="FG152" s="13">
        <f t="shared" si="155"/>
        <v>89.703517811423225</v>
      </c>
      <c r="FH152" s="20">
        <f t="shared" si="130"/>
        <v>835.11683185489528</v>
      </c>
      <c r="FI152" s="59">
        <f t="shared" si="131"/>
        <v>1128.4501651882285</v>
      </c>
      <c r="FJ152" s="59">
        <f ca="1">AVERAGE(OFFSET($FI$3,0,0,'Données projet'!$E$16+1,1))-AVERAGE(OFFSET($H$3,0,0,'Données projet'!$E$16+1,1))</f>
        <v>383.97627237444709</v>
      </c>
      <c r="FK152" s="59">
        <f t="shared" si="156"/>
        <v>203.35476578922339</v>
      </c>
      <c r="FL152" s="15">
        <f>IF(ISNA(VLOOKUP(A152,'Données projet'!$A$217:$I$237,3,0)),0,VLOOKUP(A152,'Données projet'!$A$217:$I$237,3,0))</f>
        <v>0</v>
      </c>
      <c r="FM152" s="15">
        <f>IF(ISNA(VLOOKUP(A152,'Données projet'!$A$217:$I$237,4,0)),0,VLOOKUP(A152,'Données projet'!$A$217:$I$237,4,0))</f>
        <v>0</v>
      </c>
      <c r="FN152" s="16">
        <f>IF(ISNA(VLOOKUP(A152,'Données projet'!$A$217:$I$237,5,0)),0%,VLOOKUP(A152,'Données projet'!$A$217:$I$237,5,0)*VLOOKUP('Données projet'!$B$16,Paramètres!$A$1:$I$89,7,0))</f>
        <v>0</v>
      </c>
      <c r="FO152" s="16">
        <f>IF(ISNA(VLOOKUP(A152,'Données projet'!$A$217:$I$237,6,0)),0%,VLOOKUP(A152,'Données projet'!$A$217:$I$237,6,0)*VLOOKUP('Données projet'!$B$16,Paramètres!$A$1:$I$89,7,0))</f>
        <v>0</v>
      </c>
      <c r="FP152" s="16">
        <f>IF(ISNA(VLOOKUP(A152,'Données projet'!$A$217:$I$237,7,0)),0%,VLOOKUP(A152,'Données projet'!$A$217:$I$237,7,0))</f>
        <v>0</v>
      </c>
      <c r="FQ152" s="21">
        <f>EXP(-LN(2)/35)*FQ151+(1-EXP(-LN(2)/35))/(LN(2)/35)*FM152*FN152*VLOOKUP('Données projet'!$B$16,Paramètres!$A$1:$I$89,3,0)*0.475*44/12</f>
        <v>0.48812623269601807</v>
      </c>
      <c r="FR152" s="21">
        <f>EXP(-LN(2)/25)*FR151+(1-EXP(-LN(2)/25))/(LN(2)/25)*Calculateur!FM152*Calculateur!FO152*VLOOKUP('Données projet'!$B$16,Paramètres!$A$1:$I$89,3,0)*0.475*44/12</f>
        <v>0.21742651879981173</v>
      </c>
      <c r="FS152" s="21">
        <f>EXP(-LN(2)/2)*FS151+(1-EXP(-LN(2)/2))/(LN(2)/2)*FM152*FP152*VLOOKUP('Données projet'!$B$16,Paramètres!$A$1:$I$89,3,0)*0.475*44/12</f>
        <v>2.0418919374308512E-17</v>
      </c>
      <c r="FT152" s="22">
        <f t="shared" si="132"/>
        <v>0.70555275149582974</v>
      </c>
      <c r="FU152" s="75">
        <f>('Scénario référence'!$F$8+'Scénario référence'!$F$9+'Scénario référence'!$B$17+'Scénario référence'!$B$9+'Scénario référence'!$B$10)*70+IF((45+25*(1-EXP(-0.0175*A152)))&lt;70,'Scénario référence'!$B$16*(45+25*(1-EXP(-0.0175*A152))),70*'Scénario référence'!$B$16)+IF((32+38*(1-EXP(-0.0175*A152)))&lt;70,'Scénario référence'!$B$18*(32+38*(1-EXP(-0.0175*A152))),70*'Scénario référence'!$B$18)</f>
        <v>70</v>
      </c>
      <c r="FV152" s="12">
        <f>IF(A152&gt;30,10,('Scénario référence'!$B$16+'Scénario référence'!$B$17+'Scénario référence'!$B$18+'Scénario référence'!$B$9+'Scénario référence'!$B$10)*A152*10/30+('Scénario référence'!$F$8+'Scénario référence'!$F$9)*10)</f>
        <v>10</v>
      </c>
      <c r="FW152" s="12" t="e">
        <f>VLOOKUP(A152,'Données projet'!$A$243:$I$263,2,0)</f>
        <v>#N/A</v>
      </c>
      <c r="FX152" s="12" t="e">
        <f>VLOOKUP(A152,'Données projet'!$A$243:$I$263,9,0)</f>
        <v>#N/A</v>
      </c>
      <c r="FY152" s="12">
        <f t="array" ref="FY152">INDEX(FX:FX,MIN(IF(ISNUMBER(FX152:FX348),ROW(FX152:FX348),"")))</f>
        <v>0</v>
      </c>
      <c r="FZ152" s="12">
        <f>IF('Données projet'!$A$244&gt;35,FZ151+FY152-GH151,IF(A152&lt;'Données projet'!$A$244,$FW$205^A152,IF(A152='Données projet'!$A$244,'Données projet'!$B$244,FZ151+FY152-GH151)))</f>
        <v>4.5474735088646412E-13</v>
      </c>
      <c r="GA152" s="17">
        <f>FZ152*VLOOKUP('Données projet'!$B$17,Paramètres!$A$1:$I$89,3,0)*VLOOKUP('Données projet'!$B$17,Paramètres!$A$1:$I$89,5,0)</f>
        <v>4.8949004849418999E-13</v>
      </c>
      <c r="GB152" s="13">
        <f t="shared" si="157"/>
        <v>6.1123715499968684E-12</v>
      </c>
      <c r="GC152" s="20">
        <f t="shared" si="133"/>
        <v>1.1498242284038591E-11</v>
      </c>
      <c r="GD152" s="59">
        <f t="shared" si="134"/>
        <v>293.3333333333448</v>
      </c>
      <c r="GE152" s="59">
        <f ca="1">AVERAGE(OFFSET($GD$3,0,0,'Données projet'!$E$17+1,1))-AVERAGE(OFFSET($H$3,0,0,'Données projet'!$E$17+1,1))</f>
        <v>286.77702855541287</v>
      </c>
      <c r="GF152" s="59">
        <f t="shared" si="158"/>
        <v>227.12211541860779</v>
      </c>
      <c r="GG152" s="15">
        <f>IF(ISNA(VLOOKUP(A152,'Données projet'!$A$243:$I$263,3,0)),0,VLOOKUP(A152,'Données projet'!$A$243:$I$263,3,0))</f>
        <v>0</v>
      </c>
      <c r="GH152" s="15">
        <f>IF(ISNA(VLOOKUP(A152,'Données projet'!$A$243:$I$263,4,0)),0,VLOOKUP(A152,'Données projet'!$A$243:$I$263,4,0))</f>
        <v>0</v>
      </c>
      <c r="GI152" s="16">
        <f>IF(ISNA(VLOOKUP(A152,'Données projet'!$A$243:$I$263,5,0)),0%,VLOOKUP(A152,'Données projet'!$A$243:$I$263,5,0)*VLOOKUP('Données projet'!$B$17,Paramètres!$A$1:$I$89,7,0))</f>
        <v>0</v>
      </c>
      <c r="GJ152" s="16">
        <f>IF(ISNA(VLOOKUP(A152,'Données projet'!$A$243:$I$263,6,0)),0%,VLOOKUP(A152,'Données projet'!$A$243:$I$263,6,0)*VLOOKUP('Données projet'!$B$17,Paramètres!$A$1:$I$89,7,0))</f>
        <v>0</v>
      </c>
      <c r="GK152" s="16">
        <f>IF(ISNA(VLOOKUP(A152,'Données projet'!$A$243:$I$263,7,0)),0%,VLOOKUP(A152,'Données projet'!$A$243:$I$263,7,0))</f>
        <v>0</v>
      </c>
      <c r="GL152" s="21">
        <f>EXP(-LN(2)/35)*GL151+(1-EXP(-LN(2)/35))/(LN(2)/35)*GH152*GI152*VLOOKUP('Données projet'!$B$17,Paramètres!$A$1:$I$89,3,0)*0.475*44/12</f>
        <v>0</v>
      </c>
      <c r="GM152" s="21">
        <f>EXP(-LN(2)/25)*GM151+(1-EXP(-LN(2)/25))/(LN(2)/25)*Calculateur!GH152*Calculateur!GJ152*VLOOKUP('Données projet'!$B$17,Paramètres!$A$1:$I$89,3,0)*0.475*44/12</f>
        <v>0</v>
      </c>
      <c r="GN152" s="21">
        <f>EXP(-LN(2)/2)*GN151+(1-EXP(-LN(2)/2))/(LN(2)/2)*GH152*GK152*VLOOKUP('Données projet'!$B$17,Paramètres!$A$1:$I$89,3,0)*0.475*44/12</f>
        <v>0</v>
      </c>
      <c r="GO152" s="21">
        <f t="shared" si="135"/>
        <v>0</v>
      </c>
      <c r="GP152" s="75">
        <f>('Scénario référence'!$F$8+'Scénario référence'!$F$9+'Scénario référence'!$B$17+'Scénario référence'!$B$9+'Scénario référence'!$B$10)*70+IF((45+25*(1-EXP(-0.0175*A152)))&lt;70,'Scénario référence'!$B$16*(45+25*(1-EXP(-0.0175*A152))),70*'Scénario référence'!$B$16)+IF((32+38*(1-EXP(-0.0175*A152)))&lt;70,'Scénario référence'!$B$18*(32+38*(1-EXP(-0.0175*A152))),70*'Scénario référence'!$B$18)</f>
        <v>70</v>
      </c>
      <c r="GQ152" s="12">
        <f>IF(A152&gt;30,10,('Scénario référence'!$B$16+'Scénario référence'!$B$17+'Scénario référence'!$B$18+'Scénario référence'!$B$9+'Scénario référence'!$B$10)*A152*10/30+('Scénario référence'!$F$8+'Scénario référence'!$F$9)*10)</f>
        <v>10</v>
      </c>
      <c r="GR152" s="12" t="e">
        <f>VLOOKUP(A152,'Données projet'!$A$269:$I$289,2,0)</f>
        <v>#N/A</v>
      </c>
      <c r="GS152" s="12" t="e">
        <f>VLOOKUP(A152,'Données projet'!$A$269:$I$289,9,0)</f>
        <v>#N/A</v>
      </c>
      <c r="GT152" s="12">
        <f t="array" ref="GT152">INDEX(GS:GS,MIN(IF(ISNUMBER(GS152:GS348),ROW(GS152:GS348),"")))</f>
        <v>0</v>
      </c>
      <c r="GU152" s="12">
        <f>IF('Données projet'!$A$270&gt;35,GU151+GT152-HC151,IF(A152&lt;'Données projet'!$A$270,$GR$205^A152,IF(A152='Données projet'!$A$270,'Données projet'!$B$270,GU151+GT152-HC151)))</f>
        <v>4.5474735088646412E-13</v>
      </c>
      <c r="GV152" s="17">
        <f>GU152*VLOOKUP('Données projet'!$B$18,Paramètres!$A$1:$I$89,3,0)*VLOOKUP('Données projet'!$B$18,Paramètres!$A$1:$I$89,5,0)</f>
        <v>4.8949004849418999E-13</v>
      </c>
      <c r="GW152" s="13">
        <f t="shared" si="159"/>
        <v>6.1123715499968684E-12</v>
      </c>
      <c r="GX152" s="20">
        <f t="shared" si="136"/>
        <v>1.1498242284038591E-11</v>
      </c>
      <c r="GY152" s="59">
        <f t="shared" si="137"/>
        <v>293.3333333333448</v>
      </c>
      <c r="GZ152" s="59">
        <f ca="1">AVERAGE(OFFSET($GY$3,0,0,'Données projet'!$E$18+1,1))-AVERAGE(OFFSET($H$3,0,0,'Données projet'!$E$18+1,1))</f>
        <v>286.77702855541287</v>
      </c>
      <c r="HA152" s="59">
        <f t="shared" si="160"/>
        <v>227.12211541860779</v>
      </c>
      <c r="HB152" s="15">
        <f>IF(ISNA(VLOOKUP(A152,'Données projet'!$A$269:$I$289,3,0)),0,VLOOKUP(A152,'Données projet'!$A$269:$I$289,3,0))</f>
        <v>0</v>
      </c>
      <c r="HC152" s="15">
        <f>IF(ISNA(VLOOKUP(A152,'Données projet'!$A$269:$I$289,4,0)),0,VLOOKUP(A152,'Données projet'!$A$269:$I$289,4,0))</f>
        <v>0</v>
      </c>
      <c r="HD152" s="16">
        <f>IF(ISNA(VLOOKUP(A152,'Données projet'!$A$269:$I$289,5,0)),0%,VLOOKUP(A152,'Données projet'!$A$269:$I$289,5,0)*VLOOKUP('Données projet'!$B$18,Paramètres!$A$1:$I$89,7,0))</f>
        <v>0</v>
      </c>
      <c r="HE152" s="16">
        <f>IF(ISNA(VLOOKUP(A152,'Données projet'!$A$269:$I$289,6,0)),0%,VLOOKUP(A152,'Données projet'!$A$269:$I$289,6,0)*VLOOKUP('Données projet'!$B$18,Paramètres!$A$1:$I$89,7,0))</f>
        <v>0</v>
      </c>
      <c r="HF152" s="16">
        <f>IF(ISNA(VLOOKUP(A152,'Données projet'!$A$269:$I$289,7,0)),0%,VLOOKUP(A152,'Données projet'!$A$269:$I$289,7,0))</f>
        <v>0</v>
      </c>
      <c r="HG152" s="21">
        <f>EXP(-LN(2)/35)*HG151+(1-EXP(-LN(2)/35))/(LN(2)/35)*HC152*HD152*VLOOKUP('Données projet'!$B$18,Paramètres!$A$1:$I$89,3,0)*0.475*44/12</f>
        <v>0</v>
      </c>
      <c r="HH152" s="21">
        <f>EXP(-LN(2)/25)*HH151+(1-EXP(-LN(2)/25))/(LN(2)/25)*Calculateur!HC152*Calculateur!HE152*VLOOKUP('Données projet'!$B$18,Paramètres!$A$1:$I$89,3,0)*0.475*44/12</f>
        <v>0</v>
      </c>
      <c r="HI152" s="21">
        <f>EXP(-LN(2)/2)*HI151+(1-EXP(-LN(2)/2))/(LN(2)/2)*HC152*HF152*VLOOKUP('Données projet'!$B$18,Paramètres!$A$1:$I$89,3,0)*0.475*44/12</f>
        <v>0</v>
      </c>
      <c r="HJ152" s="22">
        <f t="shared" si="138"/>
        <v>0</v>
      </c>
    </row>
    <row r="153" spans="1:218" x14ac:dyDescent="0.25">
      <c r="A153" s="10">
        <f>A152+1</f>
        <v>150</v>
      </c>
      <c r="B153" s="73">
        <f>'Scénario référence'!$B$16*5+'Scénario référence'!$B$17*0+'Scénario référence'!$B$18*5</f>
        <v>0</v>
      </c>
      <c r="C153" s="19">
        <f>Calculateur!C152+'Scénario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133.38000000000017</v>
      </c>
      <c r="D153" s="11">
        <f t="shared" si="140"/>
        <v>34.776207535549027</v>
      </c>
      <c r="E15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53" s="11">
        <f>IF(OR('Scénario référence'!$F$8&gt;0,'Scénario référence'!$F$9&gt;0),('Scénario référence'!$F$8+'Scénario référence'!$F$9)*10,0)</f>
        <v>10</v>
      </c>
      <c r="G153" s="11">
        <f>'Scénario référence'!$B$8*B153*44/12+'Scénario référence'!$B$9*(C153+D153)/0.475*44/12+'Scénario référence'!$B$10*(C153+D153)/0.475*44/12+'Scénario référence'!$F$8*(C153+D153)/0.475*44/12+'Scénario référence'!$F$9*(C153+D153)/0.475*44/12</f>
        <v>1298.0479178182745</v>
      </c>
      <c r="H153" s="67">
        <f t="shared" si="110"/>
        <v>586.20539479108152</v>
      </c>
      <c r="I153" s="70">
        <f>('Scénario référence'!$F$8+'Scénario référence'!$F$9+'Scénario référence'!$B$17+'Scénario référence'!$B$9+'Scénario référence'!$B$10)*70+IF((45+25*(1-EXP(-0.0175*A153)))&lt;70,'Scénario référence'!$B$16*(45+25*(1-EXP(-0.0175*A153))),70*'Scénario référence'!$B$16)+IF((32+38*(1-EXP(-0.0175*A153)))&lt;70,'Scénario référence'!$B$18*(32+38*(1-EXP(-0.0175*A153))),70*'Scénario référence'!$B$18)</f>
        <v>70</v>
      </c>
      <c r="J153" s="13">
        <f>IF(A153&gt;30,10,('Scénario référence'!$B$16+'Scénario référence'!$B$17+'Scénario référence'!$B$18+'Scénario référence'!$B$9+'Scénario référence'!$B$10)*A153*10/30+('Scénario référence'!$F$8+'Scénario référence'!$F$9)*10)</f>
        <v>10</v>
      </c>
      <c r="K153" s="12" t="e">
        <f>VLOOKUP(A153,'Données projet'!$A$35:$I$55,2,0)</f>
        <v>#N/A</v>
      </c>
      <c r="L153" s="12" t="e">
        <f>VLOOKUP(A153,'Données projet'!$A$35:$I$55,9,0)</f>
        <v>#N/A</v>
      </c>
      <c r="M153" s="12">
        <f t="array" ref="M153">INDEX(L:L,MIN(IF(ISNUMBER(L153:L349),ROW(L153:L349),"")))</f>
        <v>0</v>
      </c>
      <c r="N153" s="13">
        <f>IF('Données projet'!$A$36&gt;35,N152+M153-V152,IF(A153&lt;'Données projet'!$A$36,$K$205^A153,IF(A153='Données projet'!$A$36,'Données projet'!$B$36,N152+M153-V152)))</f>
        <v>-2.2737367544323206E-13</v>
      </c>
      <c r="O153" s="13">
        <f>N153*VLOOKUP('Données projet'!$B$9,Paramètres!$A$1:$I$89,3,0)*VLOOKUP('Données projet'!$B$9,Paramètres!$A$1:$I$89,5,0)</f>
        <v>-1.2710188457276673E-13</v>
      </c>
      <c r="P153" s="13" t="e">
        <f t="shared" si="141"/>
        <v>#NUM!</v>
      </c>
      <c r="Q153" s="20" t="e">
        <f t="shared" si="108"/>
        <v>#NUM!</v>
      </c>
      <c r="R153" s="59" t="e">
        <f t="shared" si="109"/>
        <v>#NUM!</v>
      </c>
      <c r="S153" s="59">
        <f ca="1">AVERAGE(OFFSET($R$3,0,0,'Données projet'!$E$9+1,1))-AVERAGE(OFFSET($H$3,0,0,'Données projet'!$E$9+1,1))</f>
        <v>255.5374979188561</v>
      </c>
      <c r="T153" s="59">
        <f t="shared" si="142"/>
        <v>343.10418468620901</v>
      </c>
      <c r="U153" s="15">
        <f>IF(ISNA(VLOOKUP(A153,'Données projet'!$A$35:$I$55,3,0)),0,VLOOKUP(A153,'Données projet'!$A$35:$I$55,3,0))</f>
        <v>0</v>
      </c>
      <c r="V153" s="15">
        <f>IF(ISNA(VLOOKUP(A153,'Données projet'!$A$35:$I$55,4,0)),0,VLOOKUP(A153,'Données projet'!$A$35:$I$55,4,0))</f>
        <v>0</v>
      </c>
      <c r="W153" s="16">
        <f>IF(ISNA(VLOOKUP(A153,'Données projet'!$A$35:$I$55,5,0)),0%,VLOOKUP(A153,'Données projet'!$A$35:$I$55,5,0)*VLOOKUP('Données projet'!$B$9,Paramètres!$A$1:$I$89,7,0))</f>
        <v>0</v>
      </c>
      <c r="X153" s="16">
        <f>IF(ISNA(VLOOKUP(A153,'Données projet'!$A$35:$I$55,6,0)),0%,VLOOKUP(A153,'Données projet'!$A$35:$I$55,6,0)*VLOOKUP('Données projet'!$B$9,Paramètres!$A$1:$I$89,7,0))</f>
        <v>0</v>
      </c>
      <c r="Y153" s="16">
        <f>IF(ISNA(VLOOKUP(A153,'Données projet'!$A$35:$I$55,7,0)),0%,VLOOKUP(A153,'Données projet'!$A$35:$I$55,7,0))</f>
        <v>0</v>
      </c>
      <c r="Z153" s="21">
        <f>EXP(-LN(2)/35)*Z152+(1-EXP(-LN(2)/35))/(LN(2)/35)*V153*W153*VLOOKUP('Données projet'!$B$9,Paramètres!$A$1:$I$89,3,0)*0.475*44/12</f>
        <v>0.28698644069873402</v>
      </c>
      <c r="AA153" s="21">
        <f>EXP(-LN(2)/25)*AA152+(1-EXP(-LN(2)/25))/(LN(2)/25)*Calculateur!V153*Calculateur!X153*VLOOKUP('Données projet'!$B$9,Paramètres!$A$1:$I$89,3,0)*0.475*44/12</f>
        <v>0.57292260650829085</v>
      </c>
      <c r="AB153" s="21">
        <f>EXP(-LN(2)/2)*AB152+(1-EXP(-LN(2)/2))/(LN(2)/2)*V153*Y153*VLOOKUP('Données projet'!$B$9,Paramètres!$A$1:$I$89,3,0)*0.475*44/12</f>
        <v>1.4681416494449641E-18</v>
      </c>
      <c r="AC153" s="22">
        <f t="shared" si="111"/>
        <v>0.85990904720702488</v>
      </c>
      <c r="AD153" s="13">
        <f>('Scénario référence'!$F$8+'Scénario référence'!$F$9+'Scénario référence'!$B$17+'Scénario référence'!$B$9+'Scénario référence'!$B$10)*70+IF((45+25*(1-EXP(-0.0175*A153)))&lt;70,'Scénario référence'!$B$16*(45+25*(1-EXP(-0.0175*A153))),70*'Scénario référence'!$B$16)+IF((32+38*(1-EXP(-0.0175*A153)))&lt;70,'Scénario référence'!$B$18*(32+38*(1-EXP(-0.0175*A153))),70*'Scénario référence'!$B$18)</f>
        <v>70</v>
      </c>
      <c r="AE153" s="13">
        <f>IF(A153&gt;30,10,('Scénario référence'!$B$16+'Scénario référence'!$B$17+'Scénario référence'!$B$18+'Scénario référence'!$B$9+'Scénario référence'!$B$10)*A153*10/30+('Scénario référence'!$F$8+'Scénario référence'!$F$9)*10)</f>
        <v>10</v>
      </c>
      <c r="AF153" s="12" t="e">
        <f>VLOOKUP(A153,'Données projet'!$A$61:$I$81,2,0)</f>
        <v>#N/A</v>
      </c>
      <c r="AG153" s="12" t="e">
        <f>VLOOKUP(A153,'Données projet'!$A$61:$I$81,9,0)</f>
        <v>#N/A</v>
      </c>
      <c r="AH153" s="12">
        <f t="array" ref="AH153">INDEX(AG:AG,MIN(IF(ISNUMBER(AG153:AG349),ROW(AG153:AG349),"")))</f>
        <v>0</v>
      </c>
      <c r="AI153" s="13">
        <f>IF('Données projet'!$A$62&gt;35,AI152+AH153-AQ152,IF(A153&lt;'Données projet'!$A$62,$AF$205^A153,IF(A153='Données projet'!$A$62,'Données projet'!$B$62,AI152+AH153-AQ152)))</f>
        <v>0</v>
      </c>
      <c r="AJ153" s="13">
        <f>AI153*VLOOKUP('Données projet'!$B$10,Paramètres!$A$1:$I$89,3,0)*VLOOKUP('Données projet'!$B$10,Paramètres!$A$1:$I$89,5,0)</f>
        <v>0</v>
      </c>
      <c r="AK153" s="13" t="e">
        <f t="shared" si="143"/>
        <v>#NUM!</v>
      </c>
      <c r="AL153" s="20" t="e">
        <f t="shared" si="112"/>
        <v>#NUM!</v>
      </c>
      <c r="AM153" s="59" t="e">
        <f t="shared" si="113"/>
        <v>#NUM!</v>
      </c>
      <c r="AN153" s="59">
        <f ca="1">AVERAGE(OFFSET($AM$3,0,0,'Données projet'!$E$10+1,1))-AVERAGE(OFFSET($H$3,0,0,'Données projet'!$E$10+1,1))</f>
        <v>261.78489480911571</v>
      </c>
      <c r="AO153" s="59">
        <f t="shared" si="144"/>
        <v>297.50513563712764</v>
      </c>
      <c r="AP153" s="15">
        <f>IF(ISNA(VLOOKUP(A153,'Données projet'!$A$61:$I$81,3,0)),0,VLOOKUP(A153,'Données projet'!$A$61:$I$81,3,0))</f>
        <v>0</v>
      </c>
      <c r="AQ153" s="15">
        <f>IF(ISNA(VLOOKUP(A153,'Données projet'!$A$61:$I$81,4,0)),0,VLOOKUP(A153,'Données projet'!$A$61:$I$81,4,0))</f>
        <v>0</v>
      </c>
      <c r="AR153" s="16">
        <f>IF(ISNA(VLOOKUP(A153,'Données projet'!$A$61:$I$81,5,0)),0%,VLOOKUP(A153,'Données projet'!$A$61:$I$81,5,0)*VLOOKUP('Données projet'!$B$10,Paramètres!$A$1:$I$89,7,0))</f>
        <v>0</v>
      </c>
      <c r="AS153" s="16">
        <f>IF(ISNA(VLOOKUP(A153,'Données projet'!$A$61:$I$81,6,0)),0%,VLOOKUP(A153,'Données projet'!$A$61:$I$81,6,0)*VLOOKUP('Données projet'!$B$10,Paramètres!$A$1:$I$89,7,0))</f>
        <v>0</v>
      </c>
      <c r="AT153" s="16">
        <f>IF(ISNA(VLOOKUP(A153,'Données projet'!$A$61:$I$81,7,0)),0%,VLOOKUP(A153,'Données projet'!$A$61:$I$81,7,0))</f>
        <v>0</v>
      </c>
      <c r="AU153" s="21">
        <f>EXP(-LN(2)/35)*AU152+(1-EXP(-LN(2)/35))/(LN(2)/35)*AQ153*AR153*VLOOKUP('Données projet'!$B$10,Paramètres!$A$1:$I$89,3,0)*0.475*44/12</f>
        <v>0.7749445636119936</v>
      </c>
      <c r="AV153" s="21">
        <f>EXP(-LN(2)/25)*AV152+(1-EXP(-LN(2)/25))/(LN(2)/25)*Calculateur!AQ153*Calculateur!AS153*VLOOKUP('Données projet'!$B$10,Paramètres!$A$1:$I$89,3,0)*0.475*44/12</f>
        <v>1.0004397247593912</v>
      </c>
      <c r="AW153" s="21">
        <f>EXP(-LN(2)/2)*AW152+(1-EXP(-LN(2)/2))/(LN(2)/2)*AQ153*AT153*VLOOKUP('Données projet'!$B$10,Paramètres!$A$1:$I$89,3,0)*0.475*44/12</f>
        <v>2.1164659553499117E-17</v>
      </c>
      <c r="AX153" s="21">
        <f t="shared" si="114"/>
        <v>1.7753842883713848</v>
      </c>
      <c r="AY153" s="74">
        <f>('Scénario référence'!$F$8+'Scénario référence'!$F$9+'Scénario référence'!$B$17+'Scénario référence'!$B$9+'Scénario référence'!$B$10)*70+IF((45+25*(1-EXP(-0.0175*A153)))&lt;70,'Scénario référence'!$B$16*(45+25*(1-EXP(-0.0175*A153))),70*'Scénario référence'!$B$16)+IF((32+38*(1-EXP(-0.0175*A153)))&lt;70,'Scénario référence'!$B$18*(32+38*(1-EXP(-0.0175*A153))),70*'Scénario référence'!$B$18)</f>
        <v>70</v>
      </c>
      <c r="AZ153" s="12">
        <f>IF(A153&gt;30,10,('Scénario référence'!$B$16+'Scénario référence'!$B$17+'Scénario référence'!$B$18+'Scénario référence'!$B$9+'Scénario référence'!$B$10)*A153*10/30+('Scénario référence'!$F$8+'Scénario référence'!$F$9)*10)</f>
        <v>10</v>
      </c>
      <c r="BA153" s="12" t="e">
        <f>VLOOKUP(A153,'Données projet'!$A$87:$I$107,2,0)</f>
        <v>#N/A</v>
      </c>
      <c r="BB153" s="12" t="e">
        <f>VLOOKUP(A153,'Données projet'!$A$87:$I$107,9,0)</f>
        <v>#N/A</v>
      </c>
      <c r="BC153" s="12">
        <f t="array" ref="BC153">INDEX(BB:BB,MIN(IF(ISNUMBER(BB153:BB349),ROW(BB153:BB349),"")))</f>
        <v>0</v>
      </c>
      <c r="BD153" s="12">
        <f>IF('Données projet'!$A$88&gt;35,BD152+BC153-BL152,IF(A153&lt;'Données projet'!$A$88,$BA$205^A153,IF(A153='Données projet'!$A$88,'Données projet'!$B$88,BD152+BC153-BL152)))</f>
        <v>553.99999999999955</v>
      </c>
      <c r="BE153" s="13">
        <f>BD153*VLOOKUP('Données projet'!$B$11,Paramètres!$A$1:$I$89,3,0)*VLOOKUP('Données projet'!$B$11,Paramètres!$A$1:$I$89,5,0)</f>
        <v>331.29199999999975</v>
      </c>
      <c r="BF153" s="13">
        <f t="shared" si="145"/>
        <v>77.698110787752</v>
      </c>
      <c r="BG153" s="20">
        <f t="shared" si="115"/>
        <v>712.32444295533423</v>
      </c>
      <c r="BH153" s="59">
        <f t="shared" si="116"/>
        <v>1005.6577762886675</v>
      </c>
      <c r="BI153" s="59">
        <f ca="1">AVERAGE(OFFSET($BH$3,0,0,'Données projet'!$E$11+1,1))-AVERAGE(OFFSET($H$3,0,0,'Données projet'!$E$11+1,1))</f>
        <v>316.58509520829671</v>
      </c>
      <c r="BJ153" s="59">
        <f t="shared" si="146"/>
        <v>240.71332110643596</v>
      </c>
      <c r="BK153" s="15">
        <f>IF(ISNA(VLOOKUP(A153,'Données projet'!$A$87:$I$107,3,0)),0,VLOOKUP(A153,'Données projet'!$A$87:$I$107,3,0))</f>
        <v>0</v>
      </c>
      <c r="BL153" s="15">
        <f>IF(ISNA(VLOOKUP(A153,'Données projet'!$A$87:$I$107,4,0)),0,VLOOKUP(A153,'Données projet'!$A$87:$I$107,4,0))</f>
        <v>0</v>
      </c>
      <c r="BM153" s="16">
        <f>IF(ISNA(VLOOKUP(A153,'Données projet'!$A$87:$I$107,5,0)),0%,VLOOKUP(A153,'Données projet'!$A$87:$I$107,5,0)*VLOOKUP('Données projet'!$B$11,Paramètres!$A$1:$I$89,7,0))</f>
        <v>0</v>
      </c>
      <c r="BN153" s="16">
        <f>IF(ISNA(VLOOKUP(A153,'Données projet'!$A$87:$I$107,6,0)),0%,VLOOKUP(A153,'Données projet'!$A$87:$I$107,6,0)*VLOOKUP('Données projet'!$B$11,Paramètres!$A$1:$I$89,7,0))</f>
        <v>0</v>
      </c>
      <c r="BO153" s="16">
        <f>IF(ISNA(VLOOKUP(A153,'Données projet'!$A$87:$I$107,7,0)),0%,VLOOKUP(A153,'Données projet'!$A$87:$I$107,7,0))</f>
        <v>0</v>
      </c>
      <c r="BP153" s="21">
        <f>EXP(-LN(2)/35)*BP152+(1-EXP(-LN(2)/35))/(LN(2)/35)*BL153*BM153*VLOOKUP('Données projet'!$B$11,Paramètres!$A$1:$I$89,3,0)*0.475*44/12</f>
        <v>0.23539517715371774</v>
      </c>
      <c r="BQ153" s="21">
        <f>EXP(-LN(2)/25)*BQ152+(1-EXP(-LN(2)/25))/(LN(2)/25)*Calculateur!BL153*Calculateur!BN153*VLOOKUP('Données projet'!$B$11,Paramètres!$A$1:$I$89,3,0)*0.475*44/12</f>
        <v>0.5480700721301055</v>
      </c>
      <c r="BR153" s="21">
        <f>EXP(-LN(2)/2)*BR152+(1-EXP(-LN(2)/2))/(LN(2)/2)*BL153*BO153*VLOOKUP('Données projet'!$B$11,Paramètres!$A$1:$I$89,3,0)*0.475*44/12</f>
        <v>1.9029346735641276E-17</v>
      </c>
      <c r="BS153" s="22">
        <f t="shared" si="117"/>
        <v>0.78346524928382322</v>
      </c>
      <c r="BT153" s="75">
        <f>('Scénario référence'!$F$8+'Scénario référence'!$F$9+'Scénario référence'!$B$17+'Scénario référence'!$B$9+'Scénario référence'!$B$10)*70+IF((45+25*(1-EXP(-0.0175*A153)))&lt;70,'Scénario référence'!$B$16*(45+25*(1-EXP(-0.0175*A153))),70*'Scénario référence'!$B$16)+IF((32+38*(1-EXP(-0.0175*A153)))&lt;70,'Scénario référence'!$B$18*(32+38*(1-EXP(-0.0175*A153))),70*'Scénario référence'!$B$18)</f>
        <v>70</v>
      </c>
      <c r="BU153" s="12">
        <f>IF(A153&gt;30,10,('Scénario référence'!$B$16+'Scénario référence'!$B$17+'Scénario référence'!$B$18+'Scénario référence'!$B$9+'Scénario référence'!$B$10)*A153*10/30+('Scénario référence'!$F$8+'Scénario référence'!$F$9)*10)</f>
        <v>10</v>
      </c>
      <c r="BV153" s="12" t="e">
        <f>VLOOKUP(A153,'Données projet'!$A$113:$I$133,2,0)</f>
        <v>#N/A</v>
      </c>
      <c r="BW153" s="12" t="e">
        <f>VLOOKUP(A153,'Données projet'!$A$113:$I$133,9,0)</f>
        <v>#N/A</v>
      </c>
      <c r="BX153" s="12">
        <f t="array" ref="BX153">INDEX(BW:BW,MIN(IF(ISNUMBER(BW153:BW349),ROW(BW153:BW349),"")))</f>
        <v>0</v>
      </c>
      <c r="BY153" s="12">
        <f>IF('Données projet'!$A$114&gt;35,BY152+BX153-CG152,IF(A153&lt;'Données projet'!$A$114,$BV$205^A153,IF(A153='Données projet'!$A$114,'Données projet'!$B$114,BY152+BX153-CG152)))</f>
        <v>333.99999999999977</v>
      </c>
      <c r="BZ153" s="13">
        <f>BY153*VLOOKUP('Données projet'!$B$12,Paramètres!$A$1:$I$89,3,0)*VLOOKUP('Données projet'!$B$12,Paramètres!$A$1:$I$89,5,0)</f>
        <v>191.04799999999986</v>
      </c>
      <c r="CA153" s="13">
        <f t="shared" si="147"/>
        <v>47.771576544305155</v>
      </c>
      <c r="CB153" s="20">
        <f t="shared" si="118"/>
        <v>415.94409581466454</v>
      </c>
      <c r="CC153" s="59">
        <f t="shared" si="119"/>
        <v>709.27742914799785</v>
      </c>
      <c r="CD153" s="59">
        <f ca="1">AVERAGE(OFFSET($CC$3,0,0,'Données projet'!$E$12+1,1))-AVERAGE(OFFSET($H$3,0,0,'Données projet'!$E$12+1,1))</f>
        <v>188.64374818906128</v>
      </c>
      <c r="CE153" s="59">
        <f t="shared" si="148"/>
        <v>211.95157880548652</v>
      </c>
      <c r="CF153" s="15">
        <f>IF(ISNA(VLOOKUP(A153,'Données projet'!$A$113:$I$133,3,0)),0,VLOOKUP(A153,'Données projet'!$A$113:$I$133,3,0))</f>
        <v>0</v>
      </c>
      <c r="CG153" s="15">
        <f>IF(ISNA(VLOOKUP(A153,'Données projet'!$A$113:$I$133,4,0)),0,VLOOKUP(A153,'Données projet'!$A$113:$I$133,4,0))</f>
        <v>0</v>
      </c>
      <c r="CH153" s="16">
        <f>IF(ISNA(VLOOKUP(A153,'Données projet'!$A$113:$I$133,5,0)),0%,VLOOKUP(A153,'Données projet'!$A$113:$I$133,5,0)*VLOOKUP('Données projet'!$B$12,Paramètres!$A$1:$I$89,7,0))</f>
        <v>0</v>
      </c>
      <c r="CI153" s="16">
        <f>IF(ISNA(VLOOKUP(A153,'Données projet'!$A$113:$I$133,6,0)),0%,VLOOKUP(A153,'Données projet'!$A$113:$I$133,6,0)*VLOOKUP('Données projet'!$B$12,Paramètres!$A$1:$I$89,7,0))</f>
        <v>0</v>
      </c>
      <c r="CJ153" s="16">
        <f>IF(ISNA(VLOOKUP(A153,'Données projet'!$A$113:$I$133,7,0)),0%,VLOOKUP(A153,'Données projet'!$A$113:$I$133,7,0))</f>
        <v>0</v>
      </c>
      <c r="CK153" s="21">
        <f>EXP(-LN(2)/35)*CK152+(1-EXP(-LN(2)/35))/(LN(2)/35)*CG153*CH153*VLOOKUP('Données projet'!$B$12,Paramètres!$A$1:$I$89,3,0)*0.475*44/12</f>
        <v>0.22833188034996238</v>
      </c>
      <c r="CL153" s="21">
        <f>EXP(-LN(2)/25)*CL152+(1-EXP(-LN(2)/25))/(LN(2)/25)*Calculateur!CG153*Calculateur!CI153*VLOOKUP('Données projet'!$B$12,Paramètres!$A$1:$I$89,3,0)*0.475*44/12</f>
        <v>0.51585596116138555</v>
      </c>
      <c r="CM153" s="21">
        <f>EXP(-LN(2)/2)*CM152+(1-EXP(-LN(2)/2))/(LN(2)/2)*CG153*CJ153*VLOOKUP('Données projet'!$B$12,Paramètres!$A$1:$I$89,3,0)*0.475*44/12</f>
        <v>1.8428433435267955E-17</v>
      </c>
      <c r="CN153" s="22">
        <f t="shared" si="120"/>
        <v>0.74418784151134787</v>
      </c>
      <c r="CO153" s="75">
        <f>('Scénario référence'!$F$8+'Scénario référence'!$F$9+'Scénario référence'!$B$17+'Scénario référence'!$B$9+'Scénario référence'!$B$10)*70+IF((45+25*(1-EXP(-0.0175*A153)))&lt;70,'Scénario référence'!$B$16*(45+25*(1-EXP(-0.0175*A153))),70*'Scénario référence'!$B$16)+IF((32+38*(1-EXP(-0.0175*A153)))&lt;70,'Scénario référence'!$B$18*(32+38*(1-EXP(-0.0175*A153))),70*'Scénario référence'!$B$18)</f>
        <v>70</v>
      </c>
      <c r="CP153" s="12">
        <f>IF(A153&gt;30,10,('Scénario référence'!$B$16+'Scénario référence'!$B$17+'Scénario référence'!$B$18+'Scénario référence'!$B$9+'Scénario référence'!$B$10)*A153*10/30+('Scénario référence'!$F$8+'Scénario référence'!$F$9)*10)</f>
        <v>10</v>
      </c>
      <c r="CQ153" s="12" t="e">
        <f>VLOOKUP(A153,'Données projet'!$A$139:$I$159,2,0)</f>
        <v>#N/A</v>
      </c>
      <c r="CR153" s="12" t="e">
        <f>VLOOKUP(A153,'Données projet'!$A$139:$I$159,9,0)</f>
        <v>#N/A</v>
      </c>
      <c r="CS153" s="12">
        <f t="array" ref="CS153">INDEX(CR:CR,MIN(IF(ISNUMBER(CR153:CR349),ROW(CR153:CR349),"")))</f>
        <v>0</v>
      </c>
      <c r="CT153" s="12">
        <f>IF('Données projet'!$A$140&gt;35,CT152+CS153-DB152,IF(A153&lt;'Données projet'!$A$140,$CQ$205^A153,IF(A153='Données projet'!$A$140,'Données projet'!$B$140,CT152+CS153-DB152)))</f>
        <v>0</v>
      </c>
      <c r="CU153" s="17" t="e">
        <f>CT153*VLOOKUP('Données projet'!$B$13,Paramètres!$A$1:$I$89,3,0)*VLOOKUP('Données projet'!$B$13,Paramètres!$A$1:$I$89,5,0)</f>
        <v>#N/A</v>
      </c>
      <c r="CV153" s="13" t="e">
        <f t="shared" si="149"/>
        <v>#N/A</v>
      </c>
      <c r="CW153" s="20" t="e">
        <f t="shared" si="121"/>
        <v>#N/A</v>
      </c>
      <c r="CX153" s="59" t="e">
        <f t="shared" si="122"/>
        <v>#N/A</v>
      </c>
      <c r="CY153" s="59" t="e">
        <f ca="1">AVERAGE(OFFSET($CX$3,0,0,'Données projet'!$E$13+1,1))-AVERAGE(OFFSET($H$3,0,0,'Données projet'!$E$13+1,1))</f>
        <v>#N/A</v>
      </c>
      <c r="CZ153" s="59" t="e">
        <f t="shared" si="150"/>
        <v>#N/A</v>
      </c>
      <c r="DA153" s="15">
        <f>IF(ISNA(VLOOKUP(A153,'Données projet'!$A$139:$I$159,3,0)),0,VLOOKUP(A153,'Données projet'!$A$139:$I$159,3,0))</f>
        <v>0</v>
      </c>
      <c r="DB153" s="15">
        <f>IF(ISNA(VLOOKUP(A153,'Données projet'!$A$139:$I$159,4,0)),0,VLOOKUP(A153,'Données projet'!$A$139:$I$159,4,0))</f>
        <v>0</v>
      </c>
      <c r="DC153" s="16">
        <f>IF(ISNA(VLOOKUP(A153,'Données projet'!$A$139:$I$159,5,0)),0%,VLOOKUP(A153,'Données projet'!$A$139:$I$159,5,0)*VLOOKUP('Données projet'!$B$13,Paramètres!$A$1:$I$89,7,0))</f>
        <v>0</v>
      </c>
      <c r="DD153" s="16">
        <f>IF(ISNA(VLOOKUP(A153,'Données projet'!$A$139:$I$159,6,0)),0%,VLOOKUP(A153,'Données projet'!$A$139:$I$159,6,0)*VLOOKUP('Données projet'!$B$13,Paramètres!$A$1:$I$89,7,0))</f>
        <v>0</v>
      </c>
      <c r="DE153" s="16">
        <f>IF(ISNA(VLOOKUP(A153,'Données projet'!$A$139:$I$159,7,0)),0%,VLOOKUP(A153,'Données projet'!$A$139:$I$159,7,0))</f>
        <v>0</v>
      </c>
      <c r="DF153" s="21" t="e">
        <f>EXP(-LN(2)/35)*DF152+(1-EXP(-LN(2)/35))/(LN(2)/35)*DB153*DC153*VLOOKUP('Données projet'!$B$13,Paramètres!$A$1:$I$89,3,0)*0.475*44/12</f>
        <v>#N/A</v>
      </c>
      <c r="DG153" s="21" t="e">
        <f>EXP(-LN(2)/25)*DG152+(1-EXP(-LN(2)/25))/(LN(2)/25)*Calculateur!DB153*Calculateur!DD153*VLOOKUP('Données projet'!$B$13,Paramètres!$A$1:$I$89,3,0)*0.475*44/12</f>
        <v>#N/A</v>
      </c>
      <c r="DH153" s="21" t="e">
        <f>EXP(-LN(2)/2)*DH152+(1-EXP(-LN(2)/2))/(LN(2)/2)*DB153*DE153*VLOOKUP('Données projet'!$B$13,Paramètres!$A$1:$I$89,3,0)*0.475*44/12</f>
        <v>#N/A</v>
      </c>
      <c r="DI153" s="22" t="e">
        <f t="shared" si="123"/>
        <v>#N/A</v>
      </c>
      <c r="DJ153" s="75">
        <f>('Scénario référence'!$F$8+'Scénario référence'!$F$9+'Scénario référence'!$B$17+'Scénario référence'!$B$9+'Scénario référence'!$B$10)*70+IF((45+25*(1-EXP(-0.0175*A153)))&lt;70,'Scénario référence'!$B$16*(45+25*(1-EXP(-0.0175*A153))),70*'Scénario référence'!$B$16)+IF((32+38*(1-EXP(-0.0175*A153)))&lt;70,'Scénario référence'!$B$18*(32+38*(1-EXP(-0.0175*A153))),70*'Scénario référence'!$B$18)</f>
        <v>70</v>
      </c>
      <c r="DK153" s="12">
        <f>IF(A153&gt;30,10,('Scénario référence'!$B$16+'Scénario référence'!$B$17+'Scénario référence'!$B$18+'Scénario référence'!$B$9+'Scénario référence'!$B$10)*A153*10/30+('Scénario référence'!$F$8+'Scénario référence'!$F$9)*10)</f>
        <v>10</v>
      </c>
      <c r="DL153" s="12" t="e">
        <f>VLOOKUP(A153,'Données projet'!$A$165:$I$185,2,0)</f>
        <v>#N/A</v>
      </c>
      <c r="DM153" s="12" t="e">
        <f>VLOOKUP(A153,'Données projet'!$A$165:$I$185,9,0)</f>
        <v>#N/A</v>
      </c>
      <c r="DN153" s="12">
        <f t="array" ref="DN153">INDEX(DM:DM,MIN(IF(ISNUMBER(DM153:DM349),ROW(DM153:DM349),"")))</f>
        <v>0</v>
      </c>
      <c r="DO153" s="12">
        <f>IF('Données projet'!$A$166&gt;35,DO152+DN153-DW152,IF(A153&lt;'Données projet'!$A$166,$DL$205^A153,IF(A153='Données projet'!$A$166,'Données projet'!$B$166,DO152+DN153-DW152)))</f>
        <v>268.00000000000017</v>
      </c>
      <c r="DP153" s="17">
        <f>DO153*VLOOKUP('Données projet'!$B$14,Paramètres!$A$1:$I$89,3,0)*VLOOKUP('Données projet'!$B$14,Paramètres!$A$1:$I$89,5,0)</f>
        <v>175.59360000000012</v>
      </c>
      <c r="DQ153" s="13">
        <f t="shared" si="151"/>
        <v>44.340433728638573</v>
      </c>
      <c r="DR153" s="20">
        <f t="shared" si="124"/>
        <v>383.05177541071242</v>
      </c>
      <c r="DS153" s="59">
        <f t="shared" si="125"/>
        <v>676.38510874404574</v>
      </c>
      <c r="DT153" s="59">
        <f ca="1">AVERAGE(OFFSET($DS$3,0,0,'Données projet'!$E$14+1,1))-AVERAGE(OFFSET($H$3,0,0,'Données projet'!$E$14+1,1))</f>
        <v>188.68915783955595</v>
      </c>
      <c r="DU153" s="59">
        <f t="shared" si="152"/>
        <v>240.82467772396944</v>
      </c>
      <c r="DV153" s="15">
        <f>IF(ISNA(VLOOKUP(A153,'Données projet'!$A$165:$I$185,3,0)),0,VLOOKUP(A153,'Données projet'!$A$165:$I$185,3,0))</f>
        <v>0</v>
      </c>
      <c r="DW153" s="15">
        <f>IF(ISNA(VLOOKUP(A153,'Données projet'!$A$165:$I$185,4,0)),0,VLOOKUP(A153,'Données projet'!$A$165:$I$185,4,0))</f>
        <v>0</v>
      </c>
      <c r="DX153" s="16">
        <f>IF(ISNA(VLOOKUP(A153,'Données projet'!$A$165:$I$185,5,0)),0%,VLOOKUP(A153,'Données projet'!$A$165:$I$185,5,0)*VLOOKUP('Données projet'!$B$14,Paramètres!$A$1:$I$89,7,0))</f>
        <v>0</v>
      </c>
      <c r="DY153" s="16">
        <f>IF(ISNA(VLOOKUP(A153,'Données projet'!$A$165:$I$185,6,0)),0%,VLOOKUP(A153,'Données projet'!$A$165:$I$185,6,0)*VLOOKUP('Données projet'!$B$14,Paramètres!$A$1:$I$89,7,0))</f>
        <v>0</v>
      </c>
      <c r="DZ153" s="16">
        <f>IF(ISNA(VLOOKUP(A153,'Données projet'!$A$165:$I$185,7,0)),0%,VLOOKUP(A153,'Données projet'!$A$165:$I$185,7,0))</f>
        <v>0</v>
      </c>
      <c r="EA153" s="21">
        <f>EXP(-LN(2)/35)*EA152+(1-EXP(-LN(2)/35))/(LN(2)/35)*DW153*DX153*VLOOKUP('Données projet'!$B$14,Paramètres!$A$1:$I$89,3,0)*0.475*44/12</f>
        <v>0.14462941074355773</v>
      </c>
      <c r="EB153" s="21">
        <f>EXP(-LN(2)/25)*EB152+(1-EXP(-LN(2)/25))/(LN(2)/25)*Calculateur!DW153*Calculateur!DY153*VLOOKUP('Données projet'!$B$14,Paramètres!$A$1:$I$89,3,0)*0.475*44/12</f>
        <v>0.28853971776785148</v>
      </c>
      <c r="EC153" s="21">
        <f>EXP(-LN(2)/2)*EC152+(1-EXP(-LN(2)/2))/(LN(2)/2)*DW153*DZ153*VLOOKUP('Données projet'!$B$14,Paramètres!$A$1:$I$89,3,0)*0.475*44/12</f>
        <v>1.213994875651135E-17</v>
      </c>
      <c r="ED153" s="22">
        <f t="shared" si="126"/>
        <v>0.43316912851140921</v>
      </c>
      <c r="EE153" s="75">
        <f>('Scénario référence'!$F$8+'Scénario référence'!$F$9+'Scénario référence'!$B$17+'Scénario référence'!$B$9+'Scénario référence'!$B$10)*70+IF((45+25*(1-EXP(-0.0175*A153)))&lt;70,'Scénario référence'!$B$16*(45+25*(1-EXP(-0.0175*A153))),70*'Scénario référence'!$B$16)+IF((32+38*(1-EXP(-0.0175*A153)))&lt;70,'Scénario référence'!$B$18*(32+38*(1-EXP(-0.0175*A153))),70*'Scénario référence'!$B$18)</f>
        <v>70</v>
      </c>
      <c r="EF153" s="12">
        <f>IF(A153&gt;30,10,('Scénario référence'!$B$16+'Scénario référence'!$B$17+'Scénario référence'!$B$18+'Scénario référence'!$B$9+'Scénario référence'!$B$10)*A153*10/30+('Scénario référence'!$F$8+'Scénario référence'!$F$9)*10)</f>
        <v>10</v>
      </c>
      <c r="EG153" s="12" t="e">
        <f>VLOOKUP(A153,'Données projet'!$A$191:$I$211,2,0)</f>
        <v>#N/A</v>
      </c>
      <c r="EH153" s="12" t="e">
        <f>VLOOKUP(A153,'Données projet'!$A$191:$I$211,9,0)</f>
        <v>#N/A</v>
      </c>
      <c r="EI153" s="12">
        <f t="array" ref="EI153">INDEX(EH:EH,MIN(IF(ISNUMBER(EH153:EH349),ROW(EH153:EH349),"")))</f>
        <v>0</v>
      </c>
      <c r="EJ153" s="12">
        <f>IF('Données projet'!$A$192&gt;35,EJ152+EI153-ER152,IF(A153&lt;'Données projet'!$A$192,$EG$205^A153,IF(A153='Données projet'!$A$192,'Données projet'!$B$192,EJ152+EI153-ER152)))</f>
        <v>275.99999999999972</v>
      </c>
      <c r="EK153" s="17">
        <f>EJ153*VLOOKUP('Données projet'!$B$15,Paramètres!$A$1:$I$89,3,0)*VLOOKUP('Données projet'!$B$15,Paramètres!$A$1:$I$89,5,0)</f>
        <v>223.8911999999998</v>
      </c>
      <c r="EL153" s="13">
        <f t="shared" si="153"/>
        <v>54.95975389514858</v>
      </c>
      <c r="EM153" s="20">
        <f t="shared" si="127"/>
        <v>485.66541136738346</v>
      </c>
      <c r="EN153" s="59">
        <f t="shared" si="128"/>
        <v>778.99874470071677</v>
      </c>
      <c r="EO153" s="59">
        <f ca="1">AVERAGE(OFFSET($EN$3,0,0,'Données projet'!$E$15+1,1))-AVERAGE(OFFSET($H$3,0,0,'Données projet'!$E$15+1,1))</f>
        <v>205.5272583787887</v>
      </c>
      <c r="EP153" s="59">
        <f t="shared" si="154"/>
        <v>180.54762778843178</v>
      </c>
      <c r="EQ153" s="15">
        <f>IF(ISNA(VLOOKUP(A153,'Données projet'!$A$191:$I$211,3,0)),0,VLOOKUP(A153,'Données projet'!$A$191:$I$211,3,0))</f>
        <v>0</v>
      </c>
      <c r="ER153" s="15">
        <f>IF(ISNA(VLOOKUP(A153,'Données projet'!$A$191:$I$211,4,0)),0,VLOOKUP(A153,'Données projet'!$A$191:$I$211,4,0))</f>
        <v>0</v>
      </c>
      <c r="ES153" s="16">
        <f>IF(ISNA(VLOOKUP(A153,'Données projet'!$A$191:$I$211,5,0)),0%,VLOOKUP(A153,'Données projet'!$A$191:$I$211,5,0)*VLOOKUP('Données projet'!$B$15,Paramètres!$A$1:$I$89,7,0))</f>
        <v>0</v>
      </c>
      <c r="ET153" s="16">
        <f>IF(ISNA(VLOOKUP(A153,'Données projet'!$A$191:$I$211,6,0)),0%,VLOOKUP(A153,'Données projet'!$A$191:$I$211,6,0)*VLOOKUP('Données projet'!$B$15,Paramètres!$A$1:$I$89,7,0))</f>
        <v>0</v>
      </c>
      <c r="EU153" s="16">
        <f>IF(ISNA(VLOOKUP(A153,'Données projet'!$A$191:$I$211,7,0)),0%,VLOOKUP(A153,'Données projet'!$A$191:$I$211,7,0))</f>
        <v>0</v>
      </c>
      <c r="EV153" s="21">
        <f>EXP(-LN(2)/35)*EV152+(1-EXP(-LN(2)/35))/(LN(2)/35)*ER153*ES153*VLOOKUP('Données projet'!$B$15,Paramètres!$A$1:$I$89,3,0)*0.475*44/12</f>
        <v>9.3113792059661957E-2</v>
      </c>
      <c r="EW153" s="21">
        <f>EXP(-LN(2)/25)*EW152+(1-EXP(-LN(2)/25))/(LN(2)/25)*Calculateur!ER153*Calculateur!ET153*VLOOKUP('Données projet'!$B$15,Paramètres!$A$1:$I$89,3,0)*0.475*44/12</f>
        <v>0.20833442935913341</v>
      </c>
      <c r="EX153" s="21">
        <f>EXP(-LN(2)/2)*EX152+(1-EXP(-LN(2)/2))/(LN(2)/2)*ER153*EU153*VLOOKUP('Données projet'!$B$15,Paramètres!$A$1:$I$89,3,0)*0.475*44/12</f>
        <v>7.8606257964373485E-18</v>
      </c>
      <c r="EY153" s="22">
        <f t="shared" si="129"/>
        <v>0.30144822141879535</v>
      </c>
      <c r="EZ153" s="75">
        <f>('Scénario référence'!$F$8+'Scénario référence'!$F$9+'Scénario référence'!$B$17+'Scénario référence'!$B$9+'Scénario référence'!$B$10)*70+IF((45+25*(1-EXP(-0.0175*A153)))&lt;70,'Scénario référence'!$B$16*(45+25*(1-EXP(-0.0175*A153))),70*'Scénario référence'!$B$16)+IF((32+38*(1-EXP(-0.0175*A153)))&lt;70,'Scénario référence'!$B$18*(32+38*(1-EXP(-0.0175*A153))),70*'Scénario référence'!$B$18)</f>
        <v>70</v>
      </c>
      <c r="FA153" s="12">
        <f>IF(A153&gt;30,10,('Scénario référence'!$B$16+'Scénario référence'!$B$17+'Scénario référence'!$B$18+'Scénario référence'!$B$9+'Scénario référence'!$B$10)*A153*10/30+('Scénario référence'!$F$8+'Scénario référence'!$F$9)*10)</f>
        <v>10</v>
      </c>
      <c r="FB153" s="12">
        <f>VLOOKUP(A153,'Données projet'!$A$217:$I$237,2,0)</f>
        <v>459</v>
      </c>
      <c r="FC153" s="12">
        <f>VLOOKUP(A153,'Données projet'!$A$217:$I$237,9,0)</f>
        <v>4.7</v>
      </c>
      <c r="FD153" s="12">
        <f t="array" ref="FD153">INDEX(FC:FC,MIN(IF(ISNUMBER(FC153:FC349),ROW(FC153:FC349),"")))</f>
        <v>4.7</v>
      </c>
      <c r="FE153" s="12">
        <f>IF('Données projet'!$A$218&gt;35,FE152+FD153-FM152,IF(A153&lt;'Données projet'!$A$218,$FB$205^A153,IF(A153='Données projet'!$A$218,'Données projet'!$B$218,FE152+FD153-FM152)))</f>
        <v>458.99999999999983</v>
      </c>
      <c r="FF153" s="17">
        <f>FE153*VLOOKUP('Données projet'!$B$16,Paramètres!$A$1:$I$89,3,0)*VLOOKUP('Données projet'!$B$16,Paramètres!$A$1:$I$89,5,0)</f>
        <v>393.82199999999989</v>
      </c>
      <c r="FG153" s="13">
        <f t="shared" si="155"/>
        <v>90.523038141437866</v>
      </c>
      <c r="FH153" s="20">
        <f t="shared" si="130"/>
        <v>843.56760809633727</v>
      </c>
      <c r="FI153" s="59">
        <f t="shared" si="131"/>
        <v>1136.9009414296706</v>
      </c>
      <c r="FJ153" s="59">
        <f ca="1">AVERAGE(OFFSET($FI$3,0,0,'Données projet'!$E$16+1,1))-AVERAGE(OFFSET($H$3,0,0,'Données projet'!$E$16+1,1))</f>
        <v>383.97627237444709</v>
      </c>
      <c r="FK153" s="59">
        <f t="shared" si="156"/>
        <v>203.35476578922339</v>
      </c>
      <c r="FL153" s="15">
        <f>IF(ISNA(VLOOKUP(A153,'Données projet'!$A$217:$I$237,3,0)),0,VLOOKUP(A153,'Données projet'!$A$217:$I$237,3,0))</f>
        <v>14</v>
      </c>
      <c r="FM153" s="15">
        <f>IF(ISNA(VLOOKUP(A153,'Données projet'!$A$217:$I$237,4,0)),0,VLOOKUP(A153,'Données projet'!$A$217:$I$237,4,0))</f>
        <v>40</v>
      </c>
      <c r="FN153" s="16">
        <f>IF(ISNA(VLOOKUP(A153,'Données projet'!$A$217:$I$237,5,0)),0%,VLOOKUP(A153,'Données projet'!$A$217:$I$237,5,0)*VLOOKUP('Données projet'!$B$16,Paramètres!$A$1:$I$89,7,0))</f>
        <v>0</v>
      </c>
      <c r="FO153" s="16">
        <f>IF(ISNA(VLOOKUP(A153,'Données projet'!$A$217:$I$237,6,0)),0%,VLOOKUP(A153,'Données projet'!$A$217:$I$237,6,0)*VLOOKUP('Données projet'!$B$16,Paramètres!$A$1:$I$89,7,0))</f>
        <v>0</v>
      </c>
      <c r="FP153" s="16">
        <f>IF(ISNA(VLOOKUP(A153,'Données projet'!$A$217:$I$237,7,0)),0%,VLOOKUP(A153,'Données projet'!$A$217:$I$237,7,0))</f>
        <v>0</v>
      </c>
      <c r="FQ153" s="21">
        <f>EXP(-LN(2)/35)*FQ152+(1-EXP(-LN(2)/35))/(LN(2)/35)*FM153*FN153*VLOOKUP('Données projet'!$B$16,Paramètres!$A$1:$I$89,3,0)*0.475*44/12</f>
        <v>0.47855437500045295</v>
      </c>
      <c r="FR153" s="21">
        <f>EXP(-LN(2)/25)*FR152+(1-EXP(-LN(2)/25))/(LN(2)/25)*Calculateur!FM153*Calculateur!FO153*VLOOKUP('Données projet'!$B$16,Paramètres!$A$1:$I$89,3,0)*0.475*44/12</f>
        <v>0.2114809792092672</v>
      </c>
      <c r="FS153" s="21">
        <f>EXP(-LN(2)/2)*FS152+(1-EXP(-LN(2)/2))/(LN(2)/2)*FM153*FP153*VLOOKUP('Données projet'!$B$16,Paramètres!$A$1:$I$89,3,0)*0.475*44/12</f>
        <v>1.4438356354074925E-17</v>
      </c>
      <c r="FT153" s="22">
        <f t="shared" si="132"/>
        <v>0.69003535420972018</v>
      </c>
      <c r="FU153" s="75">
        <f>('Scénario référence'!$F$8+'Scénario référence'!$F$9+'Scénario référence'!$B$17+'Scénario référence'!$B$9+'Scénario référence'!$B$10)*70+IF((45+25*(1-EXP(-0.0175*A153)))&lt;70,'Scénario référence'!$B$16*(45+25*(1-EXP(-0.0175*A153))),70*'Scénario référence'!$B$16)+IF((32+38*(1-EXP(-0.0175*A153)))&lt;70,'Scénario référence'!$B$18*(32+38*(1-EXP(-0.0175*A153))),70*'Scénario référence'!$B$18)</f>
        <v>70</v>
      </c>
      <c r="FV153" s="12">
        <f>IF(A153&gt;30,10,('Scénario référence'!$B$16+'Scénario référence'!$B$17+'Scénario référence'!$B$18+'Scénario référence'!$B$9+'Scénario référence'!$B$10)*A153*10/30+('Scénario référence'!$F$8+'Scénario référence'!$F$9)*10)</f>
        <v>10</v>
      </c>
      <c r="FW153" s="12" t="e">
        <f>VLOOKUP(A153,'Données projet'!$A$243:$I$263,2,0)</f>
        <v>#N/A</v>
      </c>
      <c r="FX153" s="12" t="e">
        <f>VLOOKUP(A153,'Données projet'!$A$243:$I$263,9,0)</f>
        <v>#N/A</v>
      </c>
      <c r="FY153" s="12">
        <f t="array" ref="FY153">INDEX(FX:FX,MIN(IF(ISNUMBER(FX153:FX349),ROW(FX153:FX349),"")))</f>
        <v>0</v>
      </c>
      <c r="FZ153" s="12">
        <f>IF('Données projet'!$A$244&gt;35,FZ152+FY153-GH152,IF(A153&lt;'Données projet'!$A$244,$FW$205^A153,IF(A153='Données projet'!$A$244,'Données projet'!$B$244,FZ152+FY153-GH152)))</f>
        <v>4.5474735088646412E-13</v>
      </c>
      <c r="GA153" s="17">
        <f>FZ153*VLOOKUP('Données projet'!$B$17,Paramètres!$A$1:$I$89,3,0)*VLOOKUP('Données projet'!$B$17,Paramètres!$A$1:$I$89,5,0)</f>
        <v>4.8949004849418999E-13</v>
      </c>
      <c r="GB153" s="13">
        <f t="shared" si="157"/>
        <v>6.1123715499968684E-12</v>
      </c>
      <c r="GC153" s="20">
        <f t="shared" si="133"/>
        <v>1.1498242284038591E-11</v>
      </c>
      <c r="GD153" s="59">
        <f t="shared" si="134"/>
        <v>293.3333333333448</v>
      </c>
      <c r="GE153" s="59">
        <f ca="1">AVERAGE(OFFSET($GD$3,0,0,'Données projet'!$E$17+1,1))-AVERAGE(OFFSET($H$3,0,0,'Données projet'!$E$17+1,1))</f>
        <v>286.77702855541287</v>
      </c>
      <c r="GF153" s="59">
        <f t="shared" si="158"/>
        <v>227.12211541860779</v>
      </c>
      <c r="GG153" s="15">
        <f>IF(ISNA(VLOOKUP(A153,'Données projet'!$A$243:$I$263,3,0)),0,VLOOKUP(A153,'Données projet'!$A$243:$I$263,3,0))</f>
        <v>0</v>
      </c>
      <c r="GH153" s="15">
        <f>IF(ISNA(VLOOKUP(A153,'Données projet'!$A$243:$I$263,4,0)),0,VLOOKUP(A153,'Données projet'!$A$243:$I$263,4,0))</f>
        <v>0</v>
      </c>
      <c r="GI153" s="16">
        <f>IF(ISNA(VLOOKUP(A153,'Données projet'!$A$243:$I$263,5,0)),0%,VLOOKUP(A153,'Données projet'!$A$243:$I$263,5,0)*VLOOKUP('Données projet'!$B$17,Paramètres!$A$1:$I$89,7,0))</f>
        <v>0</v>
      </c>
      <c r="GJ153" s="16">
        <f>IF(ISNA(VLOOKUP(A153,'Données projet'!$A$243:$I$263,6,0)),0%,VLOOKUP(A153,'Données projet'!$A$243:$I$263,6,0)*VLOOKUP('Données projet'!$B$17,Paramètres!$A$1:$I$89,7,0))</f>
        <v>0</v>
      </c>
      <c r="GK153" s="16">
        <f>IF(ISNA(VLOOKUP(A153,'Données projet'!$A$243:$I$263,7,0)),0%,VLOOKUP(A153,'Données projet'!$A$243:$I$263,7,0))</f>
        <v>0</v>
      </c>
      <c r="GL153" s="21">
        <f>EXP(-LN(2)/35)*GL152+(1-EXP(-LN(2)/35))/(LN(2)/35)*GH153*GI153*VLOOKUP('Données projet'!$B$17,Paramètres!$A$1:$I$89,3,0)*0.475*44/12</f>
        <v>0</v>
      </c>
      <c r="GM153" s="21">
        <f>EXP(-LN(2)/25)*GM152+(1-EXP(-LN(2)/25))/(LN(2)/25)*Calculateur!GH153*Calculateur!GJ153*VLOOKUP('Données projet'!$B$17,Paramètres!$A$1:$I$89,3,0)*0.475*44/12</f>
        <v>0</v>
      </c>
      <c r="GN153" s="21">
        <f>EXP(-LN(2)/2)*GN152+(1-EXP(-LN(2)/2))/(LN(2)/2)*GH153*GK153*VLOOKUP('Données projet'!$B$17,Paramètres!$A$1:$I$89,3,0)*0.475*44/12</f>
        <v>0</v>
      </c>
      <c r="GO153" s="21">
        <f t="shared" si="135"/>
        <v>0</v>
      </c>
      <c r="GP153" s="75">
        <f>('Scénario référence'!$F$8+'Scénario référence'!$F$9+'Scénario référence'!$B$17+'Scénario référence'!$B$9+'Scénario référence'!$B$10)*70+IF((45+25*(1-EXP(-0.0175*A153)))&lt;70,'Scénario référence'!$B$16*(45+25*(1-EXP(-0.0175*A153))),70*'Scénario référence'!$B$16)+IF((32+38*(1-EXP(-0.0175*A153)))&lt;70,'Scénario référence'!$B$18*(32+38*(1-EXP(-0.0175*A153))),70*'Scénario référence'!$B$18)</f>
        <v>70</v>
      </c>
      <c r="GQ153" s="12">
        <f>IF(A153&gt;30,10,('Scénario référence'!$B$16+'Scénario référence'!$B$17+'Scénario référence'!$B$18+'Scénario référence'!$B$9+'Scénario référence'!$B$10)*A153*10/30+('Scénario référence'!$F$8+'Scénario référence'!$F$9)*10)</f>
        <v>10</v>
      </c>
      <c r="GR153" s="12" t="e">
        <f>VLOOKUP(A153,'Données projet'!$A$269:$I$289,2,0)</f>
        <v>#N/A</v>
      </c>
      <c r="GS153" s="12" t="e">
        <f>VLOOKUP(A153,'Données projet'!$A$269:$I$289,9,0)</f>
        <v>#N/A</v>
      </c>
      <c r="GT153" s="12">
        <f t="array" ref="GT153">INDEX(GS:GS,MIN(IF(ISNUMBER(GS153:GS349),ROW(GS153:GS349),"")))</f>
        <v>0</v>
      </c>
      <c r="GU153" s="12">
        <f>IF('Données projet'!$A$270&gt;35,GU152+GT153-HC152,IF(A153&lt;'Données projet'!$A$270,$GR$205^A153,IF(A153='Données projet'!$A$270,'Données projet'!$B$270,GU152+GT153-HC152)))</f>
        <v>4.5474735088646412E-13</v>
      </c>
      <c r="GV153" s="17">
        <f>GU153*VLOOKUP('Données projet'!$B$18,Paramètres!$A$1:$I$89,3,0)*VLOOKUP('Données projet'!$B$18,Paramètres!$A$1:$I$89,5,0)</f>
        <v>4.8949004849418999E-13</v>
      </c>
      <c r="GW153" s="13">
        <f t="shared" si="159"/>
        <v>6.1123715499968684E-12</v>
      </c>
      <c r="GX153" s="20">
        <f t="shared" si="136"/>
        <v>1.1498242284038591E-11</v>
      </c>
      <c r="GY153" s="59">
        <f t="shared" si="137"/>
        <v>293.3333333333448</v>
      </c>
      <c r="GZ153" s="59">
        <f ca="1">AVERAGE(OFFSET($GY$3,0,0,'Données projet'!$E$18+1,1))-AVERAGE(OFFSET($H$3,0,0,'Données projet'!$E$18+1,1))</f>
        <v>286.77702855541287</v>
      </c>
      <c r="HA153" s="59">
        <f t="shared" si="160"/>
        <v>227.12211541860779</v>
      </c>
      <c r="HB153" s="15">
        <f>IF(ISNA(VLOOKUP(A153,'Données projet'!$A$269:$I$289,3,0)),0,VLOOKUP(A153,'Données projet'!$A$269:$I$289,3,0))</f>
        <v>0</v>
      </c>
      <c r="HC153" s="15">
        <f>IF(ISNA(VLOOKUP(A153,'Données projet'!$A$269:$I$289,4,0)),0,VLOOKUP(A153,'Données projet'!$A$269:$I$289,4,0))</f>
        <v>0</v>
      </c>
      <c r="HD153" s="16">
        <f>IF(ISNA(VLOOKUP(A153,'Données projet'!$A$269:$I$289,5,0)),0%,VLOOKUP(A153,'Données projet'!$A$269:$I$289,5,0)*VLOOKUP('Données projet'!$B$18,Paramètres!$A$1:$I$89,7,0))</f>
        <v>0</v>
      </c>
      <c r="HE153" s="16">
        <f>IF(ISNA(VLOOKUP(A153,'Données projet'!$A$269:$I$289,6,0)),0%,VLOOKUP(A153,'Données projet'!$A$269:$I$289,6,0)*VLOOKUP('Données projet'!$B$18,Paramètres!$A$1:$I$89,7,0))</f>
        <v>0</v>
      </c>
      <c r="HF153" s="16">
        <f>IF(ISNA(VLOOKUP(A153,'Données projet'!$A$269:$I$289,7,0)),0%,VLOOKUP(A153,'Données projet'!$A$269:$I$289,7,0))</f>
        <v>0</v>
      </c>
      <c r="HG153" s="21">
        <f>EXP(-LN(2)/35)*HG152+(1-EXP(-LN(2)/35))/(LN(2)/35)*HC153*HD153*VLOOKUP('Données projet'!$B$18,Paramètres!$A$1:$I$89,3,0)*0.475*44/12</f>
        <v>0</v>
      </c>
      <c r="HH153" s="21">
        <f>EXP(-LN(2)/25)*HH152+(1-EXP(-LN(2)/25))/(LN(2)/25)*Calculateur!HC153*Calculateur!HE153*VLOOKUP('Données projet'!$B$18,Paramètres!$A$1:$I$89,3,0)*0.475*44/12</f>
        <v>0</v>
      </c>
      <c r="HI153" s="21">
        <f>EXP(-LN(2)/2)*HI152+(1-EXP(-LN(2)/2))/(LN(2)/2)*HC153*HF153*VLOOKUP('Données projet'!$B$18,Paramètres!$A$1:$I$89,3,0)*0.475*44/12</f>
        <v>0</v>
      </c>
      <c r="HJ153" s="22">
        <f t="shared" si="138"/>
        <v>0</v>
      </c>
    </row>
    <row r="154" spans="1:218" x14ac:dyDescent="0.25">
      <c r="A154" s="10">
        <f t="shared" ref="A154:A202" si="161">A153+1</f>
        <v>151</v>
      </c>
      <c r="B154" s="73">
        <f>'Scénario référence'!$B$16*5+'Scénario référence'!$B$17*0+'Scénario référence'!$B$18*5</f>
        <v>0</v>
      </c>
      <c r="C154" s="19">
        <f>Calculateur!C153+'Scénario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134.26920000000015</v>
      </c>
      <c r="D154" s="11">
        <f t="shared" si="140"/>
        <v>34.980983294811438</v>
      </c>
      <c r="E15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54" s="11">
        <f>IF(OR('Scénario référence'!$F$8&gt;0,'Scénario référence'!$F$9&gt;0),('Scénario référence'!$F$8+'Scénario référence'!$F$9)*10,0)</f>
        <v>10</v>
      </c>
      <c r="G154" s="11">
        <f>'Scénario référence'!$B$8*B154*44/12+'Scénario référence'!$B$9*(C154+D154)/0.475*44/12+'Scénario référence'!$B$10*(C154+D154)/0.475*44/12+'Scénario référence'!$F$8*(C154+D154)/0.475*44/12+'Scénario référence'!$F$9*(C154+D154)/0.475*44/12</f>
        <v>1306.492642977493</v>
      </c>
      <c r="H154" s="67">
        <f t="shared" si="110"/>
        <v>588.11073590513013</v>
      </c>
      <c r="I154" s="70">
        <f>('Scénario référence'!$F$8+'Scénario référence'!$F$9+'Scénario référence'!$B$17+'Scénario référence'!$B$9+'Scénario référence'!$B$10)*70+IF((45+25*(1-EXP(-0.0175*A154)))&lt;70,'Scénario référence'!$B$16*(45+25*(1-EXP(-0.0175*A154))),70*'Scénario référence'!$B$16)+IF((32+38*(1-EXP(-0.0175*A154)))&lt;70,'Scénario référence'!$B$18*(32+38*(1-EXP(-0.0175*A154))),70*'Scénario référence'!$B$18)</f>
        <v>70</v>
      </c>
      <c r="J154" s="13">
        <f>IF(A154&gt;30,10,('Scénario référence'!$B$16+'Scénario référence'!$B$17+'Scénario référence'!$B$18+'Scénario référence'!$B$9+'Scénario référence'!$B$10)*A154*10/30+('Scénario référence'!$F$8+'Scénario référence'!$F$9)*10)</f>
        <v>10</v>
      </c>
      <c r="K154" s="12" t="e">
        <f>VLOOKUP(A154,'Données projet'!$A$35:$I$55,2,0)</f>
        <v>#N/A</v>
      </c>
      <c r="L154" s="12" t="e">
        <f>VLOOKUP(A154,'Données projet'!$A$35:$I$55,9,0)</f>
        <v>#N/A</v>
      </c>
      <c r="M154" s="12">
        <f t="array" ref="M154">INDEX(L:L,MIN(IF(ISNUMBER(L154:L350),ROW(L154:L350),"")))</f>
        <v>0</v>
      </c>
      <c r="N154" s="13">
        <f>IF('Données projet'!$A$36&gt;35,N153+M154-V153,IF(A154&lt;'Données projet'!$A$36,$K$205^A154,IF(A154='Données projet'!$A$36,'Données projet'!$B$36,N153+M154-V153)))</f>
        <v>-2.2737367544323206E-13</v>
      </c>
      <c r="O154" s="13">
        <f>N154*VLOOKUP('Données projet'!$B$9,Paramètres!$A$1:$I$89,3,0)*VLOOKUP('Données projet'!$B$9,Paramètres!$A$1:$I$89,5,0)</f>
        <v>-1.2710188457276673E-13</v>
      </c>
      <c r="P154" s="13" t="e">
        <f t="shared" si="141"/>
        <v>#NUM!</v>
      </c>
      <c r="Q154" s="20" t="e">
        <f t="shared" ref="Q154:Q203" si="162">(O154+P154)*0.475*44/12</f>
        <v>#NUM!</v>
      </c>
      <c r="R154" s="59" t="e">
        <f t="shared" si="109"/>
        <v>#NUM!</v>
      </c>
      <c r="S154" s="59">
        <f ca="1">AVERAGE(OFFSET($R$3,0,0,'Données projet'!$E$9+1,1))-AVERAGE(OFFSET($H$3,0,0,'Données projet'!$E$9+1,1))</f>
        <v>255.5374979188561</v>
      </c>
      <c r="T154" s="59">
        <f t="shared" si="142"/>
        <v>343.10418468620901</v>
      </c>
      <c r="U154" s="15">
        <f>IF(ISNA(VLOOKUP(A154,'Données projet'!$A$35:$I$55,3,0)),0,VLOOKUP(A154,'Données projet'!$A$35:$I$55,3,0))</f>
        <v>0</v>
      </c>
      <c r="V154" s="15">
        <f>IF(ISNA(VLOOKUP(A154,'Données projet'!$A$35:$I$55,4,0)),0,VLOOKUP(A154,'Données projet'!$A$35:$I$55,4,0))</f>
        <v>0</v>
      </c>
      <c r="W154" s="16">
        <f>IF(ISNA(VLOOKUP(A154,'Données projet'!$A$35:$I$55,5,0)),0%,VLOOKUP(A154,'Données projet'!$A$35:$I$55,5,0)*VLOOKUP('Données projet'!$B$9,Paramètres!$A$1:$I$89,7,0))</f>
        <v>0</v>
      </c>
      <c r="X154" s="16">
        <f>IF(ISNA(VLOOKUP(A154,'Données projet'!$A$35:$I$55,6,0)),0%,VLOOKUP(A154,'Données projet'!$A$35:$I$55,6,0)*VLOOKUP('Données projet'!$B$9,Paramètres!$A$1:$I$89,7,0))</f>
        <v>0</v>
      </c>
      <c r="Y154" s="16">
        <f>IF(ISNA(VLOOKUP(A154,'Données projet'!$A$35:$I$55,7,0)),0%,VLOOKUP(A154,'Données projet'!$A$35:$I$55,7,0))</f>
        <v>0</v>
      </c>
      <c r="Z154" s="21">
        <f>EXP(-LN(2)/35)*Z153+(1-EXP(-LN(2)/35))/(LN(2)/35)*V154*W154*VLOOKUP('Données projet'!$B$9,Paramètres!$A$1:$I$89,3,0)*0.475*44/12</f>
        <v>0.28135881164107646</v>
      </c>
      <c r="AA154" s="21">
        <f>EXP(-LN(2)/25)*AA153+(1-EXP(-LN(2)/25))/(LN(2)/25)*Calculateur!V154*Calculateur!X154*VLOOKUP('Données projet'!$B$9,Paramètres!$A$1:$I$89,3,0)*0.475*44/12</f>
        <v>0.55725600770463124</v>
      </c>
      <c r="AB154" s="21">
        <f>EXP(-LN(2)/2)*AB153+(1-EXP(-LN(2)/2))/(LN(2)/2)*V154*Y154*VLOOKUP('Données projet'!$B$9,Paramètres!$A$1:$I$89,3,0)*0.475*44/12</f>
        <v>1.0381329160649371E-18</v>
      </c>
      <c r="AC154" s="22">
        <f t="shared" ref="AC154:AC203" si="163">SUM(Z154:AB154)</f>
        <v>0.8386148193457077</v>
      </c>
      <c r="AD154" s="13">
        <f>('Scénario référence'!$F$8+'Scénario référence'!$F$9+'Scénario référence'!$B$17+'Scénario référence'!$B$9+'Scénario référence'!$B$10)*70+IF((45+25*(1-EXP(-0.0175*A154)))&lt;70,'Scénario référence'!$B$16*(45+25*(1-EXP(-0.0175*A154))),70*'Scénario référence'!$B$16)+IF((32+38*(1-EXP(-0.0175*A154)))&lt;70,'Scénario référence'!$B$18*(32+38*(1-EXP(-0.0175*A154))),70*'Scénario référence'!$B$18)</f>
        <v>70</v>
      </c>
      <c r="AE154" s="13">
        <f>IF(A154&gt;30,10,('Scénario référence'!$B$16+'Scénario référence'!$B$17+'Scénario référence'!$B$18+'Scénario référence'!$B$9+'Scénario référence'!$B$10)*A154*10/30+('Scénario référence'!$F$8+'Scénario référence'!$F$9)*10)</f>
        <v>10</v>
      </c>
      <c r="AF154" s="12" t="e">
        <f>VLOOKUP(A154,'Données projet'!$A$61:$I$81,2,0)</f>
        <v>#N/A</v>
      </c>
      <c r="AG154" s="12" t="e">
        <f>VLOOKUP(A154,'Données projet'!$A$61:$I$81,9,0)</f>
        <v>#N/A</v>
      </c>
      <c r="AH154" s="12">
        <f t="array" ref="AH154">INDEX(AG:AG,MIN(IF(ISNUMBER(AG154:AG350),ROW(AG154:AG350),"")))</f>
        <v>0</v>
      </c>
      <c r="AI154" s="13">
        <f>IF('Données projet'!$A$62&gt;35,AI153+AH154-AQ153,IF(A154&lt;'Données projet'!$A$62,$AF$205^A154,IF(A154='Données projet'!$A$62,'Données projet'!$B$62,AI153+AH154-AQ153)))</f>
        <v>0</v>
      </c>
      <c r="AJ154" s="13">
        <f>AI154*VLOOKUP('Données projet'!$B$10,Paramètres!$A$1:$I$89,3,0)*VLOOKUP('Données projet'!$B$10,Paramètres!$A$1:$I$89,5,0)</f>
        <v>0</v>
      </c>
      <c r="AK154" s="13" t="e">
        <f t="shared" ref="AK154:AK203" si="164">EXP(-1.0587+0.8836*LN(AJ154)+0.284)</f>
        <v>#NUM!</v>
      </c>
      <c r="AL154" s="20" t="e">
        <f t="shared" ref="AL154:AL203" si="165">(AJ154+AK154)*0.475*44/12</f>
        <v>#NUM!</v>
      </c>
      <c r="AM154" s="59" t="e">
        <f t="shared" si="113"/>
        <v>#NUM!</v>
      </c>
      <c r="AN154" s="59">
        <f ca="1">AVERAGE(OFFSET($AM$3,0,0,'Données projet'!$E$10+1,1))-AVERAGE(OFFSET($H$3,0,0,'Données projet'!$E$10+1,1))</f>
        <v>261.78489480911571</v>
      </c>
      <c r="AO154" s="59">
        <f t="shared" si="144"/>
        <v>297.50513563712764</v>
      </c>
      <c r="AP154" s="15">
        <f>IF(ISNA(VLOOKUP(A154,'Données projet'!$A$61:$I$81,3,0)),0,VLOOKUP(A154,'Données projet'!$A$61:$I$81,3,0))</f>
        <v>0</v>
      </c>
      <c r="AQ154" s="15">
        <f>IF(ISNA(VLOOKUP(A154,'Données projet'!$A$61:$I$81,4,0)),0,VLOOKUP(A154,'Données projet'!$A$61:$I$81,4,0))</f>
        <v>0</v>
      </c>
      <c r="AR154" s="16">
        <f>IF(ISNA(VLOOKUP(A154,'Données projet'!$A$61:$I$81,5,0)),0%,VLOOKUP(A154,'Données projet'!$A$61:$I$81,5,0)*VLOOKUP('Données projet'!$B$10,Paramètres!$A$1:$I$89,7,0))</f>
        <v>0</v>
      </c>
      <c r="AS154" s="16">
        <f>IF(ISNA(VLOOKUP(A154,'Données projet'!$A$61:$I$81,6,0)),0%,VLOOKUP(A154,'Données projet'!$A$61:$I$81,6,0)*VLOOKUP('Données projet'!$B$10,Paramètres!$A$1:$I$89,7,0))</f>
        <v>0</v>
      </c>
      <c r="AT154" s="16">
        <f>IF(ISNA(VLOOKUP(A154,'Données projet'!$A$61:$I$81,7,0)),0%,VLOOKUP(A154,'Données projet'!$A$61:$I$81,7,0))</f>
        <v>0</v>
      </c>
      <c r="AU154" s="21">
        <f>EXP(-LN(2)/35)*AU153+(1-EXP(-LN(2)/35))/(LN(2)/35)*AQ154*AR154*VLOOKUP('Données projet'!$B$10,Paramètres!$A$1:$I$89,3,0)*0.475*44/12</f>
        <v>0.75974837338907397</v>
      </c>
      <c r="AV154" s="21">
        <f>EXP(-LN(2)/25)*AV153+(1-EXP(-LN(2)/25))/(LN(2)/25)*Calculateur!AQ154*Calculateur!AS154*VLOOKUP('Données projet'!$B$10,Paramètres!$A$1:$I$89,3,0)*0.475*44/12</f>
        <v>0.97308264787500709</v>
      </c>
      <c r="AW154" s="21">
        <f>EXP(-LN(2)/2)*AW153+(1-EXP(-LN(2)/2))/(LN(2)/2)*AQ154*AT154*VLOOKUP('Données projet'!$B$10,Paramètres!$A$1:$I$89,3,0)*0.475*44/12</f>
        <v>1.4965674291783872E-17</v>
      </c>
      <c r="AX154" s="21">
        <f t="shared" ref="AX154:AX203" si="166">SUM(AU154:AW154)</f>
        <v>1.7328310212640812</v>
      </c>
      <c r="AY154" s="74">
        <f>('Scénario référence'!$F$8+'Scénario référence'!$F$9+'Scénario référence'!$B$17+'Scénario référence'!$B$9+'Scénario référence'!$B$10)*70+IF((45+25*(1-EXP(-0.0175*A154)))&lt;70,'Scénario référence'!$B$16*(45+25*(1-EXP(-0.0175*A154))),70*'Scénario référence'!$B$16)+IF((32+38*(1-EXP(-0.0175*A154)))&lt;70,'Scénario référence'!$B$18*(32+38*(1-EXP(-0.0175*A154))),70*'Scénario référence'!$B$18)</f>
        <v>70</v>
      </c>
      <c r="AZ154" s="12">
        <f>IF(A154&gt;30,10,('Scénario référence'!$B$16+'Scénario référence'!$B$17+'Scénario référence'!$B$18+'Scénario référence'!$B$9+'Scénario référence'!$B$10)*A154*10/30+('Scénario référence'!$F$8+'Scénario référence'!$F$9)*10)</f>
        <v>10</v>
      </c>
      <c r="BA154" s="12" t="e">
        <f>VLOOKUP(A154,'Données projet'!$A$87:$I$107,2,0)</f>
        <v>#N/A</v>
      </c>
      <c r="BB154" s="12" t="e">
        <f>VLOOKUP(A154,'Données projet'!$A$87:$I$107,9,0)</f>
        <v>#N/A</v>
      </c>
      <c r="BC154" s="12">
        <f t="array" ref="BC154">INDEX(BB:BB,MIN(IF(ISNUMBER(BB154:BB350),ROW(BB154:BB350),"")))</f>
        <v>0</v>
      </c>
      <c r="BD154" s="12">
        <f>IF('Données projet'!$A$88&gt;35,BD153+BC154-BL153,IF(A154&lt;'Données projet'!$A$88,$BA$205^A154,IF(A154='Données projet'!$A$88,'Données projet'!$B$88,BD153+BC154-BL153)))</f>
        <v>553.99999999999955</v>
      </c>
      <c r="BE154" s="13">
        <f>BD154*VLOOKUP('Données projet'!$B$11,Paramètres!$A$1:$I$89,3,0)*VLOOKUP('Données projet'!$B$11,Paramètres!$A$1:$I$89,5,0)</f>
        <v>331.29199999999975</v>
      </c>
      <c r="BF154" s="13">
        <f t="shared" ref="BF154:BF203" si="167">EXP(-1.0587+0.8836*LN(BE154)+0.284)</f>
        <v>77.698110787752</v>
      </c>
      <c r="BG154" s="20">
        <f t="shared" ref="BG154:BG203" si="168">(BE154+BF154)*0.475*44/12</f>
        <v>712.32444295533423</v>
      </c>
      <c r="BH154" s="59">
        <f t="shared" si="116"/>
        <v>1005.6577762886675</v>
      </c>
      <c r="BI154" s="59">
        <f ca="1">AVERAGE(OFFSET($BH$3,0,0,'Données projet'!$E$11+1,1))-AVERAGE(OFFSET($H$3,0,0,'Données projet'!$E$11+1,1))</f>
        <v>316.58509520829671</v>
      </c>
      <c r="BJ154" s="59">
        <f t="shared" si="146"/>
        <v>240.71332110643596</v>
      </c>
      <c r="BK154" s="15">
        <f>IF(ISNA(VLOOKUP(A154,'Données projet'!$A$87:$I$107,3,0)),0,VLOOKUP(A154,'Données projet'!$A$87:$I$107,3,0))</f>
        <v>0</v>
      </c>
      <c r="BL154" s="15">
        <f>IF(ISNA(VLOOKUP(A154,'Données projet'!$A$87:$I$107,4,0)),0,VLOOKUP(A154,'Données projet'!$A$87:$I$107,4,0))</f>
        <v>0</v>
      </c>
      <c r="BM154" s="16">
        <f>IF(ISNA(VLOOKUP(A154,'Données projet'!$A$87:$I$107,5,0)),0%,VLOOKUP(A154,'Données projet'!$A$87:$I$107,5,0)*VLOOKUP('Données projet'!$B$11,Paramètres!$A$1:$I$89,7,0))</f>
        <v>0</v>
      </c>
      <c r="BN154" s="16">
        <f>IF(ISNA(VLOOKUP(A154,'Données projet'!$A$87:$I$107,6,0)),0%,VLOOKUP(A154,'Données projet'!$A$87:$I$107,6,0)*VLOOKUP('Données projet'!$B$11,Paramètres!$A$1:$I$89,7,0))</f>
        <v>0</v>
      </c>
      <c r="BO154" s="16">
        <f>IF(ISNA(VLOOKUP(A154,'Données projet'!$A$87:$I$107,7,0)),0%,VLOOKUP(A154,'Données projet'!$A$87:$I$107,7,0))</f>
        <v>0</v>
      </c>
      <c r="BP154" s="21">
        <f>EXP(-LN(2)/35)*BP153+(1-EXP(-LN(2)/35))/(LN(2)/35)*BL154*BM154*VLOOKUP('Données projet'!$B$11,Paramètres!$A$1:$I$89,3,0)*0.475*44/12</f>
        <v>0.23077922130661435</v>
      </c>
      <c r="BQ154" s="21">
        <f>EXP(-LN(2)/25)*BQ153+(1-EXP(-LN(2)/25))/(LN(2)/25)*Calculateur!BL154*Calculateur!BN154*VLOOKUP('Données projet'!$B$11,Paramètres!$A$1:$I$89,3,0)*0.475*44/12</f>
        <v>0.53308306718595533</v>
      </c>
      <c r="BR154" s="21">
        <f>EXP(-LN(2)/2)*BR153+(1-EXP(-LN(2)/2))/(LN(2)/2)*BL154*BO154*VLOOKUP('Données projet'!$B$11,Paramètres!$A$1:$I$89,3,0)*0.475*44/12</f>
        <v>1.3455780118322039E-17</v>
      </c>
      <c r="BS154" s="22">
        <f t="shared" ref="BS154:BS203" si="169">SUM(BP154:BR154)</f>
        <v>0.76386228849256965</v>
      </c>
      <c r="BT154" s="75">
        <f>('Scénario référence'!$F$8+'Scénario référence'!$F$9+'Scénario référence'!$B$17+'Scénario référence'!$B$9+'Scénario référence'!$B$10)*70+IF((45+25*(1-EXP(-0.0175*A154)))&lt;70,'Scénario référence'!$B$16*(45+25*(1-EXP(-0.0175*A154))),70*'Scénario référence'!$B$16)+IF((32+38*(1-EXP(-0.0175*A154)))&lt;70,'Scénario référence'!$B$18*(32+38*(1-EXP(-0.0175*A154))),70*'Scénario référence'!$B$18)</f>
        <v>70</v>
      </c>
      <c r="BU154" s="12">
        <f>IF(A154&gt;30,10,('Scénario référence'!$B$16+'Scénario référence'!$B$17+'Scénario référence'!$B$18+'Scénario référence'!$B$9+'Scénario référence'!$B$10)*A154*10/30+('Scénario référence'!$F$8+'Scénario référence'!$F$9)*10)</f>
        <v>10</v>
      </c>
      <c r="BV154" s="12" t="e">
        <f>VLOOKUP(A154,'Données projet'!$A$113:$I$133,2,0)</f>
        <v>#N/A</v>
      </c>
      <c r="BW154" s="12" t="e">
        <f>VLOOKUP(A154,'Données projet'!$A$113:$I$133,9,0)</f>
        <v>#N/A</v>
      </c>
      <c r="BX154" s="12">
        <f t="array" ref="BX154">INDEX(BW:BW,MIN(IF(ISNUMBER(BW154:BW350),ROW(BW154:BW350),"")))</f>
        <v>0</v>
      </c>
      <c r="BY154" s="12">
        <f>IF('Données projet'!$A$114&gt;35,BY153+BX154-CG153,IF(A154&lt;'Données projet'!$A$114,$BV$205^A154,IF(A154='Données projet'!$A$114,'Données projet'!$B$114,BY153+BX154-CG153)))</f>
        <v>333.99999999999977</v>
      </c>
      <c r="BZ154" s="13">
        <f>BY154*VLOOKUP('Données projet'!$B$12,Paramètres!$A$1:$I$89,3,0)*VLOOKUP('Données projet'!$B$12,Paramètres!$A$1:$I$89,5,0)</f>
        <v>191.04799999999986</v>
      </c>
      <c r="CA154" s="13">
        <f t="shared" ref="CA154:CA203" si="170">EXP(-1.0587+0.8836*LN(BZ154)+0.284)</f>
        <v>47.771576544305155</v>
      </c>
      <c r="CB154" s="20">
        <f t="shared" ref="CB154:CB203" si="171">(BZ154+CA154)*0.475*44/12</f>
        <v>415.94409581466454</v>
      </c>
      <c r="CC154" s="59">
        <f t="shared" si="119"/>
        <v>709.27742914799785</v>
      </c>
      <c r="CD154" s="59">
        <f ca="1">AVERAGE(OFFSET($CC$3,0,0,'Données projet'!$E$12+1,1))-AVERAGE(OFFSET($H$3,0,0,'Données projet'!$E$12+1,1))</f>
        <v>188.64374818906128</v>
      </c>
      <c r="CE154" s="59">
        <f t="shared" si="148"/>
        <v>211.95157880548652</v>
      </c>
      <c r="CF154" s="15">
        <f>IF(ISNA(VLOOKUP(A154,'Données projet'!$A$113:$I$133,3,0)),0,VLOOKUP(A154,'Données projet'!$A$113:$I$133,3,0))</f>
        <v>0</v>
      </c>
      <c r="CG154" s="15">
        <f>IF(ISNA(VLOOKUP(A154,'Données projet'!$A$113:$I$133,4,0)),0,VLOOKUP(A154,'Données projet'!$A$113:$I$133,4,0))</f>
        <v>0</v>
      </c>
      <c r="CH154" s="16">
        <f>IF(ISNA(VLOOKUP(A154,'Données projet'!$A$113:$I$133,5,0)),0%,VLOOKUP(A154,'Données projet'!$A$113:$I$133,5,0)*VLOOKUP('Données projet'!$B$12,Paramètres!$A$1:$I$89,7,0))</f>
        <v>0</v>
      </c>
      <c r="CI154" s="16">
        <f>IF(ISNA(VLOOKUP(A154,'Données projet'!$A$113:$I$133,6,0)),0%,VLOOKUP(A154,'Données projet'!$A$113:$I$133,6,0)*VLOOKUP('Données projet'!$B$12,Paramètres!$A$1:$I$89,7,0))</f>
        <v>0</v>
      </c>
      <c r="CJ154" s="16">
        <f>IF(ISNA(VLOOKUP(A154,'Données projet'!$A$113:$I$133,7,0)),0%,VLOOKUP(A154,'Données projet'!$A$113:$I$133,7,0))</f>
        <v>0</v>
      </c>
      <c r="CK154" s="21">
        <f>EXP(-LN(2)/35)*CK153+(1-EXP(-LN(2)/35))/(LN(2)/35)*CG154*CH154*VLOOKUP('Données projet'!$B$12,Paramètres!$A$1:$I$89,3,0)*0.475*44/12</f>
        <v>0.22385443144499498</v>
      </c>
      <c r="CL154" s="21">
        <f>EXP(-LN(2)/25)*CL153+(1-EXP(-LN(2)/25))/(LN(2)/25)*Calculateur!CG154*Calculateur!CI154*VLOOKUP('Données projet'!$B$12,Paramètres!$A$1:$I$89,3,0)*0.475*44/12</f>
        <v>0.50174985277574147</v>
      </c>
      <c r="CM154" s="21">
        <f>EXP(-LN(2)/2)*CM153+(1-EXP(-LN(2)/2))/(LN(2)/2)*CG154*CJ154*VLOOKUP('Données projet'!$B$12,Paramètres!$A$1:$I$89,3,0)*0.475*44/12</f>
        <v>1.3030870248722874E-17</v>
      </c>
      <c r="CN154" s="22">
        <f t="shared" ref="CN154:CN203" si="172">SUM(CK154:CM154)</f>
        <v>0.72560428422073642</v>
      </c>
      <c r="CO154" s="75">
        <f>('Scénario référence'!$F$8+'Scénario référence'!$F$9+'Scénario référence'!$B$17+'Scénario référence'!$B$9+'Scénario référence'!$B$10)*70+IF((45+25*(1-EXP(-0.0175*A154)))&lt;70,'Scénario référence'!$B$16*(45+25*(1-EXP(-0.0175*A154))),70*'Scénario référence'!$B$16)+IF((32+38*(1-EXP(-0.0175*A154)))&lt;70,'Scénario référence'!$B$18*(32+38*(1-EXP(-0.0175*A154))),70*'Scénario référence'!$B$18)</f>
        <v>70</v>
      </c>
      <c r="CP154" s="12">
        <f>IF(A154&gt;30,10,('Scénario référence'!$B$16+'Scénario référence'!$B$17+'Scénario référence'!$B$18+'Scénario référence'!$B$9+'Scénario référence'!$B$10)*A154*10/30+('Scénario référence'!$F$8+'Scénario référence'!$F$9)*10)</f>
        <v>10</v>
      </c>
      <c r="CQ154" s="12" t="e">
        <f>VLOOKUP(A154,'Données projet'!$A$139:$I$159,2,0)</f>
        <v>#N/A</v>
      </c>
      <c r="CR154" s="12" t="e">
        <f>VLOOKUP(A154,'Données projet'!$A$139:$I$159,9,0)</f>
        <v>#N/A</v>
      </c>
      <c r="CS154" s="12">
        <f t="array" ref="CS154">INDEX(CR:CR,MIN(IF(ISNUMBER(CR154:CR350),ROW(CR154:CR350),"")))</f>
        <v>0</v>
      </c>
      <c r="CT154" s="12">
        <f>IF('Données projet'!$A$140&gt;35,CT153+CS154-DB153,IF(A154&lt;'Données projet'!$A$140,$CQ$205^A154,IF(A154='Données projet'!$A$140,'Données projet'!$B$140,CT153+CS154-DB153)))</f>
        <v>0</v>
      </c>
      <c r="CU154" s="17" t="e">
        <f>CT154*VLOOKUP('Données projet'!$B$13,Paramètres!$A$1:$I$89,3,0)*VLOOKUP('Données projet'!$B$13,Paramètres!$A$1:$I$89,5,0)</f>
        <v>#N/A</v>
      </c>
      <c r="CV154" s="13" t="e">
        <f t="shared" ref="CV154:CV203" si="173">EXP(-1.0587+0.8836*LN(CU154)+0.284)</f>
        <v>#N/A</v>
      </c>
      <c r="CW154" s="20" t="e">
        <f t="shared" ref="CW154:CW203" si="174">(CU154+CV154)*0.475*44/12</f>
        <v>#N/A</v>
      </c>
      <c r="CX154" s="59" t="e">
        <f t="shared" si="122"/>
        <v>#N/A</v>
      </c>
      <c r="CY154" s="59" t="e">
        <f ca="1">AVERAGE(OFFSET($CX$3,0,0,'Données projet'!$E$13+1,1))-AVERAGE(OFFSET($H$3,0,0,'Données projet'!$E$13+1,1))</f>
        <v>#N/A</v>
      </c>
      <c r="CZ154" s="59" t="e">
        <f t="shared" si="150"/>
        <v>#N/A</v>
      </c>
      <c r="DA154" s="15">
        <f>IF(ISNA(VLOOKUP(A154,'Données projet'!$A$139:$I$159,3,0)),0,VLOOKUP(A154,'Données projet'!$A$139:$I$159,3,0))</f>
        <v>0</v>
      </c>
      <c r="DB154" s="15">
        <f>IF(ISNA(VLOOKUP(A154,'Données projet'!$A$139:$I$159,4,0)),0,VLOOKUP(A154,'Données projet'!$A$139:$I$159,4,0))</f>
        <v>0</v>
      </c>
      <c r="DC154" s="16">
        <f>IF(ISNA(VLOOKUP(A154,'Données projet'!$A$139:$I$159,5,0)),0%,VLOOKUP(A154,'Données projet'!$A$139:$I$159,5,0)*VLOOKUP('Données projet'!$B$13,Paramètres!$A$1:$I$89,7,0))</f>
        <v>0</v>
      </c>
      <c r="DD154" s="16">
        <f>IF(ISNA(VLOOKUP(A154,'Données projet'!$A$139:$I$159,6,0)),0%,VLOOKUP(A154,'Données projet'!$A$139:$I$159,6,0)*VLOOKUP('Données projet'!$B$13,Paramètres!$A$1:$I$89,7,0))</f>
        <v>0</v>
      </c>
      <c r="DE154" s="16">
        <f>IF(ISNA(VLOOKUP(A154,'Données projet'!$A$139:$I$159,7,0)),0%,VLOOKUP(A154,'Données projet'!$A$139:$I$159,7,0))</f>
        <v>0</v>
      </c>
      <c r="DF154" s="21" t="e">
        <f>EXP(-LN(2)/35)*DF153+(1-EXP(-LN(2)/35))/(LN(2)/35)*DB154*DC154*VLOOKUP('Données projet'!$B$13,Paramètres!$A$1:$I$89,3,0)*0.475*44/12</f>
        <v>#N/A</v>
      </c>
      <c r="DG154" s="21" t="e">
        <f>EXP(-LN(2)/25)*DG153+(1-EXP(-LN(2)/25))/(LN(2)/25)*Calculateur!DB154*Calculateur!DD154*VLOOKUP('Données projet'!$B$13,Paramètres!$A$1:$I$89,3,0)*0.475*44/12</f>
        <v>#N/A</v>
      </c>
      <c r="DH154" s="21" t="e">
        <f>EXP(-LN(2)/2)*DH153+(1-EXP(-LN(2)/2))/(LN(2)/2)*DB154*DE154*VLOOKUP('Données projet'!$B$13,Paramètres!$A$1:$I$89,3,0)*0.475*44/12</f>
        <v>#N/A</v>
      </c>
      <c r="DI154" s="22" t="e">
        <f t="shared" ref="DI154:DI203" si="175">SUM(DF154:DH154)</f>
        <v>#N/A</v>
      </c>
      <c r="DJ154" s="75">
        <f>('Scénario référence'!$F$8+'Scénario référence'!$F$9+'Scénario référence'!$B$17+'Scénario référence'!$B$9+'Scénario référence'!$B$10)*70+IF((45+25*(1-EXP(-0.0175*A154)))&lt;70,'Scénario référence'!$B$16*(45+25*(1-EXP(-0.0175*A154))),70*'Scénario référence'!$B$16)+IF((32+38*(1-EXP(-0.0175*A154)))&lt;70,'Scénario référence'!$B$18*(32+38*(1-EXP(-0.0175*A154))),70*'Scénario référence'!$B$18)</f>
        <v>70</v>
      </c>
      <c r="DK154" s="12">
        <f>IF(A154&gt;30,10,('Scénario référence'!$B$16+'Scénario référence'!$B$17+'Scénario référence'!$B$18+'Scénario référence'!$B$9+'Scénario référence'!$B$10)*A154*10/30+('Scénario référence'!$F$8+'Scénario référence'!$F$9)*10)</f>
        <v>10</v>
      </c>
      <c r="DL154" s="12" t="e">
        <f>VLOOKUP(A154,'Données projet'!$A$165:$I$185,2,0)</f>
        <v>#N/A</v>
      </c>
      <c r="DM154" s="12" t="e">
        <f>VLOOKUP(A154,'Données projet'!$A$165:$I$185,9,0)</f>
        <v>#N/A</v>
      </c>
      <c r="DN154" s="12">
        <f t="array" ref="DN154">INDEX(DM:DM,MIN(IF(ISNUMBER(DM154:DM350),ROW(DM154:DM350),"")))</f>
        <v>0</v>
      </c>
      <c r="DO154" s="12">
        <f>IF('Données projet'!$A$166&gt;35,DO153+DN154-DW153,IF(A154&lt;'Données projet'!$A$166,$DL$205^A154,IF(A154='Données projet'!$A$166,'Données projet'!$B$166,DO153+DN154-DW153)))</f>
        <v>268.00000000000017</v>
      </c>
      <c r="DP154" s="17">
        <f>DO154*VLOOKUP('Données projet'!$B$14,Paramètres!$A$1:$I$89,3,0)*VLOOKUP('Données projet'!$B$14,Paramètres!$A$1:$I$89,5,0)</f>
        <v>175.59360000000012</v>
      </c>
      <c r="DQ154" s="13">
        <f t="shared" ref="DQ154:DQ203" si="176">EXP(-1.0587+0.8836*LN(DP154)+0.284)</f>
        <v>44.340433728638573</v>
      </c>
      <c r="DR154" s="20">
        <f t="shared" ref="DR154:DR203" si="177">(DP154+DQ154)*0.475*44/12</f>
        <v>383.05177541071242</v>
      </c>
      <c r="DS154" s="59">
        <f t="shared" si="125"/>
        <v>676.38510874404574</v>
      </c>
      <c r="DT154" s="59">
        <f ca="1">AVERAGE(OFFSET($DS$3,0,0,'Données projet'!$E$14+1,1))-AVERAGE(OFFSET($H$3,0,0,'Données projet'!$E$14+1,1))</f>
        <v>188.68915783955595</v>
      </c>
      <c r="DU154" s="59">
        <f t="shared" si="152"/>
        <v>240.82467772396944</v>
      </c>
      <c r="DV154" s="15">
        <f>IF(ISNA(VLOOKUP(A154,'Données projet'!$A$165:$I$185,3,0)),0,VLOOKUP(A154,'Données projet'!$A$165:$I$185,3,0))</f>
        <v>0</v>
      </c>
      <c r="DW154" s="15">
        <f>IF(ISNA(VLOOKUP(A154,'Données projet'!$A$165:$I$185,4,0)),0,VLOOKUP(A154,'Données projet'!$A$165:$I$185,4,0))</f>
        <v>0</v>
      </c>
      <c r="DX154" s="16">
        <f>IF(ISNA(VLOOKUP(A154,'Données projet'!$A$165:$I$185,5,0)),0%,VLOOKUP(A154,'Données projet'!$A$165:$I$185,5,0)*VLOOKUP('Données projet'!$B$14,Paramètres!$A$1:$I$89,7,0))</f>
        <v>0</v>
      </c>
      <c r="DY154" s="16">
        <f>IF(ISNA(VLOOKUP(A154,'Données projet'!$A$165:$I$185,6,0)),0%,VLOOKUP(A154,'Données projet'!$A$165:$I$185,6,0)*VLOOKUP('Données projet'!$B$14,Paramètres!$A$1:$I$89,7,0))</f>
        <v>0</v>
      </c>
      <c r="DZ154" s="16">
        <f>IF(ISNA(VLOOKUP(A154,'Données projet'!$A$165:$I$185,7,0)),0%,VLOOKUP(A154,'Données projet'!$A$165:$I$185,7,0))</f>
        <v>0</v>
      </c>
      <c r="EA154" s="21">
        <f>EXP(-LN(2)/35)*EA153+(1-EXP(-LN(2)/35))/(LN(2)/35)*DW154*DX154*VLOOKUP('Données projet'!$B$14,Paramètres!$A$1:$I$89,3,0)*0.475*44/12</f>
        <v>0.1417933162141066</v>
      </c>
      <c r="EB154" s="21">
        <f>EXP(-LN(2)/25)*EB153+(1-EXP(-LN(2)/25))/(LN(2)/25)*Calculateur!DW154*Calculateur!DY154*VLOOKUP('Données projet'!$B$14,Paramètres!$A$1:$I$89,3,0)*0.475*44/12</f>
        <v>0.28064958401184531</v>
      </c>
      <c r="EC154" s="21">
        <f>EXP(-LN(2)/2)*EC153+(1-EXP(-LN(2)/2))/(LN(2)/2)*DW154*DZ154*VLOOKUP('Données projet'!$B$14,Paramètres!$A$1:$I$89,3,0)*0.475*44/12</f>
        <v>8.5842400889863711E-18</v>
      </c>
      <c r="ED154" s="22">
        <f t="shared" ref="ED154:ED203" si="178">SUM(EA154:EC154)</f>
        <v>0.42244290022595188</v>
      </c>
      <c r="EE154" s="75">
        <f>('Scénario référence'!$F$8+'Scénario référence'!$F$9+'Scénario référence'!$B$17+'Scénario référence'!$B$9+'Scénario référence'!$B$10)*70+IF((45+25*(1-EXP(-0.0175*A154)))&lt;70,'Scénario référence'!$B$16*(45+25*(1-EXP(-0.0175*A154))),70*'Scénario référence'!$B$16)+IF((32+38*(1-EXP(-0.0175*A154)))&lt;70,'Scénario référence'!$B$18*(32+38*(1-EXP(-0.0175*A154))),70*'Scénario référence'!$B$18)</f>
        <v>70</v>
      </c>
      <c r="EF154" s="12">
        <f>IF(A154&gt;30,10,('Scénario référence'!$B$16+'Scénario référence'!$B$17+'Scénario référence'!$B$18+'Scénario référence'!$B$9+'Scénario référence'!$B$10)*A154*10/30+('Scénario référence'!$F$8+'Scénario référence'!$F$9)*10)</f>
        <v>10</v>
      </c>
      <c r="EG154" s="12" t="e">
        <f>VLOOKUP(A154,'Données projet'!$A$191:$I$211,2,0)</f>
        <v>#N/A</v>
      </c>
      <c r="EH154" s="12" t="e">
        <f>VLOOKUP(A154,'Données projet'!$A$191:$I$211,9,0)</f>
        <v>#N/A</v>
      </c>
      <c r="EI154" s="12">
        <f t="array" ref="EI154">INDEX(EH:EH,MIN(IF(ISNUMBER(EH154:EH350),ROW(EH154:EH350),"")))</f>
        <v>0</v>
      </c>
      <c r="EJ154" s="12">
        <f>IF('Données projet'!$A$192&gt;35,EJ153+EI154-ER153,IF(A154&lt;'Données projet'!$A$192,$EG$205^A154,IF(A154='Données projet'!$A$192,'Données projet'!$B$192,EJ153+EI154-ER153)))</f>
        <v>275.99999999999972</v>
      </c>
      <c r="EK154" s="17">
        <f>EJ154*VLOOKUP('Données projet'!$B$15,Paramètres!$A$1:$I$89,3,0)*VLOOKUP('Données projet'!$B$15,Paramètres!$A$1:$I$89,5,0)</f>
        <v>223.8911999999998</v>
      </c>
      <c r="EL154" s="13">
        <f t="shared" ref="EL154:EL203" si="179">EXP(-1.0587+0.8836*LN(EK154)+0.284)</f>
        <v>54.95975389514858</v>
      </c>
      <c r="EM154" s="20">
        <f t="shared" ref="EM154:EM203" si="180">(EK154+EL154)*0.475*44/12</f>
        <v>485.66541136738346</v>
      </c>
      <c r="EN154" s="59">
        <f t="shared" si="128"/>
        <v>778.99874470071677</v>
      </c>
      <c r="EO154" s="59">
        <f ca="1">AVERAGE(OFFSET($EN$3,0,0,'Données projet'!$E$15+1,1))-AVERAGE(OFFSET($H$3,0,0,'Données projet'!$E$15+1,1))</f>
        <v>205.5272583787887</v>
      </c>
      <c r="EP154" s="59">
        <f t="shared" si="154"/>
        <v>180.54762778843178</v>
      </c>
      <c r="EQ154" s="15">
        <f>IF(ISNA(VLOOKUP(A154,'Données projet'!$A$191:$I$211,3,0)),0,VLOOKUP(A154,'Données projet'!$A$191:$I$211,3,0))</f>
        <v>0</v>
      </c>
      <c r="ER154" s="15">
        <f>IF(ISNA(VLOOKUP(A154,'Données projet'!$A$191:$I$211,4,0)),0,VLOOKUP(A154,'Données projet'!$A$191:$I$211,4,0))</f>
        <v>0</v>
      </c>
      <c r="ES154" s="16">
        <f>IF(ISNA(VLOOKUP(A154,'Données projet'!$A$191:$I$211,5,0)),0%,VLOOKUP(A154,'Données projet'!$A$191:$I$211,5,0)*VLOOKUP('Données projet'!$B$15,Paramètres!$A$1:$I$89,7,0))</f>
        <v>0</v>
      </c>
      <c r="ET154" s="16">
        <f>IF(ISNA(VLOOKUP(A154,'Données projet'!$A$191:$I$211,6,0)),0%,VLOOKUP(A154,'Données projet'!$A$191:$I$211,6,0)*VLOOKUP('Données projet'!$B$15,Paramètres!$A$1:$I$89,7,0))</f>
        <v>0</v>
      </c>
      <c r="EU154" s="16">
        <f>IF(ISNA(VLOOKUP(A154,'Données projet'!$A$191:$I$211,7,0)),0%,VLOOKUP(A154,'Données projet'!$A$191:$I$211,7,0))</f>
        <v>0</v>
      </c>
      <c r="EV154" s="21">
        <f>EXP(-LN(2)/35)*EV153+(1-EXP(-LN(2)/35))/(LN(2)/35)*ER154*ES154*VLOOKUP('Données projet'!$B$15,Paramètres!$A$1:$I$89,3,0)*0.475*44/12</f>
        <v>9.1287887391177214E-2</v>
      </c>
      <c r="EW154" s="21">
        <f>EXP(-LN(2)/25)*EW153+(1-EXP(-LN(2)/25))/(LN(2)/25)*Calculateur!ER154*Calculateur!ET154*VLOOKUP('Données projet'!$B$15,Paramètres!$A$1:$I$89,3,0)*0.475*44/12</f>
        <v>0.20263751343247641</v>
      </c>
      <c r="EX154" s="21">
        <f>EXP(-LN(2)/2)*EX153+(1-EXP(-LN(2)/2))/(LN(2)/2)*ER154*EU154*VLOOKUP('Données projet'!$B$15,Paramètres!$A$1:$I$89,3,0)*0.475*44/12</f>
        <v>5.5583018050307552E-18</v>
      </c>
      <c r="EY154" s="22">
        <f t="shared" ref="EY154:EY203" si="181">SUM(EV154:EX154)</f>
        <v>0.29392540082365359</v>
      </c>
      <c r="EZ154" s="75">
        <f>('Scénario référence'!$F$8+'Scénario référence'!$F$9+'Scénario référence'!$B$17+'Scénario référence'!$B$9+'Scénario référence'!$B$10)*70+IF((45+25*(1-EXP(-0.0175*A154)))&lt;70,'Scénario référence'!$B$16*(45+25*(1-EXP(-0.0175*A154))),70*'Scénario référence'!$B$16)+IF((32+38*(1-EXP(-0.0175*A154)))&lt;70,'Scénario référence'!$B$18*(32+38*(1-EXP(-0.0175*A154))),70*'Scénario référence'!$B$18)</f>
        <v>70</v>
      </c>
      <c r="FA154" s="12">
        <f>IF(A154&gt;30,10,('Scénario référence'!$B$16+'Scénario référence'!$B$17+'Scénario référence'!$B$18+'Scénario référence'!$B$9+'Scénario référence'!$B$10)*A154*10/30+('Scénario référence'!$F$8+'Scénario référence'!$F$9)*10)</f>
        <v>10</v>
      </c>
      <c r="FB154" s="12" t="e">
        <f>VLOOKUP(A154,'Données projet'!$A$217:$I$237,2,0)</f>
        <v>#N/A</v>
      </c>
      <c r="FC154" s="12" t="e">
        <f>VLOOKUP(A154,'Données projet'!$A$217:$I$237,9,0)</f>
        <v>#N/A</v>
      </c>
      <c r="FD154" s="12">
        <f t="array" ref="FD154">INDEX(FC:FC,MIN(IF(ISNUMBER(FC154:FC350),ROW(FC154:FC350),"")))</f>
        <v>0</v>
      </c>
      <c r="FE154" s="12">
        <f>IF('Données projet'!$A$218&gt;35,FE153+FD154-FM153,IF(A154&lt;'Données projet'!$A$218,$FB$205^A154,IF(A154='Données projet'!$A$218,'Données projet'!$B$218,FE153+FD154-FM153)))</f>
        <v>418.99999999999983</v>
      </c>
      <c r="FF154" s="17">
        <f>FE154*VLOOKUP('Données projet'!$B$16,Paramètres!$A$1:$I$89,3,0)*VLOOKUP('Données projet'!$B$16,Paramètres!$A$1:$I$89,5,0)</f>
        <v>359.5019999999999</v>
      </c>
      <c r="FG154" s="13">
        <f t="shared" ref="FG154:FG203" si="182">EXP(-1.0587+0.8836*LN(FF154)+0.284)</f>
        <v>83.516011055432813</v>
      </c>
      <c r="FH154" s="20">
        <f t="shared" ref="FH154:FH203" si="183">(FF154+FG154)*0.475*44/12</f>
        <v>771.58970258821194</v>
      </c>
      <c r="FI154" s="59">
        <f t="shared" si="131"/>
        <v>1064.9230359215453</v>
      </c>
      <c r="FJ154" s="59">
        <f ca="1">AVERAGE(OFFSET($FI$3,0,0,'Données projet'!$E$16+1,1))-AVERAGE(OFFSET($H$3,0,0,'Données projet'!$E$16+1,1))</f>
        <v>383.97627237444709</v>
      </c>
      <c r="FK154" s="59">
        <f t="shared" si="156"/>
        <v>203.35476578922339</v>
      </c>
      <c r="FL154" s="15">
        <f>IF(ISNA(VLOOKUP(A154,'Données projet'!$A$217:$I$237,3,0)),0,VLOOKUP(A154,'Données projet'!$A$217:$I$237,3,0))</f>
        <v>0</v>
      </c>
      <c r="FM154" s="15">
        <f>IF(ISNA(VLOOKUP(A154,'Données projet'!$A$217:$I$237,4,0)),0,VLOOKUP(A154,'Données projet'!$A$217:$I$237,4,0))</f>
        <v>0</v>
      </c>
      <c r="FN154" s="16">
        <f>IF(ISNA(VLOOKUP(A154,'Données projet'!$A$217:$I$237,5,0)),0%,VLOOKUP(A154,'Données projet'!$A$217:$I$237,5,0)*VLOOKUP('Données projet'!$B$16,Paramètres!$A$1:$I$89,7,0))</f>
        <v>0</v>
      </c>
      <c r="FO154" s="16">
        <f>IF(ISNA(VLOOKUP(A154,'Données projet'!$A$217:$I$237,6,0)),0%,VLOOKUP(A154,'Données projet'!$A$217:$I$237,6,0)*VLOOKUP('Données projet'!$B$16,Paramètres!$A$1:$I$89,7,0))</f>
        <v>0</v>
      </c>
      <c r="FP154" s="16">
        <f>IF(ISNA(VLOOKUP(A154,'Données projet'!$A$217:$I$237,7,0)),0%,VLOOKUP(A154,'Données projet'!$A$217:$I$237,7,0))</f>
        <v>0</v>
      </c>
      <c r="FQ154" s="21">
        <f>EXP(-LN(2)/35)*FQ153+(1-EXP(-LN(2)/35))/(LN(2)/35)*FM154*FN154*VLOOKUP('Données projet'!$B$16,Paramètres!$A$1:$I$89,3,0)*0.475*44/12</f>
        <v>0.46917021559604116</v>
      </c>
      <c r="FR154" s="21">
        <f>EXP(-LN(2)/25)*FR153+(1-EXP(-LN(2)/25))/(LN(2)/25)*Calculateur!FM154*Calculateur!FO154*VLOOKUP('Données projet'!$B$16,Paramètres!$A$1:$I$89,3,0)*0.475*44/12</f>
        <v>0.20569802071148843</v>
      </c>
      <c r="FS154" s="21">
        <f>EXP(-LN(2)/2)*FS153+(1-EXP(-LN(2)/2))/(LN(2)/2)*FM154*FP154*VLOOKUP('Données projet'!$B$16,Paramètres!$A$1:$I$89,3,0)*0.475*44/12</f>
        <v>1.0209459687154256E-17</v>
      </c>
      <c r="FT154" s="22">
        <f t="shared" ref="FT154:FT203" si="184">SUM(FQ154:FS154)</f>
        <v>0.67486823630752957</v>
      </c>
      <c r="FU154" s="75">
        <f>('Scénario référence'!$F$8+'Scénario référence'!$F$9+'Scénario référence'!$B$17+'Scénario référence'!$B$9+'Scénario référence'!$B$10)*70+IF((45+25*(1-EXP(-0.0175*A154)))&lt;70,'Scénario référence'!$B$16*(45+25*(1-EXP(-0.0175*A154))),70*'Scénario référence'!$B$16)+IF((32+38*(1-EXP(-0.0175*A154)))&lt;70,'Scénario référence'!$B$18*(32+38*(1-EXP(-0.0175*A154))),70*'Scénario référence'!$B$18)</f>
        <v>70</v>
      </c>
      <c r="FV154" s="12">
        <f>IF(A154&gt;30,10,('Scénario référence'!$B$16+'Scénario référence'!$B$17+'Scénario référence'!$B$18+'Scénario référence'!$B$9+'Scénario référence'!$B$10)*A154*10/30+('Scénario référence'!$F$8+'Scénario référence'!$F$9)*10)</f>
        <v>10</v>
      </c>
      <c r="FW154" s="12" t="e">
        <f>VLOOKUP(A154,'Données projet'!$A$243:$I$263,2,0)</f>
        <v>#N/A</v>
      </c>
      <c r="FX154" s="12" t="e">
        <f>VLOOKUP(A154,'Données projet'!$A$243:$I$263,9,0)</f>
        <v>#N/A</v>
      </c>
      <c r="FY154" s="12">
        <f t="array" ref="FY154">INDEX(FX:FX,MIN(IF(ISNUMBER(FX154:FX350),ROW(FX154:FX350),"")))</f>
        <v>0</v>
      </c>
      <c r="FZ154" s="12">
        <f>IF('Données projet'!$A$244&gt;35,FZ153+FY154-GH153,IF(A154&lt;'Données projet'!$A$244,$FW$205^A154,IF(A154='Données projet'!$A$244,'Données projet'!$B$244,FZ153+FY154-GH153)))</f>
        <v>4.5474735088646412E-13</v>
      </c>
      <c r="GA154" s="17">
        <f>FZ154*VLOOKUP('Données projet'!$B$17,Paramètres!$A$1:$I$89,3,0)*VLOOKUP('Données projet'!$B$17,Paramètres!$A$1:$I$89,5,0)</f>
        <v>4.8949004849418999E-13</v>
      </c>
      <c r="GB154" s="13">
        <f t="shared" ref="GB154:GB203" si="185">EXP(-1.0587+0.8836*LN(GA154)+0.284)</f>
        <v>6.1123715499968684E-12</v>
      </c>
      <c r="GC154" s="20">
        <f t="shared" ref="GC154:GC203" si="186">(GA154+GB154)*0.475*44/12</f>
        <v>1.1498242284038591E-11</v>
      </c>
      <c r="GD154" s="59">
        <f t="shared" si="134"/>
        <v>293.3333333333448</v>
      </c>
      <c r="GE154" s="59">
        <f ca="1">AVERAGE(OFFSET($GD$3,0,0,'Données projet'!$E$17+1,1))-AVERAGE(OFFSET($H$3,0,0,'Données projet'!$E$17+1,1))</f>
        <v>286.77702855541287</v>
      </c>
      <c r="GF154" s="59">
        <f t="shared" si="158"/>
        <v>227.12211541860779</v>
      </c>
      <c r="GG154" s="15">
        <f>IF(ISNA(VLOOKUP(A154,'Données projet'!$A$243:$I$263,3,0)),0,VLOOKUP(A154,'Données projet'!$A$243:$I$263,3,0))</f>
        <v>0</v>
      </c>
      <c r="GH154" s="15">
        <f>IF(ISNA(VLOOKUP(A154,'Données projet'!$A$243:$I$263,4,0)),0,VLOOKUP(A154,'Données projet'!$A$243:$I$263,4,0))</f>
        <v>0</v>
      </c>
      <c r="GI154" s="16">
        <f>IF(ISNA(VLOOKUP(A154,'Données projet'!$A$243:$I$263,5,0)),0%,VLOOKUP(A154,'Données projet'!$A$243:$I$263,5,0)*VLOOKUP('Données projet'!$B$17,Paramètres!$A$1:$I$89,7,0))</f>
        <v>0</v>
      </c>
      <c r="GJ154" s="16">
        <f>IF(ISNA(VLOOKUP(A154,'Données projet'!$A$243:$I$263,6,0)),0%,VLOOKUP(A154,'Données projet'!$A$243:$I$263,6,0)*VLOOKUP('Données projet'!$B$17,Paramètres!$A$1:$I$89,7,0))</f>
        <v>0</v>
      </c>
      <c r="GK154" s="16">
        <f>IF(ISNA(VLOOKUP(A154,'Données projet'!$A$243:$I$263,7,0)),0%,VLOOKUP(A154,'Données projet'!$A$243:$I$263,7,0))</f>
        <v>0</v>
      </c>
      <c r="GL154" s="21">
        <f>EXP(-LN(2)/35)*GL153+(1-EXP(-LN(2)/35))/(LN(2)/35)*GH154*GI154*VLOOKUP('Données projet'!$B$17,Paramètres!$A$1:$I$89,3,0)*0.475*44/12</f>
        <v>0</v>
      </c>
      <c r="GM154" s="21">
        <f>EXP(-LN(2)/25)*GM153+(1-EXP(-LN(2)/25))/(LN(2)/25)*Calculateur!GH154*Calculateur!GJ154*VLOOKUP('Données projet'!$B$17,Paramètres!$A$1:$I$89,3,0)*0.475*44/12</f>
        <v>0</v>
      </c>
      <c r="GN154" s="21">
        <f>EXP(-LN(2)/2)*GN153+(1-EXP(-LN(2)/2))/(LN(2)/2)*GH154*GK154*VLOOKUP('Données projet'!$B$17,Paramètres!$A$1:$I$89,3,0)*0.475*44/12</f>
        <v>0</v>
      </c>
      <c r="GO154" s="21">
        <f t="shared" ref="GO154:GO203" si="187">SUM(GL154:GN154)</f>
        <v>0</v>
      </c>
      <c r="GP154" s="75">
        <f>('Scénario référence'!$F$8+'Scénario référence'!$F$9+'Scénario référence'!$B$17+'Scénario référence'!$B$9+'Scénario référence'!$B$10)*70+IF((45+25*(1-EXP(-0.0175*A154)))&lt;70,'Scénario référence'!$B$16*(45+25*(1-EXP(-0.0175*A154))),70*'Scénario référence'!$B$16)+IF((32+38*(1-EXP(-0.0175*A154)))&lt;70,'Scénario référence'!$B$18*(32+38*(1-EXP(-0.0175*A154))),70*'Scénario référence'!$B$18)</f>
        <v>70</v>
      </c>
      <c r="GQ154" s="12">
        <f>IF(A154&gt;30,10,('Scénario référence'!$B$16+'Scénario référence'!$B$17+'Scénario référence'!$B$18+'Scénario référence'!$B$9+'Scénario référence'!$B$10)*A154*10/30+('Scénario référence'!$F$8+'Scénario référence'!$F$9)*10)</f>
        <v>10</v>
      </c>
      <c r="GR154" s="12" t="e">
        <f>VLOOKUP(A154,'Données projet'!$A$269:$I$289,2,0)</f>
        <v>#N/A</v>
      </c>
      <c r="GS154" s="12" t="e">
        <f>VLOOKUP(A154,'Données projet'!$A$269:$I$289,9,0)</f>
        <v>#N/A</v>
      </c>
      <c r="GT154" s="12">
        <f t="array" ref="GT154">INDEX(GS:GS,MIN(IF(ISNUMBER(GS154:GS350),ROW(GS154:GS350),"")))</f>
        <v>0</v>
      </c>
      <c r="GU154" s="12">
        <f>IF('Données projet'!$A$270&gt;35,GU153+GT154-HC153,IF(A154&lt;'Données projet'!$A$270,$GR$205^A154,IF(A154='Données projet'!$A$270,'Données projet'!$B$270,GU153+GT154-HC153)))</f>
        <v>4.5474735088646412E-13</v>
      </c>
      <c r="GV154" s="17">
        <f>GU154*VLOOKUP('Données projet'!$B$18,Paramètres!$A$1:$I$89,3,0)*VLOOKUP('Données projet'!$B$18,Paramètres!$A$1:$I$89,5,0)</f>
        <v>4.8949004849418999E-13</v>
      </c>
      <c r="GW154" s="13">
        <f t="shared" ref="GW154:GW203" si="188">EXP(-1.0587+0.8836*LN(GV154)+0.284)</f>
        <v>6.1123715499968684E-12</v>
      </c>
      <c r="GX154" s="20">
        <f t="shared" ref="GX154:GX203" si="189">(GV154+GW154)*0.475*44/12</f>
        <v>1.1498242284038591E-11</v>
      </c>
      <c r="GY154" s="59">
        <f t="shared" si="137"/>
        <v>293.3333333333448</v>
      </c>
      <c r="GZ154" s="59">
        <f ca="1">AVERAGE(OFFSET($GY$3,0,0,'Données projet'!$E$18+1,1))-AVERAGE(OFFSET($H$3,0,0,'Données projet'!$E$18+1,1))</f>
        <v>286.77702855541287</v>
      </c>
      <c r="HA154" s="59">
        <f t="shared" si="160"/>
        <v>227.12211541860779</v>
      </c>
      <c r="HB154" s="15">
        <f>IF(ISNA(VLOOKUP(A154,'Données projet'!$A$269:$I$289,3,0)),0,VLOOKUP(A154,'Données projet'!$A$269:$I$289,3,0))</f>
        <v>0</v>
      </c>
      <c r="HC154" s="15">
        <f>IF(ISNA(VLOOKUP(A154,'Données projet'!$A$269:$I$289,4,0)),0,VLOOKUP(A154,'Données projet'!$A$269:$I$289,4,0))</f>
        <v>0</v>
      </c>
      <c r="HD154" s="16">
        <f>IF(ISNA(VLOOKUP(A154,'Données projet'!$A$269:$I$289,5,0)),0%,VLOOKUP(A154,'Données projet'!$A$269:$I$289,5,0)*VLOOKUP('Données projet'!$B$18,Paramètres!$A$1:$I$89,7,0))</f>
        <v>0</v>
      </c>
      <c r="HE154" s="16">
        <f>IF(ISNA(VLOOKUP(A154,'Données projet'!$A$269:$I$289,6,0)),0%,VLOOKUP(A154,'Données projet'!$A$269:$I$289,6,0)*VLOOKUP('Données projet'!$B$18,Paramètres!$A$1:$I$89,7,0))</f>
        <v>0</v>
      </c>
      <c r="HF154" s="16">
        <f>IF(ISNA(VLOOKUP(A154,'Données projet'!$A$269:$I$289,7,0)),0%,VLOOKUP(A154,'Données projet'!$A$269:$I$289,7,0))</f>
        <v>0</v>
      </c>
      <c r="HG154" s="21">
        <f>EXP(-LN(2)/35)*HG153+(1-EXP(-LN(2)/35))/(LN(2)/35)*HC154*HD154*VLOOKUP('Données projet'!$B$18,Paramètres!$A$1:$I$89,3,0)*0.475*44/12</f>
        <v>0</v>
      </c>
      <c r="HH154" s="21">
        <f>EXP(-LN(2)/25)*HH153+(1-EXP(-LN(2)/25))/(LN(2)/25)*Calculateur!HC154*Calculateur!HE154*VLOOKUP('Données projet'!$B$18,Paramètres!$A$1:$I$89,3,0)*0.475*44/12</f>
        <v>0</v>
      </c>
      <c r="HI154" s="21">
        <f>EXP(-LN(2)/2)*HI153+(1-EXP(-LN(2)/2))/(LN(2)/2)*HC154*HF154*VLOOKUP('Données projet'!$B$18,Paramètres!$A$1:$I$89,3,0)*0.475*44/12</f>
        <v>0</v>
      </c>
      <c r="HJ154" s="22">
        <f t="shared" ref="HJ154:HJ203" si="190">SUM(HG154:HI154)</f>
        <v>0</v>
      </c>
    </row>
    <row r="155" spans="1:218" x14ac:dyDescent="0.25">
      <c r="A155" s="10">
        <f t="shared" si="161"/>
        <v>152</v>
      </c>
      <c r="B155" s="73">
        <f>'Scénario référence'!$B$16*5+'Scénario référence'!$B$17*0+'Scénario référence'!$B$18*5</f>
        <v>0</v>
      </c>
      <c r="C155" s="19">
        <f>Calculateur!C154+'Scénario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135.15840000000014</v>
      </c>
      <c r="D155" s="11">
        <f t="shared" si="140"/>
        <v>35.185601260048031</v>
      </c>
      <c r="E15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55" s="11">
        <f>IF(OR('Scénario référence'!$F$8&gt;0,'Scénario référence'!$F$9&gt;0),('Scénario référence'!$F$8+'Scénario référence'!$F$9)*10,0)</f>
        <v>10</v>
      </c>
      <c r="G155" s="11">
        <f>'Scénario référence'!$B$8*B155*44/12+'Scénario référence'!$B$9*(C155+D155)/0.475*44/12+'Scénario référence'!$B$10*(C155+D155)/0.475*44/12+'Scénario référence'!$F$8*(C155+D155)/0.475*44/12+'Scénario référence'!$F$9*(C155+D155)/0.475*44/12</f>
        <v>1314.9361500775651</v>
      </c>
      <c r="H155" s="67">
        <f t="shared" si="110"/>
        <v>590.0158021945839</v>
      </c>
      <c r="I155" s="70">
        <f>('Scénario référence'!$F$8+'Scénario référence'!$F$9+'Scénario référence'!$B$17+'Scénario référence'!$B$9+'Scénario référence'!$B$10)*70+IF((45+25*(1-EXP(-0.0175*A155)))&lt;70,'Scénario référence'!$B$16*(45+25*(1-EXP(-0.0175*A155))),70*'Scénario référence'!$B$16)+IF((32+38*(1-EXP(-0.0175*A155)))&lt;70,'Scénario référence'!$B$18*(32+38*(1-EXP(-0.0175*A155))),70*'Scénario référence'!$B$18)</f>
        <v>70</v>
      </c>
      <c r="J155" s="13">
        <f>IF(A155&gt;30,10,('Scénario référence'!$B$16+'Scénario référence'!$B$17+'Scénario référence'!$B$18+'Scénario référence'!$B$9+'Scénario référence'!$B$10)*A155*10/30+('Scénario référence'!$F$8+'Scénario référence'!$F$9)*10)</f>
        <v>10</v>
      </c>
      <c r="K155" s="12" t="e">
        <f>VLOOKUP(A155,'Données projet'!$A$35:$I$55,2,0)</f>
        <v>#N/A</v>
      </c>
      <c r="L155" s="12" t="e">
        <f>VLOOKUP(A155,'Données projet'!$A$35:$I$55,9,0)</f>
        <v>#N/A</v>
      </c>
      <c r="M155" s="12">
        <f t="array" ref="M155">INDEX(L:L,MIN(IF(ISNUMBER(L155:L351),ROW(L155:L351),"")))</f>
        <v>0</v>
      </c>
      <c r="N155" s="13">
        <f>IF('Données projet'!$A$36&gt;35,N154+M155-V154,IF(A155&lt;'Données projet'!$A$36,$K$205^A155,IF(A155='Données projet'!$A$36,'Données projet'!$B$36,N154+M155-V154)))</f>
        <v>-2.2737367544323206E-13</v>
      </c>
      <c r="O155" s="13">
        <f>N155*VLOOKUP('Données projet'!$B$9,Paramètres!$A$1:$I$89,3,0)*VLOOKUP('Données projet'!$B$9,Paramètres!$A$1:$I$89,5,0)</f>
        <v>-1.2710188457276673E-13</v>
      </c>
      <c r="P155" s="13" t="e">
        <f t="shared" si="141"/>
        <v>#NUM!</v>
      </c>
      <c r="Q155" s="20" t="e">
        <f t="shared" si="162"/>
        <v>#NUM!</v>
      </c>
      <c r="R155" s="59" t="e">
        <f t="shared" si="109"/>
        <v>#NUM!</v>
      </c>
      <c r="S155" s="59">
        <f ca="1">AVERAGE(OFFSET($R$3,0,0,'Données projet'!$E$9+1,1))-AVERAGE(OFFSET($H$3,0,0,'Données projet'!$E$9+1,1))</f>
        <v>255.5374979188561</v>
      </c>
      <c r="T155" s="59">
        <f t="shared" si="142"/>
        <v>343.10418468620901</v>
      </c>
      <c r="U155" s="15">
        <f>IF(ISNA(VLOOKUP(A155,'Données projet'!$A$35:$I$55,3,0)),0,VLOOKUP(A155,'Données projet'!$A$35:$I$55,3,0))</f>
        <v>0</v>
      </c>
      <c r="V155" s="15">
        <f>IF(ISNA(VLOOKUP(A155,'Données projet'!$A$35:$I$55,4,0)),0,VLOOKUP(A155,'Données projet'!$A$35:$I$55,4,0))</f>
        <v>0</v>
      </c>
      <c r="W155" s="16">
        <f>IF(ISNA(VLOOKUP(A155,'Données projet'!$A$35:$I$55,5,0)),0%,VLOOKUP(A155,'Données projet'!$A$35:$I$55,5,0)*VLOOKUP('Données projet'!$B$9,Paramètres!$A$1:$I$89,7,0))</f>
        <v>0</v>
      </c>
      <c r="X155" s="16">
        <f>IF(ISNA(VLOOKUP(A155,'Données projet'!$A$35:$I$55,6,0)),0%,VLOOKUP(A155,'Données projet'!$A$35:$I$55,6,0)*VLOOKUP('Données projet'!$B$9,Paramètres!$A$1:$I$89,7,0))</f>
        <v>0</v>
      </c>
      <c r="Y155" s="16">
        <f>IF(ISNA(VLOOKUP(A155,'Données projet'!$A$35:$I$55,7,0)),0%,VLOOKUP(A155,'Données projet'!$A$35:$I$55,7,0))</f>
        <v>0</v>
      </c>
      <c r="Z155" s="21">
        <f>EXP(-LN(2)/35)*Z154+(1-EXP(-LN(2)/35))/(LN(2)/35)*V155*W155*VLOOKUP('Données projet'!$B$9,Paramètres!$A$1:$I$89,3,0)*0.475*44/12</f>
        <v>0.27584153695672475</v>
      </c>
      <c r="AA155" s="21">
        <f>EXP(-LN(2)/25)*AA154+(1-EXP(-LN(2)/25))/(LN(2)/25)*Calculateur!V155*Calculateur!X155*VLOOKUP('Données projet'!$B$9,Paramètres!$A$1:$I$89,3,0)*0.475*44/12</f>
        <v>0.54201781286912831</v>
      </c>
      <c r="AB155" s="21">
        <f>EXP(-LN(2)/2)*AB154+(1-EXP(-LN(2)/2))/(LN(2)/2)*V155*Y155*VLOOKUP('Données projet'!$B$9,Paramètres!$A$1:$I$89,3,0)*0.475*44/12</f>
        <v>7.3407082472248203E-19</v>
      </c>
      <c r="AC155" s="22">
        <f t="shared" si="163"/>
        <v>0.81785934982585307</v>
      </c>
      <c r="AD155" s="13">
        <f>('Scénario référence'!$F$8+'Scénario référence'!$F$9+'Scénario référence'!$B$17+'Scénario référence'!$B$9+'Scénario référence'!$B$10)*70+IF((45+25*(1-EXP(-0.0175*A155)))&lt;70,'Scénario référence'!$B$16*(45+25*(1-EXP(-0.0175*A155))),70*'Scénario référence'!$B$16)+IF((32+38*(1-EXP(-0.0175*A155)))&lt;70,'Scénario référence'!$B$18*(32+38*(1-EXP(-0.0175*A155))),70*'Scénario référence'!$B$18)</f>
        <v>70</v>
      </c>
      <c r="AE155" s="13">
        <f>IF(A155&gt;30,10,('Scénario référence'!$B$16+'Scénario référence'!$B$17+'Scénario référence'!$B$18+'Scénario référence'!$B$9+'Scénario référence'!$B$10)*A155*10/30+('Scénario référence'!$F$8+'Scénario référence'!$F$9)*10)</f>
        <v>10</v>
      </c>
      <c r="AF155" s="12" t="e">
        <f>VLOOKUP(A155,'Données projet'!$A$61:$I$81,2,0)</f>
        <v>#N/A</v>
      </c>
      <c r="AG155" s="12" t="e">
        <f>VLOOKUP(A155,'Données projet'!$A$61:$I$81,9,0)</f>
        <v>#N/A</v>
      </c>
      <c r="AH155" s="12">
        <f t="array" ref="AH155">INDEX(AG:AG,MIN(IF(ISNUMBER(AG155:AG351),ROW(AG155:AG351),"")))</f>
        <v>0</v>
      </c>
      <c r="AI155" s="13">
        <f>IF('Données projet'!$A$62&gt;35,AI154+AH155-AQ154,IF(A155&lt;'Données projet'!$A$62,$AF$205^A155,IF(A155='Données projet'!$A$62,'Données projet'!$B$62,AI154+AH155-AQ154)))</f>
        <v>0</v>
      </c>
      <c r="AJ155" s="13">
        <f>AI155*VLOOKUP('Données projet'!$B$10,Paramètres!$A$1:$I$89,3,0)*VLOOKUP('Données projet'!$B$10,Paramètres!$A$1:$I$89,5,0)</f>
        <v>0</v>
      </c>
      <c r="AK155" s="13" t="e">
        <f t="shared" si="164"/>
        <v>#NUM!</v>
      </c>
      <c r="AL155" s="20" t="e">
        <f t="shared" si="165"/>
        <v>#NUM!</v>
      </c>
      <c r="AM155" s="59" t="e">
        <f t="shared" si="113"/>
        <v>#NUM!</v>
      </c>
      <c r="AN155" s="59">
        <f ca="1">AVERAGE(OFFSET($AM$3,0,0,'Données projet'!$E$10+1,1))-AVERAGE(OFFSET($H$3,0,0,'Données projet'!$E$10+1,1))</f>
        <v>261.78489480911571</v>
      </c>
      <c r="AO155" s="59">
        <f t="shared" si="144"/>
        <v>297.50513563712764</v>
      </c>
      <c r="AP155" s="15">
        <f>IF(ISNA(VLOOKUP(A155,'Données projet'!$A$61:$I$81,3,0)),0,VLOOKUP(A155,'Données projet'!$A$61:$I$81,3,0))</f>
        <v>0</v>
      </c>
      <c r="AQ155" s="15">
        <f>IF(ISNA(VLOOKUP(A155,'Données projet'!$A$61:$I$81,4,0)),0,VLOOKUP(A155,'Données projet'!$A$61:$I$81,4,0))</f>
        <v>0</v>
      </c>
      <c r="AR155" s="16">
        <f>IF(ISNA(VLOOKUP(A155,'Données projet'!$A$61:$I$81,5,0)),0%,VLOOKUP(A155,'Données projet'!$A$61:$I$81,5,0)*VLOOKUP('Données projet'!$B$10,Paramètres!$A$1:$I$89,7,0))</f>
        <v>0</v>
      </c>
      <c r="AS155" s="16">
        <f>IF(ISNA(VLOOKUP(A155,'Données projet'!$A$61:$I$81,6,0)),0%,VLOOKUP(A155,'Données projet'!$A$61:$I$81,6,0)*VLOOKUP('Données projet'!$B$10,Paramètres!$A$1:$I$89,7,0))</f>
        <v>0</v>
      </c>
      <c r="AT155" s="16">
        <f>IF(ISNA(VLOOKUP(A155,'Données projet'!$A$61:$I$81,7,0)),0%,VLOOKUP(A155,'Données projet'!$A$61:$I$81,7,0))</f>
        <v>0</v>
      </c>
      <c r="AU155" s="21">
        <f>EXP(-LN(2)/35)*AU154+(1-EXP(-LN(2)/35))/(LN(2)/35)*AQ155*AR155*VLOOKUP('Données projet'!$B$10,Paramètres!$A$1:$I$89,3,0)*0.475*44/12</f>
        <v>0.74485017118766494</v>
      </c>
      <c r="AV155" s="21">
        <f>EXP(-LN(2)/25)*AV154+(1-EXP(-LN(2)/25))/(LN(2)/25)*Calculateur!AQ155*Calculateur!AS155*VLOOKUP('Données projet'!$B$10,Paramètres!$A$1:$I$89,3,0)*0.475*44/12</f>
        <v>0.94647365169667252</v>
      </c>
      <c r="AW155" s="21">
        <f>EXP(-LN(2)/2)*AW154+(1-EXP(-LN(2)/2))/(LN(2)/2)*AQ155*AT155*VLOOKUP('Données projet'!$B$10,Paramètres!$A$1:$I$89,3,0)*0.475*44/12</f>
        <v>1.0582329776749558E-17</v>
      </c>
      <c r="AX155" s="21">
        <f t="shared" si="166"/>
        <v>1.6913238228843375</v>
      </c>
      <c r="AY155" s="74">
        <f>('Scénario référence'!$F$8+'Scénario référence'!$F$9+'Scénario référence'!$B$17+'Scénario référence'!$B$9+'Scénario référence'!$B$10)*70+IF((45+25*(1-EXP(-0.0175*A155)))&lt;70,'Scénario référence'!$B$16*(45+25*(1-EXP(-0.0175*A155))),70*'Scénario référence'!$B$16)+IF((32+38*(1-EXP(-0.0175*A155)))&lt;70,'Scénario référence'!$B$18*(32+38*(1-EXP(-0.0175*A155))),70*'Scénario référence'!$B$18)</f>
        <v>70</v>
      </c>
      <c r="AZ155" s="12">
        <f>IF(A155&gt;30,10,('Scénario référence'!$B$16+'Scénario référence'!$B$17+'Scénario référence'!$B$18+'Scénario référence'!$B$9+'Scénario référence'!$B$10)*A155*10/30+('Scénario référence'!$F$8+'Scénario référence'!$F$9)*10)</f>
        <v>10</v>
      </c>
      <c r="BA155" s="12" t="e">
        <f>VLOOKUP(A155,'Données projet'!$A$87:$I$107,2,0)</f>
        <v>#N/A</v>
      </c>
      <c r="BB155" s="12" t="e">
        <f>VLOOKUP(A155,'Données projet'!$A$87:$I$107,9,0)</f>
        <v>#N/A</v>
      </c>
      <c r="BC155" s="12">
        <f t="array" ref="BC155">INDEX(BB:BB,MIN(IF(ISNUMBER(BB155:BB351),ROW(BB155:BB351),"")))</f>
        <v>0</v>
      </c>
      <c r="BD155" s="12">
        <f>IF('Données projet'!$A$88&gt;35,BD154+BC155-BL154,IF(A155&lt;'Données projet'!$A$88,$BA$205^A155,IF(A155='Données projet'!$A$88,'Données projet'!$B$88,BD154+BC155-BL154)))</f>
        <v>553.99999999999955</v>
      </c>
      <c r="BE155" s="13">
        <f>BD155*VLOOKUP('Données projet'!$B$11,Paramètres!$A$1:$I$89,3,0)*VLOOKUP('Données projet'!$B$11,Paramètres!$A$1:$I$89,5,0)</f>
        <v>331.29199999999975</v>
      </c>
      <c r="BF155" s="13">
        <f t="shared" si="167"/>
        <v>77.698110787752</v>
      </c>
      <c r="BG155" s="20">
        <f t="shared" si="168"/>
        <v>712.32444295533423</v>
      </c>
      <c r="BH155" s="59">
        <f t="shared" si="116"/>
        <v>1005.6577762886675</v>
      </c>
      <c r="BI155" s="59">
        <f ca="1">AVERAGE(OFFSET($BH$3,0,0,'Données projet'!$E$11+1,1))-AVERAGE(OFFSET($H$3,0,0,'Données projet'!$E$11+1,1))</f>
        <v>316.58509520829671</v>
      </c>
      <c r="BJ155" s="59">
        <f t="shared" si="146"/>
        <v>240.71332110643596</v>
      </c>
      <c r="BK155" s="15">
        <f>IF(ISNA(VLOOKUP(A155,'Données projet'!$A$87:$I$107,3,0)),0,VLOOKUP(A155,'Données projet'!$A$87:$I$107,3,0))</f>
        <v>0</v>
      </c>
      <c r="BL155" s="15">
        <f>IF(ISNA(VLOOKUP(A155,'Données projet'!$A$87:$I$107,4,0)),0,VLOOKUP(A155,'Données projet'!$A$87:$I$107,4,0))</f>
        <v>0</v>
      </c>
      <c r="BM155" s="16">
        <f>IF(ISNA(VLOOKUP(A155,'Données projet'!$A$87:$I$107,5,0)),0%,VLOOKUP(A155,'Données projet'!$A$87:$I$107,5,0)*VLOOKUP('Données projet'!$B$11,Paramètres!$A$1:$I$89,7,0))</f>
        <v>0</v>
      </c>
      <c r="BN155" s="16">
        <f>IF(ISNA(VLOOKUP(A155,'Données projet'!$A$87:$I$107,6,0)),0%,VLOOKUP(A155,'Données projet'!$A$87:$I$107,6,0)*VLOOKUP('Données projet'!$B$11,Paramètres!$A$1:$I$89,7,0))</f>
        <v>0</v>
      </c>
      <c r="BO155" s="16">
        <f>IF(ISNA(VLOOKUP(A155,'Données projet'!$A$87:$I$107,7,0)),0%,VLOOKUP(A155,'Données projet'!$A$87:$I$107,7,0))</f>
        <v>0</v>
      </c>
      <c r="BP155" s="21">
        <f>EXP(-LN(2)/35)*BP154+(1-EXP(-LN(2)/35))/(LN(2)/35)*BL155*BM155*VLOOKUP('Données projet'!$B$11,Paramètres!$A$1:$I$89,3,0)*0.475*44/12</f>
        <v>0.2262537815382176</v>
      </c>
      <c r="BQ155" s="21">
        <f>EXP(-LN(2)/25)*BQ154+(1-EXP(-LN(2)/25))/(LN(2)/25)*Calculateur!BL155*Calculateur!BN155*VLOOKUP('Données projet'!$B$11,Paramètres!$A$1:$I$89,3,0)*0.475*44/12</f>
        <v>0.5185058826801352</v>
      </c>
      <c r="BR155" s="21">
        <f>EXP(-LN(2)/2)*BR154+(1-EXP(-LN(2)/2))/(LN(2)/2)*BL155*BO155*VLOOKUP('Données projet'!$B$11,Paramètres!$A$1:$I$89,3,0)*0.475*44/12</f>
        <v>9.5146733678206382E-18</v>
      </c>
      <c r="BS155" s="22">
        <f t="shared" si="169"/>
        <v>0.74475966421835282</v>
      </c>
      <c r="BT155" s="75">
        <f>('Scénario référence'!$F$8+'Scénario référence'!$F$9+'Scénario référence'!$B$17+'Scénario référence'!$B$9+'Scénario référence'!$B$10)*70+IF((45+25*(1-EXP(-0.0175*A155)))&lt;70,'Scénario référence'!$B$16*(45+25*(1-EXP(-0.0175*A155))),70*'Scénario référence'!$B$16)+IF((32+38*(1-EXP(-0.0175*A155)))&lt;70,'Scénario référence'!$B$18*(32+38*(1-EXP(-0.0175*A155))),70*'Scénario référence'!$B$18)</f>
        <v>70</v>
      </c>
      <c r="BU155" s="12">
        <f>IF(A155&gt;30,10,('Scénario référence'!$B$16+'Scénario référence'!$B$17+'Scénario référence'!$B$18+'Scénario référence'!$B$9+'Scénario référence'!$B$10)*A155*10/30+('Scénario référence'!$F$8+'Scénario référence'!$F$9)*10)</f>
        <v>10</v>
      </c>
      <c r="BV155" s="12" t="e">
        <f>VLOOKUP(A155,'Données projet'!$A$113:$I$133,2,0)</f>
        <v>#N/A</v>
      </c>
      <c r="BW155" s="12" t="e">
        <f>VLOOKUP(A155,'Données projet'!$A$113:$I$133,9,0)</f>
        <v>#N/A</v>
      </c>
      <c r="BX155" s="12">
        <f t="array" ref="BX155">INDEX(BW:BW,MIN(IF(ISNUMBER(BW155:BW351),ROW(BW155:BW351),"")))</f>
        <v>0</v>
      </c>
      <c r="BY155" s="12">
        <f>IF('Données projet'!$A$114&gt;35,BY154+BX155-CG154,IF(A155&lt;'Données projet'!$A$114,$BV$205^A155,IF(A155='Données projet'!$A$114,'Données projet'!$B$114,BY154+BX155-CG154)))</f>
        <v>333.99999999999977</v>
      </c>
      <c r="BZ155" s="13">
        <f>BY155*VLOOKUP('Données projet'!$B$12,Paramètres!$A$1:$I$89,3,0)*VLOOKUP('Données projet'!$B$12,Paramètres!$A$1:$I$89,5,0)</f>
        <v>191.04799999999986</v>
      </c>
      <c r="CA155" s="13">
        <f t="shared" si="170"/>
        <v>47.771576544305155</v>
      </c>
      <c r="CB155" s="20">
        <f t="shared" si="171"/>
        <v>415.94409581466454</v>
      </c>
      <c r="CC155" s="59">
        <f t="shared" si="119"/>
        <v>709.27742914799785</v>
      </c>
      <c r="CD155" s="59">
        <f ca="1">AVERAGE(OFFSET($CC$3,0,0,'Données projet'!$E$12+1,1))-AVERAGE(OFFSET($H$3,0,0,'Données projet'!$E$12+1,1))</f>
        <v>188.64374818906128</v>
      </c>
      <c r="CE155" s="59">
        <f t="shared" si="148"/>
        <v>211.95157880548652</v>
      </c>
      <c r="CF155" s="15">
        <f>IF(ISNA(VLOOKUP(A155,'Données projet'!$A$113:$I$133,3,0)),0,VLOOKUP(A155,'Données projet'!$A$113:$I$133,3,0))</f>
        <v>0</v>
      </c>
      <c r="CG155" s="15">
        <f>IF(ISNA(VLOOKUP(A155,'Données projet'!$A$113:$I$133,4,0)),0,VLOOKUP(A155,'Données projet'!$A$113:$I$133,4,0))</f>
        <v>0</v>
      </c>
      <c r="CH155" s="16">
        <f>IF(ISNA(VLOOKUP(A155,'Données projet'!$A$113:$I$133,5,0)),0%,VLOOKUP(A155,'Données projet'!$A$113:$I$133,5,0)*VLOOKUP('Données projet'!$B$12,Paramètres!$A$1:$I$89,7,0))</f>
        <v>0</v>
      </c>
      <c r="CI155" s="16">
        <f>IF(ISNA(VLOOKUP(A155,'Données projet'!$A$113:$I$133,6,0)),0%,VLOOKUP(A155,'Données projet'!$A$113:$I$133,6,0)*VLOOKUP('Données projet'!$B$12,Paramètres!$A$1:$I$89,7,0))</f>
        <v>0</v>
      </c>
      <c r="CJ155" s="16">
        <f>IF(ISNA(VLOOKUP(A155,'Données projet'!$A$113:$I$133,7,0)),0%,VLOOKUP(A155,'Données projet'!$A$113:$I$133,7,0))</f>
        <v>0</v>
      </c>
      <c r="CK155" s="21">
        <f>EXP(-LN(2)/35)*CK154+(1-EXP(-LN(2)/35))/(LN(2)/35)*CG155*CH155*VLOOKUP('Données projet'!$B$12,Paramètres!$A$1:$I$89,3,0)*0.475*44/12</f>
        <v>0.21946478258207983</v>
      </c>
      <c r="CL155" s="21">
        <f>EXP(-LN(2)/25)*CL154+(1-EXP(-LN(2)/25))/(LN(2)/25)*Calculateur!CG155*Calculateur!CI155*VLOOKUP('Données projet'!$B$12,Paramètres!$A$1:$I$89,3,0)*0.475*44/12</f>
        <v>0.48802947666571084</v>
      </c>
      <c r="CM155" s="21">
        <f>EXP(-LN(2)/2)*CM154+(1-EXP(-LN(2)/2))/(LN(2)/2)*CG155*CJ155*VLOOKUP('Données projet'!$B$12,Paramètres!$A$1:$I$89,3,0)*0.475*44/12</f>
        <v>9.2142167176339775E-18</v>
      </c>
      <c r="CN155" s="22">
        <f t="shared" si="172"/>
        <v>0.70749425924779064</v>
      </c>
      <c r="CO155" s="75">
        <f>('Scénario référence'!$F$8+'Scénario référence'!$F$9+'Scénario référence'!$B$17+'Scénario référence'!$B$9+'Scénario référence'!$B$10)*70+IF((45+25*(1-EXP(-0.0175*A155)))&lt;70,'Scénario référence'!$B$16*(45+25*(1-EXP(-0.0175*A155))),70*'Scénario référence'!$B$16)+IF((32+38*(1-EXP(-0.0175*A155)))&lt;70,'Scénario référence'!$B$18*(32+38*(1-EXP(-0.0175*A155))),70*'Scénario référence'!$B$18)</f>
        <v>70</v>
      </c>
      <c r="CP155" s="12">
        <f>IF(A155&gt;30,10,('Scénario référence'!$B$16+'Scénario référence'!$B$17+'Scénario référence'!$B$18+'Scénario référence'!$B$9+'Scénario référence'!$B$10)*A155*10/30+('Scénario référence'!$F$8+'Scénario référence'!$F$9)*10)</f>
        <v>10</v>
      </c>
      <c r="CQ155" s="12" t="e">
        <f>VLOOKUP(A155,'Données projet'!$A$139:$I$159,2,0)</f>
        <v>#N/A</v>
      </c>
      <c r="CR155" s="12" t="e">
        <f>VLOOKUP(A155,'Données projet'!$A$139:$I$159,9,0)</f>
        <v>#N/A</v>
      </c>
      <c r="CS155" s="12">
        <f t="array" ref="CS155">INDEX(CR:CR,MIN(IF(ISNUMBER(CR155:CR351),ROW(CR155:CR351),"")))</f>
        <v>0</v>
      </c>
      <c r="CT155" s="12">
        <f>IF('Données projet'!$A$140&gt;35,CT154+CS155-DB154,IF(A155&lt;'Données projet'!$A$140,$CQ$205^A155,IF(A155='Données projet'!$A$140,'Données projet'!$B$140,CT154+CS155-DB154)))</f>
        <v>0</v>
      </c>
      <c r="CU155" s="17" t="e">
        <f>CT155*VLOOKUP('Données projet'!$B$13,Paramètres!$A$1:$I$89,3,0)*VLOOKUP('Données projet'!$B$13,Paramètres!$A$1:$I$89,5,0)</f>
        <v>#N/A</v>
      </c>
      <c r="CV155" s="13" t="e">
        <f t="shared" si="173"/>
        <v>#N/A</v>
      </c>
      <c r="CW155" s="20" t="e">
        <f t="shared" si="174"/>
        <v>#N/A</v>
      </c>
      <c r="CX155" s="59" t="e">
        <f t="shared" si="122"/>
        <v>#N/A</v>
      </c>
      <c r="CY155" s="59" t="e">
        <f ca="1">AVERAGE(OFFSET($CX$3,0,0,'Données projet'!$E$13+1,1))-AVERAGE(OFFSET($H$3,0,0,'Données projet'!$E$13+1,1))</f>
        <v>#N/A</v>
      </c>
      <c r="CZ155" s="59" t="e">
        <f t="shared" si="150"/>
        <v>#N/A</v>
      </c>
      <c r="DA155" s="15">
        <f>IF(ISNA(VLOOKUP(A155,'Données projet'!$A$139:$I$159,3,0)),0,VLOOKUP(A155,'Données projet'!$A$139:$I$159,3,0))</f>
        <v>0</v>
      </c>
      <c r="DB155" s="15">
        <f>IF(ISNA(VLOOKUP(A155,'Données projet'!$A$139:$I$159,4,0)),0,VLOOKUP(A155,'Données projet'!$A$139:$I$159,4,0))</f>
        <v>0</v>
      </c>
      <c r="DC155" s="16">
        <f>IF(ISNA(VLOOKUP(A155,'Données projet'!$A$139:$I$159,5,0)),0%,VLOOKUP(A155,'Données projet'!$A$139:$I$159,5,0)*VLOOKUP('Données projet'!$B$13,Paramètres!$A$1:$I$89,7,0))</f>
        <v>0</v>
      </c>
      <c r="DD155" s="16">
        <f>IF(ISNA(VLOOKUP(A155,'Données projet'!$A$139:$I$159,6,0)),0%,VLOOKUP(A155,'Données projet'!$A$139:$I$159,6,0)*VLOOKUP('Données projet'!$B$13,Paramètres!$A$1:$I$89,7,0))</f>
        <v>0</v>
      </c>
      <c r="DE155" s="16">
        <f>IF(ISNA(VLOOKUP(A155,'Données projet'!$A$139:$I$159,7,0)),0%,VLOOKUP(A155,'Données projet'!$A$139:$I$159,7,0))</f>
        <v>0</v>
      </c>
      <c r="DF155" s="21" t="e">
        <f>EXP(-LN(2)/35)*DF154+(1-EXP(-LN(2)/35))/(LN(2)/35)*DB155*DC155*VLOOKUP('Données projet'!$B$13,Paramètres!$A$1:$I$89,3,0)*0.475*44/12</f>
        <v>#N/A</v>
      </c>
      <c r="DG155" s="21" t="e">
        <f>EXP(-LN(2)/25)*DG154+(1-EXP(-LN(2)/25))/(LN(2)/25)*Calculateur!DB155*Calculateur!DD155*VLOOKUP('Données projet'!$B$13,Paramètres!$A$1:$I$89,3,0)*0.475*44/12</f>
        <v>#N/A</v>
      </c>
      <c r="DH155" s="21" t="e">
        <f>EXP(-LN(2)/2)*DH154+(1-EXP(-LN(2)/2))/(LN(2)/2)*DB155*DE155*VLOOKUP('Données projet'!$B$13,Paramètres!$A$1:$I$89,3,0)*0.475*44/12</f>
        <v>#N/A</v>
      </c>
      <c r="DI155" s="22" t="e">
        <f t="shared" si="175"/>
        <v>#N/A</v>
      </c>
      <c r="DJ155" s="75">
        <f>('Scénario référence'!$F$8+'Scénario référence'!$F$9+'Scénario référence'!$B$17+'Scénario référence'!$B$9+'Scénario référence'!$B$10)*70+IF((45+25*(1-EXP(-0.0175*A155)))&lt;70,'Scénario référence'!$B$16*(45+25*(1-EXP(-0.0175*A155))),70*'Scénario référence'!$B$16)+IF((32+38*(1-EXP(-0.0175*A155)))&lt;70,'Scénario référence'!$B$18*(32+38*(1-EXP(-0.0175*A155))),70*'Scénario référence'!$B$18)</f>
        <v>70</v>
      </c>
      <c r="DK155" s="12">
        <f>IF(A155&gt;30,10,('Scénario référence'!$B$16+'Scénario référence'!$B$17+'Scénario référence'!$B$18+'Scénario référence'!$B$9+'Scénario référence'!$B$10)*A155*10/30+('Scénario référence'!$F$8+'Scénario référence'!$F$9)*10)</f>
        <v>10</v>
      </c>
      <c r="DL155" s="12" t="e">
        <f>VLOOKUP(A155,'Données projet'!$A$165:$I$185,2,0)</f>
        <v>#N/A</v>
      </c>
      <c r="DM155" s="12" t="e">
        <f>VLOOKUP(A155,'Données projet'!$A$165:$I$185,9,0)</f>
        <v>#N/A</v>
      </c>
      <c r="DN155" s="12">
        <f t="array" ref="DN155">INDEX(DM:DM,MIN(IF(ISNUMBER(DM155:DM351),ROW(DM155:DM351),"")))</f>
        <v>0</v>
      </c>
      <c r="DO155" s="12">
        <f>IF('Données projet'!$A$166&gt;35,DO154+DN155-DW154,IF(A155&lt;'Données projet'!$A$166,$DL$205^A155,IF(A155='Données projet'!$A$166,'Données projet'!$B$166,DO154+DN155-DW154)))</f>
        <v>268.00000000000017</v>
      </c>
      <c r="DP155" s="17">
        <f>DO155*VLOOKUP('Données projet'!$B$14,Paramètres!$A$1:$I$89,3,0)*VLOOKUP('Données projet'!$B$14,Paramètres!$A$1:$I$89,5,0)</f>
        <v>175.59360000000012</v>
      </c>
      <c r="DQ155" s="13">
        <f t="shared" si="176"/>
        <v>44.340433728638573</v>
      </c>
      <c r="DR155" s="20">
        <f t="shared" si="177"/>
        <v>383.05177541071242</v>
      </c>
      <c r="DS155" s="59">
        <f t="shared" si="125"/>
        <v>676.38510874404574</v>
      </c>
      <c r="DT155" s="59">
        <f ca="1">AVERAGE(OFFSET($DS$3,0,0,'Données projet'!$E$14+1,1))-AVERAGE(OFFSET($H$3,0,0,'Données projet'!$E$14+1,1))</f>
        <v>188.68915783955595</v>
      </c>
      <c r="DU155" s="59">
        <f t="shared" si="152"/>
        <v>240.82467772396944</v>
      </c>
      <c r="DV155" s="15">
        <f>IF(ISNA(VLOOKUP(A155,'Données projet'!$A$165:$I$185,3,0)),0,VLOOKUP(A155,'Données projet'!$A$165:$I$185,3,0))</f>
        <v>0</v>
      </c>
      <c r="DW155" s="15">
        <f>IF(ISNA(VLOOKUP(A155,'Données projet'!$A$165:$I$185,4,0)),0,VLOOKUP(A155,'Données projet'!$A$165:$I$185,4,0))</f>
        <v>0</v>
      </c>
      <c r="DX155" s="16">
        <f>IF(ISNA(VLOOKUP(A155,'Données projet'!$A$165:$I$185,5,0)),0%,VLOOKUP(A155,'Données projet'!$A$165:$I$185,5,0)*VLOOKUP('Données projet'!$B$14,Paramètres!$A$1:$I$89,7,0))</f>
        <v>0</v>
      </c>
      <c r="DY155" s="16">
        <f>IF(ISNA(VLOOKUP(A155,'Données projet'!$A$165:$I$185,6,0)),0%,VLOOKUP(A155,'Données projet'!$A$165:$I$185,6,0)*VLOOKUP('Données projet'!$B$14,Paramètres!$A$1:$I$89,7,0))</f>
        <v>0</v>
      </c>
      <c r="DZ155" s="16">
        <f>IF(ISNA(VLOOKUP(A155,'Données projet'!$A$165:$I$185,7,0)),0%,VLOOKUP(A155,'Données projet'!$A$165:$I$185,7,0))</f>
        <v>0</v>
      </c>
      <c r="EA155" s="21">
        <f>EXP(-LN(2)/35)*EA154+(1-EXP(-LN(2)/35))/(LN(2)/35)*DW155*DX155*VLOOKUP('Données projet'!$B$14,Paramètres!$A$1:$I$89,3,0)*0.475*44/12</f>
        <v>0.13901283576853113</v>
      </c>
      <c r="EB155" s="21">
        <f>EXP(-LN(2)/25)*EB154+(1-EXP(-LN(2)/25))/(LN(2)/25)*Calculateur!DW155*Calculateur!DY155*VLOOKUP('Données projet'!$B$14,Paramètres!$A$1:$I$89,3,0)*0.475*44/12</f>
        <v>0.27297520637832123</v>
      </c>
      <c r="EC155" s="21">
        <f>EXP(-LN(2)/2)*EC154+(1-EXP(-LN(2)/2))/(LN(2)/2)*DW155*DZ155*VLOOKUP('Données projet'!$B$14,Paramètres!$A$1:$I$89,3,0)*0.475*44/12</f>
        <v>6.0699743782556752E-18</v>
      </c>
      <c r="ED155" s="22">
        <f t="shared" si="178"/>
        <v>0.41198804214685236</v>
      </c>
      <c r="EE155" s="75">
        <f>('Scénario référence'!$F$8+'Scénario référence'!$F$9+'Scénario référence'!$B$17+'Scénario référence'!$B$9+'Scénario référence'!$B$10)*70+IF((45+25*(1-EXP(-0.0175*A155)))&lt;70,'Scénario référence'!$B$16*(45+25*(1-EXP(-0.0175*A155))),70*'Scénario référence'!$B$16)+IF((32+38*(1-EXP(-0.0175*A155)))&lt;70,'Scénario référence'!$B$18*(32+38*(1-EXP(-0.0175*A155))),70*'Scénario référence'!$B$18)</f>
        <v>70</v>
      </c>
      <c r="EF155" s="12">
        <f>IF(A155&gt;30,10,('Scénario référence'!$B$16+'Scénario référence'!$B$17+'Scénario référence'!$B$18+'Scénario référence'!$B$9+'Scénario référence'!$B$10)*A155*10/30+('Scénario référence'!$F$8+'Scénario référence'!$F$9)*10)</f>
        <v>10</v>
      </c>
      <c r="EG155" s="12" t="e">
        <f>VLOOKUP(A155,'Données projet'!$A$191:$I$211,2,0)</f>
        <v>#N/A</v>
      </c>
      <c r="EH155" s="12" t="e">
        <f>VLOOKUP(A155,'Données projet'!$A$191:$I$211,9,0)</f>
        <v>#N/A</v>
      </c>
      <c r="EI155" s="12">
        <f t="array" ref="EI155">INDEX(EH:EH,MIN(IF(ISNUMBER(EH155:EH351),ROW(EH155:EH351),"")))</f>
        <v>0</v>
      </c>
      <c r="EJ155" s="12">
        <f>IF('Données projet'!$A$192&gt;35,EJ154+EI155-ER154,IF(A155&lt;'Données projet'!$A$192,$EG$205^A155,IF(A155='Données projet'!$A$192,'Données projet'!$B$192,EJ154+EI155-ER154)))</f>
        <v>275.99999999999972</v>
      </c>
      <c r="EK155" s="17">
        <f>EJ155*VLOOKUP('Données projet'!$B$15,Paramètres!$A$1:$I$89,3,0)*VLOOKUP('Données projet'!$B$15,Paramètres!$A$1:$I$89,5,0)</f>
        <v>223.8911999999998</v>
      </c>
      <c r="EL155" s="13">
        <f t="shared" si="179"/>
        <v>54.95975389514858</v>
      </c>
      <c r="EM155" s="20">
        <f t="shared" si="180"/>
        <v>485.66541136738346</v>
      </c>
      <c r="EN155" s="59">
        <f t="shared" si="128"/>
        <v>778.99874470071677</v>
      </c>
      <c r="EO155" s="59">
        <f ca="1">AVERAGE(OFFSET($EN$3,0,0,'Données projet'!$E$15+1,1))-AVERAGE(OFFSET($H$3,0,0,'Données projet'!$E$15+1,1))</f>
        <v>205.5272583787887</v>
      </c>
      <c r="EP155" s="59">
        <f t="shared" si="154"/>
        <v>180.54762778843178</v>
      </c>
      <c r="EQ155" s="15">
        <f>IF(ISNA(VLOOKUP(A155,'Données projet'!$A$191:$I$211,3,0)),0,VLOOKUP(A155,'Données projet'!$A$191:$I$211,3,0))</f>
        <v>0</v>
      </c>
      <c r="ER155" s="15">
        <f>IF(ISNA(VLOOKUP(A155,'Données projet'!$A$191:$I$211,4,0)),0,VLOOKUP(A155,'Données projet'!$A$191:$I$211,4,0))</f>
        <v>0</v>
      </c>
      <c r="ES155" s="16">
        <f>IF(ISNA(VLOOKUP(A155,'Données projet'!$A$191:$I$211,5,0)),0%,VLOOKUP(A155,'Données projet'!$A$191:$I$211,5,0)*VLOOKUP('Données projet'!$B$15,Paramètres!$A$1:$I$89,7,0))</f>
        <v>0</v>
      </c>
      <c r="ET155" s="16">
        <f>IF(ISNA(VLOOKUP(A155,'Données projet'!$A$191:$I$211,6,0)),0%,VLOOKUP(A155,'Données projet'!$A$191:$I$211,6,0)*VLOOKUP('Données projet'!$B$15,Paramètres!$A$1:$I$89,7,0))</f>
        <v>0</v>
      </c>
      <c r="EU155" s="16">
        <f>IF(ISNA(VLOOKUP(A155,'Données projet'!$A$191:$I$211,7,0)),0%,VLOOKUP(A155,'Données projet'!$A$191:$I$211,7,0))</f>
        <v>0</v>
      </c>
      <c r="EV155" s="21">
        <f>EXP(-LN(2)/35)*EV154+(1-EXP(-LN(2)/35))/(LN(2)/35)*ER155*ES155*VLOOKUP('Données projet'!$B$15,Paramètres!$A$1:$I$89,3,0)*0.475*44/12</f>
        <v>8.9497787599549586E-2</v>
      </c>
      <c r="EW155" s="21">
        <f>EXP(-LN(2)/25)*EW154+(1-EXP(-LN(2)/25))/(LN(2)/25)*Calculateur!ER155*Calculateur!ET155*VLOOKUP('Données projet'!$B$15,Paramètres!$A$1:$I$89,3,0)*0.475*44/12</f>
        <v>0.19709637997142165</v>
      </c>
      <c r="EX155" s="21">
        <f>EXP(-LN(2)/2)*EX154+(1-EXP(-LN(2)/2))/(LN(2)/2)*ER155*EU155*VLOOKUP('Données projet'!$B$15,Paramètres!$A$1:$I$89,3,0)*0.475*44/12</f>
        <v>3.9303128982186742E-18</v>
      </c>
      <c r="EY155" s="22">
        <f t="shared" si="181"/>
        <v>0.28659416757097123</v>
      </c>
      <c r="EZ155" s="75">
        <f>('Scénario référence'!$F$8+'Scénario référence'!$F$9+'Scénario référence'!$B$17+'Scénario référence'!$B$9+'Scénario référence'!$B$10)*70+IF((45+25*(1-EXP(-0.0175*A155)))&lt;70,'Scénario référence'!$B$16*(45+25*(1-EXP(-0.0175*A155))),70*'Scénario référence'!$B$16)+IF((32+38*(1-EXP(-0.0175*A155)))&lt;70,'Scénario référence'!$B$18*(32+38*(1-EXP(-0.0175*A155))),70*'Scénario référence'!$B$18)</f>
        <v>70</v>
      </c>
      <c r="FA155" s="12">
        <f>IF(A155&gt;30,10,('Scénario référence'!$B$16+'Scénario référence'!$B$17+'Scénario référence'!$B$18+'Scénario référence'!$B$9+'Scénario référence'!$B$10)*A155*10/30+('Scénario référence'!$F$8+'Scénario référence'!$F$9)*10)</f>
        <v>10</v>
      </c>
      <c r="FB155" s="12" t="e">
        <f>VLOOKUP(A155,'Données projet'!$A$217:$I$237,2,0)</f>
        <v>#N/A</v>
      </c>
      <c r="FC155" s="12" t="e">
        <f>VLOOKUP(A155,'Données projet'!$A$217:$I$237,9,0)</f>
        <v>#N/A</v>
      </c>
      <c r="FD155" s="12">
        <f t="array" ref="FD155">INDEX(FC:FC,MIN(IF(ISNUMBER(FC155:FC351),ROW(FC155:FC351),"")))</f>
        <v>0</v>
      </c>
      <c r="FE155" s="12">
        <f>IF('Données projet'!$A$218&gt;35,FE154+FD155-FM154,IF(A155&lt;'Données projet'!$A$218,$FB$205^A155,IF(A155='Données projet'!$A$218,'Données projet'!$B$218,FE154+FD155-FM154)))</f>
        <v>418.99999999999983</v>
      </c>
      <c r="FF155" s="17">
        <f>FE155*VLOOKUP('Données projet'!$B$16,Paramètres!$A$1:$I$89,3,0)*VLOOKUP('Données projet'!$B$16,Paramètres!$A$1:$I$89,5,0)</f>
        <v>359.5019999999999</v>
      </c>
      <c r="FG155" s="13">
        <f t="shared" si="182"/>
        <v>83.516011055432813</v>
      </c>
      <c r="FH155" s="20">
        <f t="shared" si="183"/>
        <v>771.58970258821194</v>
      </c>
      <c r="FI155" s="59">
        <f t="shared" si="131"/>
        <v>1064.9230359215453</v>
      </c>
      <c r="FJ155" s="59">
        <f ca="1">AVERAGE(OFFSET($FI$3,0,0,'Données projet'!$E$16+1,1))-AVERAGE(OFFSET($H$3,0,0,'Données projet'!$E$16+1,1))</f>
        <v>383.97627237444709</v>
      </c>
      <c r="FK155" s="59">
        <f t="shared" si="156"/>
        <v>203.35476578922339</v>
      </c>
      <c r="FL155" s="15">
        <f>IF(ISNA(VLOOKUP(A155,'Données projet'!$A$217:$I$237,3,0)),0,VLOOKUP(A155,'Données projet'!$A$217:$I$237,3,0))</f>
        <v>0</v>
      </c>
      <c r="FM155" s="15">
        <f>IF(ISNA(VLOOKUP(A155,'Données projet'!$A$217:$I$237,4,0)),0,VLOOKUP(A155,'Données projet'!$A$217:$I$237,4,0))</f>
        <v>0</v>
      </c>
      <c r="FN155" s="16">
        <f>IF(ISNA(VLOOKUP(A155,'Données projet'!$A$217:$I$237,5,0)),0%,VLOOKUP(A155,'Données projet'!$A$217:$I$237,5,0)*VLOOKUP('Données projet'!$B$16,Paramètres!$A$1:$I$89,7,0))</f>
        <v>0</v>
      </c>
      <c r="FO155" s="16">
        <f>IF(ISNA(VLOOKUP(A155,'Données projet'!$A$217:$I$237,6,0)),0%,VLOOKUP(A155,'Données projet'!$A$217:$I$237,6,0)*VLOOKUP('Données projet'!$B$16,Paramètres!$A$1:$I$89,7,0))</f>
        <v>0</v>
      </c>
      <c r="FP155" s="16">
        <f>IF(ISNA(VLOOKUP(A155,'Données projet'!$A$217:$I$237,7,0)),0%,VLOOKUP(A155,'Données projet'!$A$217:$I$237,7,0))</f>
        <v>0</v>
      </c>
      <c r="FQ155" s="21">
        <f>EXP(-LN(2)/35)*FQ154+(1-EXP(-LN(2)/35))/(LN(2)/35)*FM155*FN155*VLOOKUP('Données projet'!$B$16,Paramètres!$A$1:$I$89,3,0)*0.475*44/12</f>
        <v>0.4599700738337778</v>
      </c>
      <c r="FR155" s="21">
        <f>EXP(-LN(2)/25)*FR154+(1-EXP(-LN(2)/25))/(LN(2)/25)*Calculateur!FM155*Calculateur!FO155*VLOOKUP('Données projet'!$B$16,Paramètres!$A$1:$I$89,3,0)*0.475*44/12</f>
        <v>0.200073197517944</v>
      </c>
      <c r="FS155" s="21">
        <f>EXP(-LN(2)/2)*FS154+(1-EXP(-LN(2)/2))/(LN(2)/2)*FM155*FP155*VLOOKUP('Données projet'!$B$16,Paramètres!$A$1:$I$89,3,0)*0.475*44/12</f>
        <v>7.2191781770374625E-18</v>
      </c>
      <c r="FT155" s="22">
        <f t="shared" si="184"/>
        <v>0.66004327135172181</v>
      </c>
      <c r="FU155" s="75">
        <f>('Scénario référence'!$F$8+'Scénario référence'!$F$9+'Scénario référence'!$B$17+'Scénario référence'!$B$9+'Scénario référence'!$B$10)*70+IF((45+25*(1-EXP(-0.0175*A155)))&lt;70,'Scénario référence'!$B$16*(45+25*(1-EXP(-0.0175*A155))),70*'Scénario référence'!$B$16)+IF((32+38*(1-EXP(-0.0175*A155)))&lt;70,'Scénario référence'!$B$18*(32+38*(1-EXP(-0.0175*A155))),70*'Scénario référence'!$B$18)</f>
        <v>70</v>
      </c>
      <c r="FV155" s="12">
        <f>IF(A155&gt;30,10,('Scénario référence'!$B$16+'Scénario référence'!$B$17+'Scénario référence'!$B$18+'Scénario référence'!$B$9+'Scénario référence'!$B$10)*A155*10/30+('Scénario référence'!$F$8+'Scénario référence'!$F$9)*10)</f>
        <v>10</v>
      </c>
      <c r="FW155" s="12" t="e">
        <f>VLOOKUP(A155,'Données projet'!$A$243:$I$263,2,0)</f>
        <v>#N/A</v>
      </c>
      <c r="FX155" s="12" t="e">
        <f>VLOOKUP(A155,'Données projet'!$A$243:$I$263,9,0)</f>
        <v>#N/A</v>
      </c>
      <c r="FY155" s="12">
        <f t="array" ref="FY155">INDEX(FX:FX,MIN(IF(ISNUMBER(FX155:FX351),ROW(FX155:FX351),"")))</f>
        <v>0</v>
      </c>
      <c r="FZ155" s="12">
        <f>IF('Données projet'!$A$244&gt;35,FZ154+FY155-GH154,IF(A155&lt;'Données projet'!$A$244,$FW$205^A155,IF(A155='Données projet'!$A$244,'Données projet'!$B$244,FZ154+FY155-GH154)))</f>
        <v>4.5474735088646412E-13</v>
      </c>
      <c r="GA155" s="17">
        <f>FZ155*VLOOKUP('Données projet'!$B$17,Paramètres!$A$1:$I$89,3,0)*VLOOKUP('Données projet'!$B$17,Paramètres!$A$1:$I$89,5,0)</f>
        <v>4.8949004849418999E-13</v>
      </c>
      <c r="GB155" s="13">
        <f t="shared" si="185"/>
        <v>6.1123715499968684E-12</v>
      </c>
      <c r="GC155" s="20">
        <f t="shared" si="186"/>
        <v>1.1498242284038591E-11</v>
      </c>
      <c r="GD155" s="59">
        <f t="shared" si="134"/>
        <v>293.3333333333448</v>
      </c>
      <c r="GE155" s="59">
        <f ca="1">AVERAGE(OFFSET($GD$3,0,0,'Données projet'!$E$17+1,1))-AVERAGE(OFFSET($H$3,0,0,'Données projet'!$E$17+1,1))</f>
        <v>286.77702855541287</v>
      </c>
      <c r="GF155" s="59">
        <f t="shared" si="158"/>
        <v>227.12211541860779</v>
      </c>
      <c r="GG155" s="15">
        <f>IF(ISNA(VLOOKUP(A155,'Données projet'!$A$243:$I$263,3,0)),0,VLOOKUP(A155,'Données projet'!$A$243:$I$263,3,0))</f>
        <v>0</v>
      </c>
      <c r="GH155" s="15">
        <f>IF(ISNA(VLOOKUP(A155,'Données projet'!$A$243:$I$263,4,0)),0,VLOOKUP(A155,'Données projet'!$A$243:$I$263,4,0))</f>
        <v>0</v>
      </c>
      <c r="GI155" s="16">
        <f>IF(ISNA(VLOOKUP(A155,'Données projet'!$A$243:$I$263,5,0)),0%,VLOOKUP(A155,'Données projet'!$A$243:$I$263,5,0)*VLOOKUP('Données projet'!$B$17,Paramètres!$A$1:$I$89,7,0))</f>
        <v>0</v>
      </c>
      <c r="GJ155" s="16">
        <f>IF(ISNA(VLOOKUP(A155,'Données projet'!$A$243:$I$263,6,0)),0%,VLOOKUP(A155,'Données projet'!$A$243:$I$263,6,0)*VLOOKUP('Données projet'!$B$17,Paramètres!$A$1:$I$89,7,0))</f>
        <v>0</v>
      </c>
      <c r="GK155" s="16">
        <f>IF(ISNA(VLOOKUP(A155,'Données projet'!$A$243:$I$263,7,0)),0%,VLOOKUP(A155,'Données projet'!$A$243:$I$263,7,0))</f>
        <v>0</v>
      </c>
      <c r="GL155" s="21">
        <f>EXP(-LN(2)/35)*GL154+(1-EXP(-LN(2)/35))/(LN(2)/35)*GH155*GI155*VLOOKUP('Données projet'!$B$17,Paramètres!$A$1:$I$89,3,0)*0.475*44/12</f>
        <v>0</v>
      </c>
      <c r="GM155" s="21">
        <f>EXP(-LN(2)/25)*GM154+(1-EXP(-LN(2)/25))/(LN(2)/25)*Calculateur!GH155*Calculateur!GJ155*VLOOKUP('Données projet'!$B$17,Paramètres!$A$1:$I$89,3,0)*0.475*44/12</f>
        <v>0</v>
      </c>
      <c r="GN155" s="21">
        <f>EXP(-LN(2)/2)*GN154+(1-EXP(-LN(2)/2))/(LN(2)/2)*GH155*GK155*VLOOKUP('Données projet'!$B$17,Paramètres!$A$1:$I$89,3,0)*0.475*44/12</f>
        <v>0</v>
      </c>
      <c r="GO155" s="21">
        <f t="shared" si="187"/>
        <v>0</v>
      </c>
      <c r="GP155" s="75">
        <f>('Scénario référence'!$F$8+'Scénario référence'!$F$9+'Scénario référence'!$B$17+'Scénario référence'!$B$9+'Scénario référence'!$B$10)*70+IF((45+25*(1-EXP(-0.0175*A155)))&lt;70,'Scénario référence'!$B$16*(45+25*(1-EXP(-0.0175*A155))),70*'Scénario référence'!$B$16)+IF((32+38*(1-EXP(-0.0175*A155)))&lt;70,'Scénario référence'!$B$18*(32+38*(1-EXP(-0.0175*A155))),70*'Scénario référence'!$B$18)</f>
        <v>70</v>
      </c>
      <c r="GQ155" s="12">
        <f>IF(A155&gt;30,10,('Scénario référence'!$B$16+'Scénario référence'!$B$17+'Scénario référence'!$B$18+'Scénario référence'!$B$9+'Scénario référence'!$B$10)*A155*10/30+('Scénario référence'!$F$8+'Scénario référence'!$F$9)*10)</f>
        <v>10</v>
      </c>
      <c r="GR155" s="12" t="e">
        <f>VLOOKUP(A155,'Données projet'!$A$269:$I$289,2,0)</f>
        <v>#N/A</v>
      </c>
      <c r="GS155" s="12" t="e">
        <f>VLOOKUP(A155,'Données projet'!$A$269:$I$289,9,0)</f>
        <v>#N/A</v>
      </c>
      <c r="GT155" s="12">
        <f t="array" ref="GT155">INDEX(GS:GS,MIN(IF(ISNUMBER(GS155:GS351),ROW(GS155:GS351),"")))</f>
        <v>0</v>
      </c>
      <c r="GU155" s="12">
        <f>IF('Données projet'!$A$270&gt;35,GU154+GT155-HC154,IF(A155&lt;'Données projet'!$A$270,$GR$205^A155,IF(A155='Données projet'!$A$270,'Données projet'!$B$270,GU154+GT155-HC154)))</f>
        <v>4.5474735088646412E-13</v>
      </c>
      <c r="GV155" s="17">
        <f>GU155*VLOOKUP('Données projet'!$B$18,Paramètres!$A$1:$I$89,3,0)*VLOOKUP('Données projet'!$B$18,Paramètres!$A$1:$I$89,5,0)</f>
        <v>4.8949004849418999E-13</v>
      </c>
      <c r="GW155" s="13">
        <f t="shared" si="188"/>
        <v>6.1123715499968684E-12</v>
      </c>
      <c r="GX155" s="20">
        <f t="shared" si="189"/>
        <v>1.1498242284038591E-11</v>
      </c>
      <c r="GY155" s="59">
        <f t="shared" si="137"/>
        <v>293.3333333333448</v>
      </c>
      <c r="GZ155" s="59">
        <f ca="1">AVERAGE(OFFSET($GY$3,0,0,'Données projet'!$E$18+1,1))-AVERAGE(OFFSET($H$3,0,0,'Données projet'!$E$18+1,1))</f>
        <v>286.77702855541287</v>
      </c>
      <c r="HA155" s="59">
        <f t="shared" si="160"/>
        <v>227.12211541860779</v>
      </c>
      <c r="HB155" s="15">
        <f>IF(ISNA(VLOOKUP(A155,'Données projet'!$A$269:$I$289,3,0)),0,VLOOKUP(A155,'Données projet'!$A$269:$I$289,3,0))</f>
        <v>0</v>
      </c>
      <c r="HC155" s="15">
        <f>IF(ISNA(VLOOKUP(A155,'Données projet'!$A$269:$I$289,4,0)),0,VLOOKUP(A155,'Données projet'!$A$269:$I$289,4,0))</f>
        <v>0</v>
      </c>
      <c r="HD155" s="16">
        <f>IF(ISNA(VLOOKUP(A155,'Données projet'!$A$269:$I$289,5,0)),0%,VLOOKUP(A155,'Données projet'!$A$269:$I$289,5,0)*VLOOKUP('Données projet'!$B$18,Paramètres!$A$1:$I$89,7,0))</f>
        <v>0</v>
      </c>
      <c r="HE155" s="16">
        <f>IF(ISNA(VLOOKUP(A155,'Données projet'!$A$269:$I$289,6,0)),0%,VLOOKUP(A155,'Données projet'!$A$269:$I$289,6,0)*VLOOKUP('Données projet'!$B$18,Paramètres!$A$1:$I$89,7,0))</f>
        <v>0</v>
      </c>
      <c r="HF155" s="16">
        <f>IF(ISNA(VLOOKUP(A155,'Données projet'!$A$269:$I$289,7,0)),0%,VLOOKUP(A155,'Données projet'!$A$269:$I$289,7,0))</f>
        <v>0</v>
      </c>
      <c r="HG155" s="21">
        <f>EXP(-LN(2)/35)*HG154+(1-EXP(-LN(2)/35))/(LN(2)/35)*HC155*HD155*VLOOKUP('Données projet'!$B$18,Paramètres!$A$1:$I$89,3,0)*0.475*44/12</f>
        <v>0</v>
      </c>
      <c r="HH155" s="21">
        <f>EXP(-LN(2)/25)*HH154+(1-EXP(-LN(2)/25))/(LN(2)/25)*Calculateur!HC155*Calculateur!HE155*VLOOKUP('Données projet'!$B$18,Paramètres!$A$1:$I$89,3,0)*0.475*44/12</f>
        <v>0</v>
      </c>
      <c r="HI155" s="21">
        <f>EXP(-LN(2)/2)*HI154+(1-EXP(-LN(2)/2))/(LN(2)/2)*HC155*HF155*VLOOKUP('Données projet'!$B$18,Paramètres!$A$1:$I$89,3,0)*0.475*44/12</f>
        <v>0</v>
      </c>
      <c r="HJ155" s="22">
        <f t="shared" si="190"/>
        <v>0</v>
      </c>
    </row>
    <row r="156" spans="1:218" x14ac:dyDescent="0.25">
      <c r="A156" s="10">
        <f t="shared" si="161"/>
        <v>153</v>
      </c>
      <c r="B156" s="73">
        <f>'Scénario référence'!$B$16*5+'Scénario référence'!$B$17*0+'Scénario référence'!$B$18*5</f>
        <v>0</v>
      </c>
      <c r="C156" s="19">
        <f>Calculateur!C155+'Scénario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136.04760000000013</v>
      </c>
      <c r="D156" s="11">
        <f t="shared" si="140"/>
        <v>35.390062589787611</v>
      </c>
      <c r="E15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56" s="11">
        <f>IF(OR('Scénario référence'!$F$8&gt;0,'Scénario référence'!$F$9&gt;0),('Scénario référence'!$F$8+'Scénario référence'!$F$9)*10,0)</f>
        <v>10</v>
      </c>
      <c r="G156" s="11">
        <f>'Scénario référence'!$B$8*B156*44/12+'Scénario référence'!$B$9*(C156+D156)/0.475*44/12+'Scénario référence'!$B$10*(C156+D156)/0.475*44/12+'Scénario référence'!$F$8*(C156+D156)/0.475*44/12+'Scénario référence'!$F$9*(C156+D156)/0.475*44/12</f>
        <v>1323.3784480615195</v>
      </c>
      <c r="H156" s="67">
        <f t="shared" si="110"/>
        <v>591.92059567721367</v>
      </c>
      <c r="I156" s="70">
        <f>('Scénario référence'!$F$8+'Scénario référence'!$F$9+'Scénario référence'!$B$17+'Scénario référence'!$B$9+'Scénario référence'!$B$10)*70+IF((45+25*(1-EXP(-0.0175*A156)))&lt;70,'Scénario référence'!$B$16*(45+25*(1-EXP(-0.0175*A156))),70*'Scénario référence'!$B$16)+IF((32+38*(1-EXP(-0.0175*A156)))&lt;70,'Scénario référence'!$B$18*(32+38*(1-EXP(-0.0175*A156))),70*'Scénario référence'!$B$18)</f>
        <v>70</v>
      </c>
      <c r="J156" s="13">
        <f>IF(A156&gt;30,10,('Scénario référence'!$B$16+'Scénario référence'!$B$17+'Scénario référence'!$B$18+'Scénario référence'!$B$9+'Scénario référence'!$B$10)*A156*10/30+('Scénario référence'!$F$8+'Scénario référence'!$F$9)*10)</f>
        <v>10</v>
      </c>
      <c r="K156" s="12" t="e">
        <f>VLOOKUP(A156,'Données projet'!$A$35:$I$55,2,0)</f>
        <v>#N/A</v>
      </c>
      <c r="L156" s="12" t="e">
        <f>VLOOKUP(A156,'Données projet'!$A$35:$I$55,9,0)</f>
        <v>#N/A</v>
      </c>
      <c r="M156" s="12">
        <f t="array" ref="M156">INDEX(L:L,MIN(IF(ISNUMBER(L156:L352),ROW(L156:L352),"")))</f>
        <v>0</v>
      </c>
      <c r="N156" s="13">
        <f>IF('Données projet'!$A$36&gt;35,N155+M156-V155,IF(A156&lt;'Données projet'!$A$36,$K$205^A156,IF(A156='Données projet'!$A$36,'Données projet'!$B$36,N155+M156-V155)))</f>
        <v>-2.2737367544323206E-13</v>
      </c>
      <c r="O156" s="13">
        <f>N156*VLOOKUP('Données projet'!$B$9,Paramètres!$A$1:$I$89,3,0)*VLOOKUP('Données projet'!$B$9,Paramètres!$A$1:$I$89,5,0)</f>
        <v>-1.2710188457276673E-13</v>
      </c>
      <c r="P156" s="13" t="e">
        <f t="shared" si="141"/>
        <v>#NUM!</v>
      </c>
      <c r="Q156" s="20" t="e">
        <f t="shared" si="162"/>
        <v>#NUM!</v>
      </c>
      <c r="R156" s="59" t="e">
        <f t="shared" si="109"/>
        <v>#NUM!</v>
      </c>
      <c r="S156" s="59">
        <f ca="1">AVERAGE(OFFSET($R$3,0,0,'Données projet'!$E$9+1,1))-AVERAGE(OFFSET($H$3,0,0,'Données projet'!$E$9+1,1))</f>
        <v>255.5374979188561</v>
      </c>
      <c r="T156" s="59">
        <f t="shared" si="142"/>
        <v>343.10418468620901</v>
      </c>
      <c r="U156" s="15">
        <f>IF(ISNA(VLOOKUP(A156,'Données projet'!$A$35:$I$55,3,0)),0,VLOOKUP(A156,'Données projet'!$A$35:$I$55,3,0))</f>
        <v>0</v>
      </c>
      <c r="V156" s="15">
        <f>IF(ISNA(VLOOKUP(A156,'Données projet'!$A$35:$I$55,4,0)),0,VLOOKUP(A156,'Données projet'!$A$35:$I$55,4,0))</f>
        <v>0</v>
      </c>
      <c r="W156" s="16">
        <f>IF(ISNA(VLOOKUP(A156,'Données projet'!$A$35:$I$55,5,0)),0%,VLOOKUP(A156,'Données projet'!$A$35:$I$55,5,0)*VLOOKUP('Données projet'!$B$9,Paramètres!$A$1:$I$89,7,0))</f>
        <v>0</v>
      </c>
      <c r="X156" s="16">
        <f>IF(ISNA(VLOOKUP(A156,'Données projet'!$A$35:$I$55,6,0)),0%,VLOOKUP(A156,'Données projet'!$A$35:$I$55,6,0)*VLOOKUP('Données projet'!$B$9,Paramètres!$A$1:$I$89,7,0))</f>
        <v>0</v>
      </c>
      <c r="Y156" s="16">
        <f>IF(ISNA(VLOOKUP(A156,'Données projet'!$A$35:$I$55,7,0)),0%,VLOOKUP(A156,'Données projet'!$A$35:$I$55,7,0))</f>
        <v>0</v>
      </c>
      <c r="Z156" s="21">
        <f>EXP(-LN(2)/35)*Z155+(1-EXP(-LN(2)/35))/(LN(2)/35)*V156*W156*VLOOKUP('Données projet'!$B$9,Paramètres!$A$1:$I$89,3,0)*0.475*44/12</f>
        <v>0.27043245266372795</v>
      </c>
      <c r="AA156" s="21">
        <f>EXP(-LN(2)/25)*AA155+(1-EXP(-LN(2)/25))/(LN(2)/25)*Calculateur!V156*Calculateur!X156*VLOOKUP('Données projet'!$B$9,Paramètres!$A$1:$I$89,3,0)*0.475*44/12</f>
        <v>0.52719630727274402</v>
      </c>
      <c r="AB156" s="21">
        <f>EXP(-LN(2)/2)*AB155+(1-EXP(-LN(2)/2))/(LN(2)/2)*V156*Y156*VLOOKUP('Données projet'!$B$9,Paramètres!$A$1:$I$89,3,0)*0.475*44/12</f>
        <v>5.1906645803246857E-19</v>
      </c>
      <c r="AC156" s="22">
        <f t="shared" si="163"/>
        <v>0.79762875993647198</v>
      </c>
      <c r="AD156" s="13">
        <f>('Scénario référence'!$F$8+'Scénario référence'!$F$9+'Scénario référence'!$B$17+'Scénario référence'!$B$9+'Scénario référence'!$B$10)*70+IF((45+25*(1-EXP(-0.0175*A156)))&lt;70,'Scénario référence'!$B$16*(45+25*(1-EXP(-0.0175*A156))),70*'Scénario référence'!$B$16)+IF((32+38*(1-EXP(-0.0175*A156)))&lt;70,'Scénario référence'!$B$18*(32+38*(1-EXP(-0.0175*A156))),70*'Scénario référence'!$B$18)</f>
        <v>70</v>
      </c>
      <c r="AE156" s="13">
        <f>IF(A156&gt;30,10,('Scénario référence'!$B$16+'Scénario référence'!$B$17+'Scénario référence'!$B$18+'Scénario référence'!$B$9+'Scénario référence'!$B$10)*A156*10/30+('Scénario référence'!$F$8+'Scénario référence'!$F$9)*10)</f>
        <v>10</v>
      </c>
      <c r="AF156" s="12" t="e">
        <f>VLOOKUP(A156,'Données projet'!$A$61:$I$81,2,0)</f>
        <v>#N/A</v>
      </c>
      <c r="AG156" s="12" t="e">
        <f>VLOOKUP(A156,'Données projet'!$A$61:$I$81,9,0)</f>
        <v>#N/A</v>
      </c>
      <c r="AH156" s="12">
        <f t="array" ref="AH156">INDEX(AG:AG,MIN(IF(ISNUMBER(AG156:AG352),ROW(AG156:AG352),"")))</f>
        <v>0</v>
      </c>
      <c r="AI156" s="13">
        <f>IF('Données projet'!$A$62&gt;35,AI155+AH156-AQ155,IF(A156&lt;'Données projet'!$A$62,$AF$205^A156,IF(A156='Données projet'!$A$62,'Données projet'!$B$62,AI155+AH156-AQ155)))</f>
        <v>0</v>
      </c>
      <c r="AJ156" s="13">
        <f>AI156*VLOOKUP('Données projet'!$B$10,Paramètres!$A$1:$I$89,3,0)*VLOOKUP('Données projet'!$B$10,Paramètres!$A$1:$I$89,5,0)</f>
        <v>0</v>
      </c>
      <c r="AK156" s="13" t="e">
        <f t="shared" si="164"/>
        <v>#NUM!</v>
      </c>
      <c r="AL156" s="20" t="e">
        <f t="shared" si="165"/>
        <v>#NUM!</v>
      </c>
      <c r="AM156" s="59" t="e">
        <f t="shared" si="113"/>
        <v>#NUM!</v>
      </c>
      <c r="AN156" s="59">
        <f ca="1">AVERAGE(OFFSET($AM$3,0,0,'Données projet'!$E$10+1,1))-AVERAGE(OFFSET($H$3,0,0,'Données projet'!$E$10+1,1))</f>
        <v>261.78489480911571</v>
      </c>
      <c r="AO156" s="59">
        <f t="shared" si="144"/>
        <v>297.50513563712764</v>
      </c>
      <c r="AP156" s="15">
        <f>IF(ISNA(VLOOKUP(A156,'Données projet'!$A$61:$I$81,3,0)),0,VLOOKUP(A156,'Données projet'!$A$61:$I$81,3,0))</f>
        <v>0</v>
      </c>
      <c r="AQ156" s="15">
        <f>IF(ISNA(VLOOKUP(A156,'Données projet'!$A$61:$I$81,4,0)),0,VLOOKUP(A156,'Données projet'!$A$61:$I$81,4,0))</f>
        <v>0</v>
      </c>
      <c r="AR156" s="16">
        <f>IF(ISNA(VLOOKUP(A156,'Données projet'!$A$61:$I$81,5,0)),0%,VLOOKUP(A156,'Données projet'!$A$61:$I$81,5,0)*VLOOKUP('Données projet'!$B$10,Paramètres!$A$1:$I$89,7,0))</f>
        <v>0</v>
      </c>
      <c r="AS156" s="16">
        <f>IF(ISNA(VLOOKUP(A156,'Données projet'!$A$61:$I$81,6,0)),0%,VLOOKUP(A156,'Données projet'!$A$61:$I$81,6,0)*VLOOKUP('Données projet'!$B$10,Paramètres!$A$1:$I$89,7,0))</f>
        <v>0</v>
      </c>
      <c r="AT156" s="16">
        <f>IF(ISNA(VLOOKUP(A156,'Données projet'!$A$61:$I$81,7,0)),0%,VLOOKUP(A156,'Données projet'!$A$61:$I$81,7,0))</f>
        <v>0</v>
      </c>
      <c r="AU156" s="21">
        <f>EXP(-LN(2)/35)*AU155+(1-EXP(-LN(2)/35))/(LN(2)/35)*AQ156*AR156*VLOOKUP('Données projet'!$B$10,Paramètres!$A$1:$I$89,3,0)*0.475*44/12</f>
        <v>0.73024411364441955</v>
      </c>
      <c r="AV156" s="21">
        <f>EXP(-LN(2)/25)*AV155+(1-EXP(-LN(2)/25))/(LN(2)/25)*Calculateur!AQ156*Calculateur!AS156*VLOOKUP('Données projet'!$B$10,Paramètres!$A$1:$I$89,3,0)*0.475*44/12</f>
        <v>0.92059227991814085</v>
      </c>
      <c r="AW156" s="21">
        <f>EXP(-LN(2)/2)*AW155+(1-EXP(-LN(2)/2))/(LN(2)/2)*AQ156*AT156*VLOOKUP('Données projet'!$B$10,Paramètres!$A$1:$I$89,3,0)*0.475*44/12</f>
        <v>7.4828371458919362E-18</v>
      </c>
      <c r="AX156" s="21">
        <f t="shared" si="166"/>
        <v>1.6508363935625603</v>
      </c>
      <c r="AY156" s="74">
        <f>('Scénario référence'!$F$8+'Scénario référence'!$F$9+'Scénario référence'!$B$17+'Scénario référence'!$B$9+'Scénario référence'!$B$10)*70+IF((45+25*(1-EXP(-0.0175*A156)))&lt;70,'Scénario référence'!$B$16*(45+25*(1-EXP(-0.0175*A156))),70*'Scénario référence'!$B$16)+IF((32+38*(1-EXP(-0.0175*A156)))&lt;70,'Scénario référence'!$B$18*(32+38*(1-EXP(-0.0175*A156))),70*'Scénario référence'!$B$18)</f>
        <v>70</v>
      </c>
      <c r="AZ156" s="12">
        <f>IF(A156&gt;30,10,('Scénario référence'!$B$16+'Scénario référence'!$B$17+'Scénario référence'!$B$18+'Scénario référence'!$B$9+'Scénario référence'!$B$10)*A156*10/30+('Scénario référence'!$F$8+'Scénario référence'!$F$9)*10)</f>
        <v>10</v>
      </c>
      <c r="BA156" s="12" t="e">
        <f>VLOOKUP(A156,'Données projet'!$A$87:$I$107,2,0)</f>
        <v>#N/A</v>
      </c>
      <c r="BB156" s="12" t="e">
        <f>VLOOKUP(A156,'Données projet'!$A$87:$I$107,9,0)</f>
        <v>#N/A</v>
      </c>
      <c r="BC156" s="12">
        <f t="array" ref="BC156">INDEX(BB:BB,MIN(IF(ISNUMBER(BB156:BB352),ROW(BB156:BB352),"")))</f>
        <v>0</v>
      </c>
      <c r="BD156" s="12">
        <f>IF('Données projet'!$A$88&gt;35,BD155+BC156-BL155,IF(A156&lt;'Données projet'!$A$88,$BA$205^A156,IF(A156='Données projet'!$A$88,'Données projet'!$B$88,BD155+BC156-BL155)))</f>
        <v>553.99999999999955</v>
      </c>
      <c r="BE156" s="13">
        <f>BD156*VLOOKUP('Données projet'!$B$11,Paramètres!$A$1:$I$89,3,0)*VLOOKUP('Données projet'!$B$11,Paramètres!$A$1:$I$89,5,0)</f>
        <v>331.29199999999975</v>
      </c>
      <c r="BF156" s="13">
        <f t="shared" si="167"/>
        <v>77.698110787752</v>
      </c>
      <c r="BG156" s="20">
        <f t="shared" si="168"/>
        <v>712.32444295533423</v>
      </c>
      <c r="BH156" s="59">
        <f t="shared" si="116"/>
        <v>1005.6577762886675</v>
      </c>
      <c r="BI156" s="59">
        <f ca="1">AVERAGE(OFFSET($BH$3,0,0,'Données projet'!$E$11+1,1))-AVERAGE(OFFSET($H$3,0,0,'Données projet'!$E$11+1,1))</f>
        <v>316.58509520829671</v>
      </c>
      <c r="BJ156" s="59">
        <f t="shared" si="146"/>
        <v>240.71332110643596</v>
      </c>
      <c r="BK156" s="15">
        <f>IF(ISNA(VLOOKUP(A156,'Données projet'!$A$87:$I$107,3,0)),0,VLOOKUP(A156,'Données projet'!$A$87:$I$107,3,0))</f>
        <v>0</v>
      </c>
      <c r="BL156" s="15">
        <f>IF(ISNA(VLOOKUP(A156,'Données projet'!$A$87:$I$107,4,0)),0,VLOOKUP(A156,'Données projet'!$A$87:$I$107,4,0))</f>
        <v>0</v>
      </c>
      <c r="BM156" s="16">
        <f>IF(ISNA(VLOOKUP(A156,'Données projet'!$A$87:$I$107,5,0)),0%,VLOOKUP(A156,'Données projet'!$A$87:$I$107,5,0)*VLOOKUP('Données projet'!$B$11,Paramètres!$A$1:$I$89,7,0))</f>
        <v>0</v>
      </c>
      <c r="BN156" s="16">
        <f>IF(ISNA(VLOOKUP(A156,'Données projet'!$A$87:$I$107,6,0)),0%,VLOOKUP(A156,'Données projet'!$A$87:$I$107,6,0)*VLOOKUP('Données projet'!$B$11,Paramètres!$A$1:$I$89,7,0))</f>
        <v>0</v>
      </c>
      <c r="BO156" s="16">
        <f>IF(ISNA(VLOOKUP(A156,'Données projet'!$A$87:$I$107,7,0)),0%,VLOOKUP(A156,'Données projet'!$A$87:$I$107,7,0))</f>
        <v>0</v>
      </c>
      <c r="BP156" s="21">
        <f>EXP(-LN(2)/35)*BP155+(1-EXP(-LN(2)/35))/(LN(2)/35)*BL156*BM156*VLOOKUP('Données projet'!$B$11,Paramètres!$A$1:$I$89,3,0)*0.475*44/12</f>
        <v>0.22181708288343341</v>
      </c>
      <c r="BQ156" s="21">
        <f>EXP(-LN(2)/25)*BQ155+(1-EXP(-LN(2)/25))/(LN(2)/25)*Calculateur!BL156*Calculateur!BN156*VLOOKUP('Données projet'!$B$11,Paramètres!$A$1:$I$89,3,0)*0.475*44/12</f>
        <v>0.50432731205120762</v>
      </c>
      <c r="BR156" s="21">
        <f>EXP(-LN(2)/2)*BR155+(1-EXP(-LN(2)/2))/(LN(2)/2)*BL156*BO156*VLOOKUP('Données projet'!$B$11,Paramètres!$A$1:$I$89,3,0)*0.475*44/12</f>
        <v>6.7278900591610193E-18</v>
      </c>
      <c r="BS156" s="22">
        <f t="shared" si="169"/>
        <v>0.726144394934641</v>
      </c>
      <c r="BT156" s="75">
        <f>('Scénario référence'!$F$8+'Scénario référence'!$F$9+'Scénario référence'!$B$17+'Scénario référence'!$B$9+'Scénario référence'!$B$10)*70+IF((45+25*(1-EXP(-0.0175*A156)))&lt;70,'Scénario référence'!$B$16*(45+25*(1-EXP(-0.0175*A156))),70*'Scénario référence'!$B$16)+IF((32+38*(1-EXP(-0.0175*A156)))&lt;70,'Scénario référence'!$B$18*(32+38*(1-EXP(-0.0175*A156))),70*'Scénario référence'!$B$18)</f>
        <v>70</v>
      </c>
      <c r="BU156" s="12">
        <f>IF(A156&gt;30,10,('Scénario référence'!$B$16+'Scénario référence'!$B$17+'Scénario référence'!$B$18+'Scénario référence'!$B$9+'Scénario référence'!$B$10)*A156*10/30+('Scénario référence'!$F$8+'Scénario référence'!$F$9)*10)</f>
        <v>10</v>
      </c>
      <c r="BV156" s="12" t="e">
        <f>VLOOKUP(A156,'Données projet'!$A$113:$I$133,2,0)</f>
        <v>#N/A</v>
      </c>
      <c r="BW156" s="12" t="e">
        <f>VLOOKUP(A156,'Données projet'!$A$113:$I$133,9,0)</f>
        <v>#N/A</v>
      </c>
      <c r="BX156" s="12">
        <f t="array" ref="BX156">INDEX(BW:BW,MIN(IF(ISNUMBER(BW156:BW352),ROW(BW156:BW352),"")))</f>
        <v>0</v>
      </c>
      <c r="BY156" s="12">
        <f>IF('Données projet'!$A$114&gt;35,BY155+BX156-CG155,IF(A156&lt;'Données projet'!$A$114,$BV$205^A156,IF(A156='Données projet'!$A$114,'Données projet'!$B$114,BY155+BX156-CG155)))</f>
        <v>333.99999999999977</v>
      </c>
      <c r="BZ156" s="13">
        <f>BY156*VLOOKUP('Données projet'!$B$12,Paramètres!$A$1:$I$89,3,0)*VLOOKUP('Données projet'!$B$12,Paramètres!$A$1:$I$89,5,0)</f>
        <v>191.04799999999986</v>
      </c>
      <c r="CA156" s="13">
        <f t="shared" si="170"/>
        <v>47.771576544305155</v>
      </c>
      <c r="CB156" s="20">
        <f t="shared" si="171"/>
        <v>415.94409581466454</v>
      </c>
      <c r="CC156" s="59">
        <f t="shared" si="119"/>
        <v>709.27742914799785</v>
      </c>
      <c r="CD156" s="59">
        <f ca="1">AVERAGE(OFFSET($CC$3,0,0,'Données projet'!$E$12+1,1))-AVERAGE(OFFSET($H$3,0,0,'Données projet'!$E$12+1,1))</f>
        <v>188.64374818906128</v>
      </c>
      <c r="CE156" s="59">
        <f t="shared" si="148"/>
        <v>211.95157880548652</v>
      </c>
      <c r="CF156" s="15">
        <f>IF(ISNA(VLOOKUP(A156,'Données projet'!$A$113:$I$133,3,0)),0,VLOOKUP(A156,'Données projet'!$A$113:$I$133,3,0))</f>
        <v>0</v>
      </c>
      <c r="CG156" s="15">
        <f>IF(ISNA(VLOOKUP(A156,'Données projet'!$A$113:$I$133,4,0)),0,VLOOKUP(A156,'Données projet'!$A$113:$I$133,4,0))</f>
        <v>0</v>
      </c>
      <c r="CH156" s="16">
        <f>IF(ISNA(VLOOKUP(A156,'Données projet'!$A$113:$I$133,5,0)),0%,VLOOKUP(A156,'Données projet'!$A$113:$I$133,5,0)*VLOOKUP('Données projet'!$B$12,Paramètres!$A$1:$I$89,7,0))</f>
        <v>0</v>
      </c>
      <c r="CI156" s="16">
        <f>IF(ISNA(VLOOKUP(A156,'Données projet'!$A$113:$I$133,6,0)),0%,VLOOKUP(A156,'Données projet'!$A$113:$I$133,6,0)*VLOOKUP('Données projet'!$B$12,Paramètres!$A$1:$I$89,7,0))</f>
        <v>0</v>
      </c>
      <c r="CJ156" s="16">
        <f>IF(ISNA(VLOOKUP(A156,'Données projet'!$A$113:$I$133,7,0)),0%,VLOOKUP(A156,'Données projet'!$A$113:$I$133,7,0))</f>
        <v>0</v>
      </c>
      <c r="CK156" s="21">
        <f>EXP(-LN(2)/35)*CK155+(1-EXP(-LN(2)/35))/(LN(2)/35)*CG156*CH156*VLOOKUP('Données projet'!$B$12,Paramètres!$A$1:$I$89,3,0)*0.475*44/12</f>
        <v>0.21516121205594502</v>
      </c>
      <c r="CL156" s="21">
        <f>EXP(-LN(2)/25)*CL155+(1-EXP(-LN(2)/25))/(LN(2)/25)*Calculateur!CG156*Calculateur!CI156*VLOOKUP('Données projet'!$B$12,Paramètres!$A$1:$I$89,3,0)*0.475*44/12</f>
        <v>0.47468428496193221</v>
      </c>
      <c r="CM156" s="21">
        <f>EXP(-LN(2)/2)*CM155+(1-EXP(-LN(2)/2))/(LN(2)/2)*CG156*CJ156*VLOOKUP('Données projet'!$B$12,Paramètres!$A$1:$I$89,3,0)*0.475*44/12</f>
        <v>6.5154351243614371E-18</v>
      </c>
      <c r="CN156" s="22">
        <f t="shared" si="172"/>
        <v>0.68984549701787723</v>
      </c>
      <c r="CO156" s="75">
        <f>('Scénario référence'!$F$8+'Scénario référence'!$F$9+'Scénario référence'!$B$17+'Scénario référence'!$B$9+'Scénario référence'!$B$10)*70+IF((45+25*(1-EXP(-0.0175*A156)))&lt;70,'Scénario référence'!$B$16*(45+25*(1-EXP(-0.0175*A156))),70*'Scénario référence'!$B$16)+IF((32+38*(1-EXP(-0.0175*A156)))&lt;70,'Scénario référence'!$B$18*(32+38*(1-EXP(-0.0175*A156))),70*'Scénario référence'!$B$18)</f>
        <v>70</v>
      </c>
      <c r="CP156" s="12">
        <f>IF(A156&gt;30,10,('Scénario référence'!$B$16+'Scénario référence'!$B$17+'Scénario référence'!$B$18+'Scénario référence'!$B$9+'Scénario référence'!$B$10)*A156*10/30+('Scénario référence'!$F$8+'Scénario référence'!$F$9)*10)</f>
        <v>10</v>
      </c>
      <c r="CQ156" s="12" t="e">
        <f>VLOOKUP(A156,'Données projet'!$A$139:$I$159,2,0)</f>
        <v>#N/A</v>
      </c>
      <c r="CR156" s="12" t="e">
        <f>VLOOKUP(A156,'Données projet'!$A$139:$I$159,9,0)</f>
        <v>#N/A</v>
      </c>
      <c r="CS156" s="12">
        <f t="array" ref="CS156">INDEX(CR:CR,MIN(IF(ISNUMBER(CR156:CR352),ROW(CR156:CR352),"")))</f>
        <v>0</v>
      </c>
      <c r="CT156" s="12">
        <f>IF('Données projet'!$A$140&gt;35,CT155+CS156-DB155,IF(A156&lt;'Données projet'!$A$140,$CQ$205^A156,IF(A156='Données projet'!$A$140,'Données projet'!$B$140,CT155+CS156-DB155)))</f>
        <v>0</v>
      </c>
      <c r="CU156" s="17" t="e">
        <f>CT156*VLOOKUP('Données projet'!$B$13,Paramètres!$A$1:$I$89,3,0)*VLOOKUP('Données projet'!$B$13,Paramètres!$A$1:$I$89,5,0)</f>
        <v>#N/A</v>
      </c>
      <c r="CV156" s="13" t="e">
        <f t="shared" si="173"/>
        <v>#N/A</v>
      </c>
      <c r="CW156" s="20" t="e">
        <f t="shared" si="174"/>
        <v>#N/A</v>
      </c>
      <c r="CX156" s="59" t="e">
        <f t="shared" si="122"/>
        <v>#N/A</v>
      </c>
      <c r="CY156" s="59" t="e">
        <f ca="1">AVERAGE(OFFSET($CX$3,0,0,'Données projet'!$E$13+1,1))-AVERAGE(OFFSET($H$3,0,0,'Données projet'!$E$13+1,1))</f>
        <v>#N/A</v>
      </c>
      <c r="CZ156" s="59" t="e">
        <f t="shared" si="150"/>
        <v>#N/A</v>
      </c>
      <c r="DA156" s="15">
        <f>IF(ISNA(VLOOKUP(A156,'Données projet'!$A$139:$I$159,3,0)),0,VLOOKUP(A156,'Données projet'!$A$139:$I$159,3,0))</f>
        <v>0</v>
      </c>
      <c r="DB156" s="15">
        <f>IF(ISNA(VLOOKUP(A156,'Données projet'!$A$139:$I$159,4,0)),0,VLOOKUP(A156,'Données projet'!$A$139:$I$159,4,0))</f>
        <v>0</v>
      </c>
      <c r="DC156" s="16">
        <f>IF(ISNA(VLOOKUP(A156,'Données projet'!$A$139:$I$159,5,0)),0%,VLOOKUP(A156,'Données projet'!$A$139:$I$159,5,0)*VLOOKUP('Données projet'!$B$13,Paramètres!$A$1:$I$89,7,0))</f>
        <v>0</v>
      </c>
      <c r="DD156" s="16">
        <f>IF(ISNA(VLOOKUP(A156,'Données projet'!$A$139:$I$159,6,0)),0%,VLOOKUP(A156,'Données projet'!$A$139:$I$159,6,0)*VLOOKUP('Données projet'!$B$13,Paramètres!$A$1:$I$89,7,0))</f>
        <v>0</v>
      </c>
      <c r="DE156" s="16">
        <f>IF(ISNA(VLOOKUP(A156,'Données projet'!$A$139:$I$159,7,0)),0%,VLOOKUP(A156,'Données projet'!$A$139:$I$159,7,0))</f>
        <v>0</v>
      </c>
      <c r="DF156" s="21" t="e">
        <f>EXP(-LN(2)/35)*DF155+(1-EXP(-LN(2)/35))/(LN(2)/35)*DB156*DC156*VLOOKUP('Données projet'!$B$13,Paramètres!$A$1:$I$89,3,0)*0.475*44/12</f>
        <v>#N/A</v>
      </c>
      <c r="DG156" s="21" t="e">
        <f>EXP(-LN(2)/25)*DG155+(1-EXP(-LN(2)/25))/(LN(2)/25)*Calculateur!DB156*Calculateur!DD156*VLOOKUP('Données projet'!$B$13,Paramètres!$A$1:$I$89,3,0)*0.475*44/12</f>
        <v>#N/A</v>
      </c>
      <c r="DH156" s="21" t="e">
        <f>EXP(-LN(2)/2)*DH155+(1-EXP(-LN(2)/2))/(LN(2)/2)*DB156*DE156*VLOOKUP('Données projet'!$B$13,Paramètres!$A$1:$I$89,3,0)*0.475*44/12</f>
        <v>#N/A</v>
      </c>
      <c r="DI156" s="22" t="e">
        <f t="shared" si="175"/>
        <v>#N/A</v>
      </c>
      <c r="DJ156" s="75">
        <f>('Scénario référence'!$F$8+'Scénario référence'!$F$9+'Scénario référence'!$B$17+'Scénario référence'!$B$9+'Scénario référence'!$B$10)*70+IF((45+25*(1-EXP(-0.0175*A156)))&lt;70,'Scénario référence'!$B$16*(45+25*(1-EXP(-0.0175*A156))),70*'Scénario référence'!$B$16)+IF((32+38*(1-EXP(-0.0175*A156)))&lt;70,'Scénario référence'!$B$18*(32+38*(1-EXP(-0.0175*A156))),70*'Scénario référence'!$B$18)</f>
        <v>70</v>
      </c>
      <c r="DK156" s="12">
        <f>IF(A156&gt;30,10,('Scénario référence'!$B$16+'Scénario référence'!$B$17+'Scénario référence'!$B$18+'Scénario référence'!$B$9+'Scénario référence'!$B$10)*A156*10/30+('Scénario référence'!$F$8+'Scénario référence'!$F$9)*10)</f>
        <v>10</v>
      </c>
      <c r="DL156" s="12" t="e">
        <f>VLOOKUP(A156,'Données projet'!$A$165:$I$185,2,0)</f>
        <v>#N/A</v>
      </c>
      <c r="DM156" s="12" t="e">
        <f>VLOOKUP(A156,'Données projet'!$A$165:$I$185,9,0)</f>
        <v>#N/A</v>
      </c>
      <c r="DN156" s="12">
        <f t="array" ref="DN156">INDEX(DM:DM,MIN(IF(ISNUMBER(DM156:DM352),ROW(DM156:DM352),"")))</f>
        <v>0</v>
      </c>
      <c r="DO156" s="12">
        <f>IF('Données projet'!$A$166&gt;35,DO155+DN156-DW155,IF(A156&lt;'Données projet'!$A$166,$DL$205^A156,IF(A156='Données projet'!$A$166,'Données projet'!$B$166,DO155+DN156-DW155)))</f>
        <v>268.00000000000017</v>
      </c>
      <c r="DP156" s="17">
        <f>DO156*VLOOKUP('Données projet'!$B$14,Paramètres!$A$1:$I$89,3,0)*VLOOKUP('Données projet'!$B$14,Paramètres!$A$1:$I$89,5,0)</f>
        <v>175.59360000000012</v>
      </c>
      <c r="DQ156" s="13">
        <f t="shared" si="176"/>
        <v>44.340433728638573</v>
      </c>
      <c r="DR156" s="20">
        <f t="shared" si="177"/>
        <v>383.05177541071242</v>
      </c>
      <c r="DS156" s="59">
        <f t="shared" si="125"/>
        <v>676.38510874404574</v>
      </c>
      <c r="DT156" s="59">
        <f ca="1">AVERAGE(OFFSET($DS$3,0,0,'Données projet'!$E$14+1,1))-AVERAGE(OFFSET($H$3,0,0,'Données projet'!$E$14+1,1))</f>
        <v>188.68915783955595</v>
      </c>
      <c r="DU156" s="59">
        <f t="shared" si="152"/>
        <v>240.82467772396944</v>
      </c>
      <c r="DV156" s="15">
        <f>IF(ISNA(VLOOKUP(A156,'Données projet'!$A$165:$I$185,3,0)),0,VLOOKUP(A156,'Données projet'!$A$165:$I$185,3,0))</f>
        <v>0</v>
      </c>
      <c r="DW156" s="15">
        <f>IF(ISNA(VLOOKUP(A156,'Données projet'!$A$165:$I$185,4,0)),0,VLOOKUP(A156,'Données projet'!$A$165:$I$185,4,0))</f>
        <v>0</v>
      </c>
      <c r="DX156" s="16">
        <f>IF(ISNA(VLOOKUP(A156,'Données projet'!$A$165:$I$185,5,0)),0%,VLOOKUP(A156,'Données projet'!$A$165:$I$185,5,0)*VLOOKUP('Données projet'!$B$14,Paramètres!$A$1:$I$89,7,0))</f>
        <v>0</v>
      </c>
      <c r="DY156" s="16">
        <f>IF(ISNA(VLOOKUP(A156,'Données projet'!$A$165:$I$185,6,0)),0%,VLOOKUP(A156,'Données projet'!$A$165:$I$185,6,0)*VLOOKUP('Données projet'!$B$14,Paramètres!$A$1:$I$89,7,0))</f>
        <v>0</v>
      </c>
      <c r="DZ156" s="16">
        <f>IF(ISNA(VLOOKUP(A156,'Données projet'!$A$165:$I$185,7,0)),0%,VLOOKUP(A156,'Données projet'!$A$165:$I$185,7,0))</f>
        <v>0</v>
      </c>
      <c r="EA156" s="21">
        <f>EXP(-LN(2)/35)*EA155+(1-EXP(-LN(2)/35))/(LN(2)/35)*DW156*DX156*VLOOKUP('Données projet'!$B$14,Paramètres!$A$1:$I$89,3,0)*0.475*44/12</f>
        <v>0.1362868788485678</v>
      </c>
      <c r="EB156" s="21">
        <f>EXP(-LN(2)/25)*EB155+(1-EXP(-LN(2)/25))/(LN(2)/25)*Calculateur!DW156*Calculateur!DY156*VLOOKUP('Données projet'!$B$14,Paramètres!$A$1:$I$89,3,0)*0.475*44/12</f>
        <v>0.26551068500476382</v>
      </c>
      <c r="EC156" s="21">
        <f>EXP(-LN(2)/2)*EC155+(1-EXP(-LN(2)/2))/(LN(2)/2)*DW156*DZ156*VLOOKUP('Données projet'!$B$14,Paramètres!$A$1:$I$89,3,0)*0.475*44/12</f>
        <v>4.2921200444931856E-18</v>
      </c>
      <c r="ED156" s="22">
        <f t="shared" si="178"/>
        <v>0.40179756385333165</v>
      </c>
      <c r="EE156" s="75">
        <f>('Scénario référence'!$F$8+'Scénario référence'!$F$9+'Scénario référence'!$B$17+'Scénario référence'!$B$9+'Scénario référence'!$B$10)*70+IF((45+25*(1-EXP(-0.0175*A156)))&lt;70,'Scénario référence'!$B$16*(45+25*(1-EXP(-0.0175*A156))),70*'Scénario référence'!$B$16)+IF((32+38*(1-EXP(-0.0175*A156)))&lt;70,'Scénario référence'!$B$18*(32+38*(1-EXP(-0.0175*A156))),70*'Scénario référence'!$B$18)</f>
        <v>70</v>
      </c>
      <c r="EF156" s="12">
        <f>IF(A156&gt;30,10,('Scénario référence'!$B$16+'Scénario référence'!$B$17+'Scénario référence'!$B$18+'Scénario référence'!$B$9+'Scénario référence'!$B$10)*A156*10/30+('Scénario référence'!$F$8+'Scénario référence'!$F$9)*10)</f>
        <v>10</v>
      </c>
      <c r="EG156" s="12" t="e">
        <f>VLOOKUP(A156,'Données projet'!$A$191:$I$211,2,0)</f>
        <v>#N/A</v>
      </c>
      <c r="EH156" s="12" t="e">
        <f>VLOOKUP(A156,'Données projet'!$A$191:$I$211,9,0)</f>
        <v>#N/A</v>
      </c>
      <c r="EI156" s="12">
        <f t="array" ref="EI156">INDEX(EH:EH,MIN(IF(ISNUMBER(EH156:EH352),ROW(EH156:EH352),"")))</f>
        <v>0</v>
      </c>
      <c r="EJ156" s="12">
        <f>IF('Données projet'!$A$192&gt;35,EJ155+EI156-ER155,IF(A156&lt;'Données projet'!$A$192,$EG$205^A156,IF(A156='Données projet'!$A$192,'Données projet'!$B$192,EJ155+EI156-ER155)))</f>
        <v>275.99999999999972</v>
      </c>
      <c r="EK156" s="17">
        <f>EJ156*VLOOKUP('Données projet'!$B$15,Paramètres!$A$1:$I$89,3,0)*VLOOKUP('Données projet'!$B$15,Paramètres!$A$1:$I$89,5,0)</f>
        <v>223.8911999999998</v>
      </c>
      <c r="EL156" s="13">
        <f t="shared" si="179"/>
        <v>54.95975389514858</v>
      </c>
      <c r="EM156" s="20">
        <f t="shared" si="180"/>
        <v>485.66541136738346</v>
      </c>
      <c r="EN156" s="59">
        <f t="shared" si="128"/>
        <v>778.99874470071677</v>
      </c>
      <c r="EO156" s="59">
        <f ca="1">AVERAGE(OFFSET($EN$3,0,0,'Données projet'!$E$15+1,1))-AVERAGE(OFFSET($H$3,0,0,'Données projet'!$E$15+1,1))</f>
        <v>205.5272583787887</v>
      </c>
      <c r="EP156" s="59">
        <f t="shared" si="154"/>
        <v>180.54762778843178</v>
      </c>
      <c r="EQ156" s="15">
        <f>IF(ISNA(VLOOKUP(A156,'Données projet'!$A$191:$I$211,3,0)),0,VLOOKUP(A156,'Données projet'!$A$191:$I$211,3,0))</f>
        <v>0</v>
      </c>
      <c r="ER156" s="15">
        <f>IF(ISNA(VLOOKUP(A156,'Données projet'!$A$191:$I$211,4,0)),0,VLOOKUP(A156,'Données projet'!$A$191:$I$211,4,0))</f>
        <v>0</v>
      </c>
      <c r="ES156" s="16">
        <f>IF(ISNA(VLOOKUP(A156,'Données projet'!$A$191:$I$211,5,0)),0%,VLOOKUP(A156,'Données projet'!$A$191:$I$211,5,0)*VLOOKUP('Données projet'!$B$15,Paramètres!$A$1:$I$89,7,0))</f>
        <v>0</v>
      </c>
      <c r="ET156" s="16">
        <f>IF(ISNA(VLOOKUP(A156,'Données projet'!$A$191:$I$211,6,0)),0%,VLOOKUP(A156,'Données projet'!$A$191:$I$211,6,0)*VLOOKUP('Données projet'!$B$15,Paramètres!$A$1:$I$89,7,0))</f>
        <v>0</v>
      </c>
      <c r="EU156" s="16">
        <f>IF(ISNA(VLOOKUP(A156,'Données projet'!$A$191:$I$211,7,0)),0%,VLOOKUP(A156,'Données projet'!$A$191:$I$211,7,0))</f>
        <v>0</v>
      </c>
      <c r="EV156" s="21">
        <f>EXP(-LN(2)/35)*EV155+(1-EXP(-LN(2)/35))/(LN(2)/35)*ER156*ES156*VLOOKUP('Données projet'!$B$15,Paramètres!$A$1:$I$89,3,0)*0.475*44/12</f>
        <v>8.7742790572982718E-2</v>
      </c>
      <c r="EW156" s="21">
        <f>EXP(-LN(2)/25)*EW155+(1-EXP(-LN(2)/25))/(LN(2)/25)*Calculateur!ER156*Calculateur!ET156*VLOOKUP('Données projet'!$B$15,Paramètres!$A$1:$I$89,3,0)*0.475*44/12</f>
        <v>0.19170676909625498</v>
      </c>
      <c r="EX156" s="21">
        <f>EXP(-LN(2)/2)*EX155+(1-EXP(-LN(2)/2))/(LN(2)/2)*ER156*EU156*VLOOKUP('Données projet'!$B$15,Paramètres!$A$1:$I$89,3,0)*0.475*44/12</f>
        <v>2.7791509025153776E-18</v>
      </c>
      <c r="EY156" s="22">
        <f t="shared" si="181"/>
        <v>0.27944955966923768</v>
      </c>
      <c r="EZ156" s="75">
        <f>('Scénario référence'!$F$8+'Scénario référence'!$F$9+'Scénario référence'!$B$17+'Scénario référence'!$B$9+'Scénario référence'!$B$10)*70+IF((45+25*(1-EXP(-0.0175*A156)))&lt;70,'Scénario référence'!$B$16*(45+25*(1-EXP(-0.0175*A156))),70*'Scénario référence'!$B$16)+IF((32+38*(1-EXP(-0.0175*A156)))&lt;70,'Scénario référence'!$B$18*(32+38*(1-EXP(-0.0175*A156))),70*'Scénario référence'!$B$18)</f>
        <v>70</v>
      </c>
      <c r="FA156" s="12">
        <f>IF(A156&gt;30,10,('Scénario référence'!$B$16+'Scénario référence'!$B$17+'Scénario référence'!$B$18+'Scénario référence'!$B$9+'Scénario référence'!$B$10)*A156*10/30+('Scénario référence'!$F$8+'Scénario référence'!$F$9)*10)</f>
        <v>10</v>
      </c>
      <c r="FB156" s="12" t="e">
        <f>VLOOKUP(A156,'Données projet'!$A$217:$I$237,2,0)</f>
        <v>#N/A</v>
      </c>
      <c r="FC156" s="12" t="e">
        <f>VLOOKUP(A156,'Données projet'!$A$217:$I$237,9,0)</f>
        <v>#N/A</v>
      </c>
      <c r="FD156" s="12">
        <f t="array" ref="FD156">INDEX(FC:FC,MIN(IF(ISNUMBER(FC156:FC352),ROW(FC156:FC352),"")))</f>
        <v>0</v>
      </c>
      <c r="FE156" s="12">
        <f>IF('Données projet'!$A$218&gt;35,FE155+FD156-FM155,IF(A156&lt;'Données projet'!$A$218,$FB$205^A156,IF(A156='Données projet'!$A$218,'Données projet'!$B$218,FE155+FD156-FM155)))</f>
        <v>418.99999999999983</v>
      </c>
      <c r="FF156" s="17">
        <f>FE156*VLOOKUP('Données projet'!$B$16,Paramètres!$A$1:$I$89,3,0)*VLOOKUP('Données projet'!$B$16,Paramètres!$A$1:$I$89,5,0)</f>
        <v>359.5019999999999</v>
      </c>
      <c r="FG156" s="13">
        <f t="shared" si="182"/>
        <v>83.516011055432813</v>
      </c>
      <c r="FH156" s="20">
        <f t="shared" si="183"/>
        <v>771.58970258821194</v>
      </c>
      <c r="FI156" s="59">
        <f t="shared" si="131"/>
        <v>1064.9230359215453</v>
      </c>
      <c r="FJ156" s="59">
        <f ca="1">AVERAGE(OFFSET($FI$3,0,0,'Données projet'!$E$16+1,1))-AVERAGE(OFFSET($H$3,0,0,'Données projet'!$E$16+1,1))</f>
        <v>383.97627237444709</v>
      </c>
      <c r="FK156" s="59">
        <f t="shared" si="156"/>
        <v>203.35476578922339</v>
      </c>
      <c r="FL156" s="15">
        <f>IF(ISNA(VLOOKUP(A156,'Données projet'!$A$217:$I$237,3,0)),0,VLOOKUP(A156,'Données projet'!$A$217:$I$237,3,0))</f>
        <v>0</v>
      </c>
      <c r="FM156" s="15">
        <f>IF(ISNA(VLOOKUP(A156,'Données projet'!$A$217:$I$237,4,0)),0,VLOOKUP(A156,'Données projet'!$A$217:$I$237,4,0))</f>
        <v>0</v>
      </c>
      <c r="FN156" s="16">
        <f>IF(ISNA(VLOOKUP(A156,'Données projet'!$A$217:$I$237,5,0)),0%,VLOOKUP(A156,'Données projet'!$A$217:$I$237,5,0)*VLOOKUP('Données projet'!$B$16,Paramètres!$A$1:$I$89,7,0))</f>
        <v>0</v>
      </c>
      <c r="FO156" s="16">
        <f>IF(ISNA(VLOOKUP(A156,'Données projet'!$A$217:$I$237,6,0)),0%,VLOOKUP(A156,'Données projet'!$A$217:$I$237,6,0)*VLOOKUP('Données projet'!$B$16,Paramètres!$A$1:$I$89,7,0))</f>
        <v>0</v>
      </c>
      <c r="FP156" s="16">
        <f>IF(ISNA(VLOOKUP(A156,'Données projet'!$A$217:$I$237,7,0)),0%,VLOOKUP(A156,'Données projet'!$A$217:$I$237,7,0))</f>
        <v>0</v>
      </c>
      <c r="FQ156" s="21">
        <f>EXP(-LN(2)/35)*FQ155+(1-EXP(-LN(2)/35))/(LN(2)/35)*FM156*FN156*VLOOKUP('Données projet'!$B$16,Paramètres!$A$1:$I$89,3,0)*0.475*44/12</f>
        <v>0.45095034123994004</v>
      </c>
      <c r="FR156" s="21">
        <f>EXP(-LN(2)/25)*FR155+(1-EXP(-LN(2)/25))/(LN(2)/25)*Calculateur!FM156*Calculateur!FO156*VLOOKUP('Données projet'!$B$16,Paramètres!$A$1:$I$89,3,0)*0.475*44/12</f>
        <v>0.19460218541042365</v>
      </c>
      <c r="FS156" s="21">
        <f>EXP(-LN(2)/2)*FS155+(1-EXP(-LN(2)/2))/(LN(2)/2)*FM156*FP156*VLOOKUP('Données projet'!$B$16,Paramètres!$A$1:$I$89,3,0)*0.475*44/12</f>
        <v>5.104729843577128E-18</v>
      </c>
      <c r="FT156" s="22">
        <f t="shared" si="184"/>
        <v>0.64555252665036367</v>
      </c>
      <c r="FU156" s="75">
        <f>('Scénario référence'!$F$8+'Scénario référence'!$F$9+'Scénario référence'!$B$17+'Scénario référence'!$B$9+'Scénario référence'!$B$10)*70+IF((45+25*(1-EXP(-0.0175*A156)))&lt;70,'Scénario référence'!$B$16*(45+25*(1-EXP(-0.0175*A156))),70*'Scénario référence'!$B$16)+IF((32+38*(1-EXP(-0.0175*A156)))&lt;70,'Scénario référence'!$B$18*(32+38*(1-EXP(-0.0175*A156))),70*'Scénario référence'!$B$18)</f>
        <v>70</v>
      </c>
      <c r="FV156" s="12">
        <f>IF(A156&gt;30,10,('Scénario référence'!$B$16+'Scénario référence'!$B$17+'Scénario référence'!$B$18+'Scénario référence'!$B$9+'Scénario référence'!$B$10)*A156*10/30+('Scénario référence'!$F$8+'Scénario référence'!$F$9)*10)</f>
        <v>10</v>
      </c>
      <c r="FW156" s="12" t="e">
        <f>VLOOKUP(A156,'Données projet'!$A$243:$I$263,2,0)</f>
        <v>#N/A</v>
      </c>
      <c r="FX156" s="12" t="e">
        <f>VLOOKUP(A156,'Données projet'!$A$243:$I$263,9,0)</f>
        <v>#N/A</v>
      </c>
      <c r="FY156" s="12">
        <f t="array" ref="FY156">INDEX(FX:FX,MIN(IF(ISNUMBER(FX156:FX352),ROW(FX156:FX352),"")))</f>
        <v>0</v>
      </c>
      <c r="FZ156" s="12">
        <f>IF('Données projet'!$A$244&gt;35,FZ155+FY156-GH155,IF(A156&lt;'Données projet'!$A$244,$FW$205^A156,IF(A156='Données projet'!$A$244,'Données projet'!$B$244,FZ155+FY156-GH155)))</f>
        <v>4.5474735088646412E-13</v>
      </c>
      <c r="GA156" s="17">
        <f>FZ156*VLOOKUP('Données projet'!$B$17,Paramètres!$A$1:$I$89,3,0)*VLOOKUP('Données projet'!$B$17,Paramètres!$A$1:$I$89,5,0)</f>
        <v>4.8949004849418999E-13</v>
      </c>
      <c r="GB156" s="13">
        <f t="shared" si="185"/>
        <v>6.1123715499968684E-12</v>
      </c>
      <c r="GC156" s="20">
        <f t="shared" si="186"/>
        <v>1.1498242284038591E-11</v>
      </c>
      <c r="GD156" s="59">
        <f t="shared" si="134"/>
        <v>293.3333333333448</v>
      </c>
      <c r="GE156" s="59">
        <f ca="1">AVERAGE(OFFSET($GD$3,0,0,'Données projet'!$E$17+1,1))-AVERAGE(OFFSET($H$3,0,0,'Données projet'!$E$17+1,1))</f>
        <v>286.77702855541287</v>
      </c>
      <c r="GF156" s="59">
        <f t="shared" si="158"/>
        <v>227.12211541860779</v>
      </c>
      <c r="GG156" s="15">
        <f>IF(ISNA(VLOOKUP(A156,'Données projet'!$A$243:$I$263,3,0)),0,VLOOKUP(A156,'Données projet'!$A$243:$I$263,3,0))</f>
        <v>0</v>
      </c>
      <c r="GH156" s="15">
        <f>IF(ISNA(VLOOKUP(A156,'Données projet'!$A$243:$I$263,4,0)),0,VLOOKUP(A156,'Données projet'!$A$243:$I$263,4,0))</f>
        <v>0</v>
      </c>
      <c r="GI156" s="16">
        <f>IF(ISNA(VLOOKUP(A156,'Données projet'!$A$243:$I$263,5,0)),0%,VLOOKUP(A156,'Données projet'!$A$243:$I$263,5,0)*VLOOKUP('Données projet'!$B$17,Paramètres!$A$1:$I$89,7,0))</f>
        <v>0</v>
      </c>
      <c r="GJ156" s="16">
        <f>IF(ISNA(VLOOKUP(A156,'Données projet'!$A$243:$I$263,6,0)),0%,VLOOKUP(A156,'Données projet'!$A$243:$I$263,6,0)*VLOOKUP('Données projet'!$B$17,Paramètres!$A$1:$I$89,7,0))</f>
        <v>0</v>
      </c>
      <c r="GK156" s="16">
        <f>IF(ISNA(VLOOKUP(A156,'Données projet'!$A$243:$I$263,7,0)),0%,VLOOKUP(A156,'Données projet'!$A$243:$I$263,7,0))</f>
        <v>0</v>
      </c>
      <c r="GL156" s="21">
        <f>EXP(-LN(2)/35)*GL155+(1-EXP(-LN(2)/35))/(LN(2)/35)*GH156*GI156*VLOOKUP('Données projet'!$B$17,Paramètres!$A$1:$I$89,3,0)*0.475*44/12</f>
        <v>0</v>
      </c>
      <c r="GM156" s="21">
        <f>EXP(-LN(2)/25)*GM155+(1-EXP(-LN(2)/25))/(LN(2)/25)*Calculateur!GH156*Calculateur!GJ156*VLOOKUP('Données projet'!$B$17,Paramètres!$A$1:$I$89,3,0)*0.475*44/12</f>
        <v>0</v>
      </c>
      <c r="GN156" s="21">
        <f>EXP(-LN(2)/2)*GN155+(1-EXP(-LN(2)/2))/(LN(2)/2)*GH156*GK156*VLOOKUP('Données projet'!$B$17,Paramètres!$A$1:$I$89,3,0)*0.475*44/12</f>
        <v>0</v>
      </c>
      <c r="GO156" s="21">
        <f t="shared" si="187"/>
        <v>0</v>
      </c>
      <c r="GP156" s="75">
        <f>('Scénario référence'!$F$8+'Scénario référence'!$F$9+'Scénario référence'!$B$17+'Scénario référence'!$B$9+'Scénario référence'!$B$10)*70+IF((45+25*(1-EXP(-0.0175*A156)))&lt;70,'Scénario référence'!$B$16*(45+25*(1-EXP(-0.0175*A156))),70*'Scénario référence'!$B$16)+IF((32+38*(1-EXP(-0.0175*A156)))&lt;70,'Scénario référence'!$B$18*(32+38*(1-EXP(-0.0175*A156))),70*'Scénario référence'!$B$18)</f>
        <v>70</v>
      </c>
      <c r="GQ156" s="12">
        <f>IF(A156&gt;30,10,('Scénario référence'!$B$16+'Scénario référence'!$B$17+'Scénario référence'!$B$18+'Scénario référence'!$B$9+'Scénario référence'!$B$10)*A156*10/30+('Scénario référence'!$F$8+'Scénario référence'!$F$9)*10)</f>
        <v>10</v>
      </c>
      <c r="GR156" s="12" t="e">
        <f>VLOOKUP(A156,'Données projet'!$A$269:$I$289,2,0)</f>
        <v>#N/A</v>
      </c>
      <c r="GS156" s="12" t="e">
        <f>VLOOKUP(A156,'Données projet'!$A$269:$I$289,9,0)</f>
        <v>#N/A</v>
      </c>
      <c r="GT156" s="12">
        <f t="array" ref="GT156">INDEX(GS:GS,MIN(IF(ISNUMBER(GS156:GS352),ROW(GS156:GS352),"")))</f>
        <v>0</v>
      </c>
      <c r="GU156" s="12">
        <f>IF('Données projet'!$A$270&gt;35,GU155+GT156-HC155,IF(A156&lt;'Données projet'!$A$270,$GR$205^A156,IF(A156='Données projet'!$A$270,'Données projet'!$B$270,GU155+GT156-HC155)))</f>
        <v>4.5474735088646412E-13</v>
      </c>
      <c r="GV156" s="17">
        <f>GU156*VLOOKUP('Données projet'!$B$18,Paramètres!$A$1:$I$89,3,0)*VLOOKUP('Données projet'!$B$18,Paramètres!$A$1:$I$89,5,0)</f>
        <v>4.8949004849418999E-13</v>
      </c>
      <c r="GW156" s="13">
        <f t="shared" si="188"/>
        <v>6.1123715499968684E-12</v>
      </c>
      <c r="GX156" s="20">
        <f t="shared" si="189"/>
        <v>1.1498242284038591E-11</v>
      </c>
      <c r="GY156" s="59">
        <f t="shared" si="137"/>
        <v>293.3333333333448</v>
      </c>
      <c r="GZ156" s="59">
        <f ca="1">AVERAGE(OFFSET($GY$3,0,0,'Données projet'!$E$18+1,1))-AVERAGE(OFFSET($H$3,0,0,'Données projet'!$E$18+1,1))</f>
        <v>286.77702855541287</v>
      </c>
      <c r="HA156" s="59">
        <f t="shared" si="160"/>
        <v>227.12211541860779</v>
      </c>
      <c r="HB156" s="15">
        <f>IF(ISNA(VLOOKUP(A156,'Données projet'!$A$269:$I$289,3,0)),0,VLOOKUP(A156,'Données projet'!$A$269:$I$289,3,0))</f>
        <v>0</v>
      </c>
      <c r="HC156" s="15">
        <f>IF(ISNA(VLOOKUP(A156,'Données projet'!$A$269:$I$289,4,0)),0,VLOOKUP(A156,'Données projet'!$A$269:$I$289,4,0))</f>
        <v>0</v>
      </c>
      <c r="HD156" s="16">
        <f>IF(ISNA(VLOOKUP(A156,'Données projet'!$A$269:$I$289,5,0)),0%,VLOOKUP(A156,'Données projet'!$A$269:$I$289,5,0)*VLOOKUP('Données projet'!$B$18,Paramètres!$A$1:$I$89,7,0))</f>
        <v>0</v>
      </c>
      <c r="HE156" s="16">
        <f>IF(ISNA(VLOOKUP(A156,'Données projet'!$A$269:$I$289,6,0)),0%,VLOOKUP(A156,'Données projet'!$A$269:$I$289,6,0)*VLOOKUP('Données projet'!$B$18,Paramètres!$A$1:$I$89,7,0))</f>
        <v>0</v>
      </c>
      <c r="HF156" s="16">
        <f>IF(ISNA(VLOOKUP(A156,'Données projet'!$A$269:$I$289,7,0)),0%,VLOOKUP(A156,'Données projet'!$A$269:$I$289,7,0))</f>
        <v>0</v>
      </c>
      <c r="HG156" s="21">
        <f>EXP(-LN(2)/35)*HG155+(1-EXP(-LN(2)/35))/(LN(2)/35)*HC156*HD156*VLOOKUP('Données projet'!$B$18,Paramètres!$A$1:$I$89,3,0)*0.475*44/12</f>
        <v>0</v>
      </c>
      <c r="HH156" s="21">
        <f>EXP(-LN(2)/25)*HH155+(1-EXP(-LN(2)/25))/(LN(2)/25)*Calculateur!HC156*Calculateur!HE156*VLOOKUP('Données projet'!$B$18,Paramètres!$A$1:$I$89,3,0)*0.475*44/12</f>
        <v>0</v>
      </c>
      <c r="HI156" s="21">
        <f>EXP(-LN(2)/2)*HI155+(1-EXP(-LN(2)/2))/(LN(2)/2)*HC156*HF156*VLOOKUP('Données projet'!$B$18,Paramètres!$A$1:$I$89,3,0)*0.475*44/12</f>
        <v>0</v>
      </c>
      <c r="HJ156" s="22">
        <f t="shared" si="190"/>
        <v>0</v>
      </c>
    </row>
    <row r="157" spans="1:218" x14ac:dyDescent="0.25">
      <c r="A157" s="10">
        <f t="shared" si="161"/>
        <v>154</v>
      </c>
      <c r="B157" s="73">
        <f>'Scénario référence'!$B$16*5+'Scénario référence'!$B$17*0+'Scénario référence'!$B$18*5</f>
        <v>0</v>
      </c>
      <c r="C157" s="19">
        <f>Calculateur!C156+'Scénario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136.93680000000012</v>
      </c>
      <c r="D157" s="11">
        <f t="shared" si="140"/>
        <v>35.594368426539035</v>
      </c>
      <c r="E15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57" s="11">
        <f>IF(OR('Scénario référence'!$F$8&gt;0,'Scénario référence'!$F$9&gt;0),('Scénario référence'!$F$8+'Scénario référence'!$F$9)*10,0)</f>
        <v>10</v>
      </c>
      <c r="G157" s="11">
        <f>'Scénario référence'!$B$8*B157*44/12+'Scénario référence'!$B$9*(C157+D157)/0.475*44/12+'Scénario référence'!$B$10*(C157+D157)/0.475*44/12+'Scénario référence'!$F$8*(C157+D157)/0.475*44/12+'Scénario référence'!$F$9*(C157+D157)/0.475*44/12</f>
        <v>1331.8195457487234</v>
      </c>
      <c r="H157" s="67">
        <f t="shared" si="110"/>
        <v>593.82511834288903</v>
      </c>
      <c r="I157" s="70">
        <f>('Scénario référence'!$F$8+'Scénario référence'!$F$9+'Scénario référence'!$B$17+'Scénario référence'!$B$9+'Scénario référence'!$B$10)*70+IF((45+25*(1-EXP(-0.0175*A157)))&lt;70,'Scénario référence'!$B$16*(45+25*(1-EXP(-0.0175*A157))),70*'Scénario référence'!$B$16)+IF((32+38*(1-EXP(-0.0175*A157)))&lt;70,'Scénario référence'!$B$18*(32+38*(1-EXP(-0.0175*A157))),70*'Scénario référence'!$B$18)</f>
        <v>70</v>
      </c>
      <c r="J157" s="13">
        <f>IF(A157&gt;30,10,('Scénario référence'!$B$16+'Scénario référence'!$B$17+'Scénario référence'!$B$18+'Scénario référence'!$B$9+'Scénario référence'!$B$10)*A157*10/30+('Scénario référence'!$F$8+'Scénario référence'!$F$9)*10)</f>
        <v>10</v>
      </c>
      <c r="K157" s="12" t="e">
        <f>VLOOKUP(A157,'Données projet'!$A$35:$I$55,2,0)</f>
        <v>#N/A</v>
      </c>
      <c r="L157" s="12" t="e">
        <f>VLOOKUP(A157,'Données projet'!$A$35:$I$55,9,0)</f>
        <v>#N/A</v>
      </c>
      <c r="M157" s="12">
        <f t="array" ref="M157">INDEX(L:L,MIN(IF(ISNUMBER(L157:L353),ROW(L157:L353),"")))</f>
        <v>0</v>
      </c>
      <c r="N157" s="13">
        <f>IF('Données projet'!$A$36&gt;35,N156+M157-V156,IF(A157&lt;'Données projet'!$A$36,$K$205^A157,IF(A157='Données projet'!$A$36,'Données projet'!$B$36,N156+M157-V156)))</f>
        <v>-2.2737367544323206E-13</v>
      </c>
      <c r="O157" s="13">
        <f>N157*VLOOKUP('Données projet'!$B$9,Paramètres!$A$1:$I$89,3,0)*VLOOKUP('Données projet'!$B$9,Paramètres!$A$1:$I$89,5,0)</f>
        <v>-1.2710188457276673E-13</v>
      </c>
      <c r="P157" s="13" t="e">
        <f t="shared" si="141"/>
        <v>#NUM!</v>
      </c>
      <c r="Q157" s="20" t="e">
        <f t="shared" si="162"/>
        <v>#NUM!</v>
      </c>
      <c r="R157" s="59" t="e">
        <f t="shared" si="109"/>
        <v>#NUM!</v>
      </c>
      <c r="S157" s="59">
        <f ca="1">AVERAGE(OFFSET($R$3,0,0,'Données projet'!$E$9+1,1))-AVERAGE(OFFSET($H$3,0,0,'Données projet'!$E$9+1,1))</f>
        <v>255.5374979188561</v>
      </c>
      <c r="T157" s="59">
        <f t="shared" si="142"/>
        <v>343.10418468620901</v>
      </c>
      <c r="U157" s="15">
        <f>IF(ISNA(VLOOKUP(A157,'Données projet'!$A$35:$I$55,3,0)),0,VLOOKUP(A157,'Données projet'!$A$35:$I$55,3,0))</f>
        <v>0</v>
      </c>
      <c r="V157" s="15">
        <f>IF(ISNA(VLOOKUP(A157,'Données projet'!$A$35:$I$55,4,0)),0,VLOOKUP(A157,'Données projet'!$A$35:$I$55,4,0))</f>
        <v>0</v>
      </c>
      <c r="W157" s="16">
        <f>IF(ISNA(VLOOKUP(A157,'Données projet'!$A$35:$I$55,5,0)),0%,VLOOKUP(A157,'Données projet'!$A$35:$I$55,5,0)*VLOOKUP('Données projet'!$B$9,Paramètres!$A$1:$I$89,7,0))</f>
        <v>0</v>
      </c>
      <c r="X157" s="16">
        <f>IF(ISNA(VLOOKUP(A157,'Données projet'!$A$35:$I$55,6,0)),0%,VLOOKUP(A157,'Données projet'!$A$35:$I$55,6,0)*VLOOKUP('Données projet'!$B$9,Paramètres!$A$1:$I$89,7,0))</f>
        <v>0</v>
      </c>
      <c r="Y157" s="16">
        <f>IF(ISNA(VLOOKUP(A157,'Données projet'!$A$35:$I$55,7,0)),0%,VLOOKUP(A157,'Données projet'!$A$35:$I$55,7,0))</f>
        <v>0</v>
      </c>
      <c r="Z157" s="21">
        <f>EXP(-LN(2)/35)*Z156+(1-EXP(-LN(2)/35))/(LN(2)/35)*V157*W157*VLOOKUP('Données projet'!$B$9,Paramètres!$A$1:$I$89,3,0)*0.475*44/12</f>
        <v>0.26512943721450116</v>
      </c>
      <c r="AA157" s="21">
        <f>EXP(-LN(2)/25)*AA156+(1-EXP(-LN(2)/25))/(LN(2)/25)*Calculateur!V157*Calculateur!X157*VLOOKUP('Données projet'!$B$9,Paramètres!$A$1:$I$89,3,0)*0.475*44/12</f>
        <v>0.51278009652632195</v>
      </c>
      <c r="AB157" s="21">
        <f>EXP(-LN(2)/2)*AB156+(1-EXP(-LN(2)/2))/(LN(2)/2)*V157*Y157*VLOOKUP('Données projet'!$B$9,Paramètres!$A$1:$I$89,3,0)*0.475*44/12</f>
        <v>3.6703541236124101E-19</v>
      </c>
      <c r="AC157" s="22">
        <f t="shared" si="163"/>
        <v>0.77790953374082306</v>
      </c>
      <c r="AD157" s="13">
        <f>('Scénario référence'!$F$8+'Scénario référence'!$F$9+'Scénario référence'!$B$17+'Scénario référence'!$B$9+'Scénario référence'!$B$10)*70+IF((45+25*(1-EXP(-0.0175*A157)))&lt;70,'Scénario référence'!$B$16*(45+25*(1-EXP(-0.0175*A157))),70*'Scénario référence'!$B$16)+IF((32+38*(1-EXP(-0.0175*A157)))&lt;70,'Scénario référence'!$B$18*(32+38*(1-EXP(-0.0175*A157))),70*'Scénario référence'!$B$18)</f>
        <v>70</v>
      </c>
      <c r="AE157" s="13">
        <f>IF(A157&gt;30,10,('Scénario référence'!$B$16+'Scénario référence'!$B$17+'Scénario référence'!$B$18+'Scénario référence'!$B$9+'Scénario référence'!$B$10)*A157*10/30+('Scénario référence'!$F$8+'Scénario référence'!$F$9)*10)</f>
        <v>10</v>
      </c>
      <c r="AF157" s="12" t="e">
        <f>VLOOKUP(A157,'Données projet'!$A$61:$I$81,2,0)</f>
        <v>#N/A</v>
      </c>
      <c r="AG157" s="12" t="e">
        <f>VLOOKUP(A157,'Données projet'!$A$61:$I$81,9,0)</f>
        <v>#N/A</v>
      </c>
      <c r="AH157" s="12">
        <f t="array" ref="AH157">INDEX(AG:AG,MIN(IF(ISNUMBER(AG157:AG353),ROW(AG157:AG353),"")))</f>
        <v>0</v>
      </c>
      <c r="AI157" s="13">
        <f>IF('Données projet'!$A$62&gt;35,AI156+AH157-AQ156,IF(A157&lt;'Données projet'!$A$62,$AF$205^A157,IF(A157='Données projet'!$A$62,'Données projet'!$B$62,AI156+AH157-AQ156)))</f>
        <v>0</v>
      </c>
      <c r="AJ157" s="13">
        <f>AI157*VLOOKUP('Données projet'!$B$10,Paramètres!$A$1:$I$89,3,0)*VLOOKUP('Données projet'!$B$10,Paramètres!$A$1:$I$89,5,0)</f>
        <v>0</v>
      </c>
      <c r="AK157" s="13" t="e">
        <f t="shared" si="164"/>
        <v>#NUM!</v>
      </c>
      <c r="AL157" s="20" t="e">
        <f t="shared" si="165"/>
        <v>#NUM!</v>
      </c>
      <c r="AM157" s="59" t="e">
        <f t="shared" si="113"/>
        <v>#NUM!</v>
      </c>
      <c r="AN157" s="59">
        <f ca="1">AVERAGE(OFFSET($AM$3,0,0,'Données projet'!$E$10+1,1))-AVERAGE(OFFSET($H$3,0,0,'Données projet'!$E$10+1,1))</f>
        <v>261.78489480911571</v>
      </c>
      <c r="AO157" s="59">
        <f t="shared" si="144"/>
        <v>297.50513563712764</v>
      </c>
      <c r="AP157" s="15">
        <f>IF(ISNA(VLOOKUP(A157,'Données projet'!$A$61:$I$81,3,0)),0,VLOOKUP(A157,'Données projet'!$A$61:$I$81,3,0))</f>
        <v>0</v>
      </c>
      <c r="AQ157" s="15">
        <f>IF(ISNA(VLOOKUP(A157,'Données projet'!$A$61:$I$81,4,0)),0,VLOOKUP(A157,'Données projet'!$A$61:$I$81,4,0))</f>
        <v>0</v>
      </c>
      <c r="AR157" s="16">
        <f>IF(ISNA(VLOOKUP(A157,'Données projet'!$A$61:$I$81,5,0)),0%,VLOOKUP(A157,'Données projet'!$A$61:$I$81,5,0)*VLOOKUP('Données projet'!$B$10,Paramètres!$A$1:$I$89,7,0))</f>
        <v>0</v>
      </c>
      <c r="AS157" s="16">
        <f>IF(ISNA(VLOOKUP(A157,'Données projet'!$A$61:$I$81,6,0)),0%,VLOOKUP(A157,'Données projet'!$A$61:$I$81,6,0)*VLOOKUP('Données projet'!$B$10,Paramètres!$A$1:$I$89,7,0))</f>
        <v>0</v>
      </c>
      <c r="AT157" s="16">
        <f>IF(ISNA(VLOOKUP(A157,'Données projet'!$A$61:$I$81,7,0)),0%,VLOOKUP(A157,'Données projet'!$A$61:$I$81,7,0))</f>
        <v>0</v>
      </c>
      <c r="AU157" s="21">
        <f>EXP(-LN(2)/35)*AU156+(1-EXP(-LN(2)/35))/(LN(2)/35)*AQ157*AR157*VLOOKUP('Données projet'!$B$10,Paramètres!$A$1:$I$89,3,0)*0.475*44/12</f>
        <v>0.71592447198078168</v>
      </c>
      <c r="AV157" s="21">
        <f>EXP(-LN(2)/25)*AV156+(1-EXP(-LN(2)/25))/(LN(2)/25)*Calculateur!AQ157*Calculateur!AS157*VLOOKUP('Données projet'!$B$10,Paramètres!$A$1:$I$89,3,0)*0.475*44/12</f>
        <v>0.89541863561193535</v>
      </c>
      <c r="AW157" s="21">
        <f>EXP(-LN(2)/2)*AW156+(1-EXP(-LN(2)/2))/(LN(2)/2)*AQ157*AT157*VLOOKUP('Données projet'!$B$10,Paramètres!$A$1:$I$89,3,0)*0.475*44/12</f>
        <v>5.2911648883747792E-18</v>
      </c>
      <c r="AX157" s="21">
        <f t="shared" si="166"/>
        <v>1.6113431075927171</v>
      </c>
      <c r="AY157" s="74">
        <f>('Scénario référence'!$F$8+'Scénario référence'!$F$9+'Scénario référence'!$B$17+'Scénario référence'!$B$9+'Scénario référence'!$B$10)*70+IF((45+25*(1-EXP(-0.0175*A157)))&lt;70,'Scénario référence'!$B$16*(45+25*(1-EXP(-0.0175*A157))),70*'Scénario référence'!$B$16)+IF((32+38*(1-EXP(-0.0175*A157)))&lt;70,'Scénario référence'!$B$18*(32+38*(1-EXP(-0.0175*A157))),70*'Scénario référence'!$B$18)</f>
        <v>70</v>
      </c>
      <c r="AZ157" s="12">
        <f>IF(A157&gt;30,10,('Scénario référence'!$B$16+'Scénario référence'!$B$17+'Scénario référence'!$B$18+'Scénario référence'!$B$9+'Scénario référence'!$B$10)*A157*10/30+('Scénario référence'!$F$8+'Scénario référence'!$F$9)*10)</f>
        <v>10</v>
      </c>
      <c r="BA157" s="12" t="e">
        <f>VLOOKUP(A157,'Données projet'!$A$87:$I$107,2,0)</f>
        <v>#N/A</v>
      </c>
      <c r="BB157" s="12" t="e">
        <f>VLOOKUP(A157,'Données projet'!$A$87:$I$107,9,0)</f>
        <v>#N/A</v>
      </c>
      <c r="BC157" s="12">
        <f t="array" ref="BC157">INDEX(BB:BB,MIN(IF(ISNUMBER(BB157:BB353),ROW(BB157:BB353),"")))</f>
        <v>0</v>
      </c>
      <c r="BD157" s="12">
        <f>IF('Données projet'!$A$88&gt;35,BD156+BC157-BL156,IF(A157&lt;'Données projet'!$A$88,$BA$205^A157,IF(A157='Données projet'!$A$88,'Données projet'!$B$88,BD156+BC157-BL156)))</f>
        <v>553.99999999999955</v>
      </c>
      <c r="BE157" s="13">
        <f>BD157*VLOOKUP('Données projet'!$B$11,Paramètres!$A$1:$I$89,3,0)*VLOOKUP('Données projet'!$B$11,Paramètres!$A$1:$I$89,5,0)</f>
        <v>331.29199999999975</v>
      </c>
      <c r="BF157" s="13">
        <f t="shared" si="167"/>
        <v>77.698110787752</v>
      </c>
      <c r="BG157" s="20">
        <f t="shared" si="168"/>
        <v>712.32444295533423</v>
      </c>
      <c r="BH157" s="59">
        <f t="shared" si="116"/>
        <v>1005.6577762886675</v>
      </c>
      <c r="BI157" s="59">
        <f ca="1">AVERAGE(OFFSET($BH$3,0,0,'Données projet'!$E$11+1,1))-AVERAGE(OFFSET($H$3,0,0,'Données projet'!$E$11+1,1))</f>
        <v>316.58509520829671</v>
      </c>
      <c r="BJ157" s="59">
        <f t="shared" si="146"/>
        <v>240.71332110643596</v>
      </c>
      <c r="BK157" s="15">
        <f>IF(ISNA(VLOOKUP(A157,'Données projet'!$A$87:$I$107,3,0)),0,VLOOKUP(A157,'Données projet'!$A$87:$I$107,3,0))</f>
        <v>0</v>
      </c>
      <c r="BL157" s="15">
        <f>IF(ISNA(VLOOKUP(A157,'Données projet'!$A$87:$I$107,4,0)),0,VLOOKUP(A157,'Données projet'!$A$87:$I$107,4,0))</f>
        <v>0</v>
      </c>
      <c r="BM157" s="16">
        <f>IF(ISNA(VLOOKUP(A157,'Données projet'!$A$87:$I$107,5,0)),0%,VLOOKUP(A157,'Données projet'!$A$87:$I$107,5,0)*VLOOKUP('Données projet'!$B$11,Paramètres!$A$1:$I$89,7,0))</f>
        <v>0</v>
      </c>
      <c r="BN157" s="16">
        <f>IF(ISNA(VLOOKUP(A157,'Données projet'!$A$87:$I$107,6,0)),0%,VLOOKUP(A157,'Données projet'!$A$87:$I$107,6,0)*VLOOKUP('Données projet'!$B$11,Paramètres!$A$1:$I$89,7,0))</f>
        <v>0</v>
      </c>
      <c r="BO157" s="16">
        <f>IF(ISNA(VLOOKUP(A157,'Données projet'!$A$87:$I$107,7,0)),0%,VLOOKUP(A157,'Données projet'!$A$87:$I$107,7,0))</f>
        <v>0</v>
      </c>
      <c r="BP157" s="21">
        <f>EXP(-LN(2)/35)*BP156+(1-EXP(-LN(2)/35))/(LN(2)/35)*BL157*BM157*VLOOKUP('Données projet'!$B$11,Paramètres!$A$1:$I$89,3,0)*0.475*44/12</f>
        <v>0.21746738518315056</v>
      </c>
      <c r="BQ157" s="21">
        <f>EXP(-LN(2)/25)*BQ156+(1-EXP(-LN(2)/25))/(LN(2)/25)*Calculateur!BL157*Calculateur!BN157*VLOOKUP('Données projet'!$B$11,Paramètres!$A$1:$I$89,3,0)*0.475*44/12</f>
        <v>0.49053645518174666</v>
      </c>
      <c r="BR157" s="21">
        <f>EXP(-LN(2)/2)*BR156+(1-EXP(-LN(2)/2))/(LN(2)/2)*BL157*BO157*VLOOKUP('Données projet'!$B$11,Paramètres!$A$1:$I$89,3,0)*0.475*44/12</f>
        <v>4.7573366839103191E-18</v>
      </c>
      <c r="BS157" s="22">
        <f t="shared" si="169"/>
        <v>0.70800384036489716</v>
      </c>
      <c r="BT157" s="75">
        <f>('Scénario référence'!$F$8+'Scénario référence'!$F$9+'Scénario référence'!$B$17+'Scénario référence'!$B$9+'Scénario référence'!$B$10)*70+IF((45+25*(1-EXP(-0.0175*A157)))&lt;70,'Scénario référence'!$B$16*(45+25*(1-EXP(-0.0175*A157))),70*'Scénario référence'!$B$16)+IF((32+38*(1-EXP(-0.0175*A157)))&lt;70,'Scénario référence'!$B$18*(32+38*(1-EXP(-0.0175*A157))),70*'Scénario référence'!$B$18)</f>
        <v>70</v>
      </c>
      <c r="BU157" s="12">
        <f>IF(A157&gt;30,10,('Scénario référence'!$B$16+'Scénario référence'!$B$17+'Scénario référence'!$B$18+'Scénario référence'!$B$9+'Scénario référence'!$B$10)*A157*10/30+('Scénario référence'!$F$8+'Scénario référence'!$F$9)*10)</f>
        <v>10</v>
      </c>
      <c r="BV157" s="12" t="e">
        <f>VLOOKUP(A157,'Données projet'!$A$113:$I$133,2,0)</f>
        <v>#N/A</v>
      </c>
      <c r="BW157" s="12" t="e">
        <f>VLOOKUP(A157,'Données projet'!$A$113:$I$133,9,0)</f>
        <v>#N/A</v>
      </c>
      <c r="BX157" s="12">
        <f t="array" ref="BX157">INDEX(BW:BW,MIN(IF(ISNUMBER(BW157:BW353),ROW(BW157:BW353),"")))</f>
        <v>0</v>
      </c>
      <c r="BY157" s="12">
        <f>IF('Données projet'!$A$114&gt;35,BY156+BX157-CG156,IF(A157&lt;'Données projet'!$A$114,$BV$205^A157,IF(A157='Données projet'!$A$114,'Données projet'!$B$114,BY156+BX157-CG156)))</f>
        <v>333.99999999999977</v>
      </c>
      <c r="BZ157" s="13">
        <f>BY157*VLOOKUP('Données projet'!$B$12,Paramètres!$A$1:$I$89,3,0)*VLOOKUP('Données projet'!$B$12,Paramètres!$A$1:$I$89,5,0)</f>
        <v>191.04799999999986</v>
      </c>
      <c r="CA157" s="13">
        <f t="shared" si="170"/>
        <v>47.771576544305155</v>
      </c>
      <c r="CB157" s="20">
        <f t="shared" si="171"/>
        <v>415.94409581466454</v>
      </c>
      <c r="CC157" s="59">
        <f t="shared" si="119"/>
        <v>709.27742914799785</v>
      </c>
      <c r="CD157" s="59">
        <f ca="1">AVERAGE(OFFSET($CC$3,0,0,'Données projet'!$E$12+1,1))-AVERAGE(OFFSET($H$3,0,0,'Données projet'!$E$12+1,1))</f>
        <v>188.64374818906128</v>
      </c>
      <c r="CE157" s="59">
        <f t="shared" si="148"/>
        <v>211.95157880548652</v>
      </c>
      <c r="CF157" s="15">
        <f>IF(ISNA(VLOOKUP(A157,'Données projet'!$A$113:$I$133,3,0)),0,VLOOKUP(A157,'Données projet'!$A$113:$I$133,3,0))</f>
        <v>0</v>
      </c>
      <c r="CG157" s="15">
        <f>IF(ISNA(VLOOKUP(A157,'Données projet'!$A$113:$I$133,4,0)),0,VLOOKUP(A157,'Données projet'!$A$113:$I$133,4,0))</f>
        <v>0</v>
      </c>
      <c r="CH157" s="16">
        <f>IF(ISNA(VLOOKUP(A157,'Données projet'!$A$113:$I$133,5,0)),0%,VLOOKUP(A157,'Données projet'!$A$113:$I$133,5,0)*VLOOKUP('Données projet'!$B$12,Paramètres!$A$1:$I$89,7,0))</f>
        <v>0</v>
      </c>
      <c r="CI157" s="16">
        <f>IF(ISNA(VLOOKUP(A157,'Données projet'!$A$113:$I$133,6,0)),0%,VLOOKUP(A157,'Données projet'!$A$113:$I$133,6,0)*VLOOKUP('Données projet'!$B$12,Paramètres!$A$1:$I$89,7,0))</f>
        <v>0</v>
      </c>
      <c r="CJ157" s="16">
        <f>IF(ISNA(VLOOKUP(A157,'Données projet'!$A$113:$I$133,7,0)),0%,VLOOKUP(A157,'Données projet'!$A$113:$I$133,7,0))</f>
        <v>0</v>
      </c>
      <c r="CK157" s="21">
        <f>EXP(-LN(2)/35)*CK156+(1-EXP(-LN(2)/35))/(LN(2)/35)*CG157*CH157*VLOOKUP('Données projet'!$B$12,Paramètres!$A$1:$I$89,3,0)*0.475*44/12</f>
        <v>0.21094203192290886</v>
      </c>
      <c r="CL157" s="21">
        <f>EXP(-LN(2)/25)*CL156+(1-EXP(-LN(2)/25))/(LN(2)/25)*Calculateur!CG157*Calculateur!CI157*VLOOKUP('Données projet'!$B$12,Paramètres!$A$1:$I$89,3,0)*0.475*44/12</f>
        <v>0.46170401822708651</v>
      </c>
      <c r="CM157" s="21">
        <f>EXP(-LN(2)/2)*CM156+(1-EXP(-LN(2)/2))/(LN(2)/2)*CG157*CJ157*VLOOKUP('Données projet'!$B$12,Paramètres!$A$1:$I$89,3,0)*0.475*44/12</f>
        <v>4.6071083588169887E-18</v>
      </c>
      <c r="CN157" s="22">
        <f t="shared" si="172"/>
        <v>0.67264605014999534</v>
      </c>
      <c r="CO157" s="75">
        <f>('Scénario référence'!$F$8+'Scénario référence'!$F$9+'Scénario référence'!$B$17+'Scénario référence'!$B$9+'Scénario référence'!$B$10)*70+IF((45+25*(1-EXP(-0.0175*A157)))&lt;70,'Scénario référence'!$B$16*(45+25*(1-EXP(-0.0175*A157))),70*'Scénario référence'!$B$16)+IF((32+38*(1-EXP(-0.0175*A157)))&lt;70,'Scénario référence'!$B$18*(32+38*(1-EXP(-0.0175*A157))),70*'Scénario référence'!$B$18)</f>
        <v>70</v>
      </c>
      <c r="CP157" s="12">
        <f>IF(A157&gt;30,10,('Scénario référence'!$B$16+'Scénario référence'!$B$17+'Scénario référence'!$B$18+'Scénario référence'!$B$9+'Scénario référence'!$B$10)*A157*10/30+('Scénario référence'!$F$8+'Scénario référence'!$F$9)*10)</f>
        <v>10</v>
      </c>
      <c r="CQ157" s="12" t="e">
        <f>VLOOKUP(A157,'Données projet'!$A$139:$I$159,2,0)</f>
        <v>#N/A</v>
      </c>
      <c r="CR157" s="12" t="e">
        <f>VLOOKUP(A157,'Données projet'!$A$139:$I$159,9,0)</f>
        <v>#N/A</v>
      </c>
      <c r="CS157" s="12">
        <f t="array" ref="CS157">INDEX(CR:CR,MIN(IF(ISNUMBER(CR157:CR353),ROW(CR157:CR353),"")))</f>
        <v>0</v>
      </c>
      <c r="CT157" s="12">
        <f>IF('Données projet'!$A$140&gt;35,CT156+CS157-DB156,IF(A157&lt;'Données projet'!$A$140,$CQ$205^A157,IF(A157='Données projet'!$A$140,'Données projet'!$B$140,CT156+CS157-DB156)))</f>
        <v>0</v>
      </c>
      <c r="CU157" s="17" t="e">
        <f>CT157*VLOOKUP('Données projet'!$B$13,Paramètres!$A$1:$I$89,3,0)*VLOOKUP('Données projet'!$B$13,Paramètres!$A$1:$I$89,5,0)</f>
        <v>#N/A</v>
      </c>
      <c r="CV157" s="13" t="e">
        <f t="shared" si="173"/>
        <v>#N/A</v>
      </c>
      <c r="CW157" s="20" t="e">
        <f t="shared" si="174"/>
        <v>#N/A</v>
      </c>
      <c r="CX157" s="59" t="e">
        <f t="shared" si="122"/>
        <v>#N/A</v>
      </c>
      <c r="CY157" s="59" t="e">
        <f ca="1">AVERAGE(OFFSET($CX$3,0,0,'Données projet'!$E$13+1,1))-AVERAGE(OFFSET($H$3,0,0,'Données projet'!$E$13+1,1))</f>
        <v>#N/A</v>
      </c>
      <c r="CZ157" s="59" t="e">
        <f t="shared" si="150"/>
        <v>#N/A</v>
      </c>
      <c r="DA157" s="15">
        <f>IF(ISNA(VLOOKUP(A157,'Données projet'!$A$139:$I$159,3,0)),0,VLOOKUP(A157,'Données projet'!$A$139:$I$159,3,0))</f>
        <v>0</v>
      </c>
      <c r="DB157" s="15">
        <f>IF(ISNA(VLOOKUP(A157,'Données projet'!$A$139:$I$159,4,0)),0,VLOOKUP(A157,'Données projet'!$A$139:$I$159,4,0))</f>
        <v>0</v>
      </c>
      <c r="DC157" s="16">
        <f>IF(ISNA(VLOOKUP(A157,'Données projet'!$A$139:$I$159,5,0)),0%,VLOOKUP(A157,'Données projet'!$A$139:$I$159,5,0)*VLOOKUP('Données projet'!$B$13,Paramètres!$A$1:$I$89,7,0))</f>
        <v>0</v>
      </c>
      <c r="DD157" s="16">
        <f>IF(ISNA(VLOOKUP(A157,'Données projet'!$A$139:$I$159,6,0)),0%,VLOOKUP(A157,'Données projet'!$A$139:$I$159,6,0)*VLOOKUP('Données projet'!$B$13,Paramètres!$A$1:$I$89,7,0))</f>
        <v>0</v>
      </c>
      <c r="DE157" s="16">
        <f>IF(ISNA(VLOOKUP(A157,'Données projet'!$A$139:$I$159,7,0)),0%,VLOOKUP(A157,'Données projet'!$A$139:$I$159,7,0))</f>
        <v>0</v>
      </c>
      <c r="DF157" s="21" t="e">
        <f>EXP(-LN(2)/35)*DF156+(1-EXP(-LN(2)/35))/(LN(2)/35)*DB157*DC157*VLOOKUP('Données projet'!$B$13,Paramètres!$A$1:$I$89,3,0)*0.475*44/12</f>
        <v>#N/A</v>
      </c>
      <c r="DG157" s="21" t="e">
        <f>EXP(-LN(2)/25)*DG156+(1-EXP(-LN(2)/25))/(LN(2)/25)*Calculateur!DB157*Calculateur!DD157*VLOOKUP('Données projet'!$B$13,Paramètres!$A$1:$I$89,3,0)*0.475*44/12</f>
        <v>#N/A</v>
      </c>
      <c r="DH157" s="21" t="e">
        <f>EXP(-LN(2)/2)*DH156+(1-EXP(-LN(2)/2))/(LN(2)/2)*DB157*DE157*VLOOKUP('Données projet'!$B$13,Paramètres!$A$1:$I$89,3,0)*0.475*44/12</f>
        <v>#N/A</v>
      </c>
      <c r="DI157" s="22" t="e">
        <f t="shared" si="175"/>
        <v>#N/A</v>
      </c>
      <c r="DJ157" s="75">
        <f>('Scénario référence'!$F$8+'Scénario référence'!$F$9+'Scénario référence'!$B$17+'Scénario référence'!$B$9+'Scénario référence'!$B$10)*70+IF((45+25*(1-EXP(-0.0175*A157)))&lt;70,'Scénario référence'!$B$16*(45+25*(1-EXP(-0.0175*A157))),70*'Scénario référence'!$B$16)+IF((32+38*(1-EXP(-0.0175*A157)))&lt;70,'Scénario référence'!$B$18*(32+38*(1-EXP(-0.0175*A157))),70*'Scénario référence'!$B$18)</f>
        <v>70</v>
      </c>
      <c r="DK157" s="12">
        <f>IF(A157&gt;30,10,('Scénario référence'!$B$16+'Scénario référence'!$B$17+'Scénario référence'!$B$18+'Scénario référence'!$B$9+'Scénario référence'!$B$10)*A157*10/30+('Scénario référence'!$F$8+'Scénario référence'!$F$9)*10)</f>
        <v>10</v>
      </c>
      <c r="DL157" s="12" t="e">
        <f>VLOOKUP(A157,'Données projet'!$A$165:$I$185,2,0)</f>
        <v>#N/A</v>
      </c>
      <c r="DM157" s="12" t="e">
        <f>VLOOKUP(A157,'Données projet'!$A$165:$I$185,9,0)</f>
        <v>#N/A</v>
      </c>
      <c r="DN157" s="12">
        <f t="array" ref="DN157">INDEX(DM:DM,MIN(IF(ISNUMBER(DM157:DM353),ROW(DM157:DM353),"")))</f>
        <v>0</v>
      </c>
      <c r="DO157" s="12">
        <f>IF('Données projet'!$A$166&gt;35,DO156+DN157-DW156,IF(A157&lt;'Données projet'!$A$166,$DL$205^A157,IF(A157='Données projet'!$A$166,'Données projet'!$B$166,DO156+DN157-DW156)))</f>
        <v>268.00000000000017</v>
      </c>
      <c r="DP157" s="17">
        <f>DO157*VLOOKUP('Données projet'!$B$14,Paramètres!$A$1:$I$89,3,0)*VLOOKUP('Données projet'!$B$14,Paramètres!$A$1:$I$89,5,0)</f>
        <v>175.59360000000012</v>
      </c>
      <c r="DQ157" s="13">
        <f t="shared" si="176"/>
        <v>44.340433728638573</v>
      </c>
      <c r="DR157" s="20">
        <f t="shared" si="177"/>
        <v>383.05177541071242</v>
      </c>
      <c r="DS157" s="59">
        <f t="shared" si="125"/>
        <v>676.38510874404574</v>
      </c>
      <c r="DT157" s="59">
        <f ca="1">AVERAGE(OFFSET($DS$3,0,0,'Données projet'!$E$14+1,1))-AVERAGE(OFFSET($H$3,0,0,'Données projet'!$E$14+1,1))</f>
        <v>188.68915783955595</v>
      </c>
      <c r="DU157" s="59">
        <f t="shared" si="152"/>
        <v>240.82467772396944</v>
      </c>
      <c r="DV157" s="15">
        <f>IF(ISNA(VLOOKUP(A157,'Données projet'!$A$165:$I$185,3,0)),0,VLOOKUP(A157,'Données projet'!$A$165:$I$185,3,0))</f>
        <v>0</v>
      </c>
      <c r="DW157" s="15">
        <f>IF(ISNA(VLOOKUP(A157,'Données projet'!$A$165:$I$185,4,0)),0,VLOOKUP(A157,'Données projet'!$A$165:$I$185,4,0))</f>
        <v>0</v>
      </c>
      <c r="DX157" s="16">
        <f>IF(ISNA(VLOOKUP(A157,'Données projet'!$A$165:$I$185,5,0)),0%,VLOOKUP(A157,'Données projet'!$A$165:$I$185,5,0)*VLOOKUP('Données projet'!$B$14,Paramètres!$A$1:$I$89,7,0))</f>
        <v>0</v>
      </c>
      <c r="DY157" s="16">
        <f>IF(ISNA(VLOOKUP(A157,'Données projet'!$A$165:$I$185,6,0)),0%,VLOOKUP(A157,'Données projet'!$A$165:$I$185,6,0)*VLOOKUP('Données projet'!$B$14,Paramètres!$A$1:$I$89,7,0))</f>
        <v>0</v>
      </c>
      <c r="DZ157" s="16">
        <f>IF(ISNA(VLOOKUP(A157,'Données projet'!$A$165:$I$185,7,0)),0%,VLOOKUP(A157,'Données projet'!$A$165:$I$185,7,0))</f>
        <v>0</v>
      </c>
      <c r="EA157" s="21">
        <f>EXP(-LN(2)/35)*EA156+(1-EXP(-LN(2)/35))/(LN(2)/35)*DW157*DX157*VLOOKUP('Données projet'!$B$14,Paramètres!$A$1:$I$89,3,0)*0.475*44/12</f>
        <v>0.1336143762811354</v>
      </c>
      <c r="EB157" s="21">
        <f>EXP(-LN(2)/25)*EB156+(1-EXP(-LN(2)/25))/(LN(2)/25)*Calculateur!DW157*Calculateur!DY157*VLOOKUP('Données projet'!$B$14,Paramètres!$A$1:$I$89,3,0)*0.475*44/12</f>
        <v>0.25825028136070849</v>
      </c>
      <c r="EC157" s="21">
        <f>EXP(-LN(2)/2)*EC156+(1-EXP(-LN(2)/2))/(LN(2)/2)*DW157*DZ157*VLOOKUP('Données projet'!$B$14,Paramètres!$A$1:$I$89,3,0)*0.475*44/12</f>
        <v>3.0349871891278376E-18</v>
      </c>
      <c r="ED157" s="22">
        <f t="shared" si="178"/>
        <v>0.39186465764184386</v>
      </c>
      <c r="EE157" s="75">
        <f>('Scénario référence'!$F$8+'Scénario référence'!$F$9+'Scénario référence'!$B$17+'Scénario référence'!$B$9+'Scénario référence'!$B$10)*70+IF((45+25*(1-EXP(-0.0175*A157)))&lt;70,'Scénario référence'!$B$16*(45+25*(1-EXP(-0.0175*A157))),70*'Scénario référence'!$B$16)+IF((32+38*(1-EXP(-0.0175*A157)))&lt;70,'Scénario référence'!$B$18*(32+38*(1-EXP(-0.0175*A157))),70*'Scénario référence'!$B$18)</f>
        <v>70</v>
      </c>
      <c r="EF157" s="12">
        <f>IF(A157&gt;30,10,('Scénario référence'!$B$16+'Scénario référence'!$B$17+'Scénario référence'!$B$18+'Scénario référence'!$B$9+'Scénario référence'!$B$10)*A157*10/30+('Scénario référence'!$F$8+'Scénario référence'!$F$9)*10)</f>
        <v>10</v>
      </c>
      <c r="EG157" s="12" t="e">
        <f>VLOOKUP(A157,'Données projet'!$A$191:$I$211,2,0)</f>
        <v>#N/A</v>
      </c>
      <c r="EH157" s="12" t="e">
        <f>VLOOKUP(A157,'Données projet'!$A$191:$I$211,9,0)</f>
        <v>#N/A</v>
      </c>
      <c r="EI157" s="12">
        <f t="array" ref="EI157">INDEX(EH:EH,MIN(IF(ISNUMBER(EH157:EH353),ROW(EH157:EH353),"")))</f>
        <v>0</v>
      </c>
      <c r="EJ157" s="12">
        <f>IF('Données projet'!$A$192&gt;35,EJ156+EI157-ER156,IF(A157&lt;'Données projet'!$A$192,$EG$205^A157,IF(A157='Données projet'!$A$192,'Données projet'!$B$192,EJ156+EI157-ER156)))</f>
        <v>275.99999999999972</v>
      </c>
      <c r="EK157" s="17">
        <f>EJ157*VLOOKUP('Données projet'!$B$15,Paramètres!$A$1:$I$89,3,0)*VLOOKUP('Données projet'!$B$15,Paramètres!$A$1:$I$89,5,0)</f>
        <v>223.8911999999998</v>
      </c>
      <c r="EL157" s="13">
        <f t="shared" si="179"/>
        <v>54.95975389514858</v>
      </c>
      <c r="EM157" s="20">
        <f t="shared" si="180"/>
        <v>485.66541136738346</v>
      </c>
      <c r="EN157" s="59">
        <f t="shared" si="128"/>
        <v>778.99874470071677</v>
      </c>
      <c r="EO157" s="59">
        <f ca="1">AVERAGE(OFFSET($EN$3,0,0,'Données projet'!$E$15+1,1))-AVERAGE(OFFSET($H$3,0,0,'Données projet'!$E$15+1,1))</f>
        <v>205.5272583787887</v>
      </c>
      <c r="EP157" s="59">
        <f t="shared" si="154"/>
        <v>180.54762778843178</v>
      </c>
      <c r="EQ157" s="15">
        <f>IF(ISNA(VLOOKUP(A157,'Données projet'!$A$191:$I$211,3,0)),0,VLOOKUP(A157,'Données projet'!$A$191:$I$211,3,0))</f>
        <v>0</v>
      </c>
      <c r="ER157" s="15">
        <f>IF(ISNA(VLOOKUP(A157,'Données projet'!$A$191:$I$211,4,0)),0,VLOOKUP(A157,'Données projet'!$A$191:$I$211,4,0))</f>
        <v>0</v>
      </c>
      <c r="ES157" s="16">
        <f>IF(ISNA(VLOOKUP(A157,'Données projet'!$A$191:$I$211,5,0)),0%,VLOOKUP(A157,'Données projet'!$A$191:$I$211,5,0)*VLOOKUP('Données projet'!$B$15,Paramètres!$A$1:$I$89,7,0))</f>
        <v>0</v>
      </c>
      <c r="ET157" s="16">
        <f>IF(ISNA(VLOOKUP(A157,'Données projet'!$A$191:$I$211,6,0)),0%,VLOOKUP(A157,'Données projet'!$A$191:$I$211,6,0)*VLOOKUP('Données projet'!$B$15,Paramètres!$A$1:$I$89,7,0))</f>
        <v>0</v>
      </c>
      <c r="EU157" s="16">
        <f>IF(ISNA(VLOOKUP(A157,'Données projet'!$A$191:$I$211,7,0)),0%,VLOOKUP(A157,'Données projet'!$A$191:$I$211,7,0))</f>
        <v>0</v>
      </c>
      <c r="EV157" s="21">
        <f>EXP(-LN(2)/35)*EV156+(1-EXP(-LN(2)/35))/(LN(2)/35)*ER157*ES157*VLOOKUP('Données projet'!$B$15,Paramètres!$A$1:$I$89,3,0)*0.475*44/12</f>
        <v>8.6022207967664327E-2</v>
      </c>
      <c r="EW157" s="21">
        <f>EXP(-LN(2)/25)*EW156+(1-EXP(-LN(2)/25))/(LN(2)/25)*Calculateur!ER157*Calculateur!ET157*VLOOKUP('Données projet'!$B$15,Paramètres!$A$1:$I$89,3,0)*0.475*44/12</f>
        <v>0.18646453741389704</v>
      </c>
      <c r="EX157" s="21">
        <f>EXP(-LN(2)/2)*EX156+(1-EXP(-LN(2)/2))/(LN(2)/2)*ER157*EU157*VLOOKUP('Données projet'!$B$15,Paramètres!$A$1:$I$89,3,0)*0.475*44/12</f>
        <v>1.9651564491093371E-18</v>
      </c>
      <c r="EY157" s="22">
        <f t="shared" si="181"/>
        <v>0.27248674538156137</v>
      </c>
      <c r="EZ157" s="75">
        <f>('Scénario référence'!$F$8+'Scénario référence'!$F$9+'Scénario référence'!$B$17+'Scénario référence'!$B$9+'Scénario référence'!$B$10)*70+IF((45+25*(1-EXP(-0.0175*A157)))&lt;70,'Scénario référence'!$B$16*(45+25*(1-EXP(-0.0175*A157))),70*'Scénario référence'!$B$16)+IF((32+38*(1-EXP(-0.0175*A157)))&lt;70,'Scénario référence'!$B$18*(32+38*(1-EXP(-0.0175*A157))),70*'Scénario référence'!$B$18)</f>
        <v>70</v>
      </c>
      <c r="FA157" s="12">
        <f>IF(A157&gt;30,10,('Scénario référence'!$B$16+'Scénario référence'!$B$17+'Scénario référence'!$B$18+'Scénario référence'!$B$9+'Scénario référence'!$B$10)*A157*10/30+('Scénario référence'!$F$8+'Scénario référence'!$F$9)*10)</f>
        <v>10</v>
      </c>
      <c r="FB157" s="12" t="e">
        <f>VLOOKUP(A157,'Données projet'!$A$217:$I$237,2,0)</f>
        <v>#N/A</v>
      </c>
      <c r="FC157" s="12" t="e">
        <f>VLOOKUP(A157,'Données projet'!$A$217:$I$237,9,0)</f>
        <v>#N/A</v>
      </c>
      <c r="FD157" s="12">
        <f t="array" ref="FD157">INDEX(FC:FC,MIN(IF(ISNUMBER(FC157:FC353),ROW(FC157:FC353),"")))</f>
        <v>0</v>
      </c>
      <c r="FE157" s="12">
        <f>IF('Données projet'!$A$218&gt;35,FE156+FD157-FM156,IF(A157&lt;'Données projet'!$A$218,$FB$205^A157,IF(A157='Données projet'!$A$218,'Données projet'!$B$218,FE156+FD157-FM156)))</f>
        <v>418.99999999999983</v>
      </c>
      <c r="FF157" s="17">
        <f>FE157*VLOOKUP('Données projet'!$B$16,Paramètres!$A$1:$I$89,3,0)*VLOOKUP('Données projet'!$B$16,Paramètres!$A$1:$I$89,5,0)</f>
        <v>359.5019999999999</v>
      </c>
      <c r="FG157" s="13">
        <f t="shared" si="182"/>
        <v>83.516011055432813</v>
      </c>
      <c r="FH157" s="20">
        <f t="shared" si="183"/>
        <v>771.58970258821194</v>
      </c>
      <c r="FI157" s="59">
        <f t="shared" si="131"/>
        <v>1064.9230359215453</v>
      </c>
      <c r="FJ157" s="59">
        <f ca="1">AVERAGE(OFFSET($FI$3,0,0,'Données projet'!$E$16+1,1))-AVERAGE(OFFSET($H$3,0,0,'Données projet'!$E$16+1,1))</f>
        <v>383.97627237444709</v>
      </c>
      <c r="FK157" s="59">
        <f t="shared" si="156"/>
        <v>203.35476578922339</v>
      </c>
      <c r="FL157" s="15">
        <f>IF(ISNA(VLOOKUP(A157,'Données projet'!$A$217:$I$237,3,0)),0,VLOOKUP(A157,'Données projet'!$A$217:$I$237,3,0))</f>
        <v>0</v>
      </c>
      <c r="FM157" s="15">
        <f>IF(ISNA(VLOOKUP(A157,'Données projet'!$A$217:$I$237,4,0)),0,VLOOKUP(A157,'Données projet'!$A$217:$I$237,4,0))</f>
        <v>0</v>
      </c>
      <c r="FN157" s="16">
        <f>IF(ISNA(VLOOKUP(A157,'Données projet'!$A$217:$I$237,5,0)),0%,VLOOKUP(A157,'Données projet'!$A$217:$I$237,5,0)*VLOOKUP('Données projet'!$B$16,Paramètres!$A$1:$I$89,7,0))</f>
        <v>0</v>
      </c>
      <c r="FO157" s="16">
        <f>IF(ISNA(VLOOKUP(A157,'Données projet'!$A$217:$I$237,6,0)),0%,VLOOKUP(A157,'Données projet'!$A$217:$I$237,6,0)*VLOOKUP('Données projet'!$B$16,Paramètres!$A$1:$I$89,7,0))</f>
        <v>0</v>
      </c>
      <c r="FP157" s="16">
        <f>IF(ISNA(VLOOKUP(A157,'Données projet'!$A$217:$I$237,7,0)),0%,VLOOKUP(A157,'Données projet'!$A$217:$I$237,7,0))</f>
        <v>0</v>
      </c>
      <c r="FQ157" s="21">
        <f>EXP(-LN(2)/35)*FQ156+(1-EXP(-LN(2)/35))/(LN(2)/35)*FM157*FN157*VLOOKUP('Données projet'!$B$16,Paramètres!$A$1:$I$89,3,0)*0.475*44/12</f>
        <v>0.44210748010077378</v>
      </c>
      <c r="FR157" s="21">
        <f>EXP(-LN(2)/25)*FR156+(1-EXP(-LN(2)/25))/(LN(2)/25)*Calculateur!FM157*Calculateur!FO157*VLOOKUP('Données projet'!$B$16,Paramètres!$A$1:$I$89,3,0)*0.475*44/12</f>
        <v>0.18928077841669144</v>
      </c>
      <c r="FS157" s="21">
        <f>EXP(-LN(2)/2)*FS156+(1-EXP(-LN(2)/2))/(LN(2)/2)*FM157*FP157*VLOOKUP('Données projet'!$B$16,Paramètres!$A$1:$I$89,3,0)*0.475*44/12</f>
        <v>3.6095890885187312E-18</v>
      </c>
      <c r="FT157" s="22">
        <f t="shared" si="184"/>
        <v>0.63138825851746527</v>
      </c>
      <c r="FU157" s="75">
        <f>('Scénario référence'!$F$8+'Scénario référence'!$F$9+'Scénario référence'!$B$17+'Scénario référence'!$B$9+'Scénario référence'!$B$10)*70+IF((45+25*(1-EXP(-0.0175*A157)))&lt;70,'Scénario référence'!$B$16*(45+25*(1-EXP(-0.0175*A157))),70*'Scénario référence'!$B$16)+IF((32+38*(1-EXP(-0.0175*A157)))&lt;70,'Scénario référence'!$B$18*(32+38*(1-EXP(-0.0175*A157))),70*'Scénario référence'!$B$18)</f>
        <v>70</v>
      </c>
      <c r="FV157" s="12">
        <f>IF(A157&gt;30,10,('Scénario référence'!$B$16+'Scénario référence'!$B$17+'Scénario référence'!$B$18+'Scénario référence'!$B$9+'Scénario référence'!$B$10)*A157*10/30+('Scénario référence'!$F$8+'Scénario référence'!$F$9)*10)</f>
        <v>10</v>
      </c>
      <c r="FW157" s="12" t="e">
        <f>VLOOKUP(A157,'Données projet'!$A$243:$I$263,2,0)</f>
        <v>#N/A</v>
      </c>
      <c r="FX157" s="12" t="e">
        <f>VLOOKUP(A157,'Données projet'!$A$243:$I$263,9,0)</f>
        <v>#N/A</v>
      </c>
      <c r="FY157" s="12">
        <f t="array" ref="FY157">INDEX(FX:FX,MIN(IF(ISNUMBER(FX157:FX353),ROW(FX157:FX353),"")))</f>
        <v>0</v>
      </c>
      <c r="FZ157" s="12">
        <f>IF('Données projet'!$A$244&gt;35,FZ156+FY157-GH156,IF(A157&lt;'Données projet'!$A$244,$FW$205^A157,IF(A157='Données projet'!$A$244,'Données projet'!$B$244,FZ156+FY157-GH156)))</f>
        <v>4.5474735088646412E-13</v>
      </c>
      <c r="GA157" s="17">
        <f>FZ157*VLOOKUP('Données projet'!$B$17,Paramètres!$A$1:$I$89,3,0)*VLOOKUP('Données projet'!$B$17,Paramètres!$A$1:$I$89,5,0)</f>
        <v>4.8949004849418999E-13</v>
      </c>
      <c r="GB157" s="13">
        <f t="shared" si="185"/>
        <v>6.1123715499968684E-12</v>
      </c>
      <c r="GC157" s="20">
        <f t="shared" si="186"/>
        <v>1.1498242284038591E-11</v>
      </c>
      <c r="GD157" s="59">
        <f t="shared" si="134"/>
        <v>293.3333333333448</v>
      </c>
      <c r="GE157" s="59">
        <f ca="1">AVERAGE(OFFSET($GD$3,0,0,'Données projet'!$E$17+1,1))-AVERAGE(OFFSET($H$3,0,0,'Données projet'!$E$17+1,1))</f>
        <v>286.77702855541287</v>
      </c>
      <c r="GF157" s="59">
        <f t="shared" si="158"/>
        <v>227.12211541860779</v>
      </c>
      <c r="GG157" s="15">
        <f>IF(ISNA(VLOOKUP(A157,'Données projet'!$A$243:$I$263,3,0)),0,VLOOKUP(A157,'Données projet'!$A$243:$I$263,3,0))</f>
        <v>0</v>
      </c>
      <c r="GH157" s="15">
        <f>IF(ISNA(VLOOKUP(A157,'Données projet'!$A$243:$I$263,4,0)),0,VLOOKUP(A157,'Données projet'!$A$243:$I$263,4,0))</f>
        <v>0</v>
      </c>
      <c r="GI157" s="16">
        <f>IF(ISNA(VLOOKUP(A157,'Données projet'!$A$243:$I$263,5,0)),0%,VLOOKUP(A157,'Données projet'!$A$243:$I$263,5,0)*VLOOKUP('Données projet'!$B$17,Paramètres!$A$1:$I$89,7,0))</f>
        <v>0</v>
      </c>
      <c r="GJ157" s="16">
        <f>IF(ISNA(VLOOKUP(A157,'Données projet'!$A$243:$I$263,6,0)),0%,VLOOKUP(A157,'Données projet'!$A$243:$I$263,6,0)*VLOOKUP('Données projet'!$B$17,Paramètres!$A$1:$I$89,7,0))</f>
        <v>0</v>
      </c>
      <c r="GK157" s="16">
        <f>IF(ISNA(VLOOKUP(A157,'Données projet'!$A$243:$I$263,7,0)),0%,VLOOKUP(A157,'Données projet'!$A$243:$I$263,7,0))</f>
        <v>0</v>
      </c>
      <c r="GL157" s="21">
        <f>EXP(-LN(2)/35)*GL156+(1-EXP(-LN(2)/35))/(LN(2)/35)*GH157*GI157*VLOOKUP('Données projet'!$B$17,Paramètres!$A$1:$I$89,3,0)*0.475*44/12</f>
        <v>0</v>
      </c>
      <c r="GM157" s="21">
        <f>EXP(-LN(2)/25)*GM156+(1-EXP(-LN(2)/25))/(LN(2)/25)*Calculateur!GH157*Calculateur!GJ157*VLOOKUP('Données projet'!$B$17,Paramètres!$A$1:$I$89,3,0)*0.475*44/12</f>
        <v>0</v>
      </c>
      <c r="GN157" s="21">
        <f>EXP(-LN(2)/2)*GN156+(1-EXP(-LN(2)/2))/(LN(2)/2)*GH157*GK157*VLOOKUP('Données projet'!$B$17,Paramètres!$A$1:$I$89,3,0)*0.475*44/12</f>
        <v>0</v>
      </c>
      <c r="GO157" s="21">
        <f t="shared" si="187"/>
        <v>0</v>
      </c>
      <c r="GP157" s="75">
        <f>('Scénario référence'!$F$8+'Scénario référence'!$F$9+'Scénario référence'!$B$17+'Scénario référence'!$B$9+'Scénario référence'!$B$10)*70+IF((45+25*(1-EXP(-0.0175*A157)))&lt;70,'Scénario référence'!$B$16*(45+25*(1-EXP(-0.0175*A157))),70*'Scénario référence'!$B$16)+IF((32+38*(1-EXP(-0.0175*A157)))&lt;70,'Scénario référence'!$B$18*(32+38*(1-EXP(-0.0175*A157))),70*'Scénario référence'!$B$18)</f>
        <v>70</v>
      </c>
      <c r="GQ157" s="12">
        <f>IF(A157&gt;30,10,('Scénario référence'!$B$16+'Scénario référence'!$B$17+'Scénario référence'!$B$18+'Scénario référence'!$B$9+'Scénario référence'!$B$10)*A157*10/30+('Scénario référence'!$F$8+'Scénario référence'!$F$9)*10)</f>
        <v>10</v>
      </c>
      <c r="GR157" s="12" t="e">
        <f>VLOOKUP(A157,'Données projet'!$A$269:$I$289,2,0)</f>
        <v>#N/A</v>
      </c>
      <c r="GS157" s="12" t="e">
        <f>VLOOKUP(A157,'Données projet'!$A$269:$I$289,9,0)</f>
        <v>#N/A</v>
      </c>
      <c r="GT157" s="12">
        <f t="array" ref="GT157">INDEX(GS:GS,MIN(IF(ISNUMBER(GS157:GS353),ROW(GS157:GS353),"")))</f>
        <v>0</v>
      </c>
      <c r="GU157" s="12">
        <f>IF('Données projet'!$A$270&gt;35,GU156+GT157-HC156,IF(A157&lt;'Données projet'!$A$270,$GR$205^A157,IF(A157='Données projet'!$A$270,'Données projet'!$B$270,GU156+GT157-HC156)))</f>
        <v>4.5474735088646412E-13</v>
      </c>
      <c r="GV157" s="17">
        <f>GU157*VLOOKUP('Données projet'!$B$18,Paramètres!$A$1:$I$89,3,0)*VLOOKUP('Données projet'!$B$18,Paramètres!$A$1:$I$89,5,0)</f>
        <v>4.8949004849418999E-13</v>
      </c>
      <c r="GW157" s="13">
        <f t="shared" si="188"/>
        <v>6.1123715499968684E-12</v>
      </c>
      <c r="GX157" s="20">
        <f t="shared" si="189"/>
        <v>1.1498242284038591E-11</v>
      </c>
      <c r="GY157" s="59">
        <f t="shared" si="137"/>
        <v>293.3333333333448</v>
      </c>
      <c r="GZ157" s="59">
        <f ca="1">AVERAGE(OFFSET($GY$3,0,0,'Données projet'!$E$18+1,1))-AVERAGE(OFFSET($H$3,0,0,'Données projet'!$E$18+1,1))</f>
        <v>286.77702855541287</v>
      </c>
      <c r="HA157" s="59">
        <f t="shared" si="160"/>
        <v>227.12211541860779</v>
      </c>
      <c r="HB157" s="15">
        <f>IF(ISNA(VLOOKUP(A157,'Données projet'!$A$269:$I$289,3,0)),0,VLOOKUP(A157,'Données projet'!$A$269:$I$289,3,0))</f>
        <v>0</v>
      </c>
      <c r="HC157" s="15">
        <f>IF(ISNA(VLOOKUP(A157,'Données projet'!$A$269:$I$289,4,0)),0,VLOOKUP(A157,'Données projet'!$A$269:$I$289,4,0))</f>
        <v>0</v>
      </c>
      <c r="HD157" s="16">
        <f>IF(ISNA(VLOOKUP(A157,'Données projet'!$A$269:$I$289,5,0)),0%,VLOOKUP(A157,'Données projet'!$A$269:$I$289,5,0)*VLOOKUP('Données projet'!$B$18,Paramètres!$A$1:$I$89,7,0))</f>
        <v>0</v>
      </c>
      <c r="HE157" s="16">
        <f>IF(ISNA(VLOOKUP(A157,'Données projet'!$A$269:$I$289,6,0)),0%,VLOOKUP(A157,'Données projet'!$A$269:$I$289,6,0)*VLOOKUP('Données projet'!$B$18,Paramètres!$A$1:$I$89,7,0))</f>
        <v>0</v>
      </c>
      <c r="HF157" s="16">
        <f>IF(ISNA(VLOOKUP(A157,'Données projet'!$A$269:$I$289,7,0)),0%,VLOOKUP(A157,'Données projet'!$A$269:$I$289,7,0))</f>
        <v>0</v>
      </c>
      <c r="HG157" s="21">
        <f>EXP(-LN(2)/35)*HG156+(1-EXP(-LN(2)/35))/(LN(2)/35)*HC157*HD157*VLOOKUP('Données projet'!$B$18,Paramètres!$A$1:$I$89,3,0)*0.475*44/12</f>
        <v>0</v>
      </c>
      <c r="HH157" s="21">
        <f>EXP(-LN(2)/25)*HH156+(1-EXP(-LN(2)/25))/(LN(2)/25)*Calculateur!HC157*Calculateur!HE157*VLOOKUP('Données projet'!$B$18,Paramètres!$A$1:$I$89,3,0)*0.475*44/12</f>
        <v>0</v>
      </c>
      <c r="HI157" s="21">
        <f>EXP(-LN(2)/2)*HI156+(1-EXP(-LN(2)/2))/(LN(2)/2)*HC157*HF157*VLOOKUP('Données projet'!$B$18,Paramètres!$A$1:$I$89,3,0)*0.475*44/12</f>
        <v>0</v>
      </c>
      <c r="HJ157" s="22">
        <f t="shared" si="190"/>
        <v>0</v>
      </c>
    </row>
    <row r="158" spans="1:218" x14ac:dyDescent="0.25">
      <c r="A158" s="10">
        <f t="shared" si="161"/>
        <v>155</v>
      </c>
      <c r="B158" s="73">
        <f>'Scénario référence'!$B$16*5+'Scénario référence'!$B$17*0+'Scénario référence'!$B$18*5</f>
        <v>0</v>
      </c>
      <c r="C158" s="19">
        <f>Calculateur!C157+'Scénario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137.82600000000011</v>
      </c>
      <c r="D158" s="11">
        <f t="shared" si="140"/>
        <v>35.798519897115533</v>
      </c>
      <c r="E15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58" s="11">
        <f>IF(OR('Scénario référence'!$F$8&gt;0,'Scénario référence'!$F$9&gt;0),('Scénario référence'!$F$8+'Scénario référence'!$F$9)*10,0)</f>
        <v>10</v>
      </c>
      <c r="G158" s="11">
        <f>'Scénario référence'!$B$8*B158*44/12+'Scénario référence'!$B$9*(C158+D158)/0.475*44/12+'Scénario référence'!$B$10*(C158+D158)/0.475*44/12+'Scénario référence'!$F$8*(C158+D158)/0.475*44/12+'Scénario référence'!$F$9*(C158+D158)/0.475*44/12</f>
        <v>1340.2594518373839</v>
      </c>
      <c r="H158" s="67">
        <f t="shared" si="110"/>
        <v>595.72937215414299</v>
      </c>
      <c r="I158" s="70">
        <f>('Scénario référence'!$F$8+'Scénario référence'!$F$9+'Scénario référence'!$B$17+'Scénario référence'!$B$9+'Scénario référence'!$B$10)*70+IF((45+25*(1-EXP(-0.0175*A158)))&lt;70,'Scénario référence'!$B$16*(45+25*(1-EXP(-0.0175*A158))),70*'Scénario référence'!$B$16)+IF((32+38*(1-EXP(-0.0175*A158)))&lt;70,'Scénario référence'!$B$18*(32+38*(1-EXP(-0.0175*A158))),70*'Scénario référence'!$B$18)</f>
        <v>70</v>
      </c>
      <c r="J158" s="13">
        <f>IF(A158&gt;30,10,('Scénario référence'!$B$16+'Scénario référence'!$B$17+'Scénario référence'!$B$18+'Scénario référence'!$B$9+'Scénario référence'!$B$10)*A158*10/30+('Scénario référence'!$F$8+'Scénario référence'!$F$9)*10)</f>
        <v>10</v>
      </c>
      <c r="K158" s="12" t="e">
        <f>VLOOKUP(A158,'Données projet'!$A$35:$I$55,2,0)</f>
        <v>#N/A</v>
      </c>
      <c r="L158" s="12" t="e">
        <f>VLOOKUP(A158,'Données projet'!$A$35:$I$55,9,0)</f>
        <v>#N/A</v>
      </c>
      <c r="M158" s="12">
        <f t="array" ref="M158">INDEX(L:L,MIN(IF(ISNUMBER(L158:L354),ROW(L158:L354),"")))</f>
        <v>0</v>
      </c>
      <c r="N158" s="13">
        <f>IF('Données projet'!$A$36&gt;35,N157+M158-V157,IF(A158&lt;'Données projet'!$A$36,$K$205^A158,IF(A158='Données projet'!$A$36,'Données projet'!$B$36,N157+M158-V157)))</f>
        <v>-2.2737367544323206E-13</v>
      </c>
      <c r="O158" s="13">
        <f>N158*VLOOKUP('Données projet'!$B$9,Paramètres!$A$1:$I$89,3,0)*VLOOKUP('Données projet'!$B$9,Paramètres!$A$1:$I$89,5,0)</f>
        <v>-1.2710188457276673E-13</v>
      </c>
      <c r="P158" s="13" t="e">
        <f t="shared" si="141"/>
        <v>#NUM!</v>
      </c>
      <c r="Q158" s="20" t="e">
        <f t="shared" si="162"/>
        <v>#NUM!</v>
      </c>
      <c r="R158" s="59" t="e">
        <f t="shared" si="109"/>
        <v>#NUM!</v>
      </c>
      <c r="S158" s="59">
        <f ca="1">AVERAGE(OFFSET($R$3,0,0,'Données projet'!$E$9+1,1))-AVERAGE(OFFSET($H$3,0,0,'Données projet'!$E$9+1,1))</f>
        <v>255.5374979188561</v>
      </c>
      <c r="T158" s="59">
        <f t="shared" si="142"/>
        <v>343.10418468620901</v>
      </c>
      <c r="U158" s="15">
        <f>IF(ISNA(VLOOKUP(A158,'Données projet'!$A$35:$I$55,3,0)),0,VLOOKUP(A158,'Données projet'!$A$35:$I$55,3,0))</f>
        <v>0</v>
      </c>
      <c r="V158" s="15">
        <f>IF(ISNA(VLOOKUP(A158,'Données projet'!$A$35:$I$55,4,0)),0,VLOOKUP(A158,'Données projet'!$A$35:$I$55,4,0))</f>
        <v>0</v>
      </c>
      <c r="W158" s="16">
        <f>IF(ISNA(VLOOKUP(A158,'Données projet'!$A$35:$I$55,5,0)),0%,VLOOKUP(A158,'Données projet'!$A$35:$I$55,5,0)*VLOOKUP('Données projet'!$B$9,Paramètres!$A$1:$I$89,7,0))</f>
        <v>0</v>
      </c>
      <c r="X158" s="16">
        <f>IF(ISNA(VLOOKUP(A158,'Données projet'!$A$35:$I$55,6,0)),0%,VLOOKUP(A158,'Données projet'!$A$35:$I$55,6,0)*VLOOKUP('Données projet'!$B$9,Paramètres!$A$1:$I$89,7,0))</f>
        <v>0</v>
      </c>
      <c r="Y158" s="16">
        <f>IF(ISNA(VLOOKUP(A158,'Données projet'!$A$35:$I$55,7,0)),0%,VLOOKUP(A158,'Données projet'!$A$35:$I$55,7,0))</f>
        <v>0</v>
      </c>
      <c r="Z158" s="21">
        <f>EXP(-LN(2)/35)*Z157+(1-EXP(-LN(2)/35))/(LN(2)/35)*V158*W158*VLOOKUP('Données projet'!$B$9,Paramètres!$A$1:$I$89,3,0)*0.475*44/12</f>
        <v>0.25993041066371364</v>
      </c>
      <c r="AA158" s="21">
        <f>EXP(-LN(2)/25)*AA157+(1-EXP(-LN(2)/25))/(LN(2)/25)*Calculateur!V158*Calculateur!X158*VLOOKUP('Données projet'!$B$9,Paramètres!$A$1:$I$89,3,0)*0.475*44/12</f>
        <v>0.49875809782087638</v>
      </c>
      <c r="AB158" s="21">
        <f>EXP(-LN(2)/2)*AB157+(1-EXP(-LN(2)/2))/(LN(2)/2)*V158*Y158*VLOOKUP('Données projet'!$B$9,Paramètres!$A$1:$I$89,3,0)*0.475*44/12</f>
        <v>2.5953322901623428E-19</v>
      </c>
      <c r="AC158" s="22">
        <f t="shared" si="163"/>
        <v>0.75868850848459002</v>
      </c>
      <c r="AD158" s="13">
        <f>('Scénario référence'!$F$8+'Scénario référence'!$F$9+'Scénario référence'!$B$17+'Scénario référence'!$B$9+'Scénario référence'!$B$10)*70+IF((45+25*(1-EXP(-0.0175*A158)))&lt;70,'Scénario référence'!$B$16*(45+25*(1-EXP(-0.0175*A158))),70*'Scénario référence'!$B$16)+IF((32+38*(1-EXP(-0.0175*A158)))&lt;70,'Scénario référence'!$B$18*(32+38*(1-EXP(-0.0175*A158))),70*'Scénario référence'!$B$18)</f>
        <v>70</v>
      </c>
      <c r="AE158" s="13">
        <f>IF(A158&gt;30,10,('Scénario référence'!$B$16+'Scénario référence'!$B$17+'Scénario référence'!$B$18+'Scénario référence'!$B$9+'Scénario référence'!$B$10)*A158*10/30+('Scénario référence'!$F$8+'Scénario référence'!$F$9)*10)</f>
        <v>10</v>
      </c>
      <c r="AF158" s="12" t="e">
        <f>VLOOKUP(A158,'Données projet'!$A$61:$I$81,2,0)</f>
        <v>#N/A</v>
      </c>
      <c r="AG158" s="12" t="e">
        <f>VLOOKUP(A158,'Données projet'!$A$61:$I$81,9,0)</f>
        <v>#N/A</v>
      </c>
      <c r="AH158" s="12">
        <f t="array" ref="AH158">INDEX(AG:AG,MIN(IF(ISNUMBER(AG158:AG354),ROW(AG158:AG354),"")))</f>
        <v>0</v>
      </c>
      <c r="AI158" s="13">
        <f>IF('Données projet'!$A$62&gt;35,AI157+AH158-AQ157,IF(A158&lt;'Données projet'!$A$62,$AF$205^A158,IF(A158='Données projet'!$A$62,'Données projet'!$B$62,AI157+AH158-AQ157)))</f>
        <v>0</v>
      </c>
      <c r="AJ158" s="13">
        <f>AI158*VLOOKUP('Données projet'!$B$10,Paramètres!$A$1:$I$89,3,0)*VLOOKUP('Données projet'!$B$10,Paramètres!$A$1:$I$89,5,0)</f>
        <v>0</v>
      </c>
      <c r="AK158" s="13" t="e">
        <f t="shared" si="164"/>
        <v>#NUM!</v>
      </c>
      <c r="AL158" s="20" t="e">
        <f t="shared" si="165"/>
        <v>#NUM!</v>
      </c>
      <c r="AM158" s="59" t="e">
        <f t="shared" si="113"/>
        <v>#NUM!</v>
      </c>
      <c r="AN158" s="59">
        <f ca="1">AVERAGE(OFFSET($AM$3,0,0,'Données projet'!$E$10+1,1))-AVERAGE(OFFSET($H$3,0,0,'Données projet'!$E$10+1,1))</f>
        <v>261.78489480911571</v>
      </c>
      <c r="AO158" s="59">
        <f t="shared" si="144"/>
        <v>297.50513563712764</v>
      </c>
      <c r="AP158" s="15">
        <f>IF(ISNA(VLOOKUP(A158,'Données projet'!$A$61:$I$81,3,0)),0,VLOOKUP(A158,'Données projet'!$A$61:$I$81,3,0))</f>
        <v>0</v>
      </c>
      <c r="AQ158" s="15">
        <f>IF(ISNA(VLOOKUP(A158,'Données projet'!$A$61:$I$81,4,0)),0,VLOOKUP(A158,'Données projet'!$A$61:$I$81,4,0))</f>
        <v>0</v>
      </c>
      <c r="AR158" s="16">
        <f>IF(ISNA(VLOOKUP(A158,'Données projet'!$A$61:$I$81,5,0)),0%,VLOOKUP(A158,'Données projet'!$A$61:$I$81,5,0)*VLOOKUP('Données projet'!$B$10,Paramètres!$A$1:$I$89,7,0))</f>
        <v>0</v>
      </c>
      <c r="AS158" s="16">
        <f>IF(ISNA(VLOOKUP(A158,'Données projet'!$A$61:$I$81,6,0)),0%,VLOOKUP(A158,'Données projet'!$A$61:$I$81,6,0)*VLOOKUP('Données projet'!$B$10,Paramètres!$A$1:$I$89,7,0))</f>
        <v>0</v>
      </c>
      <c r="AT158" s="16">
        <f>IF(ISNA(VLOOKUP(A158,'Données projet'!$A$61:$I$81,7,0)),0%,VLOOKUP(A158,'Données projet'!$A$61:$I$81,7,0))</f>
        <v>0</v>
      </c>
      <c r="AU158" s="21">
        <f>EXP(-LN(2)/35)*AU157+(1-EXP(-LN(2)/35))/(LN(2)/35)*AQ158*AR158*VLOOKUP('Données projet'!$B$10,Paramètres!$A$1:$I$89,3,0)*0.475*44/12</f>
        <v>0.70188562975604885</v>
      </c>
      <c r="AV158" s="21">
        <f>EXP(-LN(2)/25)*AV157+(1-EXP(-LN(2)/25))/(LN(2)/25)*Calculateur!AQ158*Calculateur!AS158*VLOOKUP('Données projet'!$B$10,Paramètres!$A$1:$I$89,3,0)*0.475*44/12</f>
        <v>0.87093336593310744</v>
      </c>
      <c r="AW158" s="21">
        <f>EXP(-LN(2)/2)*AW157+(1-EXP(-LN(2)/2))/(LN(2)/2)*AQ158*AT158*VLOOKUP('Données projet'!$B$10,Paramètres!$A$1:$I$89,3,0)*0.475*44/12</f>
        <v>3.7414185729459681E-18</v>
      </c>
      <c r="AX158" s="21">
        <f t="shared" si="166"/>
        <v>1.5728189956891563</v>
      </c>
      <c r="AY158" s="74">
        <f>('Scénario référence'!$F$8+'Scénario référence'!$F$9+'Scénario référence'!$B$17+'Scénario référence'!$B$9+'Scénario référence'!$B$10)*70+IF((45+25*(1-EXP(-0.0175*A158)))&lt;70,'Scénario référence'!$B$16*(45+25*(1-EXP(-0.0175*A158))),70*'Scénario référence'!$B$16)+IF((32+38*(1-EXP(-0.0175*A158)))&lt;70,'Scénario référence'!$B$18*(32+38*(1-EXP(-0.0175*A158))),70*'Scénario référence'!$B$18)</f>
        <v>70</v>
      </c>
      <c r="AZ158" s="12">
        <f>IF(A158&gt;30,10,('Scénario référence'!$B$16+'Scénario référence'!$B$17+'Scénario référence'!$B$18+'Scénario référence'!$B$9+'Scénario référence'!$B$10)*A158*10/30+('Scénario référence'!$F$8+'Scénario référence'!$F$9)*10)</f>
        <v>10</v>
      </c>
      <c r="BA158" s="12" t="e">
        <f>VLOOKUP(A158,'Données projet'!$A$87:$I$107,2,0)</f>
        <v>#N/A</v>
      </c>
      <c r="BB158" s="12" t="e">
        <f>VLOOKUP(A158,'Données projet'!$A$87:$I$107,9,0)</f>
        <v>#N/A</v>
      </c>
      <c r="BC158" s="12">
        <f t="array" ref="BC158">INDEX(BB:BB,MIN(IF(ISNUMBER(BB158:BB354),ROW(BB158:BB354),"")))</f>
        <v>0</v>
      </c>
      <c r="BD158" s="12">
        <f>IF('Données projet'!$A$88&gt;35,BD157+BC158-BL157,IF(A158&lt;'Données projet'!$A$88,$BA$205^A158,IF(A158='Données projet'!$A$88,'Données projet'!$B$88,BD157+BC158-BL157)))</f>
        <v>553.99999999999955</v>
      </c>
      <c r="BE158" s="13">
        <f>BD158*VLOOKUP('Données projet'!$B$11,Paramètres!$A$1:$I$89,3,0)*VLOOKUP('Données projet'!$B$11,Paramètres!$A$1:$I$89,5,0)</f>
        <v>331.29199999999975</v>
      </c>
      <c r="BF158" s="13">
        <f t="shared" si="167"/>
        <v>77.698110787752</v>
      </c>
      <c r="BG158" s="20">
        <f t="shared" si="168"/>
        <v>712.32444295533423</v>
      </c>
      <c r="BH158" s="59">
        <f t="shared" si="116"/>
        <v>1005.6577762886675</v>
      </c>
      <c r="BI158" s="59">
        <f ca="1">AVERAGE(OFFSET($BH$3,0,0,'Données projet'!$E$11+1,1))-AVERAGE(OFFSET($H$3,0,0,'Données projet'!$E$11+1,1))</f>
        <v>316.58509520829671</v>
      </c>
      <c r="BJ158" s="59">
        <f t="shared" si="146"/>
        <v>240.71332110643596</v>
      </c>
      <c r="BK158" s="15">
        <f>IF(ISNA(VLOOKUP(A158,'Données projet'!$A$87:$I$107,3,0)),0,VLOOKUP(A158,'Données projet'!$A$87:$I$107,3,0))</f>
        <v>0</v>
      </c>
      <c r="BL158" s="15">
        <f>IF(ISNA(VLOOKUP(A158,'Données projet'!$A$87:$I$107,4,0)),0,VLOOKUP(A158,'Données projet'!$A$87:$I$107,4,0))</f>
        <v>0</v>
      </c>
      <c r="BM158" s="16">
        <f>IF(ISNA(VLOOKUP(A158,'Données projet'!$A$87:$I$107,5,0)),0%,VLOOKUP(A158,'Données projet'!$A$87:$I$107,5,0)*VLOOKUP('Données projet'!$B$11,Paramètres!$A$1:$I$89,7,0))</f>
        <v>0</v>
      </c>
      <c r="BN158" s="16">
        <f>IF(ISNA(VLOOKUP(A158,'Données projet'!$A$87:$I$107,6,0)),0%,VLOOKUP(A158,'Données projet'!$A$87:$I$107,6,0)*VLOOKUP('Données projet'!$B$11,Paramètres!$A$1:$I$89,7,0))</f>
        <v>0</v>
      </c>
      <c r="BO158" s="16">
        <f>IF(ISNA(VLOOKUP(A158,'Données projet'!$A$87:$I$107,7,0)),0%,VLOOKUP(A158,'Données projet'!$A$87:$I$107,7,0))</f>
        <v>0</v>
      </c>
      <c r="BP158" s="21">
        <f>EXP(-LN(2)/35)*BP157+(1-EXP(-LN(2)/35))/(LN(2)/35)*BL158*BM158*VLOOKUP('Données projet'!$B$11,Paramètres!$A$1:$I$89,3,0)*0.475*44/12</f>
        <v>0.21320298240171665</v>
      </c>
      <c r="BQ158" s="21">
        <f>EXP(-LN(2)/25)*BQ157+(1-EXP(-LN(2)/25))/(LN(2)/25)*Calculateur!BL158*Calculateur!BN158*VLOOKUP('Données projet'!$B$11,Paramètres!$A$1:$I$89,3,0)*0.475*44/12</f>
        <v>0.47712271001861073</v>
      </c>
      <c r="BR158" s="21">
        <f>EXP(-LN(2)/2)*BR157+(1-EXP(-LN(2)/2))/(LN(2)/2)*BL158*BO158*VLOOKUP('Données projet'!$B$11,Paramètres!$A$1:$I$89,3,0)*0.475*44/12</f>
        <v>3.3639450295805096E-18</v>
      </c>
      <c r="BS158" s="22">
        <f t="shared" si="169"/>
        <v>0.69032569242032737</v>
      </c>
      <c r="BT158" s="75">
        <f>('Scénario référence'!$F$8+'Scénario référence'!$F$9+'Scénario référence'!$B$17+'Scénario référence'!$B$9+'Scénario référence'!$B$10)*70+IF((45+25*(1-EXP(-0.0175*A158)))&lt;70,'Scénario référence'!$B$16*(45+25*(1-EXP(-0.0175*A158))),70*'Scénario référence'!$B$16)+IF((32+38*(1-EXP(-0.0175*A158)))&lt;70,'Scénario référence'!$B$18*(32+38*(1-EXP(-0.0175*A158))),70*'Scénario référence'!$B$18)</f>
        <v>70</v>
      </c>
      <c r="BU158" s="12">
        <f>IF(A158&gt;30,10,('Scénario référence'!$B$16+'Scénario référence'!$B$17+'Scénario référence'!$B$18+'Scénario référence'!$B$9+'Scénario référence'!$B$10)*A158*10/30+('Scénario référence'!$F$8+'Scénario référence'!$F$9)*10)</f>
        <v>10</v>
      </c>
      <c r="BV158" s="12" t="e">
        <f>VLOOKUP(A158,'Données projet'!$A$113:$I$133,2,0)</f>
        <v>#N/A</v>
      </c>
      <c r="BW158" s="12" t="e">
        <f>VLOOKUP(A158,'Données projet'!$A$113:$I$133,9,0)</f>
        <v>#N/A</v>
      </c>
      <c r="BX158" s="12">
        <f t="array" ref="BX158">INDEX(BW:BW,MIN(IF(ISNUMBER(BW158:BW354),ROW(BW158:BW354),"")))</f>
        <v>0</v>
      </c>
      <c r="BY158" s="12">
        <f>IF('Données projet'!$A$114&gt;35,BY157+BX158-CG157,IF(A158&lt;'Données projet'!$A$114,$BV$205^A158,IF(A158='Données projet'!$A$114,'Données projet'!$B$114,BY157+BX158-CG157)))</f>
        <v>333.99999999999977</v>
      </c>
      <c r="BZ158" s="13">
        <f>BY158*VLOOKUP('Données projet'!$B$12,Paramètres!$A$1:$I$89,3,0)*VLOOKUP('Données projet'!$B$12,Paramètres!$A$1:$I$89,5,0)</f>
        <v>191.04799999999986</v>
      </c>
      <c r="CA158" s="13">
        <f t="shared" si="170"/>
        <v>47.771576544305155</v>
      </c>
      <c r="CB158" s="20">
        <f t="shared" si="171"/>
        <v>415.94409581466454</v>
      </c>
      <c r="CC158" s="59">
        <f t="shared" si="119"/>
        <v>709.27742914799785</v>
      </c>
      <c r="CD158" s="59">
        <f ca="1">AVERAGE(OFFSET($CC$3,0,0,'Données projet'!$E$12+1,1))-AVERAGE(OFFSET($H$3,0,0,'Données projet'!$E$12+1,1))</f>
        <v>188.64374818906128</v>
      </c>
      <c r="CE158" s="59">
        <f t="shared" si="148"/>
        <v>211.95157880548652</v>
      </c>
      <c r="CF158" s="15">
        <f>IF(ISNA(VLOOKUP(A158,'Données projet'!$A$113:$I$133,3,0)),0,VLOOKUP(A158,'Données projet'!$A$113:$I$133,3,0))</f>
        <v>0</v>
      </c>
      <c r="CG158" s="15">
        <f>IF(ISNA(VLOOKUP(A158,'Données projet'!$A$113:$I$133,4,0)),0,VLOOKUP(A158,'Données projet'!$A$113:$I$133,4,0))</f>
        <v>0</v>
      </c>
      <c r="CH158" s="16">
        <f>IF(ISNA(VLOOKUP(A158,'Données projet'!$A$113:$I$133,5,0)),0%,VLOOKUP(A158,'Données projet'!$A$113:$I$133,5,0)*VLOOKUP('Données projet'!$B$12,Paramètres!$A$1:$I$89,7,0))</f>
        <v>0</v>
      </c>
      <c r="CI158" s="16">
        <f>IF(ISNA(VLOOKUP(A158,'Données projet'!$A$113:$I$133,6,0)),0%,VLOOKUP(A158,'Données projet'!$A$113:$I$133,6,0)*VLOOKUP('Données projet'!$B$12,Paramètres!$A$1:$I$89,7,0))</f>
        <v>0</v>
      </c>
      <c r="CJ158" s="16">
        <f>IF(ISNA(VLOOKUP(A158,'Données projet'!$A$113:$I$133,7,0)),0%,VLOOKUP(A158,'Données projet'!$A$113:$I$133,7,0))</f>
        <v>0</v>
      </c>
      <c r="CK158" s="21">
        <f>EXP(-LN(2)/35)*CK157+(1-EXP(-LN(2)/35))/(LN(2)/35)*CG158*CH158*VLOOKUP('Données projet'!$B$12,Paramètres!$A$1:$I$89,3,0)*0.475*44/12</f>
        <v>0.20680558733883578</v>
      </c>
      <c r="CL158" s="21">
        <f>EXP(-LN(2)/25)*CL157+(1-EXP(-LN(2)/25))/(LN(2)/25)*Calculateur!CG158*Calculateur!CI158*VLOOKUP('Données projet'!$B$12,Paramètres!$A$1:$I$89,3,0)*0.475*44/12</f>
        <v>0.44907869756870777</v>
      </c>
      <c r="CM158" s="21">
        <f>EXP(-LN(2)/2)*CM157+(1-EXP(-LN(2)/2))/(LN(2)/2)*CG158*CJ158*VLOOKUP('Données projet'!$B$12,Paramètres!$A$1:$I$89,3,0)*0.475*44/12</f>
        <v>3.2577175621807186E-18</v>
      </c>
      <c r="CN158" s="22">
        <f t="shared" si="172"/>
        <v>0.65588428490754358</v>
      </c>
      <c r="CO158" s="75">
        <f>('Scénario référence'!$F$8+'Scénario référence'!$F$9+'Scénario référence'!$B$17+'Scénario référence'!$B$9+'Scénario référence'!$B$10)*70+IF((45+25*(1-EXP(-0.0175*A158)))&lt;70,'Scénario référence'!$B$16*(45+25*(1-EXP(-0.0175*A158))),70*'Scénario référence'!$B$16)+IF((32+38*(1-EXP(-0.0175*A158)))&lt;70,'Scénario référence'!$B$18*(32+38*(1-EXP(-0.0175*A158))),70*'Scénario référence'!$B$18)</f>
        <v>70</v>
      </c>
      <c r="CP158" s="12">
        <f>IF(A158&gt;30,10,('Scénario référence'!$B$16+'Scénario référence'!$B$17+'Scénario référence'!$B$18+'Scénario référence'!$B$9+'Scénario référence'!$B$10)*A158*10/30+('Scénario référence'!$F$8+'Scénario référence'!$F$9)*10)</f>
        <v>10</v>
      </c>
      <c r="CQ158" s="12" t="e">
        <f>VLOOKUP(A158,'Données projet'!$A$139:$I$159,2,0)</f>
        <v>#N/A</v>
      </c>
      <c r="CR158" s="12" t="e">
        <f>VLOOKUP(A158,'Données projet'!$A$139:$I$159,9,0)</f>
        <v>#N/A</v>
      </c>
      <c r="CS158" s="12">
        <f t="array" ref="CS158">INDEX(CR:CR,MIN(IF(ISNUMBER(CR158:CR354),ROW(CR158:CR354),"")))</f>
        <v>0</v>
      </c>
      <c r="CT158" s="12">
        <f>IF('Données projet'!$A$140&gt;35,CT157+CS158-DB157,IF(A158&lt;'Données projet'!$A$140,$CQ$205^A158,IF(A158='Données projet'!$A$140,'Données projet'!$B$140,CT157+CS158-DB157)))</f>
        <v>0</v>
      </c>
      <c r="CU158" s="17" t="e">
        <f>CT158*VLOOKUP('Données projet'!$B$13,Paramètres!$A$1:$I$89,3,0)*VLOOKUP('Données projet'!$B$13,Paramètres!$A$1:$I$89,5,0)</f>
        <v>#N/A</v>
      </c>
      <c r="CV158" s="13" t="e">
        <f t="shared" si="173"/>
        <v>#N/A</v>
      </c>
      <c r="CW158" s="20" t="e">
        <f t="shared" si="174"/>
        <v>#N/A</v>
      </c>
      <c r="CX158" s="59" t="e">
        <f t="shared" si="122"/>
        <v>#N/A</v>
      </c>
      <c r="CY158" s="59" t="e">
        <f ca="1">AVERAGE(OFFSET($CX$3,0,0,'Données projet'!$E$13+1,1))-AVERAGE(OFFSET($H$3,0,0,'Données projet'!$E$13+1,1))</f>
        <v>#N/A</v>
      </c>
      <c r="CZ158" s="59" t="e">
        <f t="shared" si="150"/>
        <v>#N/A</v>
      </c>
      <c r="DA158" s="15">
        <f>IF(ISNA(VLOOKUP(A158,'Données projet'!$A$139:$I$159,3,0)),0,VLOOKUP(A158,'Données projet'!$A$139:$I$159,3,0))</f>
        <v>0</v>
      </c>
      <c r="DB158" s="15">
        <f>IF(ISNA(VLOOKUP(A158,'Données projet'!$A$139:$I$159,4,0)),0,VLOOKUP(A158,'Données projet'!$A$139:$I$159,4,0))</f>
        <v>0</v>
      </c>
      <c r="DC158" s="16">
        <f>IF(ISNA(VLOOKUP(A158,'Données projet'!$A$139:$I$159,5,0)),0%,VLOOKUP(A158,'Données projet'!$A$139:$I$159,5,0)*VLOOKUP('Données projet'!$B$13,Paramètres!$A$1:$I$89,7,0))</f>
        <v>0</v>
      </c>
      <c r="DD158" s="16">
        <f>IF(ISNA(VLOOKUP(A158,'Données projet'!$A$139:$I$159,6,0)),0%,VLOOKUP(A158,'Données projet'!$A$139:$I$159,6,0)*VLOOKUP('Données projet'!$B$13,Paramètres!$A$1:$I$89,7,0))</f>
        <v>0</v>
      </c>
      <c r="DE158" s="16">
        <f>IF(ISNA(VLOOKUP(A158,'Données projet'!$A$139:$I$159,7,0)),0%,VLOOKUP(A158,'Données projet'!$A$139:$I$159,7,0))</f>
        <v>0</v>
      </c>
      <c r="DF158" s="21" t="e">
        <f>EXP(-LN(2)/35)*DF157+(1-EXP(-LN(2)/35))/(LN(2)/35)*DB158*DC158*VLOOKUP('Données projet'!$B$13,Paramètres!$A$1:$I$89,3,0)*0.475*44/12</f>
        <v>#N/A</v>
      </c>
      <c r="DG158" s="21" t="e">
        <f>EXP(-LN(2)/25)*DG157+(1-EXP(-LN(2)/25))/(LN(2)/25)*Calculateur!DB158*Calculateur!DD158*VLOOKUP('Données projet'!$B$13,Paramètres!$A$1:$I$89,3,0)*0.475*44/12</f>
        <v>#N/A</v>
      </c>
      <c r="DH158" s="21" t="e">
        <f>EXP(-LN(2)/2)*DH157+(1-EXP(-LN(2)/2))/(LN(2)/2)*DB158*DE158*VLOOKUP('Données projet'!$B$13,Paramètres!$A$1:$I$89,3,0)*0.475*44/12</f>
        <v>#N/A</v>
      </c>
      <c r="DI158" s="22" t="e">
        <f t="shared" si="175"/>
        <v>#N/A</v>
      </c>
      <c r="DJ158" s="75">
        <f>('Scénario référence'!$F$8+'Scénario référence'!$F$9+'Scénario référence'!$B$17+'Scénario référence'!$B$9+'Scénario référence'!$B$10)*70+IF((45+25*(1-EXP(-0.0175*A158)))&lt;70,'Scénario référence'!$B$16*(45+25*(1-EXP(-0.0175*A158))),70*'Scénario référence'!$B$16)+IF((32+38*(1-EXP(-0.0175*A158)))&lt;70,'Scénario référence'!$B$18*(32+38*(1-EXP(-0.0175*A158))),70*'Scénario référence'!$B$18)</f>
        <v>70</v>
      </c>
      <c r="DK158" s="12">
        <f>IF(A158&gt;30,10,('Scénario référence'!$B$16+'Scénario référence'!$B$17+'Scénario référence'!$B$18+'Scénario référence'!$B$9+'Scénario référence'!$B$10)*A158*10/30+('Scénario référence'!$F$8+'Scénario référence'!$F$9)*10)</f>
        <v>10</v>
      </c>
      <c r="DL158" s="12" t="e">
        <f>VLOOKUP(A158,'Données projet'!$A$165:$I$185,2,0)</f>
        <v>#N/A</v>
      </c>
      <c r="DM158" s="12" t="e">
        <f>VLOOKUP(A158,'Données projet'!$A$165:$I$185,9,0)</f>
        <v>#N/A</v>
      </c>
      <c r="DN158" s="12">
        <f t="array" ref="DN158">INDEX(DM:DM,MIN(IF(ISNUMBER(DM158:DM354),ROW(DM158:DM354),"")))</f>
        <v>0</v>
      </c>
      <c r="DO158" s="12">
        <f>IF('Données projet'!$A$166&gt;35,DO157+DN158-DW157,IF(A158&lt;'Données projet'!$A$166,$DL$205^A158,IF(A158='Données projet'!$A$166,'Données projet'!$B$166,DO157+DN158-DW157)))</f>
        <v>268.00000000000017</v>
      </c>
      <c r="DP158" s="17">
        <f>DO158*VLOOKUP('Données projet'!$B$14,Paramètres!$A$1:$I$89,3,0)*VLOOKUP('Données projet'!$B$14,Paramètres!$A$1:$I$89,5,0)</f>
        <v>175.59360000000012</v>
      </c>
      <c r="DQ158" s="13">
        <f t="shared" si="176"/>
        <v>44.340433728638573</v>
      </c>
      <c r="DR158" s="20">
        <f t="shared" si="177"/>
        <v>383.05177541071242</v>
      </c>
      <c r="DS158" s="59">
        <f t="shared" si="125"/>
        <v>676.38510874404574</v>
      </c>
      <c r="DT158" s="59">
        <f ca="1">AVERAGE(OFFSET($DS$3,0,0,'Données projet'!$E$14+1,1))-AVERAGE(OFFSET($H$3,0,0,'Données projet'!$E$14+1,1))</f>
        <v>188.68915783955595</v>
      </c>
      <c r="DU158" s="59">
        <f t="shared" si="152"/>
        <v>240.82467772396944</v>
      </c>
      <c r="DV158" s="15">
        <f>IF(ISNA(VLOOKUP(A158,'Données projet'!$A$165:$I$185,3,0)),0,VLOOKUP(A158,'Données projet'!$A$165:$I$185,3,0))</f>
        <v>0</v>
      </c>
      <c r="DW158" s="15">
        <f>IF(ISNA(VLOOKUP(A158,'Données projet'!$A$165:$I$185,4,0)),0,VLOOKUP(A158,'Données projet'!$A$165:$I$185,4,0))</f>
        <v>0</v>
      </c>
      <c r="DX158" s="16">
        <f>IF(ISNA(VLOOKUP(A158,'Données projet'!$A$165:$I$185,5,0)),0%,VLOOKUP(A158,'Données projet'!$A$165:$I$185,5,0)*VLOOKUP('Données projet'!$B$14,Paramètres!$A$1:$I$89,7,0))</f>
        <v>0</v>
      </c>
      <c r="DY158" s="16">
        <f>IF(ISNA(VLOOKUP(A158,'Données projet'!$A$165:$I$185,6,0)),0%,VLOOKUP(A158,'Données projet'!$A$165:$I$185,6,0)*VLOOKUP('Données projet'!$B$14,Paramètres!$A$1:$I$89,7,0))</f>
        <v>0</v>
      </c>
      <c r="DZ158" s="16">
        <f>IF(ISNA(VLOOKUP(A158,'Données projet'!$A$165:$I$185,7,0)),0%,VLOOKUP(A158,'Données projet'!$A$165:$I$185,7,0))</f>
        <v>0</v>
      </c>
      <c r="EA158" s="21">
        <f>EXP(-LN(2)/35)*EA157+(1-EXP(-LN(2)/35))/(LN(2)/35)*DW158*DX158*VLOOKUP('Données projet'!$B$14,Paramètres!$A$1:$I$89,3,0)*0.475*44/12</f>
        <v>0.13099427985898474</v>
      </c>
      <c r="EB158" s="21">
        <f>EXP(-LN(2)/25)*EB157+(1-EXP(-LN(2)/25))/(LN(2)/25)*Calculateur!DW158*Calculateur!DY158*VLOOKUP('Données projet'!$B$14,Paramètres!$A$1:$I$89,3,0)*0.475*44/12</f>
        <v>0.25118841383610785</v>
      </c>
      <c r="EC158" s="21">
        <f>EXP(-LN(2)/2)*EC157+(1-EXP(-LN(2)/2))/(LN(2)/2)*DW158*DZ158*VLOOKUP('Données projet'!$B$14,Paramètres!$A$1:$I$89,3,0)*0.475*44/12</f>
        <v>2.1460600222465928E-18</v>
      </c>
      <c r="ED158" s="22">
        <f t="shared" si="178"/>
        <v>0.38218269369509261</v>
      </c>
      <c r="EE158" s="75">
        <f>('Scénario référence'!$F$8+'Scénario référence'!$F$9+'Scénario référence'!$B$17+'Scénario référence'!$B$9+'Scénario référence'!$B$10)*70+IF((45+25*(1-EXP(-0.0175*A158)))&lt;70,'Scénario référence'!$B$16*(45+25*(1-EXP(-0.0175*A158))),70*'Scénario référence'!$B$16)+IF((32+38*(1-EXP(-0.0175*A158)))&lt;70,'Scénario référence'!$B$18*(32+38*(1-EXP(-0.0175*A158))),70*'Scénario référence'!$B$18)</f>
        <v>70</v>
      </c>
      <c r="EF158" s="12">
        <f>IF(A158&gt;30,10,('Scénario référence'!$B$16+'Scénario référence'!$B$17+'Scénario référence'!$B$18+'Scénario référence'!$B$9+'Scénario référence'!$B$10)*A158*10/30+('Scénario référence'!$F$8+'Scénario référence'!$F$9)*10)</f>
        <v>10</v>
      </c>
      <c r="EG158" s="12" t="e">
        <f>VLOOKUP(A158,'Données projet'!$A$191:$I$211,2,0)</f>
        <v>#N/A</v>
      </c>
      <c r="EH158" s="12" t="e">
        <f>VLOOKUP(A158,'Données projet'!$A$191:$I$211,9,0)</f>
        <v>#N/A</v>
      </c>
      <c r="EI158" s="12">
        <f t="array" ref="EI158">INDEX(EH:EH,MIN(IF(ISNUMBER(EH158:EH354),ROW(EH158:EH354),"")))</f>
        <v>0</v>
      </c>
      <c r="EJ158" s="12">
        <f>IF('Données projet'!$A$192&gt;35,EJ157+EI158-ER157,IF(A158&lt;'Données projet'!$A$192,$EG$205^A158,IF(A158='Données projet'!$A$192,'Données projet'!$B$192,EJ157+EI158-ER157)))</f>
        <v>275.99999999999972</v>
      </c>
      <c r="EK158" s="17">
        <f>EJ158*VLOOKUP('Données projet'!$B$15,Paramètres!$A$1:$I$89,3,0)*VLOOKUP('Données projet'!$B$15,Paramètres!$A$1:$I$89,5,0)</f>
        <v>223.8911999999998</v>
      </c>
      <c r="EL158" s="13">
        <f t="shared" si="179"/>
        <v>54.95975389514858</v>
      </c>
      <c r="EM158" s="20">
        <f t="shared" si="180"/>
        <v>485.66541136738346</v>
      </c>
      <c r="EN158" s="59">
        <f t="shared" si="128"/>
        <v>778.99874470071677</v>
      </c>
      <c r="EO158" s="59">
        <f ca="1">AVERAGE(OFFSET($EN$3,0,0,'Données projet'!$E$15+1,1))-AVERAGE(OFFSET($H$3,0,0,'Données projet'!$E$15+1,1))</f>
        <v>205.5272583787887</v>
      </c>
      <c r="EP158" s="59">
        <f t="shared" si="154"/>
        <v>180.54762778843178</v>
      </c>
      <c r="EQ158" s="15">
        <f>IF(ISNA(VLOOKUP(A158,'Données projet'!$A$191:$I$211,3,0)),0,VLOOKUP(A158,'Données projet'!$A$191:$I$211,3,0))</f>
        <v>0</v>
      </c>
      <c r="ER158" s="15">
        <f>IF(ISNA(VLOOKUP(A158,'Données projet'!$A$191:$I$211,4,0)),0,VLOOKUP(A158,'Données projet'!$A$191:$I$211,4,0))</f>
        <v>0</v>
      </c>
      <c r="ES158" s="16">
        <f>IF(ISNA(VLOOKUP(A158,'Données projet'!$A$191:$I$211,5,0)),0%,VLOOKUP(A158,'Données projet'!$A$191:$I$211,5,0)*VLOOKUP('Données projet'!$B$15,Paramètres!$A$1:$I$89,7,0))</f>
        <v>0</v>
      </c>
      <c r="ET158" s="16">
        <f>IF(ISNA(VLOOKUP(A158,'Données projet'!$A$191:$I$211,6,0)),0%,VLOOKUP(A158,'Données projet'!$A$191:$I$211,6,0)*VLOOKUP('Données projet'!$B$15,Paramètres!$A$1:$I$89,7,0))</f>
        <v>0</v>
      </c>
      <c r="EU158" s="16">
        <f>IF(ISNA(VLOOKUP(A158,'Données projet'!$A$191:$I$211,7,0)),0%,VLOOKUP(A158,'Données projet'!$A$191:$I$211,7,0))</f>
        <v>0</v>
      </c>
      <c r="EV158" s="21">
        <f>EXP(-LN(2)/35)*EV157+(1-EXP(-LN(2)/35))/(LN(2)/35)*ER158*ES158*VLOOKUP('Données projet'!$B$15,Paramètres!$A$1:$I$89,3,0)*0.475*44/12</f>
        <v>8.4335364937784471E-2</v>
      </c>
      <c r="EW158" s="21">
        <f>EXP(-LN(2)/25)*EW157+(1-EXP(-LN(2)/25))/(LN(2)/25)*Calculateur!ER158*Calculateur!ET158*VLOOKUP('Données projet'!$B$15,Paramètres!$A$1:$I$89,3,0)*0.475*44/12</f>
        <v>0.18136565483257017</v>
      </c>
      <c r="EX158" s="21">
        <f>EXP(-LN(2)/2)*EX157+(1-EXP(-LN(2)/2))/(LN(2)/2)*ER158*EU158*VLOOKUP('Données projet'!$B$15,Paramètres!$A$1:$I$89,3,0)*0.475*44/12</f>
        <v>1.3895754512576888E-18</v>
      </c>
      <c r="EY158" s="22">
        <f t="shared" si="181"/>
        <v>0.26570101977035465</v>
      </c>
      <c r="EZ158" s="75">
        <f>('Scénario référence'!$F$8+'Scénario référence'!$F$9+'Scénario référence'!$B$17+'Scénario référence'!$B$9+'Scénario référence'!$B$10)*70+IF((45+25*(1-EXP(-0.0175*A158)))&lt;70,'Scénario référence'!$B$16*(45+25*(1-EXP(-0.0175*A158))),70*'Scénario référence'!$B$16)+IF((32+38*(1-EXP(-0.0175*A158)))&lt;70,'Scénario référence'!$B$18*(32+38*(1-EXP(-0.0175*A158))),70*'Scénario référence'!$B$18)</f>
        <v>70</v>
      </c>
      <c r="FA158" s="12">
        <f>IF(A158&gt;30,10,('Scénario référence'!$B$16+'Scénario référence'!$B$17+'Scénario référence'!$B$18+'Scénario référence'!$B$9+'Scénario référence'!$B$10)*A158*10/30+('Scénario référence'!$F$8+'Scénario référence'!$F$9)*10)</f>
        <v>10</v>
      </c>
      <c r="FB158" s="12" t="e">
        <f>VLOOKUP(A158,'Données projet'!$A$217:$I$237,2,0)</f>
        <v>#N/A</v>
      </c>
      <c r="FC158" s="12" t="e">
        <f>VLOOKUP(A158,'Données projet'!$A$217:$I$237,9,0)</f>
        <v>#N/A</v>
      </c>
      <c r="FD158" s="12">
        <f t="array" ref="FD158">INDEX(FC:FC,MIN(IF(ISNUMBER(FC158:FC354),ROW(FC158:FC354),"")))</f>
        <v>0</v>
      </c>
      <c r="FE158" s="12">
        <f>IF('Données projet'!$A$218&gt;35,FE157+FD158-FM157,IF(A158&lt;'Données projet'!$A$218,$FB$205^A158,IF(A158='Données projet'!$A$218,'Données projet'!$B$218,FE157+FD158-FM157)))</f>
        <v>418.99999999999983</v>
      </c>
      <c r="FF158" s="17">
        <f>FE158*VLOOKUP('Données projet'!$B$16,Paramètres!$A$1:$I$89,3,0)*VLOOKUP('Données projet'!$B$16,Paramètres!$A$1:$I$89,5,0)</f>
        <v>359.5019999999999</v>
      </c>
      <c r="FG158" s="13">
        <f t="shared" si="182"/>
        <v>83.516011055432813</v>
      </c>
      <c r="FH158" s="20">
        <f t="shared" si="183"/>
        <v>771.58970258821194</v>
      </c>
      <c r="FI158" s="59">
        <f t="shared" si="131"/>
        <v>1064.9230359215453</v>
      </c>
      <c r="FJ158" s="59">
        <f ca="1">AVERAGE(OFFSET($FI$3,0,0,'Données projet'!$E$16+1,1))-AVERAGE(OFFSET($H$3,0,0,'Données projet'!$E$16+1,1))</f>
        <v>383.97627237444709</v>
      </c>
      <c r="FK158" s="59">
        <f t="shared" si="156"/>
        <v>203.35476578922339</v>
      </c>
      <c r="FL158" s="15">
        <f>IF(ISNA(VLOOKUP(A158,'Données projet'!$A$217:$I$237,3,0)),0,VLOOKUP(A158,'Données projet'!$A$217:$I$237,3,0))</f>
        <v>0</v>
      </c>
      <c r="FM158" s="15">
        <f>IF(ISNA(VLOOKUP(A158,'Données projet'!$A$217:$I$237,4,0)),0,VLOOKUP(A158,'Données projet'!$A$217:$I$237,4,0))</f>
        <v>0</v>
      </c>
      <c r="FN158" s="16">
        <f>IF(ISNA(VLOOKUP(A158,'Données projet'!$A$217:$I$237,5,0)),0%,VLOOKUP(A158,'Données projet'!$A$217:$I$237,5,0)*VLOOKUP('Données projet'!$B$16,Paramètres!$A$1:$I$89,7,0))</f>
        <v>0</v>
      </c>
      <c r="FO158" s="16">
        <f>IF(ISNA(VLOOKUP(A158,'Données projet'!$A$217:$I$237,6,0)),0%,VLOOKUP(A158,'Données projet'!$A$217:$I$237,6,0)*VLOOKUP('Données projet'!$B$16,Paramètres!$A$1:$I$89,7,0))</f>
        <v>0</v>
      </c>
      <c r="FP158" s="16">
        <f>IF(ISNA(VLOOKUP(A158,'Données projet'!$A$217:$I$237,7,0)),0%,VLOOKUP(A158,'Données projet'!$A$217:$I$237,7,0))</f>
        <v>0</v>
      </c>
      <c r="FQ158" s="21">
        <f>EXP(-LN(2)/35)*FQ157+(1-EXP(-LN(2)/35))/(LN(2)/35)*FM158*FN158*VLOOKUP('Données projet'!$B$16,Paramètres!$A$1:$I$89,3,0)*0.475*44/12</f>
        <v>0.43343802207493387</v>
      </c>
      <c r="FR158" s="21">
        <f>EXP(-LN(2)/25)*FR157+(1-EXP(-LN(2)/25))/(LN(2)/25)*Calculateur!FM158*Calculateur!FO158*VLOOKUP('Données projet'!$B$16,Paramètres!$A$1:$I$89,3,0)*0.475*44/12</f>
        <v>0.18410488557704349</v>
      </c>
      <c r="FS158" s="21">
        <f>EXP(-LN(2)/2)*FS157+(1-EXP(-LN(2)/2))/(LN(2)/2)*FM158*FP158*VLOOKUP('Données projet'!$B$16,Paramètres!$A$1:$I$89,3,0)*0.475*44/12</f>
        <v>2.552364921788564E-18</v>
      </c>
      <c r="FT158" s="22">
        <f t="shared" si="184"/>
        <v>0.61754290765197739</v>
      </c>
      <c r="FU158" s="75">
        <f>('Scénario référence'!$F$8+'Scénario référence'!$F$9+'Scénario référence'!$B$17+'Scénario référence'!$B$9+'Scénario référence'!$B$10)*70+IF((45+25*(1-EXP(-0.0175*A158)))&lt;70,'Scénario référence'!$B$16*(45+25*(1-EXP(-0.0175*A158))),70*'Scénario référence'!$B$16)+IF((32+38*(1-EXP(-0.0175*A158)))&lt;70,'Scénario référence'!$B$18*(32+38*(1-EXP(-0.0175*A158))),70*'Scénario référence'!$B$18)</f>
        <v>70</v>
      </c>
      <c r="FV158" s="12">
        <f>IF(A158&gt;30,10,('Scénario référence'!$B$16+'Scénario référence'!$B$17+'Scénario référence'!$B$18+'Scénario référence'!$B$9+'Scénario référence'!$B$10)*A158*10/30+('Scénario référence'!$F$8+'Scénario référence'!$F$9)*10)</f>
        <v>10</v>
      </c>
      <c r="FW158" s="12" t="e">
        <f>VLOOKUP(A158,'Données projet'!$A$243:$I$263,2,0)</f>
        <v>#N/A</v>
      </c>
      <c r="FX158" s="12" t="e">
        <f>VLOOKUP(A158,'Données projet'!$A$243:$I$263,9,0)</f>
        <v>#N/A</v>
      </c>
      <c r="FY158" s="12">
        <f t="array" ref="FY158">INDEX(FX:FX,MIN(IF(ISNUMBER(FX158:FX354),ROW(FX158:FX354),"")))</f>
        <v>0</v>
      </c>
      <c r="FZ158" s="12">
        <f>IF('Données projet'!$A$244&gt;35,FZ157+FY158-GH157,IF(A158&lt;'Données projet'!$A$244,$FW$205^A158,IF(A158='Données projet'!$A$244,'Données projet'!$B$244,FZ157+FY158-GH157)))</f>
        <v>4.5474735088646412E-13</v>
      </c>
      <c r="GA158" s="17">
        <f>FZ158*VLOOKUP('Données projet'!$B$17,Paramètres!$A$1:$I$89,3,0)*VLOOKUP('Données projet'!$B$17,Paramètres!$A$1:$I$89,5,0)</f>
        <v>4.8949004849418999E-13</v>
      </c>
      <c r="GB158" s="13">
        <f t="shared" si="185"/>
        <v>6.1123715499968684E-12</v>
      </c>
      <c r="GC158" s="20">
        <f t="shared" si="186"/>
        <v>1.1498242284038591E-11</v>
      </c>
      <c r="GD158" s="59">
        <f t="shared" si="134"/>
        <v>293.3333333333448</v>
      </c>
      <c r="GE158" s="59">
        <f ca="1">AVERAGE(OFFSET($GD$3,0,0,'Données projet'!$E$17+1,1))-AVERAGE(OFFSET($H$3,0,0,'Données projet'!$E$17+1,1))</f>
        <v>286.77702855541287</v>
      </c>
      <c r="GF158" s="59">
        <f t="shared" si="158"/>
        <v>227.12211541860779</v>
      </c>
      <c r="GG158" s="15">
        <f>IF(ISNA(VLOOKUP(A158,'Données projet'!$A$243:$I$263,3,0)),0,VLOOKUP(A158,'Données projet'!$A$243:$I$263,3,0))</f>
        <v>0</v>
      </c>
      <c r="GH158" s="15">
        <f>IF(ISNA(VLOOKUP(A158,'Données projet'!$A$243:$I$263,4,0)),0,VLOOKUP(A158,'Données projet'!$A$243:$I$263,4,0))</f>
        <v>0</v>
      </c>
      <c r="GI158" s="16">
        <f>IF(ISNA(VLOOKUP(A158,'Données projet'!$A$243:$I$263,5,0)),0%,VLOOKUP(A158,'Données projet'!$A$243:$I$263,5,0)*VLOOKUP('Données projet'!$B$17,Paramètres!$A$1:$I$89,7,0))</f>
        <v>0</v>
      </c>
      <c r="GJ158" s="16">
        <f>IF(ISNA(VLOOKUP(A158,'Données projet'!$A$243:$I$263,6,0)),0%,VLOOKUP(A158,'Données projet'!$A$243:$I$263,6,0)*VLOOKUP('Données projet'!$B$17,Paramètres!$A$1:$I$89,7,0))</f>
        <v>0</v>
      </c>
      <c r="GK158" s="16">
        <f>IF(ISNA(VLOOKUP(A158,'Données projet'!$A$243:$I$263,7,0)),0%,VLOOKUP(A158,'Données projet'!$A$243:$I$263,7,0))</f>
        <v>0</v>
      </c>
      <c r="GL158" s="21">
        <f>EXP(-LN(2)/35)*GL157+(1-EXP(-LN(2)/35))/(LN(2)/35)*GH158*GI158*VLOOKUP('Données projet'!$B$17,Paramètres!$A$1:$I$89,3,0)*0.475*44/12</f>
        <v>0</v>
      </c>
      <c r="GM158" s="21">
        <f>EXP(-LN(2)/25)*GM157+(1-EXP(-LN(2)/25))/(LN(2)/25)*Calculateur!GH158*Calculateur!GJ158*VLOOKUP('Données projet'!$B$17,Paramètres!$A$1:$I$89,3,0)*0.475*44/12</f>
        <v>0</v>
      </c>
      <c r="GN158" s="21">
        <f>EXP(-LN(2)/2)*GN157+(1-EXP(-LN(2)/2))/(LN(2)/2)*GH158*GK158*VLOOKUP('Données projet'!$B$17,Paramètres!$A$1:$I$89,3,0)*0.475*44/12</f>
        <v>0</v>
      </c>
      <c r="GO158" s="21">
        <f t="shared" si="187"/>
        <v>0</v>
      </c>
      <c r="GP158" s="75">
        <f>('Scénario référence'!$F$8+'Scénario référence'!$F$9+'Scénario référence'!$B$17+'Scénario référence'!$B$9+'Scénario référence'!$B$10)*70+IF((45+25*(1-EXP(-0.0175*A158)))&lt;70,'Scénario référence'!$B$16*(45+25*(1-EXP(-0.0175*A158))),70*'Scénario référence'!$B$16)+IF((32+38*(1-EXP(-0.0175*A158)))&lt;70,'Scénario référence'!$B$18*(32+38*(1-EXP(-0.0175*A158))),70*'Scénario référence'!$B$18)</f>
        <v>70</v>
      </c>
      <c r="GQ158" s="12">
        <f>IF(A158&gt;30,10,('Scénario référence'!$B$16+'Scénario référence'!$B$17+'Scénario référence'!$B$18+'Scénario référence'!$B$9+'Scénario référence'!$B$10)*A158*10/30+('Scénario référence'!$F$8+'Scénario référence'!$F$9)*10)</f>
        <v>10</v>
      </c>
      <c r="GR158" s="12" t="e">
        <f>VLOOKUP(A158,'Données projet'!$A$269:$I$289,2,0)</f>
        <v>#N/A</v>
      </c>
      <c r="GS158" s="12" t="e">
        <f>VLOOKUP(A158,'Données projet'!$A$269:$I$289,9,0)</f>
        <v>#N/A</v>
      </c>
      <c r="GT158" s="12">
        <f t="array" ref="GT158">INDEX(GS:GS,MIN(IF(ISNUMBER(GS158:GS354),ROW(GS158:GS354),"")))</f>
        <v>0</v>
      </c>
      <c r="GU158" s="12">
        <f>IF('Données projet'!$A$270&gt;35,GU157+GT158-HC157,IF(A158&lt;'Données projet'!$A$270,$GR$205^A158,IF(A158='Données projet'!$A$270,'Données projet'!$B$270,GU157+GT158-HC157)))</f>
        <v>4.5474735088646412E-13</v>
      </c>
      <c r="GV158" s="17">
        <f>GU158*VLOOKUP('Données projet'!$B$18,Paramètres!$A$1:$I$89,3,0)*VLOOKUP('Données projet'!$B$18,Paramètres!$A$1:$I$89,5,0)</f>
        <v>4.8949004849418999E-13</v>
      </c>
      <c r="GW158" s="13">
        <f t="shared" si="188"/>
        <v>6.1123715499968684E-12</v>
      </c>
      <c r="GX158" s="20">
        <f t="shared" si="189"/>
        <v>1.1498242284038591E-11</v>
      </c>
      <c r="GY158" s="59">
        <f t="shared" si="137"/>
        <v>293.3333333333448</v>
      </c>
      <c r="GZ158" s="59">
        <f ca="1">AVERAGE(OFFSET($GY$3,0,0,'Données projet'!$E$18+1,1))-AVERAGE(OFFSET($H$3,0,0,'Données projet'!$E$18+1,1))</f>
        <v>286.77702855541287</v>
      </c>
      <c r="HA158" s="59">
        <f t="shared" si="160"/>
        <v>227.12211541860779</v>
      </c>
      <c r="HB158" s="15">
        <f>IF(ISNA(VLOOKUP(A158,'Données projet'!$A$269:$I$289,3,0)),0,VLOOKUP(A158,'Données projet'!$A$269:$I$289,3,0))</f>
        <v>0</v>
      </c>
      <c r="HC158" s="15">
        <f>IF(ISNA(VLOOKUP(A158,'Données projet'!$A$269:$I$289,4,0)),0,VLOOKUP(A158,'Données projet'!$A$269:$I$289,4,0))</f>
        <v>0</v>
      </c>
      <c r="HD158" s="16">
        <f>IF(ISNA(VLOOKUP(A158,'Données projet'!$A$269:$I$289,5,0)),0%,VLOOKUP(A158,'Données projet'!$A$269:$I$289,5,0)*VLOOKUP('Données projet'!$B$18,Paramètres!$A$1:$I$89,7,0))</f>
        <v>0</v>
      </c>
      <c r="HE158" s="16">
        <f>IF(ISNA(VLOOKUP(A158,'Données projet'!$A$269:$I$289,6,0)),0%,VLOOKUP(A158,'Données projet'!$A$269:$I$289,6,0)*VLOOKUP('Données projet'!$B$18,Paramètres!$A$1:$I$89,7,0))</f>
        <v>0</v>
      </c>
      <c r="HF158" s="16">
        <f>IF(ISNA(VLOOKUP(A158,'Données projet'!$A$269:$I$289,7,0)),0%,VLOOKUP(A158,'Données projet'!$A$269:$I$289,7,0))</f>
        <v>0</v>
      </c>
      <c r="HG158" s="21">
        <f>EXP(-LN(2)/35)*HG157+(1-EXP(-LN(2)/35))/(LN(2)/35)*HC158*HD158*VLOOKUP('Données projet'!$B$18,Paramètres!$A$1:$I$89,3,0)*0.475*44/12</f>
        <v>0</v>
      </c>
      <c r="HH158" s="21">
        <f>EXP(-LN(2)/25)*HH157+(1-EXP(-LN(2)/25))/(LN(2)/25)*Calculateur!HC158*Calculateur!HE158*VLOOKUP('Données projet'!$B$18,Paramètres!$A$1:$I$89,3,0)*0.475*44/12</f>
        <v>0</v>
      </c>
      <c r="HI158" s="21">
        <f>EXP(-LN(2)/2)*HI157+(1-EXP(-LN(2)/2))/(LN(2)/2)*HC158*HF158*VLOOKUP('Données projet'!$B$18,Paramètres!$A$1:$I$89,3,0)*0.475*44/12</f>
        <v>0</v>
      </c>
      <c r="HJ158" s="22">
        <f t="shared" si="190"/>
        <v>0</v>
      </c>
    </row>
    <row r="159" spans="1:218" x14ac:dyDescent="0.25">
      <c r="A159" s="10">
        <f t="shared" si="161"/>
        <v>156</v>
      </c>
      <c r="B159" s="73">
        <f>'Scénario référence'!$B$16*5+'Scénario référence'!$B$17*0+'Scénario référence'!$B$18*5</f>
        <v>0</v>
      </c>
      <c r="C159" s="19">
        <f>Calculateur!C158+'Scénario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138.7152000000001</v>
      </c>
      <c r="D159" s="11">
        <f t="shared" si="140"/>
        <v>36.002518112950014</v>
      </c>
      <c r="E15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59" s="11">
        <f>IF(OR('Scénario référence'!$F$8&gt;0,'Scénario référence'!$F$9&gt;0),('Scénario référence'!$F$8+'Scénario référence'!$F$9)*10,0)</f>
        <v>10</v>
      </c>
      <c r="G159" s="11">
        <f>'Scénario référence'!$B$8*B159*44/12+'Scénario référence'!$B$9*(C159+D159)/0.475*44/12+'Scénario référence'!$B$10*(C159+D159)/0.475*44/12+'Scénario référence'!$F$8*(C159+D159)/0.475*44/12+'Scénario référence'!$F$9*(C159+D159)/0.475*44/12</f>
        <v>1348.6981749069832</v>
      </c>
      <c r="H159" s="67">
        <f t="shared" si="110"/>
        <v>597.63335904672135</v>
      </c>
      <c r="I159" s="70">
        <f>('Scénario référence'!$F$8+'Scénario référence'!$F$9+'Scénario référence'!$B$17+'Scénario référence'!$B$9+'Scénario référence'!$B$10)*70+IF((45+25*(1-EXP(-0.0175*A159)))&lt;70,'Scénario référence'!$B$16*(45+25*(1-EXP(-0.0175*A159))),70*'Scénario référence'!$B$16)+IF((32+38*(1-EXP(-0.0175*A159)))&lt;70,'Scénario référence'!$B$18*(32+38*(1-EXP(-0.0175*A159))),70*'Scénario référence'!$B$18)</f>
        <v>70</v>
      </c>
      <c r="J159" s="13">
        <f>IF(A159&gt;30,10,('Scénario référence'!$B$16+'Scénario référence'!$B$17+'Scénario référence'!$B$18+'Scénario référence'!$B$9+'Scénario référence'!$B$10)*A159*10/30+('Scénario référence'!$F$8+'Scénario référence'!$F$9)*10)</f>
        <v>10</v>
      </c>
      <c r="K159" s="12" t="e">
        <f>VLOOKUP(A159,'Données projet'!$A$35:$I$55,2,0)</f>
        <v>#N/A</v>
      </c>
      <c r="L159" s="12" t="e">
        <f>VLOOKUP(A159,'Données projet'!$A$35:$I$55,9,0)</f>
        <v>#N/A</v>
      </c>
      <c r="M159" s="12">
        <f t="array" ref="M159">INDEX(L:L,MIN(IF(ISNUMBER(L159:L355),ROW(L159:L355),"")))</f>
        <v>0</v>
      </c>
      <c r="N159" s="13">
        <f>IF('Données projet'!$A$36&gt;35,N158+M159-V158,IF(A159&lt;'Données projet'!$A$36,$K$205^A159,IF(A159='Données projet'!$A$36,'Données projet'!$B$36,N158+M159-V158)))</f>
        <v>-2.2737367544323206E-13</v>
      </c>
      <c r="O159" s="13">
        <f>N159*VLOOKUP('Données projet'!$B$9,Paramètres!$A$1:$I$89,3,0)*VLOOKUP('Données projet'!$B$9,Paramètres!$A$1:$I$89,5,0)</f>
        <v>-1.2710188457276673E-13</v>
      </c>
      <c r="P159" s="13" t="e">
        <f t="shared" si="141"/>
        <v>#NUM!</v>
      </c>
      <c r="Q159" s="20" t="e">
        <f t="shared" si="162"/>
        <v>#NUM!</v>
      </c>
      <c r="R159" s="59" t="e">
        <f t="shared" si="109"/>
        <v>#NUM!</v>
      </c>
      <c r="S159" s="59">
        <f ca="1">AVERAGE(OFFSET($R$3,0,0,'Données projet'!$E$9+1,1))-AVERAGE(OFFSET($H$3,0,0,'Données projet'!$E$9+1,1))</f>
        <v>255.5374979188561</v>
      </c>
      <c r="T159" s="59">
        <f t="shared" si="142"/>
        <v>343.10418468620901</v>
      </c>
      <c r="U159" s="15">
        <f>IF(ISNA(VLOOKUP(A159,'Données projet'!$A$35:$I$55,3,0)),0,VLOOKUP(A159,'Données projet'!$A$35:$I$55,3,0))</f>
        <v>0</v>
      </c>
      <c r="V159" s="15">
        <f>IF(ISNA(VLOOKUP(A159,'Données projet'!$A$35:$I$55,4,0)),0,VLOOKUP(A159,'Données projet'!$A$35:$I$55,4,0))</f>
        <v>0</v>
      </c>
      <c r="W159" s="16">
        <f>IF(ISNA(VLOOKUP(A159,'Données projet'!$A$35:$I$55,5,0)),0%,VLOOKUP(A159,'Données projet'!$A$35:$I$55,5,0)*VLOOKUP('Données projet'!$B$9,Paramètres!$A$1:$I$89,7,0))</f>
        <v>0</v>
      </c>
      <c r="X159" s="16">
        <f>IF(ISNA(VLOOKUP(A159,'Données projet'!$A$35:$I$55,6,0)),0%,VLOOKUP(A159,'Données projet'!$A$35:$I$55,6,0)*VLOOKUP('Données projet'!$B$9,Paramètres!$A$1:$I$89,7,0))</f>
        <v>0</v>
      </c>
      <c r="Y159" s="16">
        <f>IF(ISNA(VLOOKUP(A159,'Données projet'!$A$35:$I$55,7,0)),0%,VLOOKUP(A159,'Données projet'!$A$35:$I$55,7,0))</f>
        <v>0</v>
      </c>
      <c r="Z159" s="21">
        <f>EXP(-LN(2)/35)*Z158+(1-EXP(-LN(2)/35))/(LN(2)/35)*V159*W159*VLOOKUP('Données projet'!$B$9,Paramètres!$A$1:$I$89,3,0)*0.475*44/12</f>
        <v>0.25483333385249402</v>
      </c>
      <c r="AA159" s="21">
        <f>EXP(-LN(2)/25)*AA158+(1-EXP(-LN(2)/25))/(LN(2)/25)*Calculateur!V159*Calculateur!X159*VLOOKUP('Données projet'!$B$9,Paramètres!$A$1:$I$89,3,0)*0.475*44/12</f>
        <v>0.48511953140741609</v>
      </c>
      <c r="AB159" s="21">
        <f>EXP(-LN(2)/2)*AB158+(1-EXP(-LN(2)/2))/(LN(2)/2)*V159*Y159*VLOOKUP('Données projet'!$B$9,Paramètres!$A$1:$I$89,3,0)*0.475*44/12</f>
        <v>1.8351770618062051E-19</v>
      </c>
      <c r="AC159" s="22">
        <f t="shared" si="163"/>
        <v>0.73995286525991011</v>
      </c>
      <c r="AD159" s="13">
        <f>('Scénario référence'!$F$8+'Scénario référence'!$F$9+'Scénario référence'!$B$17+'Scénario référence'!$B$9+'Scénario référence'!$B$10)*70+IF((45+25*(1-EXP(-0.0175*A159)))&lt;70,'Scénario référence'!$B$16*(45+25*(1-EXP(-0.0175*A159))),70*'Scénario référence'!$B$16)+IF((32+38*(1-EXP(-0.0175*A159)))&lt;70,'Scénario référence'!$B$18*(32+38*(1-EXP(-0.0175*A159))),70*'Scénario référence'!$B$18)</f>
        <v>70</v>
      </c>
      <c r="AE159" s="13">
        <f>IF(A159&gt;30,10,('Scénario référence'!$B$16+'Scénario référence'!$B$17+'Scénario référence'!$B$18+'Scénario référence'!$B$9+'Scénario référence'!$B$10)*A159*10/30+('Scénario référence'!$F$8+'Scénario référence'!$F$9)*10)</f>
        <v>10</v>
      </c>
      <c r="AF159" s="12" t="e">
        <f>VLOOKUP(A159,'Données projet'!$A$61:$I$81,2,0)</f>
        <v>#N/A</v>
      </c>
      <c r="AG159" s="12" t="e">
        <f>VLOOKUP(A159,'Données projet'!$A$61:$I$81,9,0)</f>
        <v>#N/A</v>
      </c>
      <c r="AH159" s="12">
        <f t="array" ref="AH159">INDEX(AG:AG,MIN(IF(ISNUMBER(AG159:AG355),ROW(AG159:AG355),"")))</f>
        <v>0</v>
      </c>
      <c r="AI159" s="13">
        <f>IF('Données projet'!$A$62&gt;35,AI158+AH159-AQ158,IF(A159&lt;'Données projet'!$A$62,$AF$205^A159,IF(A159='Données projet'!$A$62,'Données projet'!$B$62,AI158+AH159-AQ158)))</f>
        <v>0</v>
      </c>
      <c r="AJ159" s="13">
        <f>AI159*VLOOKUP('Données projet'!$B$10,Paramètres!$A$1:$I$89,3,0)*VLOOKUP('Données projet'!$B$10,Paramètres!$A$1:$I$89,5,0)</f>
        <v>0</v>
      </c>
      <c r="AK159" s="13" t="e">
        <f t="shared" si="164"/>
        <v>#NUM!</v>
      </c>
      <c r="AL159" s="20" t="e">
        <f t="shared" si="165"/>
        <v>#NUM!</v>
      </c>
      <c r="AM159" s="59" t="e">
        <f t="shared" si="113"/>
        <v>#NUM!</v>
      </c>
      <c r="AN159" s="59">
        <f ca="1">AVERAGE(OFFSET($AM$3,0,0,'Données projet'!$E$10+1,1))-AVERAGE(OFFSET($H$3,0,0,'Données projet'!$E$10+1,1))</f>
        <v>261.78489480911571</v>
      </c>
      <c r="AO159" s="59">
        <f t="shared" si="144"/>
        <v>297.50513563712764</v>
      </c>
      <c r="AP159" s="15">
        <f>IF(ISNA(VLOOKUP(A159,'Données projet'!$A$61:$I$81,3,0)),0,VLOOKUP(A159,'Données projet'!$A$61:$I$81,3,0))</f>
        <v>0</v>
      </c>
      <c r="AQ159" s="15">
        <f>IF(ISNA(VLOOKUP(A159,'Données projet'!$A$61:$I$81,4,0)),0,VLOOKUP(A159,'Données projet'!$A$61:$I$81,4,0))</f>
        <v>0</v>
      </c>
      <c r="AR159" s="16">
        <f>IF(ISNA(VLOOKUP(A159,'Données projet'!$A$61:$I$81,5,0)),0%,VLOOKUP(A159,'Données projet'!$A$61:$I$81,5,0)*VLOOKUP('Données projet'!$B$10,Paramètres!$A$1:$I$89,7,0))</f>
        <v>0</v>
      </c>
      <c r="AS159" s="16">
        <f>IF(ISNA(VLOOKUP(A159,'Données projet'!$A$61:$I$81,6,0)),0%,VLOOKUP(A159,'Données projet'!$A$61:$I$81,6,0)*VLOOKUP('Données projet'!$B$10,Paramètres!$A$1:$I$89,7,0))</f>
        <v>0</v>
      </c>
      <c r="AT159" s="16">
        <f>IF(ISNA(VLOOKUP(A159,'Données projet'!$A$61:$I$81,7,0)),0%,VLOOKUP(A159,'Données projet'!$A$61:$I$81,7,0))</f>
        <v>0</v>
      </c>
      <c r="AU159" s="21">
        <f>EXP(-LN(2)/35)*AU158+(1-EXP(-LN(2)/35))/(LN(2)/35)*AQ159*AR159*VLOOKUP('Données projet'!$B$10,Paramètres!$A$1:$I$89,3,0)*0.475*44/12</f>
        <v>0.68812208066449476</v>
      </c>
      <c r="AV159" s="21">
        <f>EXP(-LN(2)/25)*AV158+(1-EXP(-LN(2)/25))/(LN(2)/25)*Calculateur!AQ159*Calculateur!AS159*VLOOKUP('Données projet'!$B$10,Paramètres!$A$1:$I$89,3,0)*0.475*44/12</f>
        <v>0.84711764724127148</v>
      </c>
      <c r="AW159" s="21">
        <f>EXP(-LN(2)/2)*AW158+(1-EXP(-LN(2)/2))/(LN(2)/2)*AQ159*AT159*VLOOKUP('Données projet'!$B$10,Paramètres!$A$1:$I$89,3,0)*0.475*44/12</f>
        <v>2.6455824441873896E-18</v>
      </c>
      <c r="AX159" s="21">
        <f t="shared" si="166"/>
        <v>1.5352397279057661</v>
      </c>
      <c r="AY159" s="74">
        <f>('Scénario référence'!$F$8+'Scénario référence'!$F$9+'Scénario référence'!$B$17+'Scénario référence'!$B$9+'Scénario référence'!$B$10)*70+IF((45+25*(1-EXP(-0.0175*A159)))&lt;70,'Scénario référence'!$B$16*(45+25*(1-EXP(-0.0175*A159))),70*'Scénario référence'!$B$16)+IF((32+38*(1-EXP(-0.0175*A159)))&lt;70,'Scénario référence'!$B$18*(32+38*(1-EXP(-0.0175*A159))),70*'Scénario référence'!$B$18)</f>
        <v>70</v>
      </c>
      <c r="AZ159" s="12">
        <f>IF(A159&gt;30,10,('Scénario référence'!$B$16+'Scénario référence'!$B$17+'Scénario référence'!$B$18+'Scénario référence'!$B$9+'Scénario référence'!$B$10)*A159*10/30+('Scénario référence'!$F$8+'Scénario référence'!$F$9)*10)</f>
        <v>10</v>
      </c>
      <c r="BA159" s="12" t="e">
        <f>VLOOKUP(A159,'Données projet'!$A$87:$I$107,2,0)</f>
        <v>#N/A</v>
      </c>
      <c r="BB159" s="12" t="e">
        <f>VLOOKUP(A159,'Données projet'!$A$87:$I$107,9,0)</f>
        <v>#N/A</v>
      </c>
      <c r="BC159" s="12">
        <f t="array" ref="BC159">INDEX(BB:BB,MIN(IF(ISNUMBER(BB159:BB355),ROW(BB159:BB355),"")))</f>
        <v>0</v>
      </c>
      <c r="BD159" s="12">
        <f>IF('Données projet'!$A$88&gt;35,BD158+BC159-BL158,IF(A159&lt;'Données projet'!$A$88,$BA$205^A159,IF(A159='Données projet'!$A$88,'Données projet'!$B$88,BD158+BC159-BL158)))</f>
        <v>553.99999999999955</v>
      </c>
      <c r="BE159" s="13">
        <f>BD159*VLOOKUP('Données projet'!$B$11,Paramètres!$A$1:$I$89,3,0)*VLOOKUP('Données projet'!$B$11,Paramètres!$A$1:$I$89,5,0)</f>
        <v>331.29199999999975</v>
      </c>
      <c r="BF159" s="13">
        <f t="shared" si="167"/>
        <v>77.698110787752</v>
      </c>
      <c r="BG159" s="20">
        <f t="shared" si="168"/>
        <v>712.32444295533423</v>
      </c>
      <c r="BH159" s="59">
        <f t="shared" si="116"/>
        <v>1005.6577762886675</v>
      </c>
      <c r="BI159" s="59">
        <f ca="1">AVERAGE(OFFSET($BH$3,0,0,'Données projet'!$E$11+1,1))-AVERAGE(OFFSET($H$3,0,0,'Données projet'!$E$11+1,1))</f>
        <v>316.58509520829671</v>
      </c>
      <c r="BJ159" s="59">
        <f t="shared" si="146"/>
        <v>240.71332110643596</v>
      </c>
      <c r="BK159" s="15">
        <f>IF(ISNA(VLOOKUP(A159,'Données projet'!$A$87:$I$107,3,0)),0,VLOOKUP(A159,'Données projet'!$A$87:$I$107,3,0))</f>
        <v>0</v>
      </c>
      <c r="BL159" s="15">
        <f>IF(ISNA(VLOOKUP(A159,'Données projet'!$A$87:$I$107,4,0)),0,VLOOKUP(A159,'Données projet'!$A$87:$I$107,4,0))</f>
        <v>0</v>
      </c>
      <c r="BM159" s="16">
        <f>IF(ISNA(VLOOKUP(A159,'Données projet'!$A$87:$I$107,5,0)),0%,VLOOKUP(A159,'Données projet'!$A$87:$I$107,5,0)*VLOOKUP('Données projet'!$B$11,Paramètres!$A$1:$I$89,7,0))</f>
        <v>0</v>
      </c>
      <c r="BN159" s="16">
        <f>IF(ISNA(VLOOKUP(A159,'Données projet'!$A$87:$I$107,6,0)),0%,VLOOKUP(A159,'Données projet'!$A$87:$I$107,6,0)*VLOOKUP('Données projet'!$B$11,Paramètres!$A$1:$I$89,7,0))</f>
        <v>0</v>
      </c>
      <c r="BO159" s="16">
        <f>IF(ISNA(VLOOKUP(A159,'Données projet'!$A$87:$I$107,7,0)),0%,VLOOKUP(A159,'Données projet'!$A$87:$I$107,7,0))</f>
        <v>0</v>
      </c>
      <c r="BP159" s="21">
        <f>EXP(-LN(2)/35)*BP158+(1-EXP(-LN(2)/35))/(LN(2)/35)*BL159*BM159*VLOOKUP('Données projet'!$B$11,Paramètres!$A$1:$I$89,3,0)*0.475*44/12</f>
        <v>0.20902220195779778</v>
      </c>
      <c r="BQ159" s="21">
        <f>EXP(-LN(2)/25)*BQ158+(1-EXP(-LN(2)/25))/(LN(2)/25)*Calculateur!BL159*Calculateur!BN159*VLOOKUP('Données projet'!$B$11,Paramètres!$A$1:$I$89,3,0)*0.475*44/12</f>
        <v>0.46407576442235898</v>
      </c>
      <c r="BR159" s="21">
        <f>EXP(-LN(2)/2)*BR158+(1-EXP(-LN(2)/2))/(LN(2)/2)*BL159*BO159*VLOOKUP('Données projet'!$B$11,Paramètres!$A$1:$I$89,3,0)*0.475*44/12</f>
        <v>2.3786683419551595E-18</v>
      </c>
      <c r="BS159" s="22">
        <f t="shared" si="169"/>
        <v>0.67309796638015673</v>
      </c>
      <c r="BT159" s="75">
        <f>('Scénario référence'!$F$8+'Scénario référence'!$F$9+'Scénario référence'!$B$17+'Scénario référence'!$B$9+'Scénario référence'!$B$10)*70+IF((45+25*(1-EXP(-0.0175*A159)))&lt;70,'Scénario référence'!$B$16*(45+25*(1-EXP(-0.0175*A159))),70*'Scénario référence'!$B$16)+IF((32+38*(1-EXP(-0.0175*A159)))&lt;70,'Scénario référence'!$B$18*(32+38*(1-EXP(-0.0175*A159))),70*'Scénario référence'!$B$18)</f>
        <v>70</v>
      </c>
      <c r="BU159" s="12">
        <f>IF(A159&gt;30,10,('Scénario référence'!$B$16+'Scénario référence'!$B$17+'Scénario référence'!$B$18+'Scénario référence'!$B$9+'Scénario référence'!$B$10)*A159*10/30+('Scénario référence'!$F$8+'Scénario référence'!$F$9)*10)</f>
        <v>10</v>
      </c>
      <c r="BV159" s="12" t="e">
        <f>VLOOKUP(A159,'Données projet'!$A$113:$I$133,2,0)</f>
        <v>#N/A</v>
      </c>
      <c r="BW159" s="12" t="e">
        <f>VLOOKUP(A159,'Données projet'!$A$113:$I$133,9,0)</f>
        <v>#N/A</v>
      </c>
      <c r="BX159" s="12">
        <f t="array" ref="BX159">INDEX(BW:BW,MIN(IF(ISNUMBER(BW159:BW355),ROW(BW159:BW355),"")))</f>
        <v>0</v>
      </c>
      <c r="BY159" s="12">
        <f>IF('Données projet'!$A$114&gt;35,BY158+BX159-CG158,IF(A159&lt;'Données projet'!$A$114,$BV$205^A159,IF(A159='Données projet'!$A$114,'Données projet'!$B$114,BY158+BX159-CG158)))</f>
        <v>333.99999999999977</v>
      </c>
      <c r="BZ159" s="13">
        <f>BY159*VLOOKUP('Données projet'!$B$12,Paramètres!$A$1:$I$89,3,0)*VLOOKUP('Données projet'!$B$12,Paramètres!$A$1:$I$89,5,0)</f>
        <v>191.04799999999986</v>
      </c>
      <c r="CA159" s="13">
        <f t="shared" si="170"/>
        <v>47.771576544305155</v>
      </c>
      <c r="CB159" s="20">
        <f t="shared" si="171"/>
        <v>415.94409581466454</v>
      </c>
      <c r="CC159" s="59">
        <f t="shared" si="119"/>
        <v>709.27742914799785</v>
      </c>
      <c r="CD159" s="59">
        <f ca="1">AVERAGE(OFFSET($CC$3,0,0,'Données projet'!$E$12+1,1))-AVERAGE(OFFSET($H$3,0,0,'Données projet'!$E$12+1,1))</f>
        <v>188.64374818906128</v>
      </c>
      <c r="CE159" s="59">
        <f t="shared" si="148"/>
        <v>211.95157880548652</v>
      </c>
      <c r="CF159" s="15">
        <f>IF(ISNA(VLOOKUP(A159,'Données projet'!$A$113:$I$133,3,0)),0,VLOOKUP(A159,'Données projet'!$A$113:$I$133,3,0))</f>
        <v>0</v>
      </c>
      <c r="CG159" s="15">
        <f>IF(ISNA(VLOOKUP(A159,'Données projet'!$A$113:$I$133,4,0)),0,VLOOKUP(A159,'Données projet'!$A$113:$I$133,4,0))</f>
        <v>0</v>
      </c>
      <c r="CH159" s="16">
        <f>IF(ISNA(VLOOKUP(A159,'Données projet'!$A$113:$I$133,5,0)),0%,VLOOKUP(A159,'Données projet'!$A$113:$I$133,5,0)*VLOOKUP('Données projet'!$B$12,Paramètres!$A$1:$I$89,7,0))</f>
        <v>0</v>
      </c>
      <c r="CI159" s="16">
        <f>IF(ISNA(VLOOKUP(A159,'Données projet'!$A$113:$I$133,6,0)),0%,VLOOKUP(A159,'Données projet'!$A$113:$I$133,6,0)*VLOOKUP('Données projet'!$B$12,Paramètres!$A$1:$I$89,7,0))</f>
        <v>0</v>
      </c>
      <c r="CJ159" s="16">
        <f>IF(ISNA(VLOOKUP(A159,'Données projet'!$A$113:$I$133,7,0)),0%,VLOOKUP(A159,'Données projet'!$A$113:$I$133,7,0))</f>
        <v>0</v>
      </c>
      <c r="CK159" s="21">
        <f>EXP(-LN(2)/35)*CK158+(1-EXP(-LN(2)/35))/(LN(2)/35)*CG159*CH159*VLOOKUP('Données projet'!$B$12,Paramètres!$A$1:$I$89,3,0)*0.475*44/12</f>
        <v>0.20275025591007428</v>
      </c>
      <c r="CL159" s="21">
        <f>EXP(-LN(2)/25)*CL158+(1-EXP(-LN(2)/25))/(LN(2)/25)*Calculateur!CG159*Calculateur!CI159*VLOOKUP('Données projet'!$B$12,Paramètres!$A$1:$I$89,3,0)*0.475*44/12</f>
        <v>0.43679861696766914</v>
      </c>
      <c r="CM159" s="21">
        <f>EXP(-LN(2)/2)*CM158+(1-EXP(-LN(2)/2))/(LN(2)/2)*CG159*CJ159*VLOOKUP('Données projet'!$B$12,Paramètres!$A$1:$I$89,3,0)*0.475*44/12</f>
        <v>2.3035541794084944E-18</v>
      </c>
      <c r="CN159" s="22">
        <f t="shared" si="172"/>
        <v>0.63954887287774342</v>
      </c>
      <c r="CO159" s="75">
        <f>('Scénario référence'!$F$8+'Scénario référence'!$F$9+'Scénario référence'!$B$17+'Scénario référence'!$B$9+'Scénario référence'!$B$10)*70+IF((45+25*(1-EXP(-0.0175*A159)))&lt;70,'Scénario référence'!$B$16*(45+25*(1-EXP(-0.0175*A159))),70*'Scénario référence'!$B$16)+IF((32+38*(1-EXP(-0.0175*A159)))&lt;70,'Scénario référence'!$B$18*(32+38*(1-EXP(-0.0175*A159))),70*'Scénario référence'!$B$18)</f>
        <v>70</v>
      </c>
      <c r="CP159" s="12">
        <f>IF(A159&gt;30,10,('Scénario référence'!$B$16+'Scénario référence'!$B$17+'Scénario référence'!$B$18+'Scénario référence'!$B$9+'Scénario référence'!$B$10)*A159*10/30+('Scénario référence'!$F$8+'Scénario référence'!$F$9)*10)</f>
        <v>10</v>
      </c>
      <c r="CQ159" s="12" t="e">
        <f>VLOOKUP(A159,'Données projet'!$A$139:$I$159,2,0)</f>
        <v>#N/A</v>
      </c>
      <c r="CR159" s="12" t="e">
        <f>VLOOKUP(A159,'Données projet'!$A$139:$I$159,9,0)</f>
        <v>#N/A</v>
      </c>
      <c r="CS159" s="12">
        <f t="array" ref="CS159">INDEX(CR:CR,MIN(IF(ISNUMBER(CR159:CR355),ROW(CR159:CR355),"")))</f>
        <v>0</v>
      </c>
      <c r="CT159" s="12">
        <f>IF('Données projet'!$A$140&gt;35,CT158+CS159-DB158,IF(A159&lt;'Données projet'!$A$140,$CQ$205^A159,IF(A159='Données projet'!$A$140,'Données projet'!$B$140,CT158+CS159-DB158)))</f>
        <v>0</v>
      </c>
      <c r="CU159" s="17" t="e">
        <f>CT159*VLOOKUP('Données projet'!$B$13,Paramètres!$A$1:$I$89,3,0)*VLOOKUP('Données projet'!$B$13,Paramètres!$A$1:$I$89,5,0)</f>
        <v>#N/A</v>
      </c>
      <c r="CV159" s="13" t="e">
        <f t="shared" si="173"/>
        <v>#N/A</v>
      </c>
      <c r="CW159" s="20" t="e">
        <f t="shared" si="174"/>
        <v>#N/A</v>
      </c>
      <c r="CX159" s="59" t="e">
        <f t="shared" si="122"/>
        <v>#N/A</v>
      </c>
      <c r="CY159" s="59" t="e">
        <f ca="1">AVERAGE(OFFSET($CX$3,0,0,'Données projet'!$E$13+1,1))-AVERAGE(OFFSET($H$3,0,0,'Données projet'!$E$13+1,1))</f>
        <v>#N/A</v>
      </c>
      <c r="CZ159" s="59" t="e">
        <f t="shared" si="150"/>
        <v>#N/A</v>
      </c>
      <c r="DA159" s="15">
        <f>IF(ISNA(VLOOKUP(A159,'Données projet'!$A$139:$I$159,3,0)),0,VLOOKUP(A159,'Données projet'!$A$139:$I$159,3,0))</f>
        <v>0</v>
      </c>
      <c r="DB159" s="15">
        <f>IF(ISNA(VLOOKUP(A159,'Données projet'!$A$139:$I$159,4,0)),0,VLOOKUP(A159,'Données projet'!$A$139:$I$159,4,0))</f>
        <v>0</v>
      </c>
      <c r="DC159" s="16">
        <f>IF(ISNA(VLOOKUP(A159,'Données projet'!$A$139:$I$159,5,0)),0%,VLOOKUP(A159,'Données projet'!$A$139:$I$159,5,0)*VLOOKUP('Données projet'!$B$13,Paramètres!$A$1:$I$89,7,0))</f>
        <v>0</v>
      </c>
      <c r="DD159" s="16">
        <f>IF(ISNA(VLOOKUP(A159,'Données projet'!$A$139:$I$159,6,0)),0%,VLOOKUP(A159,'Données projet'!$A$139:$I$159,6,0)*VLOOKUP('Données projet'!$B$13,Paramètres!$A$1:$I$89,7,0))</f>
        <v>0</v>
      </c>
      <c r="DE159" s="16">
        <f>IF(ISNA(VLOOKUP(A159,'Données projet'!$A$139:$I$159,7,0)),0%,VLOOKUP(A159,'Données projet'!$A$139:$I$159,7,0))</f>
        <v>0</v>
      </c>
      <c r="DF159" s="21" t="e">
        <f>EXP(-LN(2)/35)*DF158+(1-EXP(-LN(2)/35))/(LN(2)/35)*DB159*DC159*VLOOKUP('Données projet'!$B$13,Paramètres!$A$1:$I$89,3,0)*0.475*44/12</f>
        <v>#N/A</v>
      </c>
      <c r="DG159" s="21" t="e">
        <f>EXP(-LN(2)/25)*DG158+(1-EXP(-LN(2)/25))/(LN(2)/25)*Calculateur!DB159*Calculateur!DD159*VLOOKUP('Données projet'!$B$13,Paramètres!$A$1:$I$89,3,0)*0.475*44/12</f>
        <v>#N/A</v>
      </c>
      <c r="DH159" s="21" t="e">
        <f>EXP(-LN(2)/2)*DH158+(1-EXP(-LN(2)/2))/(LN(2)/2)*DB159*DE159*VLOOKUP('Données projet'!$B$13,Paramètres!$A$1:$I$89,3,0)*0.475*44/12</f>
        <v>#N/A</v>
      </c>
      <c r="DI159" s="22" t="e">
        <f t="shared" si="175"/>
        <v>#N/A</v>
      </c>
      <c r="DJ159" s="75">
        <f>('Scénario référence'!$F$8+'Scénario référence'!$F$9+'Scénario référence'!$B$17+'Scénario référence'!$B$9+'Scénario référence'!$B$10)*70+IF((45+25*(1-EXP(-0.0175*A159)))&lt;70,'Scénario référence'!$B$16*(45+25*(1-EXP(-0.0175*A159))),70*'Scénario référence'!$B$16)+IF((32+38*(1-EXP(-0.0175*A159)))&lt;70,'Scénario référence'!$B$18*(32+38*(1-EXP(-0.0175*A159))),70*'Scénario référence'!$B$18)</f>
        <v>70</v>
      </c>
      <c r="DK159" s="12">
        <f>IF(A159&gt;30,10,('Scénario référence'!$B$16+'Scénario référence'!$B$17+'Scénario référence'!$B$18+'Scénario référence'!$B$9+'Scénario référence'!$B$10)*A159*10/30+('Scénario référence'!$F$8+'Scénario référence'!$F$9)*10)</f>
        <v>10</v>
      </c>
      <c r="DL159" s="12" t="e">
        <f>VLOOKUP(A159,'Données projet'!$A$165:$I$185,2,0)</f>
        <v>#N/A</v>
      </c>
      <c r="DM159" s="12" t="e">
        <f>VLOOKUP(A159,'Données projet'!$A$165:$I$185,9,0)</f>
        <v>#N/A</v>
      </c>
      <c r="DN159" s="12">
        <f t="array" ref="DN159">INDEX(DM:DM,MIN(IF(ISNUMBER(DM159:DM355),ROW(DM159:DM355),"")))</f>
        <v>0</v>
      </c>
      <c r="DO159" s="12">
        <f>IF('Données projet'!$A$166&gt;35,DO158+DN159-DW158,IF(A159&lt;'Données projet'!$A$166,$DL$205^A159,IF(A159='Données projet'!$A$166,'Données projet'!$B$166,DO158+DN159-DW158)))</f>
        <v>268.00000000000017</v>
      </c>
      <c r="DP159" s="17">
        <f>DO159*VLOOKUP('Données projet'!$B$14,Paramètres!$A$1:$I$89,3,0)*VLOOKUP('Données projet'!$B$14,Paramètres!$A$1:$I$89,5,0)</f>
        <v>175.59360000000012</v>
      </c>
      <c r="DQ159" s="13">
        <f t="shared" si="176"/>
        <v>44.340433728638573</v>
      </c>
      <c r="DR159" s="20">
        <f t="shared" si="177"/>
        <v>383.05177541071242</v>
      </c>
      <c r="DS159" s="59">
        <f t="shared" si="125"/>
        <v>676.38510874404574</v>
      </c>
      <c r="DT159" s="59">
        <f ca="1">AVERAGE(OFFSET($DS$3,0,0,'Données projet'!$E$14+1,1))-AVERAGE(OFFSET($H$3,0,0,'Données projet'!$E$14+1,1))</f>
        <v>188.68915783955595</v>
      </c>
      <c r="DU159" s="59">
        <f t="shared" si="152"/>
        <v>240.82467772396944</v>
      </c>
      <c r="DV159" s="15">
        <f>IF(ISNA(VLOOKUP(A159,'Données projet'!$A$165:$I$185,3,0)),0,VLOOKUP(A159,'Données projet'!$A$165:$I$185,3,0))</f>
        <v>0</v>
      </c>
      <c r="DW159" s="15">
        <f>IF(ISNA(VLOOKUP(A159,'Données projet'!$A$165:$I$185,4,0)),0,VLOOKUP(A159,'Données projet'!$A$165:$I$185,4,0))</f>
        <v>0</v>
      </c>
      <c r="DX159" s="16">
        <f>IF(ISNA(VLOOKUP(A159,'Données projet'!$A$165:$I$185,5,0)),0%,VLOOKUP(A159,'Données projet'!$A$165:$I$185,5,0)*VLOOKUP('Données projet'!$B$14,Paramètres!$A$1:$I$89,7,0))</f>
        <v>0</v>
      </c>
      <c r="DY159" s="16">
        <f>IF(ISNA(VLOOKUP(A159,'Données projet'!$A$165:$I$185,6,0)),0%,VLOOKUP(A159,'Données projet'!$A$165:$I$185,6,0)*VLOOKUP('Données projet'!$B$14,Paramètres!$A$1:$I$89,7,0))</f>
        <v>0</v>
      </c>
      <c r="DZ159" s="16">
        <f>IF(ISNA(VLOOKUP(A159,'Données projet'!$A$165:$I$185,7,0)),0%,VLOOKUP(A159,'Données projet'!$A$165:$I$185,7,0))</f>
        <v>0</v>
      </c>
      <c r="EA159" s="21">
        <f>EXP(-LN(2)/35)*EA158+(1-EXP(-LN(2)/35))/(LN(2)/35)*DW159*DX159*VLOOKUP('Données projet'!$B$14,Paramètres!$A$1:$I$89,3,0)*0.475*44/12</f>
        <v>0.12842556192957141</v>
      </c>
      <c r="EB159" s="21">
        <f>EXP(-LN(2)/25)*EB158+(1-EXP(-LN(2)/25))/(LN(2)/25)*Calculateur!DW159*Calculateur!DY159*VLOOKUP('Données projet'!$B$14,Paramètres!$A$1:$I$89,3,0)*0.475*44/12</f>
        <v>0.24431965345033491</v>
      </c>
      <c r="EC159" s="21">
        <f>EXP(-LN(2)/2)*EC158+(1-EXP(-LN(2)/2))/(LN(2)/2)*DW159*DZ159*VLOOKUP('Données projet'!$B$14,Paramètres!$A$1:$I$89,3,0)*0.475*44/12</f>
        <v>1.5174935945639188E-18</v>
      </c>
      <c r="ED159" s="22">
        <f t="shared" si="178"/>
        <v>0.37274521537990635</v>
      </c>
      <c r="EE159" s="75">
        <f>('Scénario référence'!$F$8+'Scénario référence'!$F$9+'Scénario référence'!$B$17+'Scénario référence'!$B$9+'Scénario référence'!$B$10)*70+IF((45+25*(1-EXP(-0.0175*A159)))&lt;70,'Scénario référence'!$B$16*(45+25*(1-EXP(-0.0175*A159))),70*'Scénario référence'!$B$16)+IF((32+38*(1-EXP(-0.0175*A159)))&lt;70,'Scénario référence'!$B$18*(32+38*(1-EXP(-0.0175*A159))),70*'Scénario référence'!$B$18)</f>
        <v>70</v>
      </c>
      <c r="EF159" s="12">
        <f>IF(A159&gt;30,10,('Scénario référence'!$B$16+'Scénario référence'!$B$17+'Scénario référence'!$B$18+'Scénario référence'!$B$9+'Scénario référence'!$B$10)*A159*10/30+('Scénario référence'!$F$8+'Scénario référence'!$F$9)*10)</f>
        <v>10</v>
      </c>
      <c r="EG159" s="12" t="e">
        <f>VLOOKUP(A159,'Données projet'!$A$191:$I$211,2,0)</f>
        <v>#N/A</v>
      </c>
      <c r="EH159" s="12" t="e">
        <f>VLOOKUP(A159,'Données projet'!$A$191:$I$211,9,0)</f>
        <v>#N/A</v>
      </c>
      <c r="EI159" s="12">
        <f t="array" ref="EI159">INDEX(EH:EH,MIN(IF(ISNUMBER(EH159:EH355),ROW(EH159:EH355),"")))</f>
        <v>0</v>
      </c>
      <c r="EJ159" s="12">
        <f>IF('Données projet'!$A$192&gt;35,EJ158+EI159-ER158,IF(A159&lt;'Données projet'!$A$192,$EG$205^A159,IF(A159='Données projet'!$A$192,'Données projet'!$B$192,EJ158+EI159-ER158)))</f>
        <v>275.99999999999972</v>
      </c>
      <c r="EK159" s="17">
        <f>EJ159*VLOOKUP('Données projet'!$B$15,Paramètres!$A$1:$I$89,3,0)*VLOOKUP('Données projet'!$B$15,Paramètres!$A$1:$I$89,5,0)</f>
        <v>223.8911999999998</v>
      </c>
      <c r="EL159" s="13">
        <f t="shared" si="179"/>
        <v>54.95975389514858</v>
      </c>
      <c r="EM159" s="20">
        <f t="shared" si="180"/>
        <v>485.66541136738346</v>
      </c>
      <c r="EN159" s="59">
        <f t="shared" si="128"/>
        <v>778.99874470071677</v>
      </c>
      <c r="EO159" s="59">
        <f ca="1">AVERAGE(OFFSET($EN$3,0,0,'Données projet'!$E$15+1,1))-AVERAGE(OFFSET($H$3,0,0,'Données projet'!$E$15+1,1))</f>
        <v>205.5272583787887</v>
      </c>
      <c r="EP159" s="59">
        <f t="shared" si="154"/>
        <v>180.54762778843178</v>
      </c>
      <c r="EQ159" s="15">
        <f>IF(ISNA(VLOOKUP(A159,'Données projet'!$A$191:$I$211,3,0)),0,VLOOKUP(A159,'Données projet'!$A$191:$I$211,3,0))</f>
        <v>0</v>
      </c>
      <c r="ER159" s="15">
        <f>IF(ISNA(VLOOKUP(A159,'Données projet'!$A$191:$I$211,4,0)),0,VLOOKUP(A159,'Données projet'!$A$191:$I$211,4,0))</f>
        <v>0</v>
      </c>
      <c r="ES159" s="16">
        <f>IF(ISNA(VLOOKUP(A159,'Données projet'!$A$191:$I$211,5,0)),0%,VLOOKUP(A159,'Données projet'!$A$191:$I$211,5,0)*VLOOKUP('Données projet'!$B$15,Paramètres!$A$1:$I$89,7,0))</f>
        <v>0</v>
      </c>
      <c r="ET159" s="16">
        <f>IF(ISNA(VLOOKUP(A159,'Données projet'!$A$191:$I$211,6,0)),0%,VLOOKUP(A159,'Données projet'!$A$191:$I$211,6,0)*VLOOKUP('Données projet'!$B$15,Paramètres!$A$1:$I$89,7,0))</f>
        <v>0</v>
      </c>
      <c r="EU159" s="16">
        <f>IF(ISNA(VLOOKUP(A159,'Données projet'!$A$191:$I$211,7,0)),0%,VLOOKUP(A159,'Données projet'!$A$191:$I$211,7,0))</f>
        <v>0</v>
      </c>
      <c r="EV159" s="21">
        <f>EXP(-LN(2)/35)*EV158+(1-EXP(-LN(2)/35))/(LN(2)/35)*ER159*ES159*VLOOKUP('Données projet'!$B$15,Paramètres!$A$1:$I$89,3,0)*0.475*44/12</f>
        <v>8.2681599870847902E-2</v>
      </c>
      <c r="EW159" s="21">
        <f>EXP(-LN(2)/25)*EW158+(1-EXP(-LN(2)/25))/(LN(2)/25)*Calculateur!ER159*Calculateur!ET159*VLOOKUP('Données projet'!$B$15,Paramètres!$A$1:$I$89,3,0)*0.475*44/12</f>
        <v>0.17640620146356825</v>
      </c>
      <c r="EX159" s="21">
        <f>EXP(-LN(2)/2)*EX158+(1-EXP(-LN(2)/2))/(LN(2)/2)*ER159*EU159*VLOOKUP('Données projet'!$B$15,Paramètres!$A$1:$I$89,3,0)*0.475*44/12</f>
        <v>9.8257822455466856E-19</v>
      </c>
      <c r="EY159" s="22">
        <f t="shared" si="181"/>
        <v>0.25908780133441617</v>
      </c>
      <c r="EZ159" s="75">
        <f>('Scénario référence'!$F$8+'Scénario référence'!$F$9+'Scénario référence'!$B$17+'Scénario référence'!$B$9+'Scénario référence'!$B$10)*70+IF((45+25*(1-EXP(-0.0175*A159)))&lt;70,'Scénario référence'!$B$16*(45+25*(1-EXP(-0.0175*A159))),70*'Scénario référence'!$B$16)+IF((32+38*(1-EXP(-0.0175*A159)))&lt;70,'Scénario référence'!$B$18*(32+38*(1-EXP(-0.0175*A159))),70*'Scénario référence'!$B$18)</f>
        <v>70</v>
      </c>
      <c r="FA159" s="12">
        <f>IF(A159&gt;30,10,('Scénario référence'!$B$16+'Scénario référence'!$B$17+'Scénario référence'!$B$18+'Scénario référence'!$B$9+'Scénario référence'!$B$10)*A159*10/30+('Scénario référence'!$F$8+'Scénario référence'!$F$9)*10)</f>
        <v>10</v>
      </c>
      <c r="FB159" s="12" t="e">
        <f>VLOOKUP(A159,'Données projet'!$A$217:$I$237,2,0)</f>
        <v>#N/A</v>
      </c>
      <c r="FC159" s="12" t="e">
        <f>VLOOKUP(A159,'Données projet'!$A$217:$I$237,9,0)</f>
        <v>#N/A</v>
      </c>
      <c r="FD159" s="12">
        <f t="array" ref="FD159">INDEX(FC:FC,MIN(IF(ISNUMBER(FC159:FC355),ROW(FC159:FC355),"")))</f>
        <v>0</v>
      </c>
      <c r="FE159" s="12">
        <f>IF('Données projet'!$A$218&gt;35,FE158+FD159-FM158,IF(A159&lt;'Données projet'!$A$218,$FB$205^A159,IF(A159='Données projet'!$A$218,'Données projet'!$B$218,FE158+FD159-FM158)))</f>
        <v>418.99999999999983</v>
      </c>
      <c r="FF159" s="17">
        <f>FE159*VLOOKUP('Données projet'!$B$16,Paramètres!$A$1:$I$89,3,0)*VLOOKUP('Données projet'!$B$16,Paramètres!$A$1:$I$89,5,0)</f>
        <v>359.5019999999999</v>
      </c>
      <c r="FG159" s="13">
        <f t="shared" si="182"/>
        <v>83.516011055432813</v>
      </c>
      <c r="FH159" s="20">
        <f t="shared" si="183"/>
        <v>771.58970258821194</v>
      </c>
      <c r="FI159" s="59">
        <f t="shared" si="131"/>
        <v>1064.9230359215453</v>
      </c>
      <c r="FJ159" s="59">
        <f ca="1">AVERAGE(OFFSET($FI$3,0,0,'Données projet'!$E$16+1,1))-AVERAGE(OFFSET($H$3,0,0,'Données projet'!$E$16+1,1))</f>
        <v>383.97627237444709</v>
      </c>
      <c r="FK159" s="59">
        <f t="shared" si="156"/>
        <v>203.35476578922339</v>
      </c>
      <c r="FL159" s="15">
        <f>IF(ISNA(VLOOKUP(A159,'Données projet'!$A$217:$I$237,3,0)),0,VLOOKUP(A159,'Données projet'!$A$217:$I$237,3,0))</f>
        <v>0</v>
      </c>
      <c r="FM159" s="15">
        <f>IF(ISNA(VLOOKUP(A159,'Données projet'!$A$217:$I$237,4,0)),0,VLOOKUP(A159,'Données projet'!$A$217:$I$237,4,0))</f>
        <v>0</v>
      </c>
      <c r="FN159" s="16">
        <f>IF(ISNA(VLOOKUP(A159,'Données projet'!$A$217:$I$237,5,0)),0%,VLOOKUP(A159,'Données projet'!$A$217:$I$237,5,0)*VLOOKUP('Données projet'!$B$16,Paramètres!$A$1:$I$89,7,0))</f>
        <v>0</v>
      </c>
      <c r="FO159" s="16">
        <f>IF(ISNA(VLOOKUP(A159,'Données projet'!$A$217:$I$237,6,0)),0%,VLOOKUP(A159,'Données projet'!$A$217:$I$237,6,0)*VLOOKUP('Données projet'!$B$16,Paramètres!$A$1:$I$89,7,0))</f>
        <v>0</v>
      </c>
      <c r="FP159" s="16">
        <f>IF(ISNA(VLOOKUP(A159,'Données projet'!$A$217:$I$237,7,0)),0%,VLOOKUP(A159,'Données projet'!$A$217:$I$237,7,0))</f>
        <v>0</v>
      </c>
      <c r="FQ159" s="21">
        <f>EXP(-LN(2)/35)*FQ158+(1-EXP(-LN(2)/35))/(LN(2)/35)*FM159*FN159*VLOOKUP('Données projet'!$B$16,Paramètres!$A$1:$I$89,3,0)*0.475*44/12</f>
        <v>0.42493856683313341</v>
      </c>
      <c r="FR159" s="21">
        <f>EXP(-LN(2)/25)*FR158+(1-EXP(-LN(2)/25))/(LN(2)/25)*Calculateur!FM159*Calculateur!FO159*VLOOKUP('Données projet'!$B$16,Paramètres!$A$1:$I$89,3,0)*0.475*44/12</f>
        <v>0.17907052779928409</v>
      </c>
      <c r="FS159" s="21">
        <f>EXP(-LN(2)/2)*FS158+(1-EXP(-LN(2)/2))/(LN(2)/2)*FM159*FP159*VLOOKUP('Données projet'!$B$16,Paramètres!$A$1:$I$89,3,0)*0.475*44/12</f>
        <v>1.8047945442593656E-18</v>
      </c>
      <c r="FT159" s="22">
        <f t="shared" si="184"/>
        <v>0.60400909463241748</v>
      </c>
      <c r="FU159" s="75">
        <f>('Scénario référence'!$F$8+'Scénario référence'!$F$9+'Scénario référence'!$B$17+'Scénario référence'!$B$9+'Scénario référence'!$B$10)*70+IF((45+25*(1-EXP(-0.0175*A159)))&lt;70,'Scénario référence'!$B$16*(45+25*(1-EXP(-0.0175*A159))),70*'Scénario référence'!$B$16)+IF((32+38*(1-EXP(-0.0175*A159)))&lt;70,'Scénario référence'!$B$18*(32+38*(1-EXP(-0.0175*A159))),70*'Scénario référence'!$B$18)</f>
        <v>70</v>
      </c>
      <c r="FV159" s="12">
        <f>IF(A159&gt;30,10,('Scénario référence'!$B$16+'Scénario référence'!$B$17+'Scénario référence'!$B$18+'Scénario référence'!$B$9+'Scénario référence'!$B$10)*A159*10/30+('Scénario référence'!$F$8+'Scénario référence'!$F$9)*10)</f>
        <v>10</v>
      </c>
      <c r="FW159" s="12" t="e">
        <f>VLOOKUP(A159,'Données projet'!$A$243:$I$263,2,0)</f>
        <v>#N/A</v>
      </c>
      <c r="FX159" s="12" t="e">
        <f>VLOOKUP(A159,'Données projet'!$A$243:$I$263,9,0)</f>
        <v>#N/A</v>
      </c>
      <c r="FY159" s="12">
        <f t="array" ref="FY159">INDEX(FX:FX,MIN(IF(ISNUMBER(FX159:FX355),ROW(FX159:FX355),"")))</f>
        <v>0</v>
      </c>
      <c r="FZ159" s="12">
        <f>IF('Données projet'!$A$244&gt;35,FZ158+FY159-GH158,IF(A159&lt;'Données projet'!$A$244,$FW$205^A159,IF(A159='Données projet'!$A$244,'Données projet'!$B$244,FZ158+FY159-GH158)))</f>
        <v>4.5474735088646412E-13</v>
      </c>
      <c r="GA159" s="17">
        <f>FZ159*VLOOKUP('Données projet'!$B$17,Paramètres!$A$1:$I$89,3,0)*VLOOKUP('Données projet'!$B$17,Paramètres!$A$1:$I$89,5,0)</f>
        <v>4.8949004849418999E-13</v>
      </c>
      <c r="GB159" s="13">
        <f t="shared" si="185"/>
        <v>6.1123715499968684E-12</v>
      </c>
      <c r="GC159" s="20">
        <f t="shared" si="186"/>
        <v>1.1498242284038591E-11</v>
      </c>
      <c r="GD159" s="59">
        <f t="shared" si="134"/>
        <v>293.3333333333448</v>
      </c>
      <c r="GE159" s="59">
        <f ca="1">AVERAGE(OFFSET($GD$3,0,0,'Données projet'!$E$17+1,1))-AVERAGE(OFFSET($H$3,0,0,'Données projet'!$E$17+1,1))</f>
        <v>286.77702855541287</v>
      </c>
      <c r="GF159" s="59">
        <f t="shared" si="158"/>
        <v>227.12211541860779</v>
      </c>
      <c r="GG159" s="15">
        <f>IF(ISNA(VLOOKUP(A159,'Données projet'!$A$243:$I$263,3,0)),0,VLOOKUP(A159,'Données projet'!$A$243:$I$263,3,0))</f>
        <v>0</v>
      </c>
      <c r="GH159" s="15">
        <f>IF(ISNA(VLOOKUP(A159,'Données projet'!$A$243:$I$263,4,0)),0,VLOOKUP(A159,'Données projet'!$A$243:$I$263,4,0))</f>
        <v>0</v>
      </c>
      <c r="GI159" s="16">
        <f>IF(ISNA(VLOOKUP(A159,'Données projet'!$A$243:$I$263,5,0)),0%,VLOOKUP(A159,'Données projet'!$A$243:$I$263,5,0)*VLOOKUP('Données projet'!$B$17,Paramètres!$A$1:$I$89,7,0))</f>
        <v>0</v>
      </c>
      <c r="GJ159" s="16">
        <f>IF(ISNA(VLOOKUP(A159,'Données projet'!$A$243:$I$263,6,0)),0%,VLOOKUP(A159,'Données projet'!$A$243:$I$263,6,0)*VLOOKUP('Données projet'!$B$17,Paramètres!$A$1:$I$89,7,0))</f>
        <v>0</v>
      </c>
      <c r="GK159" s="16">
        <f>IF(ISNA(VLOOKUP(A159,'Données projet'!$A$243:$I$263,7,0)),0%,VLOOKUP(A159,'Données projet'!$A$243:$I$263,7,0))</f>
        <v>0</v>
      </c>
      <c r="GL159" s="21">
        <f>EXP(-LN(2)/35)*GL158+(1-EXP(-LN(2)/35))/(LN(2)/35)*GH159*GI159*VLOOKUP('Données projet'!$B$17,Paramètres!$A$1:$I$89,3,0)*0.475*44/12</f>
        <v>0</v>
      </c>
      <c r="GM159" s="21">
        <f>EXP(-LN(2)/25)*GM158+(1-EXP(-LN(2)/25))/(LN(2)/25)*Calculateur!GH159*Calculateur!GJ159*VLOOKUP('Données projet'!$B$17,Paramètres!$A$1:$I$89,3,0)*0.475*44/12</f>
        <v>0</v>
      </c>
      <c r="GN159" s="21">
        <f>EXP(-LN(2)/2)*GN158+(1-EXP(-LN(2)/2))/(LN(2)/2)*GH159*GK159*VLOOKUP('Données projet'!$B$17,Paramètres!$A$1:$I$89,3,0)*0.475*44/12</f>
        <v>0</v>
      </c>
      <c r="GO159" s="21">
        <f t="shared" si="187"/>
        <v>0</v>
      </c>
      <c r="GP159" s="75">
        <f>('Scénario référence'!$F$8+'Scénario référence'!$F$9+'Scénario référence'!$B$17+'Scénario référence'!$B$9+'Scénario référence'!$B$10)*70+IF((45+25*(1-EXP(-0.0175*A159)))&lt;70,'Scénario référence'!$B$16*(45+25*(1-EXP(-0.0175*A159))),70*'Scénario référence'!$B$16)+IF((32+38*(1-EXP(-0.0175*A159)))&lt;70,'Scénario référence'!$B$18*(32+38*(1-EXP(-0.0175*A159))),70*'Scénario référence'!$B$18)</f>
        <v>70</v>
      </c>
      <c r="GQ159" s="12">
        <f>IF(A159&gt;30,10,('Scénario référence'!$B$16+'Scénario référence'!$B$17+'Scénario référence'!$B$18+'Scénario référence'!$B$9+'Scénario référence'!$B$10)*A159*10/30+('Scénario référence'!$F$8+'Scénario référence'!$F$9)*10)</f>
        <v>10</v>
      </c>
      <c r="GR159" s="12" t="e">
        <f>VLOOKUP(A159,'Données projet'!$A$269:$I$289,2,0)</f>
        <v>#N/A</v>
      </c>
      <c r="GS159" s="12" t="e">
        <f>VLOOKUP(A159,'Données projet'!$A$269:$I$289,9,0)</f>
        <v>#N/A</v>
      </c>
      <c r="GT159" s="12">
        <f t="array" ref="GT159">INDEX(GS:GS,MIN(IF(ISNUMBER(GS159:GS355),ROW(GS159:GS355),"")))</f>
        <v>0</v>
      </c>
      <c r="GU159" s="12">
        <f>IF('Données projet'!$A$270&gt;35,GU158+GT159-HC158,IF(A159&lt;'Données projet'!$A$270,$GR$205^A159,IF(A159='Données projet'!$A$270,'Données projet'!$B$270,GU158+GT159-HC158)))</f>
        <v>4.5474735088646412E-13</v>
      </c>
      <c r="GV159" s="17">
        <f>GU159*VLOOKUP('Données projet'!$B$18,Paramètres!$A$1:$I$89,3,0)*VLOOKUP('Données projet'!$B$18,Paramètres!$A$1:$I$89,5,0)</f>
        <v>4.8949004849418999E-13</v>
      </c>
      <c r="GW159" s="13">
        <f t="shared" si="188"/>
        <v>6.1123715499968684E-12</v>
      </c>
      <c r="GX159" s="20">
        <f t="shared" si="189"/>
        <v>1.1498242284038591E-11</v>
      </c>
      <c r="GY159" s="59">
        <f t="shared" si="137"/>
        <v>293.3333333333448</v>
      </c>
      <c r="GZ159" s="59">
        <f ca="1">AVERAGE(OFFSET($GY$3,0,0,'Données projet'!$E$18+1,1))-AVERAGE(OFFSET($H$3,0,0,'Données projet'!$E$18+1,1))</f>
        <v>286.77702855541287</v>
      </c>
      <c r="HA159" s="59">
        <f t="shared" si="160"/>
        <v>227.12211541860779</v>
      </c>
      <c r="HB159" s="15">
        <f>IF(ISNA(VLOOKUP(A159,'Données projet'!$A$269:$I$289,3,0)),0,VLOOKUP(A159,'Données projet'!$A$269:$I$289,3,0))</f>
        <v>0</v>
      </c>
      <c r="HC159" s="15">
        <f>IF(ISNA(VLOOKUP(A159,'Données projet'!$A$269:$I$289,4,0)),0,VLOOKUP(A159,'Données projet'!$A$269:$I$289,4,0))</f>
        <v>0</v>
      </c>
      <c r="HD159" s="16">
        <f>IF(ISNA(VLOOKUP(A159,'Données projet'!$A$269:$I$289,5,0)),0%,VLOOKUP(A159,'Données projet'!$A$269:$I$289,5,0)*VLOOKUP('Données projet'!$B$18,Paramètres!$A$1:$I$89,7,0))</f>
        <v>0</v>
      </c>
      <c r="HE159" s="16">
        <f>IF(ISNA(VLOOKUP(A159,'Données projet'!$A$269:$I$289,6,0)),0%,VLOOKUP(A159,'Données projet'!$A$269:$I$289,6,0)*VLOOKUP('Données projet'!$B$18,Paramètres!$A$1:$I$89,7,0))</f>
        <v>0</v>
      </c>
      <c r="HF159" s="16">
        <f>IF(ISNA(VLOOKUP(A159,'Données projet'!$A$269:$I$289,7,0)),0%,VLOOKUP(A159,'Données projet'!$A$269:$I$289,7,0))</f>
        <v>0</v>
      </c>
      <c r="HG159" s="21">
        <f>EXP(-LN(2)/35)*HG158+(1-EXP(-LN(2)/35))/(LN(2)/35)*HC159*HD159*VLOOKUP('Données projet'!$B$18,Paramètres!$A$1:$I$89,3,0)*0.475*44/12</f>
        <v>0</v>
      </c>
      <c r="HH159" s="21">
        <f>EXP(-LN(2)/25)*HH158+(1-EXP(-LN(2)/25))/(LN(2)/25)*Calculateur!HC159*Calculateur!HE159*VLOOKUP('Données projet'!$B$18,Paramètres!$A$1:$I$89,3,0)*0.475*44/12</f>
        <v>0</v>
      </c>
      <c r="HI159" s="21">
        <f>EXP(-LN(2)/2)*HI158+(1-EXP(-LN(2)/2))/(LN(2)/2)*HC159*HF159*VLOOKUP('Données projet'!$B$18,Paramètres!$A$1:$I$89,3,0)*0.475*44/12</f>
        <v>0</v>
      </c>
      <c r="HJ159" s="22">
        <f t="shared" si="190"/>
        <v>0</v>
      </c>
    </row>
    <row r="160" spans="1:218" x14ac:dyDescent="0.25">
      <c r="A160" s="10">
        <f t="shared" si="161"/>
        <v>157</v>
      </c>
      <c r="B160" s="73">
        <f>'Scénario référence'!$B$16*5+'Scénario référence'!$B$17*0+'Scénario référence'!$B$18*5</f>
        <v>0</v>
      </c>
      <c r="C160" s="19">
        <f>Calculateur!C159+'Scénario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139.60440000000008</v>
      </c>
      <c r="D160" s="11">
        <f t="shared" si="140"/>
        <v>36.206364170402217</v>
      </c>
      <c r="E16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60" s="11">
        <f>IF(OR('Scénario référence'!$F$8&gt;0,'Scénario référence'!$F$9&gt;0),('Scénario référence'!$F$8+'Scénario référence'!$F$9)*10,0)</f>
        <v>10</v>
      </c>
      <c r="G160" s="11">
        <f>'Scénario référence'!$B$8*B160*44/12+'Scénario référence'!$B$9*(C160+D160)/0.475*44/12+'Scénario référence'!$B$10*(C160+D160)/0.475*44/12+'Scénario référence'!$F$8*(C160+D160)/0.475*44/12+'Scénario référence'!$F$9*(C160+D160)/0.475*44/12</f>
        <v>1357.1357234206496</v>
      </c>
      <c r="H160" s="67">
        <f t="shared" si="110"/>
        <v>599.53708093011733</v>
      </c>
      <c r="I160" s="70">
        <f>('Scénario référence'!$F$8+'Scénario référence'!$F$9+'Scénario référence'!$B$17+'Scénario référence'!$B$9+'Scénario référence'!$B$10)*70+IF((45+25*(1-EXP(-0.0175*A160)))&lt;70,'Scénario référence'!$B$16*(45+25*(1-EXP(-0.0175*A160))),70*'Scénario référence'!$B$16)+IF((32+38*(1-EXP(-0.0175*A160)))&lt;70,'Scénario référence'!$B$18*(32+38*(1-EXP(-0.0175*A160))),70*'Scénario référence'!$B$18)</f>
        <v>70</v>
      </c>
      <c r="J160" s="13">
        <f>IF(A160&gt;30,10,('Scénario référence'!$B$16+'Scénario référence'!$B$17+'Scénario référence'!$B$18+'Scénario référence'!$B$9+'Scénario référence'!$B$10)*A160*10/30+('Scénario référence'!$F$8+'Scénario référence'!$F$9)*10)</f>
        <v>10</v>
      </c>
      <c r="K160" s="12" t="e">
        <f>VLOOKUP(A160,'Données projet'!$A$35:$I$55,2,0)</f>
        <v>#N/A</v>
      </c>
      <c r="L160" s="12" t="e">
        <f>VLOOKUP(A160,'Données projet'!$A$35:$I$55,9,0)</f>
        <v>#N/A</v>
      </c>
      <c r="M160" s="12">
        <f t="array" ref="M160">INDEX(L:L,MIN(IF(ISNUMBER(L160:L356),ROW(L160:L356),"")))</f>
        <v>0</v>
      </c>
      <c r="N160" s="13">
        <f>IF('Données projet'!$A$36&gt;35,N159+M160-V159,IF(A160&lt;'Données projet'!$A$36,$K$205^A160,IF(A160='Données projet'!$A$36,'Données projet'!$B$36,N159+M160-V159)))</f>
        <v>-2.2737367544323206E-13</v>
      </c>
      <c r="O160" s="13">
        <f>N160*VLOOKUP('Données projet'!$B$9,Paramètres!$A$1:$I$89,3,0)*VLOOKUP('Données projet'!$B$9,Paramètres!$A$1:$I$89,5,0)</f>
        <v>-1.2710188457276673E-13</v>
      </c>
      <c r="P160" s="13" t="e">
        <f t="shared" si="141"/>
        <v>#NUM!</v>
      </c>
      <c r="Q160" s="20" t="e">
        <f t="shared" si="162"/>
        <v>#NUM!</v>
      </c>
      <c r="R160" s="59" t="e">
        <f t="shared" si="109"/>
        <v>#NUM!</v>
      </c>
      <c r="S160" s="59">
        <f ca="1">AVERAGE(OFFSET($R$3,0,0,'Données projet'!$E$9+1,1))-AVERAGE(OFFSET($H$3,0,0,'Données projet'!$E$9+1,1))</f>
        <v>255.5374979188561</v>
      </c>
      <c r="T160" s="59">
        <f t="shared" si="142"/>
        <v>343.10418468620901</v>
      </c>
      <c r="U160" s="15">
        <f>IF(ISNA(VLOOKUP(A160,'Données projet'!$A$35:$I$55,3,0)),0,VLOOKUP(A160,'Données projet'!$A$35:$I$55,3,0))</f>
        <v>0</v>
      </c>
      <c r="V160" s="15">
        <f>IF(ISNA(VLOOKUP(A160,'Données projet'!$A$35:$I$55,4,0)),0,VLOOKUP(A160,'Données projet'!$A$35:$I$55,4,0))</f>
        <v>0</v>
      </c>
      <c r="W160" s="16">
        <f>IF(ISNA(VLOOKUP(A160,'Données projet'!$A$35:$I$55,5,0)),0%,VLOOKUP(A160,'Données projet'!$A$35:$I$55,5,0)*VLOOKUP('Données projet'!$B$9,Paramètres!$A$1:$I$89,7,0))</f>
        <v>0</v>
      </c>
      <c r="X160" s="16">
        <f>IF(ISNA(VLOOKUP(A160,'Données projet'!$A$35:$I$55,6,0)),0%,VLOOKUP(A160,'Données projet'!$A$35:$I$55,6,0)*VLOOKUP('Données projet'!$B$9,Paramètres!$A$1:$I$89,7,0))</f>
        <v>0</v>
      </c>
      <c r="Y160" s="16">
        <f>IF(ISNA(VLOOKUP(A160,'Données projet'!$A$35:$I$55,7,0)),0%,VLOOKUP(A160,'Données projet'!$A$35:$I$55,7,0))</f>
        <v>0</v>
      </c>
      <c r="Z160" s="21">
        <f>EXP(-LN(2)/35)*Z159+(1-EXP(-LN(2)/35))/(LN(2)/35)*V160*W160*VLOOKUP('Données projet'!$B$9,Paramètres!$A$1:$I$89,3,0)*0.475*44/12</f>
        <v>0.24983620760863254</v>
      </c>
      <c r="AA160" s="21">
        <f>EXP(-LN(2)/25)*AA159+(1-EXP(-LN(2)/25))/(LN(2)/25)*Calculateur!V160*Calculateur!X160*VLOOKUP('Données projet'!$B$9,Paramètres!$A$1:$I$89,3,0)*0.475*44/12</f>
        <v>0.47185391230975288</v>
      </c>
      <c r="AB160" s="21">
        <f>EXP(-LN(2)/2)*AB159+(1-EXP(-LN(2)/2))/(LN(2)/2)*V160*Y160*VLOOKUP('Données projet'!$B$9,Paramètres!$A$1:$I$89,3,0)*0.475*44/12</f>
        <v>1.2976661450811714E-19</v>
      </c>
      <c r="AC160" s="22">
        <f t="shared" si="163"/>
        <v>0.72169011991838539</v>
      </c>
      <c r="AD160" s="13">
        <f>('Scénario référence'!$F$8+'Scénario référence'!$F$9+'Scénario référence'!$B$17+'Scénario référence'!$B$9+'Scénario référence'!$B$10)*70+IF((45+25*(1-EXP(-0.0175*A160)))&lt;70,'Scénario référence'!$B$16*(45+25*(1-EXP(-0.0175*A160))),70*'Scénario référence'!$B$16)+IF((32+38*(1-EXP(-0.0175*A160)))&lt;70,'Scénario référence'!$B$18*(32+38*(1-EXP(-0.0175*A160))),70*'Scénario référence'!$B$18)</f>
        <v>70</v>
      </c>
      <c r="AE160" s="13">
        <f>IF(A160&gt;30,10,('Scénario référence'!$B$16+'Scénario référence'!$B$17+'Scénario référence'!$B$18+'Scénario référence'!$B$9+'Scénario référence'!$B$10)*A160*10/30+('Scénario référence'!$F$8+'Scénario référence'!$F$9)*10)</f>
        <v>10</v>
      </c>
      <c r="AF160" s="12" t="e">
        <f>VLOOKUP(A160,'Données projet'!$A$61:$I$81,2,0)</f>
        <v>#N/A</v>
      </c>
      <c r="AG160" s="12" t="e">
        <f>VLOOKUP(A160,'Données projet'!$A$61:$I$81,9,0)</f>
        <v>#N/A</v>
      </c>
      <c r="AH160" s="12">
        <f t="array" ref="AH160">INDEX(AG:AG,MIN(IF(ISNUMBER(AG160:AG356),ROW(AG160:AG356),"")))</f>
        <v>0</v>
      </c>
      <c r="AI160" s="13">
        <f>IF('Données projet'!$A$62&gt;35,AI159+AH160-AQ159,IF(A160&lt;'Données projet'!$A$62,$AF$205^A160,IF(A160='Données projet'!$A$62,'Données projet'!$B$62,AI159+AH160-AQ159)))</f>
        <v>0</v>
      </c>
      <c r="AJ160" s="13">
        <f>AI160*VLOOKUP('Données projet'!$B$10,Paramètres!$A$1:$I$89,3,0)*VLOOKUP('Données projet'!$B$10,Paramètres!$A$1:$I$89,5,0)</f>
        <v>0</v>
      </c>
      <c r="AK160" s="13" t="e">
        <f t="shared" si="164"/>
        <v>#NUM!</v>
      </c>
      <c r="AL160" s="20" t="e">
        <f t="shared" si="165"/>
        <v>#NUM!</v>
      </c>
      <c r="AM160" s="59" t="e">
        <f t="shared" si="113"/>
        <v>#NUM!</v>
      </c>
      <c r="AN160" s="59">
        <f ca="1">AVERAGE(OFFSET($AM$3,0,0,'Données projet'!$E$10+1,1))-AVERAGE(OFFSET($H$3,0,0,'Données projet'!$E$10+1,1))</f>
        <v>261.78489480911571</v>
      </c>
      <c r="AO160" s="59">
        <f t="shared" si="144"/>
        <v>297.50513563712764</v>
      </c>
      <c r="AP160" s="15">
        <f>IF(ISNA(VLOOKUP(A160,'Données projet'!$A$61:$I$81,3,0)),0,VLOOKUP(A160,'Données projet'!$A$61:$I$81,3,0))</f>
        <v>0</v>
      </c>
      <c r="AQ160" s="15">
        <f>IF(ISNA(VLOOKUP(A160,'Données projet'!$A$61:$I$81,4,0)),0,VLOOKUP(A160,'Données projet'!$A$61:$I$81,4,0))</f>
        <v>0</v>
      </c>
      <c r="AR160" s="16">
        <f>IF(ISNA(VLOOKUP(A160,'Données projet'!$A$61:$I$81,5,0)),0%,VLOOKUP(A160,'Données projet'!$A$61:$I$81,5,0)*VLOOKUP('Données projet'!$B$10,Paramètres!$A$1:$I$89,7,0))</f>
        <v>0</v>
      </c>
      <c r="AS160" s="16">
        <f>IF(ISNA(VLOOKUP(A160,'Données projet'!$A$61:$I$81,6,0)),0%,VLOOKUP(A160,'Données projet'!$A$61:$I$81,6,0)*VLOOKUP('Données projet'!$B$10,Paramètres!$A$1:$I$89,7,0))</f>
        <v>0</v>
      </c>
      <c r="AT160" s="16">
        <f>IF(ISNA(VLOOKUP(A160,'Données projet'!$A$61:$I$81,7,0)),0%,VLOOKUP(A160,'Données projet'!$A$61:$I$81,7,0))</f>
        <v>0</v>
      </c>
      <c r="AU160" s="21">
        <f>EXP(-LN(2)/35)*AU159+(1-EXP(-LN(2)/35))/(LN(2)/35)*AQ160*AR160*VLOOKUP('Données projet'!$B$10,Paramètres!$A$1:$I$89,3,0)*0.475*44/12</f>
        <v>0.67462842637568998</v>
      </c>
      <c r="AV160" s="21">
        <f>EXP(-LN(2)/25)*AV159+(1-EXP(-LN(2)/25))/(LN(2)/25)*Calculateur!AQ160*Calculateur!AS160*VLOOKUP('Données projet'!$B$10,Paramètres!$A$1:$I$89,3,0)*0.475*44/12</f>
        <v>0.82395317062947793</v>
      </c>
      <c r="AW160" s="21">
        <f>EXP(-LN(2)/2)*AW159+(1-EXP(-LN(2)/2))/(LN(2)/2)*AQ160*AT160*VLOOKUP('Données projet'!$B$10,Paramètres!$A$1:$I$89,3,0)*0.475*44/12</f>
        <v>1.8707092864729841E-18</v>
      </c>
      <c r="AX160" s="21">
        <f t="shared" si="166"/>
        <v>1.4985815970051679</v>
      </c>
      <c r="AY160" s="74">
        <f>('Scénario référence'!$F$8+'Scénario référence'!$F$9+'Scénario référence'!$B$17+'Scénario référence'!$B$9+'Scénario référence'!$B$10)*70+IF((45+25*(1-EXP(-0.0175*A160)))&lt;70,'Scénario référence'!$B$16*(45+25*(1-EXP(-0.0175*A160))),70*'Scénario référence'!$B$16)+IF((32+38*(1-EXP(-0.0175*A160)))&lt;70,'Scénario référence'!$B$18*(32+38*(1-EXP(-0.0175*A160))),70*'Scénario référence'!$B$18)</f>
        <v>70</v>
      </c>
      <c r="AZ160" s="12">
        <f>IF(A160&gt;30,10,('Scénario référence'!$B$16+'Scénario référence'!$B$17+'Scénario référence'!$B$18+'Scénario référence'!$B$9+'Scénario référence'!$B$10)*A160*10/30+('Scénario référence'!$F$8+'Scénario référence'!$F$9)*10)</f>
        <v>10</v>
      </c>
      <c r="BA160" s="12" t="e">
        <f>VLOOKUP(A160,'Données projet'!$A$87:$I$107,2,0)</f>
        <v>#N/A</v>
      </c>
      <c r="BB160" s="12" t="e">
        <f>VLOOKUP(A160,'Données projet'!$A$87:$I$107,9,0)</f>
        <v>#N/A</v>
      </c>
      <c r="BC160" s="12">
        <f t="array" ref="BC160">INDEX(BB:BB,MIN(IF(ISNUMBER(BB160:BB356),ROW(BB160:BB356),"")))</f>
        <v>0</v>
      </c>
      <c r="BD160" s="12">
        <f>IF('Données projet'!$A$88&gt;35,BD159+BC160-BL159,IF(A160&lt;'Données projet'!$A$88,$BA$205^A160,IF(A160='Données projet'!$A$88,'Données projet'!$B$88,BD159+BC160-BL159)))</f>
        <v>553.99999999999955</v>
      </c>
      <c r="BE160" s="13">
        <f>BD160*VLOOKUP('Données projet'!$B$11,Paramètres!$A$1:$I$89,3,0)*VLOOKUP('Données projet'!$B$11,Paramètres!$A$1:$I$89,5,0)</f>
        <v>331.29199999999975</v>
      </c>
      <c r="BF160" s="13">
        <f t="shared" si="167"/>
        <v>77.698110787752</v>
      </c>
      <c r="BG160" s="20">
        <f t="shared" si="168"/>
        <v>712.32444295533423</v>
      </c>
      <c r="BH160" s="59">
        <f t="shared" si="116"/>
        <v>1005.6577762886675</v>
      </c>
      <c r="BI160" s="59">
        <f ca="1">AVERAGE(OFFSET($BH$3,0,0,'Données projet'!$E$11+1,1))-AVERAGE(OFFSET($H$3,0,0,'Données projet'!$E$11+1,1))</f>
        <v>316.58509520829671</v>
      </c>
      <c r="BJ160" s="59">
        <f t="shared" si="146"/>
        <v>240.71332110643596</v>
      </c>
      <c r="BK160" s="15">
        <f>IF(ISNA(VLOOKUP(A160,'Données projet'!$A$87:$I$107,3,0)),0,VLOOKUP(A160,'Données projet'!$A$87:$I$107,3,0))</f>
        <v>0</v>
      </c>
      <c r="BL160" s="15">
        <f>IF(ISNA(VLOOKUP(A160,'Données projet'!$A$87:$I$107,4,0)),0,VLOOKUP(A160,'Données projet'!$A$87:$I$107,4,0))</f>
        <v>0</v>
      </c>
      <c r="BM160" s="16">
        <f>IF(ISNA(VLOOKUP(A160,'Données projet'!$A$87:$I$107,5,0)),0%,VLOOKUP(A160,'Données projet'!$A$87:$I$107,5,0)*VLOOKUP('Données projet'!$B$11,Paramètres!$A$1:$I$89,7,0))</f>
        <v>0</v>
      </c>
      <c r="BN160" s="16">
        <f>IF(ISNA(VLOOKUP(A160,'Données projet'!$A$87:$I$107,6,0)),0%,VLOOKUP(A160,'Données projet'!$A$87:$I$107,6,0)*VLOOKUP('Données projet'!$B$11,Paramètres!$A$1:$I$89,7,0))</f>
        <v>0</v>
      </c>
      <c r="BO160" s="16">
        <f>IF(ISNA(VLOOKUP(A160,'Données projet'!$A$87:$I$107,7,0)),0%,VLOOKUP(A160,'Données projet'!$A$87:$I$107,7,0))</f>
        <v>0</v>
      </c>
      <c r="BP160" s="21">
        <f>EXP(-LN(2)/35)*BP159+(1-EXP(-LN(2)/35))/(LN(2)/35)*BL160*BM160*VLOOKUP('Données projet'!$B$11,Paramètres!$A$1:$I$89,3,0)*0.475*44/12</f>
        <v>0.20492340406835988</v>
      </c>
      <c r="BQ160" s="21">
        <f>EXP(-LN(2)/25)*BQ159+(1-EXP(-LN(2)/25))/(LN(2)/25)*Calculateur!BL160*Calculateur!BN160*VLOOKUP('Données projet'!$B$11,Paramètres!$A$1:$I$89,3,0)*0.475*44/12</f>
        <v>0.45138558823954578</v>
      </c>
      <c r="BR160" s="21">
        <f>EXP(-LN(2)/2)*BR159+(1-EXP(-LN(2)/2))/(LN(2)/2)*BL160*BO160*VLOOKUP('Données projet'!$B$11,Paramètres!$A$1:$I$89,3,0)*0.475*44/12</f>
        <v>1.6819725147902548E-18</v>
      </c>
      <c r="BS160" s="22">
        <f t="shared" si="169"/>
        <v>0.65630899230790563</v>
      </c>
      <c r="BT160" s="75">
        <f>('Scénario référence'!$F$8+'Scénario référence'!$F$9+'Scénario référence'!$B$17+'Scénario référence'!$B$9+'Scénario référence'!$B$10)*70+IF((45+25*(1-EXP(-0.0175*A160)))&lt;70,'Scénario référence'!$B$16*(45+25*(1-EXP(-0.0175*A160))),70*'Scénario référence'!$B$16)+IF((32+38*(1-EXP(-0.0175*A160)))&lt;70,'Scénario référence'!$B$18*(32+38*(1-EXP(-0.0175*A160))),70*'Scénario référence'!$B$18)</f>
        <v>70</v>
      </c>
      <c r="BU160" s="12">
        <f>IF(A160&gt;30,10,('Scénario référence'!$B$16+'Scénario référence'!$B$17+'Scénario référence'!$B$18+'Scénario référence'!$B$9+'Scénario référence'!$B$10)*A160*10/30+('Scénario référence'!$F$8+'Scénario référence'!$F$9)*10)</f>
        <v>10</v>
      </c>
      <c r="BV160" s="12" t="e">
        <f>VLOOKUP(A160,'Données projet'!$A$113:$I$133,2,0)</f>
        <v>#N/A</v>
      </c>
      <c r="BW160" s="12" t="e">
        <f>VLOOKUP(A160,'Données projet'!$A$113:$I$133,9,0)</f>
        <v>#N/A</v>
      </c>
      <c r="BX160" s="12">
        <f t="array" ref="BX160">INDEX(BW:BW,MIN(IF(ISNUMBER(BW160:BW356),ROW(BW160:BW356),"")))</f>
        <v>0</v>
      </c>
      <c r="BY160" s="12">
        <f>IF('Données projet'!$A$114&gt;35,BY159+BX160-CG159,IF(A160&lt;'Données projet'!$A$114,$BV$205^A160,IF(A160='Données projet'!$A$114,'Données projet'!$B$114,BY159+BX160-CG159)))</f>
        <v>333.99999999999977</v>
      </c>
      <c r="BZ160" s="13">
        <f>BY160*VLOOKUP('Données projet'!$B$12,Paramètres!$A$1:$I$89,3,0)*VLOOKUP('Données projet'!$B$12,Paramètres!$A$1:$I$89,5,0)</f>
        <v>191.04799999999986</v>
      </c>
      <c r="CA160" s="13">
        <f t="shared" si="170"/>
        <v>47.771576544305155</v>
      </c>
      <c r="CB160" s="20">
        <f t="shared" si="171"/>
        <v>415.94409581466454</v>
      </c>
      <c r="CC160" s="59">
        <f t="shared" si="119"/>
        <v>709.27742914799785</v>
      </c>
      <c r="CD160" s="59">
        <f ca="1">AVERAGE(OFFSET($CC$3,0,0,'Données projet'!$E$12+1,1))-AVERAGE(OFFSET($H$3,0,0,'Données projet'!$E$12+1,1))</f>
        <v>188.64374818906128</v>
      </c>
      <c r="CE160" s="59">
        <f t="shared" si="148"/>
        <v>211.95157880548652</v>
      </c>
      <c r="CF160" s="15">
        <f>IF(ISNA(VLOOKUP(A160,'Données projet'!$A$113:$I$133,3,0)),0,VLOOKUP(A160,'Données projet'!$A$113:$I$133,3,0))</f>
        <v>0</v>
      </c>
      <c r="CG160" s="15">
        <f>IF(ISNA(VLOOKUP(A160,'Données projet'!$A$113:$I$133,4,0)),0,VLOOKUP(A160,'Données projet'!$A$113:$I$133,4,0))</f>
        <v>0</v>
      </c>
      <c r="CH160" s="16">
        <f>IF(ISNA(VLOOKUP(A160,'Données projet'!$A$113:$I$133,5,0)),0%,VLOOKUP(A160,'Données projet'!$A$113:$I$133,5,0)*VLOOKUP('Données projet'!$B$12,Paramètres!$A$1:$I$89,7,0))</f>
        <v>0</v>
      </c>
      <c r="CI160" s="16">
        <f>IF(ISNA(VLOOKUP(A160,'Données projet'!$A$113:$I$133,6,0)),0%,VLOOKUP(A160,'Données projet'!$A$113:$I$133,6,0)*VLOOKUP('Données projet'!$B$12,Paramètres!$A$1:$I$89,7,0))</f>
        <v>0</v>
      </c>
      <c r="CJ160" s="16">
        <f>IF(ISNA(VLOOKUP(A160,'Données projet'!$A$113:$I$133,7,0)),0%,VLOOKUP(A160,'Données projet'!$A$113:$I$133,7,0))</f>
        <v>0</v>
      </c>
      <c r="CK160" s="21">
        <f>EXP(-LN(2)/35)*CK159+(1-EXP(-LN(2)/35))/(LN(2)/35)*CG160*CH160*VLOOKUP('Données projet'!$B$12,Paramètres!$A$1:$I$89,3,0)*0.475*44/12</f>
        <v>0.19877444705712288</v>
      </c>
      <c r="CL160" s="21">
        <f>EXP(-LN(2)/25)*CL159+(1-EXP(-LN(2)/25))/(LN(2)/25)*Calculateur!CG160*Calculateur!CI160*VLOOKUP('Données projet'!$B$12,Paramètres!$A$1:$I$89,3,0)*0.475*44/12</f>
        <v>0.42485433581644727</v>
      </c>
      <c r="CM160" s="21">
        <f>EXP(-LN(2)/2)*CM159+(1-EXP(-LN(2)/2))/(LN(2)/2)*CG160*CJ160*VLOOKUP('Données projet'!$B$12,Paramètres!$A$1:$I$89,3,0)*0.475*44/12</f>
        <v>1.6288587810903593E-18</v>
      </c>
      <c r="CN160" s="22">
        <f t="shared" si="172"/>
        <v>0.62362878287357015</v>
      </c>
      <c r="CO160" s="75">
        <f>('Scénario référence'!$F$8+'Scénario référence'!$F$9+'Scénario référence'!$B$17+'Scénario référence'!$B$9+'Scénario référence'!$B$10)*70+IF((45+25*(1-EXP(-0.0175*A160)))&lt;70,'Scénario référence'!$B$16*(45+25*(1-EXP(-0.0175*A160))),70*'Scénario référence'!$B$16)+IF((32+38*(1-EXP(-0.0175*A160)))&lt;70,'Scénario référence'!$B$18*(32+38*(1-EXP(-0.0175*A160))),70*'Scénario référence'!$B$18)</f>
        <v>70</v>
      </c>
      <c r="CP160" s="12">
        <f>IF(A160&gt;30,10,('Scénario référence'!$B$16+'Scénario référence'!$B$17+'Scénario référence'!$B$18+'Scénario référence'!$B$9+'Scénario référence'!$B$10)*A160*10/30+('Scénario référence'!$F$8+'Scénario référence'!$F$9)*10)</f>
        <v>10</v>
      </c>
      <c r="CQ160" s="12" t="e">
        <f>VLOOKUP(A160,'Données projet'!$A$139:$I$159,2,0)</f>
        <v>#N/A</v>
      </c>
      <c r="CR160" s="12" t="e">
        <f>VLOOKUP(A160,'Données projet'!$A$139:$I$159,9,0)</f>
        <v>#N/A</v>
      </c>
      <c r="CS160" s="12">
        <f t="array" ref="CS160">INDEX(CR:CR,MIN(IF(ISNUMBER(CR160:CR356),ROW(CR160:CR356),"")))</f>
        <v>0</v>
      </c>
      <c r="CT160" s="12">
        <f>IF('Données projet'!$A$140&gt;35,CT159+CS160-DB159,IF(A160&lt;'Données projet'!$A$140,$CQ$205^A160,IF(A160='Données projet'!$A$140,'Données projet'!$B$140,CT159+CS160-DB159)))</f>
        <v>0</v>
      </c>
      <c r="CU160" s="17" t="e">
        <f>CT160*VLOOKUP('Données projet'!$B$13,Paramètres!$A$1:$I$89,3,0)*VLOOKUP('Données projet'!$B$13,Paramètres!$A$1:$I$89,5,0)</f>
        <v>#N/A</v>
      </c>
      <c r="CV160" s="13" t="e">
        <f t="shared" si="173"/>
        <v>#N/A</v>
      </c>
      <c r="CW160" s="20" t="e">
        <f t="shared" si="174"/>
        <v>#N/A</v>
      </c>
      <c r="CX160" s="59" t="e">
        <f t="shared" si="122"/>
        <v>#N/A</v>
      </c>
      <c r="CY160" s="59" t="e">
        <f ca="1">AVERAGE(OFFSET($CX$3,0,0,'Données projet'!$E$13+1,1))-AVERAGE(OFFSET($H$3,0,0,'Données projet'!$E$13+1,1))</f>
        <v>#N/A</v>
      </c>
      <c r="CZ160" s="59" t="e">
        <f t="shared" si="150"/>
        <v>#N/A</v>
      </c>
      <c r="DA160" s="15">
        <f>IF(ISNA(VLOOKUP(A160,'Données projet'!$A$139:$I$159,3,0)),0,VLOOKUP(A160,'Données projet'!$A$139:$I$159,3,0))</f>
        <v>0</v>
      </c>
      <c r="DB160" s="15">
        <f>IF(ISNA(VLOOKUP(A160,'Données projet'!$A$139:$I$159,4,0)),0,VLOOKUP(A160,'Données projet'!$A$139:$I$159,4,0))</f>
        <v>0</v>
      </c>
      <c r="DC160" s="16">
        <f>IF(ISNA(VLOOKUP(A160,'Données projet'!$A$139:$I$159,5,0)),0%,VLOOKUP(A160,'Données projet'!$A$139:$I$159,5,0)*VLOOKUP('Données projet'!$B$13,Paramètres!$A$1:$I$89,7,0))</f>
        <v>0</v>
      </c>
      <c r="DD160" s="16">
        <f>IF(ISNA(VLOOKUP(A160,'Données projet'!$A$139:$I$159,6,0)),0%,VLOOKUP(A160,'Données projet'!$A$139:$I$159,6,0)*VLOOKUP('Données projet'!$B$13,Paramètres!$A$1:$I$89,7,0))</f>
        <v>0</v>
      </c>
      <c r="DE160" s="16">
        <f>IF(ISNA(VLOOKUP(A160,'Données projet'!$A$139:$I$159,7,0)),0%,VLOOKUP(A160,'Données projet'!$A$139:$I$159,7,0))</f>
        <v>0</v>
      </c>
      <c r="DF160" s="21" t="e">
        <f>EXP(-LN(2)/35)*DF159+(1-EXP(-LN(2)/35))/(LN(2)/35)*DB160*DC160*VLOOKUP('Données projet'!$B$13,Paramètres!$A$1:$I$89,3,0)*0.475*44/12</f>
        <v>#N/A</v>
      </c>
      <c r="DG160" s="21" t="e">
        <f>EXP(-LN(2)/25)*DG159+(1-EXP(-LN(2)/25))/(LN(2)/25)*Calculateur!DB160*Calculateur!DD160*VLOOKUP('Données projet'!$B$13,Paramètres!$A$1:$I$89,3,0)*0.475*44/12</f>
        <v>#N/A</v>
      </c>
      <c r="DH160" s="21" t="e">
        <f>EXP(-LN(2)/2)*DH159+(1-EXP(-LN(2)/2))/(LN(2)/2)*DB160*DE160*VLOOKUP('Données projet'!$B$13,Paramètres!$A$1:$I$89,3,0)*0.475*44/12</f>
        <v>#N/A</v>
      </c>
      <c r="DI160" s="22" t="e">
        <f t="shared" si="175"/>
        <v>#N/A</v>
      </c>
      <c r="DJ160" s="75">
        <f>('Scénario référence'!$F$8+'Scénario référence'!$F$9+'Scénario référence'!$B$17+'Scénario référence'!$B$9+'Scénario référence'!$B$10)*70+IF((45+25*(1-EXP(-0.0175*A160)))&lt;70,'Scénario référence'!$B$16*(45+25*(1-EXP(-0.0175*A160))),70*'Scénario référence'!$B$16)+IF((32+38*(1-EXP(-0.0175*A160)))&lt;70,'Scénario référence'!$B$18*(32+38*(1-EXP(-0.0175*A160))),70*'Scénario référence'!$B$18)</f>
        <v>70</v>
      </c>
      <c r="DK160" s="12">
        <f>IF(A160&gt;30,10,('Scénario référence'!$B$16+'Scénario référence'!$B$17+'Scénario référence'!$B$18+'Scénario référence'!$B$9+'Scénario référence'!$B$10)*A160*10/30+('Scénario référence'!$F$8+'Scénario référence'!$F$9)*10)</f>
        <v>10</v>
      </c>
      <c r="DL160" s="12" t="e">
        <f>VLOOKUP(A160,'Données projet'!$A$165:$I$185,2,0)</f>
        <v>#N/A</v>
      </c>
      <c r="DM160" s="12" t="e">
        <f>VLOOKUP(A160,'Données projet'!$A$165:$I$185,9,0)</f>
        <v>#N/A</v>
      </c>
      <c r="DN160" s="12">
        <f t="array" ref="DN160">INDEX(DM:DM,MIN(IF(ISNUMBER(DM160:DM356),ROW(DM160:DM356),"")))</f>
        <v>0</v>
      </c>
      <c r="DO160" s="12">
        <f>IF('Données projet'!$A$166&gt;35,DO159+DN160-DW159,IF(A160&lt;'Données projet'!$A$166,$DL$205^A160,IF(A160='Données projet'!$A$166,'Données projet'!$B$166,DO159+DN160-DW159)))</f>
        <v>268.00000000000017</v>
      </c>
      <c r="DP160" s="17">
        <f>DO160*VLOOKUP('Données projet'!$B$14,Paramètres!$A$1:$I$89,3,0)*VLOOKUP('Données projet'!$B$14,Paramètres!$A$1:$I$89,5,0)</f>
        <v>175.59360000000012</v>
      </c>
      <c r="DQ160" s="13">
        <f t="shared" si="176"/>
        <v>44.340433728638573</v>
      </c>
      <c r="DR160" s="20">
        <f t="shared" si="177"/>
        <v>383.05177541071242</v>
      </c>
      <c r="DS160" s="59">
        <f t="shared" si="125"/>
        <v>676.38510874404574</v>
      </c>
      <c r="DT160" s="59">
        <f ca="1">AVERAGE(OFFSET($DS$3,0,0,'Données projet'!$E$14+1,1))-AVERAGE(OFFSET($H$3,0,0,'Données projet'!$E$14+1,1))</f>
        <v>188.68915783955595</v>
      </c>
      <c r="DU160" s="59">
        <f t="shared" si="152"/>
        <v>240.82467772396944</v>
      </c>
      <c r="DV160" s="15">
        <f>IF(ISNA(VLOOKUP(A160,'Données projet'!$A$165:$I$185,3,0)),0,VLOOKUP(A160,'Données projet'!$A$165:$I$185,3,0))</f>
        <v>0</v>
      </c>
      <c r="DW160" s="15">
        <f>IF(ISNA(VLOOKUP(A160,'Données projet'!$A$165:$I$185,4,0)),0,VLOOKUP(A160,'Données projet'!$A$165:$I$185,4,0))</f>
        <v>0</v>
      </c>
      <c r="DX160" s="16">
        <f>IF(ISNA(VLOOKUP(A160,'Données projet'!$A$165:$I$185,5,0)),0%,VLOOKUP(A160,'Données projet'!$A$165:$I$185,5,0)*VLOOKUP('Données projet'!$B$14,Paramètres!$A$1:$I$89,7,0))</f>
        <v>0</v>
      </c>
      <c r="DY160" s="16">
        <f>IF(ISNA(VLOOKUP(A160,'Données projet'!$A$165:$I$185,6,0)),0%,VLOOKUP(A160,'Données projet'!$A$165:$I$185,6,0)*VLOOKUP('Données projet'!$B$14,Paramètres!$A$1:$I$89,7,0))</f>
        <v>0</v>
      </c>
      <c r="DZ160" s="16">
        <f>IF(ISNA(VLOOKUP(A160,'Données projet'!$A$165:$I$185,7,0)),0%,VLOOKUP(A160,'Données projet'!$A$165:$I$185,7,0))</f>
        <v>0</v>
      </c>
      <c r="EA160" s="21">
        <f>EXP(-LN(2)/35)*EA159+(1-EXP(-LN(2)/35))/(LN(2)/35)*DW160*DX160*VLOOKUP('Données projet'!$B$14,Paramètres!$A$1:$I$89,3,0)*0.475*44/12</f>
        <v>0.12590721499199067</v>
      </c>
      <c r="EB160" s="21">
        <f>EXP(-LN(2)/25)*EB159+(1-EXP(-LN(2)/25))/(LN(2)/25)*Calculateur!DW160*Calculateur!DY160*VLOOKUP('Données projet'!$B$14,Paramètres!$A$1:$I$89,3,0)*0.475*44/12</f>
        <v>0.23763871967852332</v>
      </c>
      <c r="EC160" s="21">
        <f>EXP(-LN(2)/2)*EC159+(1-EXP(-LN(2)/2))/(LN(2)/2)*DW160*DZ160*VLOOKUP('Données projet'!$B$14,Paramètres!$A$1:$I$89,3,0)*0.475*44/12</f>
        <v>1.0730300111232964E-18</v>
      </c>
      <c r="ED160" s="22">
        <f t="shared" si="178"/>
        <v>0.36354593467051399</v>
      </c>
      <c r="EE160" s="75">
        <f>('Scénario référence'!$F$8+'Scénario référence'!$F$9+'Scénario référence'!$B$17+'Scénario référence'!$B$9+'Scénario référence'!$B$10)*70+IF((45+25*(1-EXP(-0.0175*A160)))&lt;70,'Scénario référence'!$B$16*(45+25*(1-EXP(-0.0175*A160))),70*'Scénario référence'!$B$16)+IF((32+38*(1-EXP(-0.0175*A160)))&lt;70,'Scénario référence'!$B$18*(32+38*(1-EXP(-0.0175*A160))),70*'Scénario référence'!$B$18)</f>
        <v>70</v>
      </c>
      <c r="EF160" s="12">
        <f>IF(A160&gt;30,10,('Scénario référence'!$B$16+'Scénario référence'!$B$17+'Scénario référence'!$B$18+'Scénario référence'!$B$9+'Scénario référence'!$B$10)*A160*10/30+('Scénario référence'!$F$8+'Scénario référence'!$F$9)*10)</f>
        <v>10</v>
      </c>
      <c r="EG160" s="12" t="e">
        <f>VLOOKUP(A160,'Données projet'!$A$191:$I$211,2,0)</f>
        <v>#N/A</v>
      </c>
      <c r="EH160" s="12" t="e">
        <f>VLOOKUP(A160,'Données projet'!$A$191:$I$211,9,0)</f>
        <v>#N/A</v>
      </c>
      <c r="EI160" s="12">
        <f t="array" ref="EI160">INDEX(EH:EH,MIN(IF(ISNUMBER(EH160:EH356),ROW(EH160:EH356),"")))</f>
        <v>0</v>
      </c>
      <c r="EJ160" s="12">
        <f>IF('Données projet'!$A$192&gt;35,EJ159+EI160-ER159,IF(A160&lt;'Données projet'!$A$192,$EG$205^A160,IF(A160='Données projet'!$A$192,'Données projet'!$B$192,EJ159+EI160-ER159)))</f>
        <v>275.99999999999972</v>
      </c>
      <c r="EK160" s="17">
        <f>EJ160*VLOOKUP('Données projet'!$B$15,Paramètres!$A$1:$I$89,3,0)*VLOOKUP('Données projet'!$B$15,Paramètres!$A$1:$I$89,5,0)</f>
        <v>223.8911999999998</v>
      </c>
      <c r="EL160" s="13">
        <f t="shared" si="179"/>
        <v>54.95975389514858</v>
      </c>
      <c r="EM160" s="20">
        <f t="shared" si="180"/>
        <v>485.66541136738346</v>
      </c>
      <c r="EN160" s="59">
        <f t="shared" si="128"/>
        <v>778.99874470071677</v>
      </c>
      <c r="EO160" s="59">
        <f ca="1">AVERAGE(OFFSET($EN$3,0,0,'Données projet'!$E$15+1,1))-AVERAGE(OFFSET($H$3,0,0,'Données projet'!$E$15+1,1))</f>
        <v>205.5272583787887</v>
      </c>
      <c r="EP160" s="59">
        <f t="shared" si="154"/>
        <v>180.54762778843178</v>
      </c>
      <c r="EQ160" s="15">
        <f>IF(ISNA(VLOOKUP(A160,'Données projet'!$A$191:$I$211,3,0)),0,VLOOKUP(A160,'Données projet'!$A$191:$I$211,3,0))</f>
        <v>0</v>
      </c>
      <c r="ER160" s="15">
        <f>IF(ISNA(VLOOKUP(A160,'Données projet'!$A$191:$I$211,4,0)),0,VLOOKUP(A160,'Données projet'!$A$191:$I$211,4,0))</f>
        <v>0</v>
      </c>
      <c r="ES160" s="16">
        <f>IF(ISNA(VLOOKUP(A160,'Données projet'!$A$191:$I$211,5,0)),0%,VLOOKUP(A160,'Données projet'!$A$191:$I$211,5,0)*VLOOKUP('Données projet'!$B$15,Paramètres!$A$1:$I$89,7,0))</f>
        <v>0</v>
      </c>
      <c r="ET160" s="16">
        <f>IF(ISNA(VLOOKUP(A160,'Données projet'!$A$191:$I$211,6,0)),0%,VLOOKUP(A160,'Données projet'!$A$191:$I$211,6,0)*VLOOKUP('Données projet'!$B$15,Paramètres!$A$1:$I$89,7,0))</f>
        <v>0</v>
      </c>
      <c r="EU160" s="16">
        <f>IF(ISNA(VLOOKUP(A160,'Données projet'!$A$191:$I$211,7,0)),0%,VLOOKUP(A160,'Données projet'!$A$191:$I$211,7,0))</f>
        <v>0</v>
      </c>
      <c r="EV160" s="21">
        <f>EXP(-LN(2)/35)*EV159+(1-EXP(-LN(2)/35))/(LN(2)/35)*ER160*ES160*VLOOKUP('Données projet'!$B$15,Paramètres!$A$1:$I$89,3,0)*0.475*44/12</f>
        <v>8.1060264128176865E-2</v>
      </c>
      <c r="EW160" s="21">
        <f>EXP(-LN(2)/25)*EW159+(1-EXP(-LN(2)/25))/(LN(2)/25)*Calculateur!ER160*Calculateur!ET160*VLOOKUP('Données projet'!$B$15,Paramètres!$A$1:$I$89,3,0)*0.475*44/12</f>
        <v>0.17158236460774803</v>
      </c>
      <c r="EX160" s="21">
        <f>EXP(-LN(2)/2)*EX159+(1-EXP(-LN(2)/2))/(LN(2)/2)*ER160*EU160*VLOOKUP('Données projet'!$B$15,Paramètres!$A$1:$I$89,3,0)*0.475*44/12</f>
        <v>6.947877256288444E-19</v>
      </c>
      <c r="EY160" s="22">
        <f t="shared" si="181"/>
        <v>0.25264262873592491</v>
      </c>
      <c r="EZ160" s="75">
        <f>('Scénario référence'!$F$8+'Scénario référence'!$F$9+'Scénario référence'!$B$17+'Scénario référence'!$B$9+'Scénario référence'!$B$10)*70+IF((45+25*(1-EXP(-0.0175*A160)))&lt;70,'Scénario référence'!$B$16*(45+25*(1-EXP(-0.0175*A160))),70*'Scénario référence'!$B$16)+IF((32+38*(1-EXP(-0.0175*A160)))&lt;70,'Scénario référence'!$B$18*(32+38*(1-EXP(-0.0175*A160))),70*'Scénario référence'!$B$18)</f>
        <v>70</v>
      </c>
      <c r="FA160" s="12">
        <f>IF(A160&gt;30,10,('Scénario référence'!$B$16+'Scénario référence'!$B$17+'Scénario référence'!$B$18+'Scénario référence'!$B$9+'Scénario référence'!$B$10)*A160*10/30+('Scénario référence'!$F$8+'Scénario référence'!$F$9)*10)</f>
        <v>10</v>
      </c>
      <c r="FB160" s="12" t="e">
        <f>VLOOKUP(A160,'Données projet'!$A$217:$I$237,2,0)</f>
        <v>#N/A</v>
      </c>
      <c r="FC160" s="12" t="e">
        <f>VLOOKUP(A160,'Données projet'!$A$217:$I$237,9,0)</f>
        <v>#N/A</v>
      </c>
      <c r="FD160" s="12">
        <f t="array" ref="FD160">INDEX(FC:FC,MIN(IF(ISNUMBER(FC160:FC356),ROW(FC160:FC356),"")))</f>
        <v>0</v>
      </c>
      <c r="FE160" s="12">
        <f>IF('Données projet'!$A$218&gt;35,FE159+FD160-FM159,IF(A160&lt;'Données projet'!$A$218,$FB$205^A160,IF(A160='Données projet'!$A$218,'Données projet'!$B$218,FE159+FD160-FM159)))</f>
        <v>418.99999999999983</v>
      </c>
      <c r="FF160" s="17">
        <f>FE160*VLOOKUP('Données projet'!$B$16,Paramètres!$A$1:$I$89,3,0)*VLOOKUP('Données projet'!$B$16,Paramètres!$A$1:$I$89,5,0)</f>
        <v>359.5019999999999</v>
      </c>
      <c r="FG160" s="13">
        <f t="shared" si="182"/>
        <v>83.516011055432813</v>
      </c>
      <c r="FH160" s="20">
        <f t="shared" si="183"/>
        <v>771.58970258821194</v>
      </c>
      <c r="FI160" s="59">
        <f t="shared" si="131"/>
        <v>1064.9230359215453</v>
      </c>
      <c r="FJ160" s="59">
        <f ca="1">AVERAGE(OFFSET($FI$3,0,0,'Données projet'!$E$16+1,1))-AVERAGE(OFFSET($H$3,0,0,'Données projet'!$E$16+1,1))</f>
        <v>383.97627237444709</v>
      </c>
      <c r="FK160" s="59">
        <f t="shared" si="156"/>
        <v>203.35476578922339</v>
      </c>
      <c r="FL160" s="15">
        <f>IF(ISNA(VLOOKUP(A160,'Données projet'!$A$217:$I$237,3,0)),0,VLOOKUP(A160,'Données projet'!$A$217:$I$237,3,0))</f>
        <v>0</v>
      </c>
      <c r="FM160" s="15">
        <f>IF(ISNA(VLOOKUP(A160,'Données projet'!$A$217:$I$237,4,0)),0,VLOOKUP(A160,'Données projet'!$A$217:$I$237,4,0))</f>
        <v>0</v>
      </c>
      <c r="FN160" s="16">
        <f>IF(ISNA(VLOOKUP(A160,'Données projet'!$A$217:$I$237,5,0)),0%,VLOOKUP(A160,'Données projet'!$A$217:$I$237,5,0)*VLOOKUP('Données projet'!$B$16,Paramètres!$A$1:$I$89,7,0))</f>
        <v>0</v>
      </c>
      <c r="FO160" s="16">
        <f>IF(ISNA(VLOOKUP(A160,'Données projet'!$A$217:$I$237,6,0)),0%,VLOOKUP(A160,'Données projet'!$A$217:$I$237,6,0)*VLOOKUP('Données projet'!$B$16,Paramètres!$A$1:$I$89,7,0))</f>
        <v>0</v>
      </c>
      <c r="FP160" s="16">
        <f>IF(ISNA(VLOOKUP(A160,'Données projet'!$A$217:$I$237,7,0)),0%,VLOOKUP(A160,'Données projet'!$A$217:$I$237,7,0))</f>
        <v>0</v>
      </c>
      <c r="FQ160" s="21">
        <f>EXP(-LN(2)/35)*FQ159+(1-EXP(-LN(2)/35))/(LN(2)/35)*FM160*FN160*VLOOKUP('Données projet'!$B$16,Paramètres!$A$1:$I$89,3,0)*0.475*44/12</f>
        <v>0.41660578072446885</v>
      </c>
      <c r="FR160" s="21">
        <f>EXP(-LN(2)/25)*FR159+(1-EXP(-LN(2)/25))/(LN(2)/25)*Calculateur!FM160*Calculateur!FO160*VLOOKUP('Données projet'!$B$16,Paramètres!$A$1:$I$89,3,0)*0.475*44/12</f>
        <v>0.17417383479970289</v>
      </c>
      <c r="FS160" s="21">
        <f>EXP(-LN(2)/2)*FS159+(1-EXP(-LN(2)/2))/(LN(2)/2)*FM160*FP160*VLOOKUP('Données projet'!$B$16,Paramètres!$A$1:$I$89,3,0)*0.475*44/12</f>
        <v>1.276182460894282E-18</v>
      </c>
      <c r="FT160" s="22">
        <f t="shared" si="184"/>
        <v>0.5907796155241718</v>
      </c>
      <c r="FU160" s="75">
        <f>('Scénario référence'!$F$8+'Scénario référence'!$F$9+'Scénario référence'!$B$17+'Scénario référence'!$B$9+'Scénario référence'!$B$10)*70+IF((45+25*(1-EXP(-0.0175*A160)))&lt;70,'Scénario référence'!$B$16*(45+25*(1-EXP(-0.0175*A160))),70*'Scénario référence'!$B$16)+IF((32+38*(1-EXP(-0.0175*A160)))&lt;70,'Scénario référence'!$B$18*(32+38*(1-EXP(-0.0175*A160))),70*'Scénario référence'!$B$18)</f>
        <v>70</v>
      </c>
      <c r="FV160" s="12">
        <f>IF(A160&gt;30,10,('Scénario référence'!$B$16+'Scénario référence'!$B$17+'Scénario référence'!$B$18+'Scénario référence'!$B$9+'Scénario référence'!$B$10)*A160*10/30+('Scénario référence'!$F$8+'Scénario référence'!$F$9)*10)</f>
        <v>10</v>
      </c>
      <c r="FW160" s="12" t="e">
        <f>VLOOKUP(A160,'Données projet'!$A$243:$I$263,2,0)</f>
        <v>#N/A</v>
      </c>
      <c r="FX160" s="12" t="e">
        <f>VLOOKUP(A160,'Données projet'!$A$243:$I$263,9,0)</f>
        <v>#N/A</v>
      </c>
      <c r="FY160" s="12">
        <f t="array" ref="FY160">INDEX(FX:FX,MIN(IF(ISNUMBER(FX160:FX356),ROW(FX160:FX356),"")))</f>
        <v>0</v>
      </c>
      <c r="FZ160" s="12">
        <f>IF('Données projet'!$A$244&gt;35,FZ159+FY160-GH159,IF(A160&lt;'Données projet'!$A$244,$FW$205^A160,IF(A160='Données projet'!$A$244,'Données projet'!$B$244,FZ159+FY160-GH159)))</f>
        <v>4.5474735088646412E-13</v>
      </c>
      <c r="GA160" s="17">
        <f>FZ160*VLOOKUP('Données projet'!$B$17,Paramètres!$A$1:$I$89,3,0)*VLOOKUP('Données projet'!$B$17,Paramètres!$A$1:$I$89,5,0)</f>
        <v>4.8949004849418999E-13</v>
      </c>
      <c r="GB160" s="13">
        <f t="shared" si="185"/>
        <v>6.1123715499968684E-12</v>
      </c>
      <c r="GC160" s="20">
        <f t="shared" si="186"/>
        <v>1.1498242284038591E-11</v>
      </c>
      <c r="GD160" s="59">
        <f t="shared" si="134"/>
        <v>293.3333333333448</v>
      </c>
      <c r="GE160" s="59">
        <f ca="1">AVERAGE(OFFSET($GD$3,0,0,'Données projet'!$E$17+1,1))-AVERAGE(OFFSET($H$3,0,0,'Données projet'!$E$17+1,1))</f>
        <v>286.77702855541287</v>
      </c>
      <c r="GF160" s="59">
        <f t="shared" si="158"/>
        <v>227.12211541860779</v>
      </c>
      <c r="GG160" s="15">
        <f>IF(ISNA(VLOOKUP(A160,'Données projet'!$A$243:$I$263,3,0)),0,VLOOKUP(A160,'Données projet'!$A$243:$I$263,3,0))</f>
        <v>0</v>
      </c>
      <c r="GH160" s="15">
        <f>IF(ISNA(VLOOKUP(A160,'Données projet'!$A$243:$I$263,4,0)),0,VLOOKUP(A160,'Données projet'!$A$243:$I$263,4,0))</f>
        <v>0</v>
      </c>
      <c r="GI160" s="16">
        <f>IF(ISNA(VLOOKUP(A160,'Données projet'!$A$243:$I$263,5,0)),0%,VLOOKUP(A160,'Données projet'!$A$243:$I$263,5,0)*VLOOKUP('Données projet'!$B$17,Paramètres!$A$1:$I$89,7,0))</f>
        <v>0</v>
      </c>
      <c r="GJ160" s="16">
        <f>IF(ISNA(VLOOKUP(A160,'Données projet'!$A$243:$I$263,6,0)),0%,VLOOKUP(A160,'Données projet'!$A$243:$I$263,6,0)*VLOOKUP('Données projet'!$B$17,Paramètres!$A$1:$I$89,7,0))</f>
        <v>0</v>
      </c>
      <c r="GK160" s="16">
        <f>IF(ISNA(VLOOKUP(A160,'Données projet'!$A$243:$I$263,7,0)),0%,VLOOKUP(A160,'Données projet'!$A$243:$I$263,7,0))</f>
        <v>0</v>
      </c>
      <c r="GL160" s="21">
        <f>EXP(-LN(2)/35)*GL159+(1-EXP(-LN(2)/35))/(LN(2)/35)*GH160*GI160*VLOOKUP('Données projet'!$B$17,Paramètres!$A$1:$I$89,3,0)*0.475*44/12</f>
        <v>0</v>
      </c>
      <c r="GM160" s="21">
        <f>EXP(-LN(2)/25)*GM159+(1-EXP(-LN(2)/25))/(LN(2)/25)*Calculateur!GH160*Calculateur!GJ160*VLOOKUP('Données projet'!$B$17,Paramètres!$A$1:$I$89,3,0)*0.475*44/12</f>
        <v>0</v>
      </c>
      <c r="GN160" s="21">
        <f>EXP(-LN(2)/2)*GN159+(1-EXP(-LN(2)/2))/(LN(2)/2)*GH160*GK160*VLOOKUP('Données projet'!$B$17,Paramètres!$A$1:$I$89,3,0)*0.475*44/12</f>
        <v>0</v>
      </c>
      <c r="GO160" s="21">
        <f t="shared" si="187"/>
        <v>0</v>
      </c>
      <c r="GP160" s="75">
        <f>('Scénario référence'!$F$8+'Scénario référence'!$F$9+'Scénario référence'!$B$17+'Scénario référence'!$B$9+'Scénario référence'!$B$10)*70+IF((45+25*(1-EXP(-0.0175*A160)))&lt;70,'Scénario référence'!$B$16*(45+25*(1-EXP(-0.0175*A160))),70*'Scénario référence'!$B$16)+IF((32+38*(1-EXP(-0.0175*A160)))&lt;70,'Scénario référence'!$B$18*(32+38*(1-EXP(-0.0175*A160))),70*'Scénario référence'!$B$18)</f>
        <v>70</v>
      </c>
      <c r="GQ160" s="12">
        <f>IF(A160&gt;30,10,('Scénario référence'!$B$16+'Scénario référence'!$B$17+'Scénario référence'!$B$18+'Scénario référence'!$B$9+'Scénario référence'!$B$10)*A160*10/30+('Scénario référence'!$F$8+'Scénario référence'!$F$9)*10)</f>
        <v>10</v>
      </c>
      <c r="GR160" s="12" t="e">
        <f>VLOOKUP(A160,'Données projet'!$A$269:$I$289,2,0)</f>
        <v>#N/A</v>
      </c>
      <c r="GS160" s="12" t="e">
        <f>VLOOKUP(A160,'Données projet'!$A$269:$I$289,9,0)</f>
        <v>#N/A</v>
      </c>
      <c r="GT160" s="12">
        <f t="array" ref="GT160">INDEX(GS:GS,MIN(IF(ISNUMBER(GS160:GS356),ROW(GS160:GS356),"")))</f>
        <v>0</v>
      </c>
      <c r="GU160" s="12">
        <f>IF('Données projet'!$A$270&gt;35,GU159+GT160-HC159,IF(A160&lt;'Données projet'!$A$270,$GR$205^A160,IF(A160='Données projet'!$A$270,'Données projet'!$B$270,GU159+GT160-HC159)))</f>
        <v>4.5474735088646412E-13</v>
      </c>
      <c r="GV160" s="17">
        <f>GU160*VLOOKUP('Données projet'!$B$18,Paramètres!$A$1:$I$89,3,0)*VLOOKUP('Données projet'!$B$18,Paramètres!$A$1:$I$89,5,0)</f>
        <v>4.8949004849418999E-13</v>
      </c>
      <c r="GW160" s="13">
        <f t="shared" si="188"/>
        <v>6.1123715499968684E-12</v>
      </c>
      <c r="GX160" s="20">
        <f t="shared" si="189"/>
        <v>1.1498242284038591E-11</v>
      </c>
      <c r="GY160" s="59">
        <f t="shared" si="137"/>
        <v>293.3333333333448</v>
      </c>
      <c r="GZ160" s="59">
        <f ca="1">AVERAGE(OFFSET($GY$3,0,0,'Données projet'!$E$18+1,1))-AVERAGE(OFFSET($H$3,0,0,'Données projet'!$E$18+1,1))</f>
        <v>286.77702855541287</v>
      </c>
      <c r="HA160" s="59">
        <f t="shared" si="160"/>
        <v>227.12211541860779</v>
      </c>
      <c r="HB160" s="15">
        <f>IF(ISNA(VLOOKUP(A160,'Données projet'!$A$269:$I$289,3,0)),0,VLOOKUP(A160,'Données projet'!$A$269:$I$289,3,0))</f>
        <v>0</v>
      </c>
      <c r="HC160" s="15">
        <f>IF(ISNA(VLOOKUP(A160,'Données projet'!$A$269:$I$289,4,0)),0,VLOOKUP(A160,'Données projet'!$A$269:$I$289,4,0))</f>
        <v>0</v>
      </c>
      <c r="HD160" s="16">
        <f>IF(ISNA(VLOOKUP(A160,'Données projet'!$A$269:$I$289,5,0)),0%,VLOOKUP(A160,'Données projet'!$A$269:$I$289,5,0)*VLOOKUP('Données projet'!$B$18,Paramètres!$A$1:$I$89,7,0))</f>
        <v>0</v>
      </c>
      <c r="HE160" s="16">
        <f>IF(ISNA(VLOOKUP(A160,'Données projet'!$A$269:$I$289,6,0)),0%,VLOOKUP(A160,'Données projet'!$A$269:$I$289,6,0)*VLOOKUP('Données projet'!$B$18,Paramètres!$A$1:$I$89,7,0))</f>
        <v>0</v>
      </c>
      <c r="HF160" s="16">
        <f>IF(ISNA(VLOOKUP(A160,'Données projet'!$A$269:$I$289,7,0)),0%,VLOOKUP(A160,'Données projet'!$A$269:$I$289,7,0))</f>
        <v>0</v>
      </c>
      <c r="HG160" s="21">
        <f>EXP(-LN(2)/35)*HG159+(1-EXP(-LN(2)/35))/(LN(2)/35)*HC160*HD160*VLOOKUP('Données projet'!$B$18,Paramètres!$A$1:$I$89,3,0)*0.475*44/12</f>
        <v>0</v>
      </c>
      <c r="HH160" s="21">
        <f>EXP(-LN(2)/25)*HH159+(1-EXP(-LN(2)/25))/(LN(2)/25)*Calculateur!HC160*Calculateur!HE160*VLOOKUP('Données projet'!$B$18,Paramètres!$A$1:$I$89,3,0)*0.475*44/12</f>
        <v>0</v>
      </c>
      <c r="HI160" s="21">
        <f>EXP(-LN(2)/2)*HI159+(1-EXP(-LN(2)/2))/(LN(2)/2)*HC160*HF160*VLOOKUP('Données projet'!$B$18,Paramètres!$A$1:$I$89,3,0)*0.475*44/12</f>
        <v>0</v>
      </c>
      <c r="HJ160" s="22">
        <f t="shared" si="190"/>
        <v>0</v>
      </c>
    </row>
    <row r="161" spans="1:218" x14ac:dyDescent="0.25">
      <c r="A161" s="10">
        <f t="shared" si="161"/>
        <v>158</v>
      </c>
      <c r="B161" s="73">
        <f>'Scénario référence'!$B$16*5+'Scénario référence'!$B$17*0+'Scénario référence'!$B$18*5</f>
        <v>0</v>
      </c>
      <c r="C161" s="19">
        <f>Calculateur!C160+'Scénario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140.49360000000007</v>
      </c>
      <c r="D161" s="11">
        <f t="shared" si="140"/>
        <v>36.410059151057943</v>
      </c>
      <c r="E16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61" s="11">
        <f>IF(OR('Scénario référence'!$F$8&gt;0,'Scénario référence'!$F$9&gt;0),('Scénario référence'!$F$8+'Scénario référence'!$F$9)*10,0)</f>
        <v>10</v>
      </c>
      <c r="G161" s="11">
        <f>'Scénario référence'!$B$8*B161*44/12+'Scénario référence'!$B$9*(C161+D161)/0.475*44/12+'Scénario référence'!$B$10*(C161+D161)/0.475*44/12+'Scénario référence'!$F$8*(C161+D161)/0.475*44/12+'Scénario référence'!$F$9*(C161+D161)/0.475*44/12</f>
        <v>1365.5721057274657</v>
      </c>
      <c r="H161" s="67">
        <f t="shared" si="110"/>
        <v>601.44053968809271</v>
      </c>
      <c r="I161" s="70">
        <f>('Scénario référence'!$F$8+'Scénario référence'!$F$9+'Scénario référence'!$B$17+'Scénario référence'!$B$9+'Scénario référence'!$B$10)*70+IF((45+25*(1-EXP(-0.0175*A161)))&lt;70,'Scénario référence'!$B$16*(45+25*(1-EXP(-0.0175*A161))),70*'Scénario référence'!$B$16)+IF((32+38*(1-EXP(-0.0175*A161)))&lt;70,'Scénario référence'!$B$18*(32+38*(1-EXP(-0.0175*A161))),70*'Scénario référence'!$B$18)</f>
        <v>70</v>
      </c>
      <c r="J161" s="13">
        <f>IF(A161&gt;30,10,('Scénario référence'!$B$16+'Scénario référence'!$B$17+'Scénario référence'!$B$18+'Scénario référence'!$B$9+'Scénario référence'!$B$10)*A161*10/30+('Scénario référence'!$F$8+'Scénario référence'!$F$9)*10)</f>
        <v>10</v>
      </c>
      <c r="K161" s="12" t="e">
        <f>VLOOKUP(A161,'Données projet'!$A$35:$I$55,2,0)</f>
        <v>#N/A</v>
      </c>
      <c r="L161" s="12" t="e">
        <f>VLOOKUP(A161,'Données projet'!$A$35:$I$55,9,0)</f>
        <v>#N/A</v>
      </c>
      <c r="M161" s="12">
        <f t="array" ref="M161">INDEX(L:L,MIN(IF(ISNUMBER(L161:L357),ROW(L161:L357),"")))</f>
        <v>0</v>
      </c>
      <c r="N161" s="13">
        <f>IF('Données projet'!$A$36&gt;35,N160+M161-V160,IF(A161&lt;'Données projet'!$A$36,$K$205^A161,IF(A161='Données projet'!$A$36,'Données projet'!$B$36,N160+M161-V160)))</f>
        <v>-2.2737367544323206E-13</v>
      </c>
      <c r="O161" s="13">
        <f>N161*VLOOKUP('Données projet'!$B$9,Paramètres!$A$1:$I$89,3,0)*VLOOKUP('Données projet'!$B$9,Paramètres!$A$1:$I$89,5,0)</f>
        <v>-1.2710188457276673E-13</v>
      </c>
      <c r="P161" s="13" t="e">
        <f t="shared" si="141"/>
        <v>#NUM!</v>
      </c>
      <c r="Q161" s="20" t="e">
        <f t="shared" si="162"/>
        <v>#NUM!</v>
      </c>
      <c r="R161" s="59" t="e">
        <f t="shared" si="109"/>
        <v>#NUM!</v>
      </c>
      <c r="S161" s="59">
        <f ca="1">AVERAGE(OFFSET($R$3,0,0,'Données projet'!$E$9+1,1))-AVERAGE(OFFSET($H$3,0,0,'Données projet'!$E$9+1,1))</f>
        <v>255.5374979188561</v>
      </c>
      <c r="T161" s="59">
        <f t="shared" si="142"/>
        <v>343.10418468620901</v>
      </c>
      <c r="U161" s="15">
        <f>IF(ISNA(VLOOKUP(A161,'Données projet'!$A$35:$I$55,3,0)),0,VLOOKUP(A161,'Données projet'!$A$35:$I$55,3,0))</f>
        <v>0</v>
      </c>
      <c r="V161" s="15">
        <f>IF(ISNA(VLOOKUP(A161,'Données projet'!$A$35:$I$55,4,0)),0,VLOOKUP(A161,'Données projet'!$A$35:$I$55,4,0))</f>
        <v>0</v>
      </c>
      <c r="W161" s="16">
        <f>IF(ISNA(VLOOKUP(A161,'Données projet'!$A$35:$I$55,5,0)),0%,VLOOKUP(A161,'Données projet'!$A$35:$I$55,5,0)*VLOOKUP('Données projet'!$B$9,Paramètres!$A$1:$I$89,7,0))</f>
        <v>0</v>
      </c>
      <c r="X161" s="16">
        <f>IF(ISNA(VLOOKUP(A161,'Données projet'!$A$35:$I$55,6,0)),0%,VLOOKUP(A161,'Données projet'!$A$35:$I$55,6,0)*VLOOKUP('Données projet'!$B$9,Paramètres!$A$1:$I$89,7,0))</f>
        <v>0</v>
      </c>
      <c r="Y161" s="16">
        <f>IF(ISNA(VLOOKUP(A161,'Données projet'!$A$35:$I$55,7,0)),0%,VLOOKUP(A161,'Données projet'!$A$35:$I$55,7,0))</f>
        <v>0</v>
      </c>
      <c r="Z161" s="21">
        <f>EXP(-LN(2)/35)*Z160+(1-EXP(-LN(2)/35))/(LN(2)/35)*V161*W161*VLOOKUP('Données projet'!$B$9,Paramètres!$A$1:$I$89,3,0)*0.475*44/12</f>
        <v>0.24493707196246711</v>
      </c>
      <c r="AA161" s="21">
        <f>EXP(-LN(2)/25)*AA160+(1-EXP(-LN(2)/25))/(LN(2)/25)*Calculateur!V161*Calculateur!X161*VLOOKUP('Données projet'!$B$9,Paramètres!$A$1:$I$89,3,0)*0.475*44/12</f>
        <v>0.45895104226392386</v>
      </c>
      <c r="AB161" s="21">
        <f>EXP(-LN(2)/2)*AB160+(1-EXP(-LN(2)/2))/(LN(2)/2)*V161*Y161*VLOOKUP('Données projet'!$B$9,Paramètres!$A$1:$I$89,3,0)*0.475*44/12</f>
        <v>9.1758853090310253E-20</v>
      </c>
      <c r="AC161" s="22">
        <f t="shared" si="163"/>
        <v>0.70388811422639097</v>
      </c>
      <c r="AD161" s="13">
        <f>('Scénario référence'!$F$8+'Scénario référence'!$F$9+'Scénario référence'!$B$17+'Scénario référence'!$B$9+'Scénario référence'!$B$10)*70+IF((45+25*(1-EXP(-0.0175*A161)))&lt;70,'Scénario référence'!$B$16*(45+25*(1-EXP(-0.0175*A161))),70*'Scénario référence'!$B$16)+IF((32+38*(1-EXP(-0.0175*A161)))&lt;70,'Scénario référence'!$B$18*(32+38*(1-EXP(-0.0175*A161))),70*'Scénario référence'!$B$18)</f>
        <v>70</v>
      </c>
      <c r="AE161" s="13">
        <f>IF(A161&gt;30,10,('Scénario référence'!$B$16+'Scénario référence'!$B$17+'Scénario référence'!$B$18+'Scénario référence'!$B$9+'Scénario référence'!$B$10)*A161*10/30+('Scénario référence'!$F$8+'Scénario référence'!$F$9)*10)</f>
        <v>10</v>
      </c>
      <c r="AF161" s="12" t="e">
        <f>VLOOKUP(A161,'Données projet'!$A$61:$I$81,2,0)</f>
        <v>#N/A</v>
      </c>
      <c r="AG161" s="12" t="e">
        <f>VLOOKUP(A161,'Données projet'!$A$61:$I$81,9,0)</f>
        <v>#N/A</v>
      </c>
      <c r="AH161" s="12">
        <f t="array" ref="AH161">INDEX(AG:AG,MIN(IF(ISNUMBER(AG161:AG357),ROW(AG161:AG357),"")))</f>
        <v>0</v>
      </c>
      <c r="AI161" s="13">
        <f>IF('Données projet'!$A$62&gt;35,AI160+AH161-AQ160,IF(A161&lt;'Données projet'!$A$62,$AF$205^A161,IF(A161='Données projet'!$A$62,'Données projet'!$B$62,AI160+AH161-AQ160)))</f>
        <v>0</v>
      </c>
      <c r="AJ161" s="13">
        <f>AI161*VLOOKUP('Données projet'!$B$10,Paramètres!$A$1:$I$89,3,0)*VLOOKUP('Données projet'!$B$10,Paramètres!$A$1:$I$89,5,0)</f>
        <v>0</v>
      </c>
      <c r="AK161" s="13" t="e">
        <f t="shared" si="164"/>
        <v>#NUM!</v>
      </c>
      <c r="AL161" s="20" t="e">
        <f t="shared" si="165"/>
        <v>#NUM!</v>
      </c>
      <c r="AM161" s="59" t="e">
        <f t="shared" si="113"/>
        <v>#NUM!</v>
      </c>
      <c r="AN161" s="59">
        <f ca="1">AVERAGE(OFFSET($AM$3,0,0,'Données projet'!$E$10+1,1))-AVERAGE(OFFSET($H$3,0,0,'Données projet'!$E$10+1,1))</f>
        <v>261.78489480911571</v>
      </c>
      <c r="AO161" s="59">
        <f t="shared" si="144"/>
        <v>297.50513563712764</v>
      </c>
      <c r="AP161" s="15">
        <f>IF(ISNA(VLOOKUP(A161,'Données projet'!$A$61:$I$81,3,0)),0,VLOOKUP(A161,'Données projet'!$A$61:$I$81,3,0))</f>
        <v>0</v>
      </c>
      <c r="AQ161" s="15">
        <f>IF(ISNA(VLOOKUP(A161,'Données projet'!$A$61:$I$81,4,0)),0,VLOOKUP(A161,'Données projet'!$A$61:$I$81,4,0))</f>
        <v>0</v>
      </c>
      <c r="AR161" s="16">
        <f>IF(ISNA(VLOOKUP(A161,'Données projet'!$A$61:$I$81,5,0)),0%,VLOOKUP(A161,'Données projet'!$A$61:$I$81,5,0)*VLOOKUP('Données projet'!$B$10,Paramètres!$A$1:$I$89,7,0))</f>
        <v>0</v>
      </c>
      <c r="AS161" s="16">
        <f>IF(ISNA(VLOOKUP(A161,'Données projet'!$A$61:$I$81,6,0)),0%,VLOOKUP(A161,'Données projet'!$A$61:$I$81,6,0)*VLOOKUP('Données projet'!$B$10,Paramètres!$A$1:$I$89,7,0))</f>
        <v>0</v>
      </c>
      <c r="AT161" s="16">
        <f>IF(ISNA(VLOOKUP(A161,'Données projet'!$A$61:$I$81,7,0)),0%,VLOOKUP(A161,'Données projet'!$A$61:$I$81,7,0))</f>
        <v>0</v>
      </c>
      <c r="AU161" s="21">
        <f>EXP(-LN(2)/35)*AU160+(1-EXP(-LN(2)/35))/(LN(2)/35)*AQ161*AR161*VLOOKUP('Données projet'!$B$10,Paramètres!$A$1:$I$89,3,0)*0.475*44/12</f>
        <v>0.66139937441717223</v>
      </c>
      <c r="AV161" s="21">
        <f>EXP(-LN(2)/25)*AV160+(1-EXP(-LN(2)/25))/(LN(2)/25)*Calculateur!AQ161*Calculateur!AS161*VLOOKUP('Données projet'!$B$10,Paramètres!$A$1:$I$89,3,0)*0.475*44/12</f>
        <v>0.80142212784880074</v>
      </c>
      <c r="AW161" s="21">
        <f>EXP(-LN(2)/2)*AW160+(1-EXP(-LN(2)/2))/(LN(2)/2)*AQ161*AT161*VLOOKUP('Données projet'!$B$10,Paramètres!$A$1:$I$89,3,0)*0.475*44/12</f>
        <v>1.3227912220936948E-18</v>
      </c>
      <c r="AX161" s="21">
        <f t="shared" si="166"/>
        <v>1.462821502265973</v>
      </c>
      <c r="AY161" s="74">
        <f>('Scénario référence'!$F$8+'Scénario référence'!$F$9+'Scénario référence'!$B$17+'Scénario référence'!$B$9+'Scénario référence'!$B$10)*70+IF((45+25*(1-EXP(-0.0175*A161)))&lt;70,'Scénario référence'!$B$16*(45+25*(1-EXP(-0.0175*A161))),70*'Scénario référence'!$B$16)+IF((32+38*(1-EXP(-0.0175*A161)))&lt;70,'Scénario référence'!$B$18*(32+38*(1-EXP(-0.0175*A161))),70*'Scénario référence'!$B$18)</f>
        <v>70</v>
      </c>
      <c r="AZ161" s="12">
        <f>IF(A161&gt;30,10,('Scénario référence'!$B$16+'Scénario référence'!$B$17+'Scénario référence'!$B$18+'Scénario référence'!$B$9+'Scénario référence'!$B$10)*A161*10/30+('Scénario référence'!$F$8+'Scénario référence'!$F$9)*10)</f>
        <v>10</v>
      </c>
      <c r="BA161" s="12" t="e">
        <f>VLOOKUP(A161,'Données projet'!$A$87:$I$107,2,0)</f>
        <v>#N/A</v>
      </c>
      <c r="BB161" s="12" t="e">
        <f>VLOOKUP(A161,'Données projet'!$A$87:$I$107,9,0)</f>
        <v>#N/A</v>
      </c>
      <c r="BC161" s="12">
        <f t="array" ref="BC161">INDEX(BB:BB,MIN(IF(ISNUMBER(BB161:BB357),ROW(BB161:BB357),"")))</f>
        <v>0</v>
      </c>
      <c r="BD161" s="12">
        <f>IF('Données projet'!$A$88&gt;35,BD160+BC161-BL160,IF(A161&lt;'Données projet'!$A$88,$BA$205^A161,IF(A161='Données projet'!$A$88,'Données projet'!$B$88,BD160+BC161-BL160)))</f>
        <v>553.99999999999955</v>
      </c>
      <c r="BE161" s="13">
        <f>BD161*VLOOKUP('Données projet'!$B$11,Paramètres!$A$1:$I$89,3,0)*VLOOKUP('Données projet'!$B$11,Paramètres!$A$1:$I$89,5,0)</f>
        <v>331.29199999999975</v>
      </c>
      <c r="BF161" s="13">
        <f t="shared" si="167"/>
        <v>77.698110787752</v>
      </c>
      <c r="BG161" s="20">
        <f t="shared" si="168"/>
        <v>712.32444295533423</v>
      </c>
      <c r="BH161" s="59">
        <f t="shared" si="116"/>
        <v>1005.6577762886675</v>
      </c>
      <c r="BI161" s="59">
        <f ca="1">AVERAGE(OFFSET($BH$3,0,0,'Données projet'!$E$11+1,1))-AVERAGE(OFFSET($H$3,0,0,'Données projet'!$E$11+1,1))</f>
        <v>316.58509520829671</v>
      </c>
      <c r="BJ161" s="59">
        <f t="shared" si="146"/>
        <v>240.71332110643596</v>
      </c>
      <c r="BK161" s="15">
        <f>IF(ISNA(VLOOKUP(A161,'Données projet'!$A$87:$I$107,3,0)),0,VLOOKUP(A161,'Données projet'!$A$87:$I$107,3,0))</f>
        <v>0</v>
      </c>
      <c r="BL161" s="15">
        <f>IF(ISNA(VLOOKUP(A161,'Données projet'!$A$87:$I$107,4,0)),0,VLOOKUP(A161,'Données projet'!$A$87:$I$107,4,0))</f>
        <v>0</v>
      </c>
      <c r="BM161" s="16">
        <f>IF(ISNA(VLOOKUP(A161,'Données projet'!$A$87:$I$107,5,0)),0%,VLOOKUP(A161,'Données projet'!$A$87:$I$107,5,0)*VLOOKUP('Données projet'!$B$11,Paramètres!$A$1:$I$89,7,0))</f>
        <v>0</v>
      </c>
      <c r="BN161" s="16">
        <f>IF(ISNA(VLOOKUP(A161,'Données projet'!$A$87:$I$107,6,0)),0%,VLOOKUP(A161,'Données projet'!$A$87:$I$107,6,0)*VLOOKUP('Données projet'!$B$11,Paramètres!$A$1:$I$89,7,0))</f>
        <v>0</v>
      </c>
      <c r="BO161" s="16">
        <f>IF(ISNA(VLOOKUP(A161,'Données projet'!$A$87:$I$107,7,0)),0%,VLOOKUP(A161,'Données projet'!$A$87:$I$107,7,0))</f>
        <v>0</v>
      </c>
      <c r="BP161" s="21">
        <f>EXP(-LN(2)/35)*BP160+(1-EXP(-LN(2)/35))/(LN(2)/35)*BL161*BM161*VLOOKUP('Données projet'!$B$11,Paramètres!$A$1:$I$89,3,0)*0.475*44/12</f>
        <v>0.200904981105514</v>
      </c>
      <c r="BQ161" s="21">
        <f>EXP(-LN(2)/25)*BQ160+(1-EXP(-LN(2)/25))/(LN(2)/25)*Calculateur!BL161*Calculateur!BN161*VLOOKUP('Données projet'!$B$11,Paramètres!$A$1:$I$89,3,0)*0.475*44/12</f>
        <v>0.43904242559179896</v>
      </c>
      <c r="BR161" s="21">
        <f>EXP(-LN(2)/2)*BR160+(1-EXP(-LN(2)/2))/(LN(2)/2)*BL161*BO161*VLOOKUP('Données projet'!$B$11,Paramètres!$A$1:$I$89,3,0)*0.475*44/12</f>
        <v>1.1893341709775798E-18</v>
      </c>
      <c r="BS161" s="22">
        <f t="shared" si="169"/>
        <v>0.63994740669731298</v>
      </c>
      <c r="BT161" s="75">
        <f>('Scénario référence'!$F$8+'Scénario référence'!$F$9+'Scénario référence'!$B$17+'Scénario référence'!$B$9+'Scénario référence'!$B$10)*70+IF((45+25*(1-EXP(-0.0175*A161)))&lt;70,'Scénario référence'!$B$16*(45+25*(1-EXP(-0.0175*A161))),70*'Scénario référence'!$B$16)+IF((32+38*(1-EXP(-0.0175*A161)))&lt;70,'Scénario référence'!$B$18*(32+38*(1-EXP(-0.0175*A161))),70*'Scénario référence'!$B$18)</f>
        <v>70</v>
      </c>
      <c r="BU161" s="12">
        <f>IF(A161&gt;30,10,('Scénario référence'!$B$16+'Scénario référence'!$B$17+'Scénario référence'!$B$18+'Scénario référence'!$B$9+'Scénario référence'!$B$10)*A161*10/30+('Scénario référence'!$F$8+'Scénario référence'!$F$9)*10)</f>
        <v>10</v>
      </c>
      <c r="BV161" s="12" t="e">
        <f>VLOOKUP(A161,'Données projet'!$A$113:$I$133,2,0)</f>
        <v>#N/A</v>
      </c>
      <c r="BW161" s="12" t="e">
        <f>VLOOKUP(A161,'Données projet'!$A$113:$I$133,9,0)</f>
        <v>#N/A</v>
      </c>
      <c r="BX161" s="12">
        <f t="array" ref="BX161">INDEX(BW:BW,MIN(IF(ISNUMBER(BW161:BW357),ROW(BW161:BW357),"")))</f>
        <v>0</v>
      </c>
      <c r="BY161" s="12">
        <f>IF('Données projet'!$A$114&gt;35,BY160+BX161-CG160,IF(A161&lt;'Données projet'!$A$114,$BV$205^A161,IF(A161='Données projet'!$A$114,'Données projet'!$B$114,BY160+BX161-CG160)))</f>
        <v>333.99999999999977</v>
      </c>
      <c r="BZ161" s="13">
        <f>BY161*VLOOKUP('Données projet'!$B$12,Paramètres!$A$1:$I$89,3,0)*VLOOKUP('Données projet'!$B$12,Paramètres!$A$1:$I$89,5,0)</f>
        <v>191.04799999999986</v>
      </c>
      <c r="CA161" s="13">
        <f t="shared" si="170"/>
        <v>47.771576544305155</v>
      </c>
      <c r="CB161" s="20">
        <f t="shared" si="171"/>
        <v>415.94409581466454</v>
      </c>
      <c r="CC161" s="59">
        <f t="shared" si="119"/>
        <v>709.27742914799785</v>
      </c>
      <c r="CD161" s="59">
        <f ca="1">AVERAGE(OFFSET($CC$3,0,0,'Données projet'!$E$12+1,1))-AVERAGE(OFFSET($H$3,0,0,'Données projet'!$E$12+1,1))</f>
        <v>188.64374818906128</v>
      </c>
      <c r="CE161" s="59">
        <f t="shared" si="148"/>
        <v>211.95157880548652</v>
      </c>
      <c r="CF161" s="15">
        <f>IF(ISNA(VLOOKUP(A161,'Données projet'!$A$113:$I$133,3,0)),0,VLOOKUP(A161,'Données projet'!$A$113:$I$133,3,0))</f>
        <v>0</v>
      </c>
      <c r="CG161" s="15">
        <f>IF(ISNA(VLOOKUP(A161,'Données projet'!$A$113:$I$133,4,0)),0,VLOOKUP(A161,'Données projet'!$A$113:$I$133,4,0))</f>
        <v>0</v>
      </c>
      <c r="CH161" s="16">
        <f>IF(ISNA(VLOOKUP(A161,'Données projet'!$A$113:$I$133,5,0)),0%,VLOOKUP(A161,'Données projet'!$A$113:$I$133,5,0)*VLOOKUP('Données projet'!$B$12,Paramètres!$A$1:$I$89,7,0))</f>
        <v>0</v>
      </c>
      <c r="CI161" s="16">
        <f>IF(ISNA(VLOOKUP(A161,'Données projet'!$A$113:$I$133,6,0)),0%,VLOOKUP(A161,'Données projet'!$A$113:$I$133,6,0)*VLOOKUP('Données projet'!$B$12,Paramètres!$A$1:$I$89,7,0))</f>
        <v>0</v>
      </c>
      <c r="CJ161" s="16">
        <f>IF(ISNA(VLOOKUP(A161,'Données projet'!$A$113:$I$133,7,0)),0%,VLOOKUP(A161,'Données projet'!$A$113:$I$133,7,0))</f>
        <v>0</v>
      </c>
      <c r="CK161" s="21">
        <f>EXP(-LN(2)/35)*CK160+(1-EXP(-LN(2)/35))/(LN(2)/35)*CG161*CH161*VLOOKUP('Données projet'!$B$12,Paramètres!$A$1:$I$89,3,0)*0.475*44/12</f>
        <v>0.1948766013907739</v>
      </c>
      <c r="CL161" s="21">
        <f>EXP(-LN(2)/25)*CL160+(1-EXP(-LN(2)/25))/(LN(2)/25)*Calculateur!CG161*Calculateur!CI161*VLOOKUP('Données projet'!$B$12,Paramètres!$A$1:$I$89,3,0)*0.475*44/12</f>
        <v>0.41323667166142802</v>
      </c>
      <c r="CM161" s="21">
        <f>EXP(-LN(2)/2)*CM160+(1-EXP(-LN(2)/2))/(LN(2)/2)*CG161*CJ161*VLOOKUP('Données projet'!$B$12,Paramètres!$A$1:$I$89,3,0)*0.475*44/12</f>
        <v>1.1517770897042472E-18</v>
      </c>
      <c r="CN161" s="22">
        <f t="shared" si="172"/>
        <v>0.60811327305220186</v>
      </c>
      <c r="CO161" s="75">
        <f>('Scénario référence'!$F$8+'Scénario référence'!$F$9+'Scénario référence'!$B$17+'Scénario référence'!$B$9+'Scénario référence'!$B$10)*70+IF((45+25*(1-EXP(-0.0175*A161)))&lt;70,'Scénario référence'!$B$16*(45+25*(1-EXP(-0.0175*A161))),70*'Scénario référence'!$B$16)+IF((32+38*(1-EXP(-0.0175*A161)))&lt;70,'Scénario référence'!$B$18*(32+38*(1-EXP(-0.0175*A161))),70*'Scénario référence'!$B$18)</f>
        <v>70</v>
      </c>
      <c r="CP161" s="12">
        <f>IF(A161&gt;30,10,('Scénario référence'!$B$16+'Scénario référence'!$B$17+'Scénario référence'!$B$18+'Scénario référence'!$B$9+'Scénario référence'!$B$10)*A161*10/30+('Scénario référence'!$F$8+'Scénario référence'!$F$9)*10)</f>
        <v>10</v>
      </c>
      <c r="CQ161" s="12" t="e">
        <f>VLOOKUP(A161,'Données projet'!$A$139:$I$159,2,0)</f>
        <v>#N/A</v>
      </c>
      <c r="CR161" s="12" t="e">
        <f>VLOOKUP(A161,'Données projet'!$A$139:$I$159,9,0)</f>
        <v>#N/A</v>
      </c>
      <c r="CS161" s="12">
        <f t="array" ref="CS161">INDEX(CR:CR,MIN(IF(ISNUMBER(CR161:CR357),ROW(CR161:CR357),"")))</f>
        <v>0</v>
      </c>
      <c r="CT161" s="12">
        <f>IF('Données projet'!$A$140&gt;35,CT160+CS161-DB160,IF(A161&lt;'Données projet'!$A$140,$CQ$205^A161,IF(A161='Données projet'!$A$140,'Données projet'!$B$140,CT160+CS161-DB160)))</f>
        <v>0</v>
      </c>
      <c r="CU161" s="17" t="e">
        <f>CT161*VLOOKUP('Données projet'!$B$13,Paramètres!$A$1:$I$89,3,0)*VLOOKUP('Données projet'!$B$13,Paramètres!$A$1:$I$89,5,0)</f>
        <v>#N/A</v>
      </c>
      <c r="CV161" s="13" t="e">
        <f t="shared" si="173"/>
        <v>#N/A</v>
      </c>
      <c r="CW161" s="20" t="e">
        <f t="shared" si="174"/>
        <v>#N/A</v>
      </c>
      <c r="CX161" s="59" t="e">
        <f t="shared" si="122"/>
        <v>#N/A</v>
      </c>
      <c r="CY161" s="59" t="e">
        <f ca="1">AVERAGE(OFFSET($CX$3,0,0,'Données projet'!$E$13+1,1))-AVERAGE(OFFSET($H$3,0,0,'Données projet'!$E$13+1,1))</f>
        <v>#N/A</v>
      </c>
      <c r="CZ161" s="59" t="e">
        <f t="shared" si="150"/>
        <v>#N/A</v>
      </c>
      <c r="DA161" s="15">
        <f>IF(ISNA(VLOOKUP(A161,'Données projet'!$A$139:$I$159,3,0)),0,VLOOKUP(A161,'Données projet'!$A$139:$I$159,3,0))</f>
        <v>0</v>
      </c>
      <c r="DB161" s="15">
        <f>IF(ISNA(VLOOKUP(A161,'Données projet'!$A$139:$I$159,4,0)),0,VLOOKUP(A161,'Données projet'!$A$139:$I$159,4,0))</f>
        <v>0</v>
      </c>
      <c r="DC161" s="16">
        <f>IF(ISNA(VLOOKUP(A161,'Données projet'!$A$139:$I$159,5,0)),0%,VLOOKUP(A161,'Données projet'!$A$139:$I$159,5,0)*VLOOKUP('Données projet'!$B$13,Paramètres!$A$1:$I$89,7,0))</f>
        <v>0</v>
      </c>
      <c r="DD161" s="16">
        <f>IF(ISNA(VLOOKUP(A161,'Données projet'!$A$139:$I$159,6,0)),0%,VLOOKUP(A161,'Données projet'!$A$139:$I$159,6,0)*VLOOKUP('Données projet'!$B$13,Paramètres!$A$1:$I$89,7,0))</f>
        <v>0</v>
      </c>
      <c r="DE161" s="16">
        <f>IF(ISNA(VLOOKUP(A161,'Données projet'!$A$139:$I$159,7,0)),0%,VLOOKUP(A161,'Données projet'!$A$139:$I$159,7,0))</f>
        <v>0</v>
      </c>
      <c r="DF161" s="21" t="e">
        <f>EXP(-LN(2)/35)*DF160+(1-EXP(-LN(2)/35))/(LN(2)/35)*DB161*DC161*VLOOKUP('Données projet'!$B$13,Paramètres!$A$1:$I$89,3,0)*0.475*44/12</f>
        <v>#N/A</v>
      </c>
      <c r="DG161" s="21" t="e">
        <f>EXP(-LN(2)/25)*DG160+(1-EXP(-LN(2)/25))/(LN(2)/25)*Calculateur!DB161*Calculateur!DD161*VLOOKUP('Données projet'!$B$13,Paramètres!$A$1:$I$89,3,0)*0.475*44/12</f>
        <v>#N/A</v>
      </c>
      <c r="DH161" s="21" t="e">
        <f>EXP(-LN(2)/2)*DH160+(1-EXP(-LN(2)/2))/(LN(2)/2)*DB161*DE161*VLOOKUP('Données projet'!$B$13,Paramètres!$A$1:$I$89,3,0)*0.475*44/12</f>
        <v>#N/A</v>
      </c>
      <c r="DI161" s="22" t="e">
        <f t="shared" si="175"/>
        <v>#N/A</v>
      </c>
      <c r="DJ161" s="75">
        <f>('Scénario référence'!$F$8+'Scénario référence'!$F$9+'Scénario référence'!$B$17+'Scénario référence'!$B$9+'Scénario référence'!$B$10)*70+IF((45+25*(1-EXP(-0.0175*A161)))&lt;70,'Scénario référence'!$B$16*(45+25*(1-EXP(-0.0175*A161))),70*'Scénario référence'!$B$16)+IF((32+38*(1-EXP(-0.0175*A161)))&lt;70,'Scénario référence'!$B$18*(32+38*(1-EXP(-0.0175*A161))),70*'Scénario référence'!$B$18)</f>
        <v>70</v>
      </c>
      <c r="DK161" s="12">
        <f>IF(A161&gt;30,10,('Scénario référence'!$B$16+'Scénario référence'!$B$17+'Scénario référence'!$B$18+'Scénario référence'!$B$9+'Scénario référence'!$B$10)*A161*10/30+('Scénario référence'!$F$8+'Scénario référence'!$F$9)*10)</f>
        <v>10</v>
      </c>
      <c r="DL161" s="12" t="e">
        <f>VLOOKUP(A161,'Données projet'!$A$165:$I$185,2,0)</f>
        <v>#N/A</v>
      </c>
      <c r="DM161" s="12" t="e">
        <f>VLOOKUP(A161,'Données projet'!$A$165:$I$185,9,0)</f>
        <v>#N/A</v>
      </c>
      <c r="DN161" s="12">
        <f t="array" ref="DN161">INDEX(DM:DM,MIN(IF(ISNUMBER(DM161:DM357),ROW(DM161:DM357),"")))</f>
        <v>0</v>
      </c>
      <c r="DO161" s="12">
        <f>IF('Données projet'!$A$166&gt;35,DO160+DN161-DW160,IF(A161&lt;'Données projet'!$A$166,$DL$205^A161,IF(A161='Données projet'!$A$166,'Données projet'!$B$166,DO160+DN161-DW160)))</f>
        <v>268.00000000000017</v>
      </c>
      <c r="DP161" s="17">
        <f>DO161*VLOOKUP('Données projet'!$B$14,Paramètres!$A$1:$I$89,3,0)*VLOOKUP('Données projet'!$B$14,Paramètres!$A$1:$I$89,5,0)</f>
        <v>175.59360000000012</v>
      </c>
      <c r="DQ161" s="13">
        <f t="shared" si="176"/>
        <v>44.340433728638573</v>
      </c>
      <c r="DR161" s="20">
        <f t="shared" si="177"/>
        <v>383.05177541071242</v>
      </c>
      <c r="DS161" s="59">
        <f t="shared" si="125"/>
        <v>676.38510874404574</v>
      </c>
      <c r="DT161" s="59">
        <f ca="1">AVERAGE(OFFSET($DS$3,0,0,'Données projet'!$E$14+1,1))-AVERAGE(OFFSET($H$3,0,0,'Données projet'!$E$14+1,1))</f>
        <v>188.68915783955595</v>
      </c>
      <c r="DU161" s="59">
        <f t="shared" si="152"/>
        <v>240.82467772396944</v>
      </c>
      <c r="DV161" s="15">
        <f>IF(ISNA(VLOOKUP(A161,'Données projet'!$A$165:$I$185,3,0)),0,VLOOKUP(A161,'Données projet'!$A$165:$I$185,3,0))</f>
        <v>0</v>
      </c>
      <c r="DW161" s="15">
        <f>IF(ISNA(VLOOKUP(A161,'Données projet'!$A$165:$I$185,4,0)),0,VLOOKUP(A161,'Données projet'!$A$165:$I$185,4,0))</f>
        <v>0</v>
      </c>
      <c r="DX161" s="16">
        <f>IF(ISNA(VLOOKUP(A161,'Données projet'!$A$165:$I$185,5,0)),0%,VLOOKUP(A161,'Données projet'!$A$165:$I$185,5,0)*VLOOKUP('Données projet'!$B$14,Paramètres!$A$1:$I$89,7,0))</f>
        <v>0</v>
      </c>
      <c r="DY161" s="16">
        <f>IF(ISNA(VLOOKUP(A161,'Données projet'!$A$165:$I$185,6,0)),0%,VLOOKUP(A161,'Données projet'!$A$165:$I$185,6,0)*VLOOKUP('Données projet'!$B$14,Paramètres!$A$1:$I$89,7,0))</f>
        <v>0</v>
      </c>
      <c r="DZ161" s="16">
        <f>IF(ISNA(VLOOKUP(A161,'Données projet'!$A$165:$I$185,7,0)),0%,VLOOKUP(A161,'Données projet'!$A$165:$I$185,7,0))</f>
        <v>0</v>
      </c>
      <c r="EA161" s="21">
        <f>EXP(-LN(2)/35)*EA160+(1-EXP(-LN(2)/35))/(LN(2)/35)*DW161*DX161*VLOOKUP('Données projet'!$B$14,Paramètres!$A$1:$I$89,3,0)*0.475*44/12</f>
        <v>0.12343825130181592</v>
      </c>
      <c r="EB161" s="21">
        <f>EXP(-LN(2)/25)*EB160+(1-EXP(-LN(2)/25))/(LN(2)/25)*Calculateur!DW161*Calculateur!DY161*VLOOKUP('Données projet'!$B$14,Paramètres!$A$1:$I$89,3,0)*0.475*44/12</f>
        <v>0.23114047639203697</v>
      </c>
      <c r="EC161" s="21">
        <f>EXP(-LN(2)/2)*EC160+(1-EXP(-LN(2)/2))/(LN(2)/2)*DW161*DZ161*VLOOKUP('Données projet'!$B$14,Paramètres!$A$1:$I$89,3,0)*0.475*44/12</f>
        <v>7.587467972819594E-19</v>
      </c>
      <c r="ED161" s="22">
        <f t="shared" si="178"/>
        <v>0.3545787276938529</v>
      </c>
      <c r="EE161" s="75">
        <f>('Scénario référence'!$F$8+'Scénario référence'!$F$9+'Scénario référence'!$B$17+'Scénario référence'!$B$9+'Scénario référence'!$B$10)*70+IF((45+25*(1-EXP(-0.0175*A161)))&lt;70,'Scénario référence'!$B$16*(45+25*(1-EXP(-0.0175*A161))),70*'Scénario référence'!$B$16)+IF((32+38*(1-EXP(-0.0175*A161)))&lt;70,'Scénario référence'!$B$18*(32+38*(1-EXP(-0.0175*A161))),70*'Scénario référence'!$B$18)</f>
        <v>70</v>
      </c>
      <c r="EF161" s="12">
        <f>IF(A161&gt;30,10,('Scénario référence'!$B$16+'Scénario référence'!$B$17+'Scénario référence'!$B$18+'Scénario référence'!$B$9+'Scénario référence'!$B$10)*A161*10/30+('Scénario référence'!$F$8+'Scénario référence'!$F$9)*10)</f>
        <v>10</v>
      </c>
      <c r="EG161" s="12" t="e">
        <f>VLOOKUP(A161,'Données projet'!$A$191:$I$211,2,0)</f>
        <v>#N/A</v>
      </c>
      <c r="EH161" s="12" t="e">
        <f>VLOOKUP(A161,'Données projet'!$A$191:$I$211,9,0)</f>
        <v>#N/A</v>
      </c>
      <c r="EI161" s="12">
        <f t="array" ref="EI161">INDEX(EH:EH,MIN(IF(ISNUMBER(EH161:EH357),ROW(EH161:EH357),"")))</f>
        <v>0</v>
      </c>
      <c r="EJ161" s="12">
        <f>IF('Données projet'!$A$192&gt;35,EJ160+EI161-ER160,IF(A161&lt;'Données projet'!$A$192,$EG$205^A161,IF(A161='Données projet'!$A$192,'Données projet'!$B$192,EJ160+EI161-ER160)))</f>
        <v>275.99999999999972</v>
      </c>
      <c r="EK161" s="17">
        <f>EJ161*VLOOKUP('Données projet'!$B$15,Paramètres!$A$1:$I$89,3,0)*VLOOKUP('Données projet'!$B$15,Paramètres!$A$1:$I$89,5,0)</f>
        <v>223.8911999999998</v>
      </c>
      <c r="EL161" s="13">
        <f t="shared" si="179"/>
        <v>54.95975389514858</v>
      </c>
      <c r="EM161" s="20">
        <f t="shared" si="180"/>
        <v>485.66541136738346</v>
      </c>
      <c r="EN161" s="59">
        <f t="shared" si="128"/>
        <v>778.99874470071677</v>
      </c>
      <c r="EO161" s="59">
        <f ca="1">AVERAGE(OFFSET($EN$3,0,0,'Données projet'!$E$15+1,1))-AVERAGE(OFFSET($H$3,0,0,'Données projet'!$E$15+1,1))</f>
        <v>205.5272583787887</v>
      </c>
      <c r="EP161" s="59">
        <f t="shared" si="154"/>
        <v>180.54762778843178</v>
      </c>
      <c r="EQ161" s="15">
        <f>IF(ISNA(VLOOKUP(A161,'Données projet'!$A$191:$I$211,3,0)),0,VLOOKUP(A161,'Données projet'!$A$191:$I$211,3,0))</f>
        <v>0</v>
      </c>
      <c r="ER161" s="15">
        <f>IF(ISNA(VLOOKUP(A161,'Données projet'!$A$191:$I$211,4,0)),0,VLOOKUP(A161,'Données projet'!$A$191:$I$211,4,0))</f>
        <v>0</v>
      </c>
      <c r="ES161" s="16">
        <f>IF(ISNA(VLOOKUP(A161,'Données projet'!$A$191:$I$211,5,0)),0%,VLOOKUP(A161,'Données projet'!$A$191:$I$211,5,0)*VLOOKUP('Données projet'!$B$15,Paramètres!$A$1:$I$89,7,0))</f>
        <v>0</v>
      </c>
      <c r="ET161" s="16">
        <f>IF(ISNA(VLOOKUP(A161,'Données projet'!$A$191:$I$211,6,0)),0%,VLOOKUP(A161,'Données projet'!$A$191:$I$211,6,0)*VLOOKUP('Données projet'!$B$15,Paramètres!$A$1:$I$89,7,0))</f>
        <v>0</v>
      </c>
      <c r="EU161" s="16">
        <f>IF(ISNA(VLOOKUP(A161,'Données projet'!$A$191:$I$211,7,0)),0%,VLOOKUP(A161,'Données projet'!$A$191:$I$211,7,0))</f>
        <v>0</v>
      </c>
      <c r="EV161" s="21">
        <f>EXP(-LN(2)/35)*EV160+(1-EXP(-LN(2)/35))/(LN(2)/35)*ER161*ES161*VLOOKUP('Données projet'!$B$15,Paramètres!$A$1:$I$89,3,0)*0.475*44/12</f>
        <v>7.9470721790502449E-2</v>
      </c>
      <c r="EW161" s="21">
        <f>EXP(-LN(2)/25)*EW160+(1-EXP(-LN(2)/25))/(LN(2)/25)*Calculateur!ER161*Calculateur!ET161*VLOOKUP('Données projet'!$B$15,Paramètres!$A$1:$I$89,3,0)*0.475*44/12</f>
        <v>0.16689043582442475</v>
      </c>
      <c r="EX161" s="21">
        <f>EXP(-LN(2)/2)*EX160+(1-EXP(-LN(2)/2))/(LN(2)/2)*ER161*EU161*VLOOKUP('Données projet'!$B$15,Paramètres!$A$1:$I$89,3,0)*0.475*44/12</f>
        <v>4.9128911227733428E-19</v>
      </c>
      <c r="EY161" s="22">
        <f t="shared" si="181"/>
        <v>0.24636115761492722</v>
      </c>
      <c r="EZ161" s="75">
        <f>('Scénario référence'!$F$8+'Scénario référence'!$F$9+'Scénario référence'!$B$17+'Scénario référence'!$B$9+'Scénario référence'!$B$10)*70+IF((45+25*(1-EXP(-0.0175*A161)))&lt;70,'Scénario référence'!$B$16*(45+25*(1-EXP(-0.0175*A161))),70*'Scénario référence'!$B$16)+IF((32+38*(1-EXP(-0.0175*A161)))&lt;70,'Scénario référence'!$B$18*(32+38*(1-EXP(-0.0175*A161))),70*'Scénario référence'!$B$18)</f>
        <v>70</v>
      </c>
      <c r="FA161" s="12">
        <f>IF(A161&gt;30,10,('Scénario référence'!$B$16+'Scénario référence'!$B$17+'Scénario référence'!$B$18+'Scénario référence'!$B$9+'Scénario référence'!$B$10)*A161*10/30+('Scénario référence'!$F$8+'Scénario référence'!$F$9)*10)</f>
        <v>10</v>
      </c>
      <c r="FB161" s="12" t="e">
        <f>VLOOKUP(A161,'Données projet'!$A$217:$I$237,2,0)</f>
        <v>#N/A</v>
      </c>
      <c r="FC161" s="12" t="e">
        <f>VLOOKUP(A161,'Données projet'!$A$217:$I$237,9,0)</f>
        <v>#N/A</v>
      </c>
      <c r="FD161" s="12">
        <f t="array" ref="FD161">INDEX(FC:FC,MIN(IF(ISNUMBER(FC161:FC357),ROW(FC161:FC357),"")))</f>
        <v>0</v>
      </c>
      <c r="FE161" s="12">
        <f>IF('Données projet'!$A$218&gt;35,FE160+FD161-FM160,IF(A161&lt;'Données projet'!$A$218,$FB$205^A161,IF(A161='Données projet'!$A$218,'Données projet'!$B$218,FE160+FD161-FM160)))</f>
        <v>418.99999999999983</v>
      </c>
      <c r="FF161" s="17">
        <f>FE161*VLOOKUP('Données projet'!$B$16,Paramètres!$A$1:$I$89,3,0)*VLOOKUP('Données projet'!$B$16,Paramètres!$A$1:$I$89,5,0)</f>
        <v>359.5019999999999</v>
      </c>
      <c r="FG161" s="13">
        <f t="shared" si="182"/>
        <v>83.516011055432813</v>
      </c>
      <c r="FH161" s="20">
        <f t="shared" si="183"/>
        <v>771.58970258821194</v>
      </c>
      <c r="FI161" s="59">
        <f t="shared" si="131"/>
        <v>1064.9230359215453</v>
      </c>
      <c r="FJ161" s="59">
        <f ca="1">AVERAGE(OFFSET($FI$3,0,0,'Données projet'!$E$16+1,1))-AVERAGE(OFFSET($H$3,0,0,'Données projet'!$E$16+1,1))</f>
        <v>383.97627237444709</v>
      </c>
      <c r="FK161" s="59">
        <f t="shared" si="156"/>
        <v>203.35476578922339</v>
      </c>
      <c r="FL161" s="15">
        <f>IF(ISNA(VLOOKUP(A161,'Données projet'!$A$217:$I$237,3,0)),0,VLOOKUP(A161,'Données projet'!$A$217:$I$237,3,0))</f>
        <v>0</v>
      </c>
      <c r="FM161" s="15">
        <f>IF(ISNA(VLOOKUP(A161,'Données projet'!$A$217:$I$237,4,0)),0,VLOOKUP(A161,'Données projet'!$A$217:$I$237,4,0))</f>
        <v>0</v>
      </c>
      <c r="FN161" s="16">
        <f>IF(ISNA(VLOOKUP(A161,'Données projet'!$A$217:$I$237,5,0)),0%,VLOOKUP(A161,'Données projet'!$A$217:$I$237,5,0)*VLOOKUP('Données projet'!$B$16,Paramètres!$A$1:$I$89,7,0))</f>
        <v>0</v>
      </c>
      <c r="FO161" s="16">
        <f>IF(ISNA(VLOOKUP(A161,'Données projet'!$A$217:$I$237,6,0)),0%,VLOOKUP(A161,'Données projet'!$A$217:$I$237,6,0)*VLOOKUP('Données projet'!$B$16,Paramètres!$A$1:$I$89,7,0))</f>
        <v>0</v>
      </c>
      <c r="FP161" s="16">
        <f>IF(ISNA(VLOOKUP(A161,'Données projet'!$A$217:$I$237,7,0)),0%,VLOOKUP(A161,'Données projet'!$A$217:$I$237,7,0))</f>
        <v>0</v>
      </c>
      <c r="FQ161" s="21">
        <f>EXP(-LN(2)/35)*FQ160+(1-EXP(-LN(2)/35))/(LN(2)/35)*FM161*FN161*VLOOKUP('Données projet'!$B$16,Paramètres!$A$1:$I$89,3,0)*0.475*44/12</f>
        <v>0.40843639546889754</v>
      </c>
      <c r="FR161" s="21">
        <f>EXP(-LN(2)/25)*FR160+(1-EXP(-LN(2)/25))/(LN(2)/25)*Calculateur!FM161*Calculateur!FO161*VLOOKUP('Données projet'!$B$16,Paramètres!$A$1:$I$89,3,0)*0.475*44/12</f>
        <v>0.16941104212770111</v>
      </c>
      <c r="FS161" s="21">
        <f>EXP(-LN(2)/2)*FS160+(1-EXP(-LN(2)/2))/(LN(2)/2)*FM161*FP161*VLOOKUP('Données projet'!$B$16,Paramètres!$A$1:$I$89,3,0)*0.475*44/12</f>
        <v>9.0239727212968281E-19</v>
      </c>
      <c r="FT161" s="22">
        <f t="shared" si="184"/>
        <v>0.57784743759659862</v>
      </c>
      <c r="FU161" s="75">
        <f>('Scénario référence'!$F$8+'Scénario référence'!$F$9+'Scénario référence'!$B$17+'Scénario référence'!$B$9+'Scénario référence'!$B$10)*70+IF((45+25*(1-EXP(-0.0175*A161)))&lt;70,'Scénario référence'!$B$16*(45+25*(1-EXP(-0.0175*A161))),70*'Scénario référence'!$B$16)+IF((32+38*(1-EXP(-0.0175*A161)))&lt;70,'Scénario référence'!$B$18*(32+38*(1-EXP(-0.0175*A161))),70*'Scénario référence'!$B$18)</f>
        <v>70</v>
      </c>
      <c r="FV161" s="12">
        <f>IF(A161&gt;30,10,('Scénario référence'!$B$16+'Scénario référence'!$B$17+'Scénario référence'!$B$18+'Scénario référence'!$B$9+'Scénario référence'!$B$10)*A161*10/30+('Scénario référence'!$F$8+'Scénario référence'!$F$9)*10)</f>
        <v>10</v>
      </c>
      <c r="FW161" s="12" t="e">
        <f>VLOOKUP(A161,'Données projet'!$A$243:$I$263,2,0)</f>
        <v>#N/A</v>
      </c>
      <c r="FX161" s="12" t="e">
        <f>VLOOKUP(A161,'Données projet'!$A$243:$I$263,9,0)</f>
        <v>#N/A</v>
      </c>
      <c r="FY161" s="12">
        <f t="array" ref="FY161">INDEX(FX:FX,MIN(IF(ISNUMBER(FX161:FX357),ROW(FX161:FX357),"")))</f>
        <v>0</v>
      </c>
      <c r="FZ161" s="12">
        <f>IF('Données projet'!$A$244&gt;35,FZ160+FY161-GH160,IF(A161&lt;'Données projet'!$A$244,$FW$205^A161,IF(A161='Données projet'!$A$244,'Données projet'!$B$244,FZ160+FY161-GH160)))</f>
        <v>4.5474735088646412E-13</v>
      </c>
      <c r="GA161" s="17">
        <f>FZ161*VLOOKUP('Données projet'!$B$17,Paramètres!$A$1:$I$89,3,0)*VLOOKUP('Données projet'!$B$17,Paramètres!$A$1:$I$89,5,0)</f>
        <v>4.8949004849418999E-13</v>
      </c>
      <c r="GB161" s="13">
        <f t="shared" si="185"/>
        <v>6.1123715499968684E-12</v>
      </c>
      <c r="GC161" s="20">
        <f t="shared" si="186"/>
        <v>1.1498242284038591E-11</v>
      </c>
      <c r="GD161" s="59">
        <f t="shared" si="134"/>
        <v>293.3333333333448</v>
      </c>
      <c r="GE161" s="59">
        <f ca="1">AVERAGE(OFFSET($GD$3,0,0,'Données projet'!$E$17+1,1))-AVERAGE(OFFSET($H$3,0,0,'Données projet'!$E$17+1,1))</f>
        <v>286.77702855541287</v>
      </c>
      <c r="GF161" s="59">
        <f t="shared" si="158"/>
        <v>227.12211541860779</v>
      </c>
      <c r="GG161" s="15">
        <f>IF(ISNA(VLOOKUP(A161,'Données projet'!$A$243:$I$263,3,0)),0,VLOOKUP(A161,'Données projet'!$A$243:$I$263,3,0))</f>
        <v>0</v>
      </c>
      <c r="GH161" s="15">
        <f>IF(ISNA(VLOOKUP(A161,'Données projet'!$A$243:$I$263,4,0)),0,VLOOKUP(A161,'Données projet'!$A$243:$I$263,4,0))</f>
        <v>0</v>
      </c>
      <c r="GI161" s="16">
        <f>IF(ISNA(VLOOKUP(A161,'Données projet'!$A$243:$I$263,5,0)),0%,VLOOKUP(A161,'Données projet'!$A$243:$I$263,5,0)*VLOOKUP('Données projet'!$B$17,Paramètres!$A$1:$I$89,7,0))</f>
        <v>0</v>
      </c>
      <c r="GJ161" s="16">
        <f>IF(ISNA(VLOOKUP(A161,'Données projet'!$A$243:$I$263,6,0)),0%,VLOOKUP(A161,'Données projet'!$A$243:$I$263,6,0)*VLOOKUP('Données projet'!$B$17,Paramètres!$A$1:$I$89,7,0))</f>
        <v>0</v>
      </c>
      <c r="GK161" s="16">
        <f>IF(ISNA(VLOOKUP(A161,'Données projet'!$A$243:$I$263,7,0)),0%,VLOOKUP(A161,'Données projet'!$A$243:$I$263,7,0))</f>
        <v>0</v>
      </c>
      <c r="GL161" s="21">
        <f>EXP(-LN(2)/35)*GL160+(1-EXP(-LN(2)/35))/(LN(2)/35)*GH161*GI161*VLOOKUP('Données projet'!$B$17,Paramètres!$A$1:$I$89,3,0)*0.475*44/12</f>
        <v>0</v>
      </c>
      <c r="GM161" s="21">
        <f>EXP(-LN(2)/25)*GM160+(1-EXP(-LN(2)/25))/(LN(2)/25)*Calculateur!GH161*Calculateur!GJ161*VLOOKUP('Données projet'!$B$17,Paramètres!$A$1:$I$89,3,0)*0.475*44/12</f>
        <v>0</v>
      </c>
      <c r="GN161" s="21">
        <f>EXP(-LN(2)/2)*GN160+(1-EXP(-LN(2)/2))/(LN(2)/2)*GH161*GK161*VLOOKUP('Données projet'!$B$17,Paramètres!$A$1:$I$89,3,0)*0.475*44/12</f>
        <v>0</v>
      </c>
      <c r="GO161" s="21">
        <f t="shared" si="187"/>
        <v>0</v>
      </c>
      <c r="GP161" s="75">
        <f>('Scénario référence'!$F$8+'Scénario référence'!$F$9+'Scénario référence'!$B$17+'Scénario référence'!$B$9+'Scénario référence'!$B$10)*70+IF((45+25*(1-EXP(-0.0175*A161)))&lt;70,'Scénario référence'!$B$16*(45+25*(1-EXP(-0.0175*A161))),70*'Scénario référence'!$B$16)+IF((32+38*(1-EXP(-0.0175*A161)))&lt;70,'Scénario référence'!$B$18*(32+38*(1-EXP(-0.0175*A161))),70*'Scénario référence'!$B$18)</f>
        <v>70</v>
      </c>
      <c r="GQ161" s="12">
        <f>IF(A161&gt;30,10,('Scénario référence'!$B$16+'Scénario référence'!$B$17+'Scénario référence'!$B$18+'Scénario référence'!$B$9+'Scénario référence'!$B$10)*A161*10/30+('Scénario référence'!$F$8+'Scénario référence'!$F$9)*10)</f>
        <v>10</v>
      </c>
      <c r="GR161" s="12" t="e">
        <f>VLOOKUP(A161,'Données projet'!$A$269:$I$289,2,0)</f>
        <v>#N/A</v>
      </c>
      <c r="GS161" s="12" t="e">
        <f>VLOOKUP(A161,'Données projet'!$A$269:$I$289,9,0)</f>
        <v>#N/A</v>
      </c>
      <c r="GT161" s="12">
        <f t="array" ref="GT161">INDEX(GS:GS,MIN(IF(ISNUMBER(GS161:GS357),ROW(GS161:GS357),"")))</f>
        <v>0</v>
      </c>
      <c r="GU161" s="12">
        <f>IF('Données projet'!$A$270&gt;35,GU160+GT161-HC160,IF(A161&lt;'Données projet'!$A$270,$GR$205^A161,IF(A161='Données projet'!$A$270,'Données projet'!$B$270,GU160+GT161-HC160)))</f>
        <v>4.5474735088646412E-13</v>
      </c>
      <c r="GV161" s="17">
        <f>GU161*VLOOKUP('Données projet'!$B$18,Paramètres!$A$1:$I$89,3,0)*VLOOKUP('Données projet'!$B$18,Paramètres!$A$1:$I$89,5,0)</f>
        <v>4.8949004849418999E-13</v>
      </c>
      <c r="GW161" s="13">
        <f t="shared" si="188"/>
        <v>6.1123715499968684E-12</v>
      </c>
      <c r="GX161" s="20">
        <f t="shared" si="189"/>
        <v>1.1498242284038591E-11</v>
      </c>
      <c r="GY161" s="59">
        <f t="shared" si="137"/>
        <v>293.3333333333448</v>
      </c>
      <c r="GZ161" s="59">
        <f ca="1">AVERAGE(OFFSET($GY$3,0,0,'Données projet'!$E$18+1,1))-AVERAGE(OFFSET($H$3,0,0,'Données projet'!$E$18+1,1))</f>
        <v>286.77702855541287</v>
      </c>
      <c r="HA161" s="59">
        <f t="shared" si="160"/>
        <v>227.12211541860779</v>
      </c>
      <c r="HB161" s="15">
        <f>IF(ISNA(VLOOKUP(A161,'Données projet'!$A$269:$I$289,3,0)),0,VLOOKUP(A161,'Données projet'!$A$269:$I$289,3,0))</f>
        <v>0</v>
      </c>
      <c r="HC161" s="15">
        <f>IF(ISNA(VLOOKUP(A161,'Données projet'!$A$269:$I$289,4,0)),0,VLOOKUP(A161,'Données projet'!$A$269:$I$289,4,0))</f>
        <v>0</v>
      </c>
      <c r="HD161" s="16">
        <f>IF(ISNA(VLOOKUP(A161,'Données projet'!$A$269:$I$289,5,0)),0%,VLOOKUP(A161,'Données projet'!$A$269:$I$289,5,0)*VLOOKUP('Données projet'!$B$18,Paramètres!$A$1:$I$89,7,0))</f>
        <v>0</v>
      </c>
      <c r="HE161" s="16">
        <f>IF(ISNA(VLOOKUP(A161,'Données projet'!$A$269:$I$289,6,0)),0%,VLOOKUP(A161,'Données projet'!$A$269:$I$289,6,0)*VLOOKUP('Données projet'!$B$18,Paramètres!$A$1:$I$89,7,0))</f>
        <v>0</v>
      </c>
      <c r="HF161" s="16">
        <f>IF(ISNA(VLOOKUP(A161,'Données projet'!$A$269:$I$289,7,0)),0%,VLOOKUP(A161,'Données projet'!$A$269:$I$289,7,0))</f>
        <v>0</v>
      </c>
      <c r="HG161" s="21">
        <f>EXP(-LN(2)/35)*HG160+(1-EXP(-LN(2)/35))/(LN(2)/35)*HC161*HD161*VLOOKUP('Données projet'!$B$18,Paramètres!$A$1:$I$89,3,0)*0.475*44/12</f>
        <v>0</v>
      </c>
      <c r="HH161" s="21">
        <f>EXP(-LN(2)/25)*HH160+(1-EXP(-LN(2)/25))/(LN(2)/25)*Calculateur!HC161*Calculateur!HE161*VLOOKUP('Données projet'!$B$18,Paramètres!$A$1:$I$89,3,0)*0.475*44/12</f>
        <v>0</v>
      </c>
      <c r="HI161" s="21">
        <f>EXP(-LN(2)/2)*HI160+(1-EXP(-LN(2)/2))/(LN(2)/2)*HC161*HF161*VLOOKUP('Données projet'!$B$18,Paramètres!$A$1:$I$89,3,0)*0.475*44/12</f>
        <v>0</v>
      </c>
      <c r="HJ161" s="22">
        <f t="shared" si="190"/>
        <v>0</v>
      </c>
    </row>
    <row r="162" spans="1:218" x14ac:dyDescent="0.25">
      <c r="A162" s="10">
        <f t="shared" si="161"/>
        <v>159</v>
      </c>
      <c r="B162" s="73">
        <f>'Scénario référence'!$B$16*5+'Scénario référence'!$B$17*0+'Scénario référence'!$B$18*5</f>
        <v>0</v>
      </c>
      <c r="C162" s="19">
        <f>Calculateur!C161+'Scénario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141.38280000000006</v>
      </c>
      <c r="D162" s="11">
        <f t="shared" si="140"/>
        <v>36.613604122020263</v>
      </c>
      <c r="E16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62" s="11">
        <f>IF(OR('Scénario référence'!$F$8&gt;0,'Scénario référence'!$F$9&gt;0),('Scénario référence'!$F$8+'Scénario référence'!$F$9)*10,0)</f>
        <v>10</v>
      </c>
      <c r="G162" s="11">
        <f>'Scénario référence'!$B$8*B162*44/12+'Scénario référence'!$B$9*(C162+D162)/0.475*44/12+'Scénario référence'!$B$10*(C162+D162)/0.475*44/12+'Scénario référence'!$F$8*(C162+D162)/0.475*44/12+'Scénario référence'!$F$9*(C162+D162)/0.475*44/12</f>
        <v>1374.0073300647182</v>
      </c>
      <c r="H162" s="67">
        <f t="shared" si="110"/>
        <v>603.34373717918538</v>
      </c>
      <c r="I162" s="70">
        <f>('Scénario référence'!$F$8+'Scénario référence'!$F$9+'Scénario référence'!$B$17+'Scénario référence'!$B$9+'Scénario référence'!$B$10)*70+IF((45+25*(1-EXP(-0.0175*A162)))&lt;70,'Scénario référence'!$B$16*(45+25*(1-EXP(-0.0175*A162))),70*'Scénario référence'!$B$16)+IF((32+38*(1-EXP(-0.0175*A162)))&lt;70,'Scénario référence'!$B$18*(32+38*(1-EXP(-0.0175*A162))),70*'Scénario référence'!$B$18)</f>
        <v>70</v>
      </c>
      <c r="J162" s="13">
        <f>IF(A162&gt;30,10,('Scénario référence'!$B$16+'Scénario référence'!$B$17+'Scénario référence'!$B$18+'Scénario référence'!$B$9+'Scénario référence'!$B$10)*A162*10/30+('Scénario référence'!$F$8+'Scénario référence'!$F$9)*10)</f>
        <v>10</v>
      </c>
      <c r="K162" s="12" t="e">
        <f>VLOOKUP(A162,'Données projet'!$A$35:$I$55,2,0)</f>
        <v>#N/A</v>
      </c>
      <c r="L162" s="12" t="e">
        <f>VLOOKUP(A162,'Données projet'!$A$35:$I$55,9,0)</f>
        <v>#N/A</v>
      </c>
      <c r="M162" s="12">
        <f t="array" ref="M162">INDEX(L:L,MIN(IF(ISNUMBER(L162:L358),ROW(L162:L358),"")))</f>
        <v>0</v>
      </c>
      <c r="N162" s="13">
        <f>IF('Données projet'!$A$36&gt;35,N161+M162-V161,IF(A162&lt;'Données projet'!$A$36,$K$205^A162,IF(A162='Données projet'!$A$36,'Données projet'!$B$36,N161+M162-V161)))</f>
        <v>-2.2737367544323206E-13</v>
      </c>
      <c r="O162" s="13">
        <f>N162*VLOOKUP('Données projet'!$B$9,Paramètres!$A$1:$I$89,3,0)*VLOOKUP('Données projet'!$B$9,Paramètres!$A$1:$I$89,5,0)</f>
        <v>-1.2710188457276673E-13</v>
      </c>
      <c r="P162" s="13" t="e">
        <f t="shared" si="141"/>
        <v>#NUM!</v>
      </c>
      <c r="Q162" s="20" t="e">
        <f t="shared" si="162"/>
        <v>#NUM!</v>
      </c>
      <c r="R162" s="59" t="e">
        <f t="shared" si="109"/>
        <v>#NUM!</v>
      </c>
      <c r="S162" s="59">
        <f ca="1">AVERAGE(OFFSET($R$3,0,0,'Données projet'!$E$9+1,1))-AVERAGE(OFFSET($H$3,0,0,'Données projet'!$E$9+1,1))</f>
        <v>255.5374979188561</v>
      </c>
      <c r="T162" s="59">
        <f t="shared" si="142"/>
        <v>343.10418468620901</v>
      </c>
      <c r="U162" s="15">
        <f>IF(ISNA(VLOOKUP(A162,'Données projet'!$A$35:$I$55,3,0)),0,VLOOKUP(A162,'Données projet'!$A$35:$I$55,3,0))</f>
        <v>0</v>
      </c>
      <c r="V162" s="15">
        <f>IF(ISNA(VLOOKUP(A162,'Données projet'!$A$35:$I$55,4,0)),0,VLOOKUP(A162,'Données projet'!$A$35:$I$55,4,0))</f>
        <v>0</v>
      </c>
      <c r="W162" s="16">
        <f>IF(ISNA(VLOOKUP(A162,'Données projet'!$A$35:$I$55,5,0)),0%,VLOOKUP(A162,'Données projet'!$A$35:$I$55,5,0)*VLOOKUP('Données projet'!$B$9,Paramètres!$A$1:$I$89,7,0))</f>
        <v>0</v>
      </c>
      <c r="X162" s="16">
        <f>IF(ISNA(VLOOKUP(A162,'Données projet'!$A$35:$I$55,6,0)),0%,VLOOKUP(A162,'Données projet'!$A$35:$I$55,6,0)*VLOOKUP('Données projet'!$B$9,Paramètres!$A$1:$I$89,7,0))</f>
        <v>0</v>
      </c>
      <c r="Y162" s="16">
        <f>IF(ISNA(VLOOKUP(A162,'Données projet'!$A$35:$I$55,7,0)),0%,VLOOKUP(A162,'Données projet'!$A$35:$I$55,7,0))</f>
        <v>0</v>
      </c>
      <c r="Z162" s="21">
        <f>EXP(-LN(2)/35)*Z161+(1-EXP(-LN(2)/35))/(LN(2)/35)*V162*W162*VLOOKUP('Données projet'!$B$9,Paramètres!$A$1:$I$89,3,0)*0.475*44/12</f>
        <v>0.2401340053781453</v>
      </c>
      <c r="AA162" s="21">
        <f>EXP(-LN(2)/25)*AA161+(1-EXP(-LN(2)/25))/(LN(2)/25)*Calculateur!V162*Calculateur!X162*VLOOKUP('Données projet'!$B$9,Paramètres!$A$1:$I$89,3,0)*0.475*44/12</f>
        <v>0.4464010018780305</v>
      </c>
      <c r="AB162" s="21">
        <f>EXP(-LN(2)/2)*AB161+(1-EXP(-LN(2)/2))/(LN(2)/2)*V162*Y162*VLOOKUP('Données projet'!$B$9,Paramètres!$A$1:$I$89,3,0)*0.475*44/12</f>
        <v>6.4883307254058571E-20</v>
      </c>
      <c r="AC162" s="22">
        <f t="shared" si="163"/>
        <v>0.68653500725617578</v>
      </c>
      <c r="AD162" s="13">
        <f>('Scénario référence'!$F$8+'Scénario référence'!$F$9+'Scénario référence'!$B$17+'Scénario référence'!$B$9+'Scénario référence'!$B$10)*70+IF((45+25*(1-EXP(-0.0175*A162)))&lt;70,'Scénario référence'!$B$16*(45+25*(1-EXP(-0.0175*A162))),70*'Scénario référence'!$B$16)+IF((32+38*(1-EXP(-0.0175*A162)))&lt;70,'Scénario référence'!$B$18*(32+38*(1-EXP(-0.0175*A162))),70*'Scénario référence'!$B$18)</f>
        <v>70</v>
      </c>
      <c r="AE162" s="13">
        <f>IF(A162&gt;30,10,('Scénario référence'!$B$16+'Scénario référence'!$B$17+'Scénario référence'!$B$18+'Scénario référence'!$B$9+'Scénario référence'!$B$10)*A162*10/30+('Scénario référence'!$F$8+'Scénario référence'!$F$9)*10)</f>
        <v>10</v>
      </c>
      <c r="AF162" s="12" t="e">
        <f>VLOOKUP(A162,'Données projet'!$A$61:$I$81,2,0)</f>
        <v>#N/A</v>
      </c>
      <c r="AG162" s="12" t="e">
        <f>VLOOKUP(A162,'Données projet'!$A$61:$I$81,9,0)</f>
        <v>#N/A</v>
      </c>
      <c r="AH162" s="12">
        <f t="array" ref="AH162">INDEX(AG:AG,MIN(IF(ISNUMBER(AG162:AG358),ROW(AG162:AG358),"")))</f>
        <v>0</v>
      </c>
      <c r="AI162" s="13">
        <f>IF('Données projet'!$A$62&gt;35,AI161+AH162-AQ161,IF(A162&lt;'Données projet'!$A$62,$AF$205^A162,IF(A162='Données projet'!$A$62,'Données projet'!$B$62,AI161+AH162-AQ161)))</f>
        <v>0</v>
      </c>
      <c r="AJ162" s="13">
        <f>AI162*VLOOKUP('Données projet'!$B$10,Paramètres!$A$1:$I$89,3,0)*VLOOKUP('Données projet'!$B$10,Paramètres!$A$1:$I$89,5,0)</f>
        <v>0</v>
      </c>
      <c r="AK162" s="13" t="e">
        <f t="shared" si="164"/>
        <v>#NUM!</v>
      </c>
      <c r="AL162" s="20" t="e">
        <f t="shared" si="165"/>
        <v>#NUM!</v>
      </c>
      <c r="AM162" s="59" t="e">
        <f t="shared" si="113"/>
        <v>#NUM!</v>
      </c>
      <c r="AN162" s="59">
        <f ca="1">AVERAGE(OFFSET($AM$3,0,0,'Données projet'!$E$10+1,1))-AVERAGE(OFFSET($H$3,0,0,'Données projet'!$E$10+1,1))</f>
        <v>261.78489480911571</v>
      </c>
      <c r="AO162" s="59">
        <f t="shared" si="144"/>
        <v>297.50513563712764</v>
      </c>
      <c r="AP162" s="15">
        <f>IF(ISNA(VLOOKUP(A162,'Données projet'!$A$61:$I$81,3,0)),0,VLOOKUP(A162,'Données projet'!$A$61:$I$81,3,0))</f>
        <v>0</v>
      </c>
      <c r="AQ162" s="15">
        <f>IF(ISNA(VLOOKUP(A162,'Données projet'!$A$61:$I$81,4,0)),0,VLOOKUP(A162,'Données projet'!$A$61:$I$81,4,0))</f>
        <v>0</v>
      </c>
      <c r="AR162" s="16">
        <f>IF(ISNA(VLOOKUP(A162,'Données projet'!$A$61:$I$81,5,0)),0%,VLOOKUP(A162,'Données projet'!$A$61:$I$81,5,0)*VLOOKUP('Données projet'!$B$10,Paramètres!$A$1:$I$89,7,0))</f>
        <v>0</v>
      </c>
      <c r="AS162" s="16">
        <f>IF(ISNA(VLOOKUP(A162,'Données projet'!$A$61:$I$81,6,0)),0%,VLOOKUP(A162,'Données projet'!$A$61:$I$81,6,0)*VLOOKUP('Données projet'!$B$10,Paramètres!$A$1:$I$89,7,0))</f>
        <v>0</v>
      </c>
      <c r="AT162" s="16">
        <f>IF(ISNA(VLOOKUP(A162,'Données projet'!$A$61:$I$81,7,0)),0%,VLOOKUP(A162,'Données projet'!$A$61:$I$81,7,0))</f>
        <v>0</v>
      </c>
      <c r="AU162" s="21">
        <f>EXP(-LN(2)/35)*AU161+(1-EXP(-LN(2)/35))/(LN(2)/35)*AQ162*AR162*VLOOKUP('Données projet'!$B$10,Paramètres!$A$1:$I$89,3,0)*0.475*44/12</f>
        <v>0.64842973609863608</v>
      </c>
      <c r="AV162" s="21">
        <f>EXP(-LN(2)/25)*AV161+(1-EXP(-LN(2)/25))/(LN(2)/25)*Calculateur!AQ162*Calculateur!AS162*VLOOKUP('Données projet'!$B$10,Paramètres!$A$1:$I$89,3,0)*0.475*44/12</f>
        <v>0.77950719761781728</v>
      </c>
      <c r="AW162" s="21">
        <f>EXP(-LN(2)/2)*AW161+(1-EXP(-LN(2)/2))/(LN(2)/2)*AQ162*AT162*VLOOKUP('Données projet'!$B$10,Paramètres!$A$1:$I$89,3,0)*0.475*44/12</f>
        <v>9.3535464323649203E-19</v>
      </c>
      <c r="AX162" s="21">
        <f t="shared" si="166"/>
        <v>1.4279369337164534</v>
      </c>
      <c r="AY162" s="74">
        <f>('Scénario référence'!$F$8+'Scénario référence'!$F$9+'Scénario référence'!$B$17+'Scénario référence'!$B$9+'Scénario référence'!$B$10)*70+IF((45+25*(1-EXP(-0.0175*A162)))&lt;70,'Scénario référence'!$B$16*(45+25*(1-EXP(-0.0175*A162))),70*'Scénario référence'!$B$16)+IF((32+38*(1-EXP(-0.0175*A162)))&lt;70,'Scénario référence'!$B$18*(32+38*(1-EXP(-0.0175*A162))),70*'Scénario référence'!$B$18)</f>
        <v>70</v>
      </c>
      <c r="AZ162" s="12">
        <f>IF(A162&gt;30,10,('Scénario référence'!$B$16+'Scénario référence'!$B$17+'Scénario référence'!$B$18+'Scénario référence'!$B$9+'Scénario référence'!$B$10)*A162*10/30+('Scénario référence'!$F$8+'Scénario référence'!$F$9)*10)</f>
        <v>10</v>
      </c>
      <c r="BA162" s="12" t="e">
        <f>VLOOKUP(A162,'Données projet'!$A$87:$I$107,2,0)</f>
        <v>#N/A</v>
      </c>
      <c r="BB162" s="12" t="e">
        <f>VLOOKUP(A162,'Données projet'!$A$87:$I$107,9,0)</f>
        <v>#N/A</v>
      </c>
      <c r="BC162" s="12">
        <f t="array" ref="BC162">INDEX(BB:BB,MIN(IF(ISNUMBER(BB162:BB358),ROW(BB162:BB358),"")))</f>
        <v>0</v>
      </c>
      <c r="BD162" s="12">
        <f>IF('Données projet'!$A$88&gt;35,BD161+BC162-BL161,IF(A162&lt;'Données projet'!$A$88,$BA$205^A162,IF(A162='Données projet'!$A$88,'Données projet'!$B$88,BD161+BC162-BL161)))</f>
        <v>553.99999999999955</v>
      </c>
      <c r="BE162" s="13">
        <f>BD162*VLOOKUP('Données projet'!$B$11,Paramètres!$A$1:$I$89,3,0)*VLOOKUP('Données projet'!$B$11,Paramètres!$A$1:$I$89,5,0)</f>
        <v>331.29199999999975</v>
      </c>
      <c r="BF162" s="13">
        <f t="shared" si="167"/>
        <v>77.698110787752</v>
      </c>
      <c r="BG162" s="20">
        <f t="shared" si="168"/>
        <v>712.32444295533423</v>
      </c>
      <c r="BH162" s="59">
        <f t="shared" si="116"/>
        <v>1005.6577762886675</v>
      </c>
      <c r="BI162" s="59">
        <f ca="1">AVERAGE(OFFSET($BH$3,0,0,'Données projet'!$E$11+1,1))-AVERAGE(OFFSET($H$3,0,0,'Données projet'!$E$11+1,1))</f>
        <v>316.58509520829671</v>
      </c>
      <c r="BJ162" s="59">
        <f t="shared" si="146"/>
        <v>240.71332110643596</v>
      </c>
      <c r="BK162" s="15">
        <f>IF(ISNA(VLOOKUP(A162,'Données projet'!$A$87:$I$107,3,0)),0,VLOOKUP(A162,'Données projet'!$A$87:$I$107,3,0))</f>
        <v>0</v>
      </c>
      <c r="BL162" s="15">
        <f>IF(ISNA(VLOOKUP(A162,'Données projet'!$A$87:$I$107,4,0)),0,VLOOKUP(A162,'Données projet'!$A$87:$I$107,4,0))</f>
        <v>0</v>
      </c>
      <c r="BM162" s="16">
        <f>IF(ISNA(VLOOKUP(A162,'Données projet'!$A$87:$I$107,5,0)),0%,VLOOKUP(A162,'Données projet'!$A$87:$I$107,5,0)*VLOOKUP('Données projet'!$B$11,Paramètres!$A$1:$I$89,7,0))</f>
        <v>0</v>
      </c>
      <c r="BN162" s="16">
        <f>IF(ISNA(VLOOKUP(A162,'Données projet'!$A$87:$I$107,6,0)),0%,VLOOKUP(A162,'Données projet'!$A$87:$I$107,6,0)*VLOOKUP('Données projet'!$B$11,Paramètres!$A$1:$I$89,7,0))</f>
        <v>0</v>
      </c>
      <c r="BO162" s="16">
        <f>IF(ISNA(VLOOKUP(A162,'Données projet'!$A$87:$I$107,7,0)),0%,VLOOKUP(A162,'Données projet'!$A$87:$I$107,7,0))</f>
        <v>0</v>
      </c>
      <c r="BP162" s="21">
        <f>EXP(-LN(2)/35)*BP161+(1-EXP(-LN(2)/35))/(LN(2)/35)*BL162*BM162*VLOOKUP('Données projet'!$B$11,Paramètres!$A$1:$I$89,3,0)*0.475*44/12</f>
        <v>0.19696535696597353</v>
      </c>
      <c r="BQ162" s="21">
        <f>EXP(-LN(2)/25)*BQ161+(1-EXP(-LN(2)/25))/(LN(2)/25)*Calculateur!BL162*Calculateur!BN162*VLOOKUP('Données projet'!$B$11,Paramètres!$A$1:$I$89,3,0)*0.475*44/12</f>
        <v>0.42703678737575351</v>
      </c>
      <c r="BR162" s="21">
        <f>EXP(-LN(2)/2)*BR161+(1-EXP(-LN(2)/2))/(LN(2)/2)*BL162*BO162*VLOOKUP('Données projet'!$B$11,Paramètres!$A$1:$I$89,3,0)*0.475*44/12</f>
        <v>8.4098625739512741E-19</v>
      </c>
      <c r="BS162" s="22">
        <f t="shared" si="169"/>
        <v>0.62400214434172707</v>
      </c>
      <c r="BT162" s="75">
        <f>('Scénario référence'!$F$8+'Scénario référence'!$F$9+'Scénario référence'!$B$17+'Scénario référence'!$B$9+'Scénario référence'!$B$10)*70+IF((45+25*(1-EXP(-0.0175*A162)))&lt;70,'Scénario référence'!$B$16*(45+25*(1-EXP(-0.0175*A162))),70*'Scénario référence'!$B$16)+IF((32+38*(1-EXP(-0.0175*A162)))&lt;70,'Scénario référence'!$B$18*(32+38*(1-EXP(-0.0175*A162))),70*'Scénario référence'!$B$18)</f>
        <v>70</v>
      </c>
      <c r="BU162" s="12">
        <f>IF(A162&gt;30,10,('Scénario référence'!$B$16+'Scénario référence'!$B$17+'Scénario référence'!$B$18+'Scénario référence'!$B$9+'Scénario référence'!$B$10)*A162*10/30+('Scénario référence'!$F$8+'Scénario référence'!$F$9)*10)</f>
        <v>10</v>
      </c>
      <c r="BV162" s="12" t="e">
        <f>VLOOKUP(A162,'Données projet'!$A$113:$I$133,2,0)</f>
        <v>#N/A</v>
      </c>
      <c r="BW162" s="12" t="e">
        <f>VLOOKUP(A162,'Données projet'!$A$113:$I$133,9,0)</f>
        <v>#N/A</v>
      </c>
      <c r="BX162" s="12">
        <f t="array" ref="BX162">INDEX(BW:BW,MIN(IF(ISNUMBER(BW162:BW358),ROW(BW162:BW358),"")))</f>
        <v>0</v>
      </c>
      <c r="BY162" s="12">
        <f>IF('Données projet'!$A$114&gt;35,BY161+BX162-CG161,IF(A162&lt;'Données projet'!$A$114,$BV$205^A162,IF(A162='Données projet'!$A$114,'Données projet'!$B$114,BY161+BX162-CG161)))</f>
        <v>333.99999999999977</v>
      </c>
      <c r="BZ162" s="13">
        <f>BY162*VLOOKUP('Données projet'!$B$12,Paramètres!$A$1:$I$89,3,0)*VLOOKUP('Données projet'!$B$12,Paramètres!$A$1:$I$89,5,0)</f>
        <v>191.04799999999986</v>
      </c>
      <c r="CA162" s="13">
        <f t="shared" si="170"/>
        <v>47.771576544305155</v>
      </c>
      <c r="CB162" s="20">
        <f t="shared" si="171"/>
        <v>415.94409581466454</v>
      </c>
      <c r="CC162" s="59">
        <f t="shared" si="119"/>
        <v>709.27742914799785</v>
      </c>
      <c r="CD162" s="59">
        <f ca="1">AVERAGE(OFFSET($CC$3,0,0,'Données projet'!$E$12+1,1))-AVERAGE(OFFSET($H$3,0,0,'Données projet'!$E$12+1,1))</f>
        <v>188.64374818906128</v>
      </c>
      <c r="CE162" s="59">
        <f t="shared" si="148"/>
        <v>211.95157880548652</v>
      </c>
      <c r="CF162" s="15">
        <f>IF(ISNA(VLOOKUP(A162,'Données projet'!$A$113:$I$133,3,0)),0,VLOOKUP(A162,'Données projet'!$A$113:$I$133,3,0))</f>
        <v>0</v>
      </c>
      <c r="CG162" s="15">
        <f>IF(ISNA(VLOOKUP(A162,'Données projet'!$A$113:$I$133,4,0)),0,VLOOKUP(A162,'Données projet'!$A$113:$I$133,4,0))</f>
        <v>0</v>
      </c>
      <c r="CH162" s="16">
        <f>IF(ISNA(VLOOKUP(A162,'Données projet'!$A$113:$I$133,5,0)),0%,VLOOKUP(A162,'Données projet'!$A$113:$I$133,5,0)*VLOOKUP('Données projet'!$B$12,Paramètres!$A$1:$I$89,7,0))</f>
        <v>0</v>
      </c>
      <c r="CI162" s="16">
        <f>IF(ISNA(VLOOKUP(A162,'Données projet'!$A$113:$I$133,6,0)),0%,VLOOKUP(A162,'Données projet'!$A$113:$I$133,6,0)*VLOOKUP('Données projet'!$B$12,Paramètres!$A$1:$I$89,7,0))</f>
        <v>0</v>
      </c>
      <c r="CJ162" s="16">
        <f>IF(ISNA(VLOOKUP(A162,'Données projet'!$A$113:$I$133,7,0)),0%,VLOOKUP(A162,'Données projet'!$A$113:$I$133,7,0))</f>
        <v>0</v>
      </c>
      <c r="CK162" s="21">
        <f>EXP(-LN(2)/35)*CK161+(1-EXP(-LN(2)/35))/(LN(2)/35)*CG162*CH162*VLOOKUP('Données projet'!$B$12,Paramètres!$A$1:$I$89,3,0)*0.475*44/12</f>
        <v>0.19105519010049093</v>
      </c>
      <c r="CL162" s="21">
        <f>EXP(-LN(2)/25)*CL161+(1-EXP(-LN(2)/25))/(LN(2)/25)*Calculateur!CG162*Calculateur!CI162*VLOOKUP('Données projet'!$B$12,Paramètres!$A$1:$I$89,3,0)*0.475*44/12</f>
        <v>0.4019366931436742</v>
      </c>
      <c r="CM162" s="21">
        <f>EXP(-LN(2)/2)*CM161+(1-EXP(-LN(2)/2))/(LN(2)/2)*CG162*CJ162*VLOOKUP('Données projet'!$B$12,Paramètres!$A$1:$I$89,3,0)*0.475*44/12</f>
        <v>8.1442939054517964E-19</v>
      </c>
      <c r="CN162" s="22">
        <f t="shared" si="172"/>
        <v>0.59299188324416519</v>
      </c>
      <c r="CO162" s="75">
        <f>('Scénario référence'!$F$8+'Scénario référence'!$F$9+'Scénario référence'!$B$17+'Scénario référence'!$B$9+'Scénario référence'!$B$10)*70+IF((45+25*(1-EXP(-0.0175*A162)))&lt;70,'Scénario référence'!$B$16*(45+25*(1-EXP(-0.0175*A162))),70*'Scénario référence'!$B$16)+IF((32+38*(1-EXP(-0.0175*A162)))&lt;70,'Scénario référence'!$B$18*(32+38*(1-EXP(-0.0175*A162))),70*'Scénario référence'!$B$18)</f>
        <v>70</v>
      </c>
      <c r="CP162" s="12">
        <f>IF(A162&gt;30,10,('Scénario référence'!$B$16+'Scénario référence'!$B$17+'Scénario référence'!$B$18+'Scénario référence'!$B$9+'Scénario référence'!$B$10)*A162*10/30+('Scénario référence'!$F$8+'Scénario référence'!$F$9)*10)</f>
        <v>10</v>
      </c>
      <c r="CQ162" s="12" t="e">
        <f>VLOOKUP(A162,'Données projet'!$A$139:$I$159,2,0)</f>
        <v>#N/A</v>
      </c>
      <c r="CR162" s="12" t="e">
        <f>VLOOKUP(A162,'Données projet'!$A$139:$I$159,9,0)</f>
        <v>#N/A</v>
      </c>
      <c r="CS162" s="12">
        <f t="array" ref="CS162">INDEX(CR:CR,MIN(IF(ISNUMBER(CR162:CR358),ROW(CR162:CR358),"")))</f>
        <v>0</v>
      </c>
      <c r="CT162" s="12">
        <f>IF('Données projet'!$A$140&gt;35,CT161+CS162-DB161,IF(A162&lt;'Données projet'!$A$140,$CQ$205^A162,IF(A162='Données projet'!$A$140,'Données projet'!$B$140,CT161+CS162-DB161)))</f>
        <v>0</v>
      </c>
      <c r="CU162" s="17" t="e">
        <f>CT162*VLOOKUP('Données projet'!$B$13,Paramètres!$A$1:$I$89,3,0)*VLOOKUP('Données projet'!$B$13,Paramètres!$A$1:$I$89,5,0)</f>
        <v>#N/A</v>
      </c>
      <c r="CV162" s="13" t="e">
        <f t="shared" si="173"/>
        <v>#N/A</v>
      </c>
      <c r="CW162" s="20" t="e">
        <f t="shared" si="174"/>
        <v>#N/A</v>
      </c>
      <c r="CX162" s="59" t="e">
        <f t="shared" si="122"/>
        <v>#N/A</v>
      </c>
      <c r="CY162" s="59" t="e">
        <f ca="1">AVERAGE(OFFSET($CX$3,0,0,'Données projet'!$E$13+1,1))-AVERAGE(OFFSET($H$3,0,0,'Données projet'!$E$13+1,1))</f>
        <v>#N/A</v>
      </c>
      <c r="CZ162" s="59" t="e">
        <f t="shared" si="150"/>
        <v>#N/A</v>
      </c>
      <c r="DA162" s="15">
        <f>IF(ISNA(VLOOKUP(A162,'Données projet'!$A$139:$I$159,3,0)),0,VLOOKUP(A162,'Données projet'!$A$139:$I$159,3,0))</f>
        <v>0</v>
      </c>
      <c r="DB162" s="15">
        <f>IF(ISNA(VLOOKUP(A162,'Données projet'!$A$139:$I$159,4,0)),0,VLOOKUP(A162,'Données projet'!$A$139:$I$159,4,0))</f>
        <v>0</v>
      </c>
      <c r="DC162" s="16">
        <f>IF(ISNA(VLOOKUP(A162,'Données projet'!$A$139:$I$159,5,0)),0%,VLOOKUP(A162,'Données projet'!$A$139:$I$159,5,0)*VLOOKUP('Données projet'!$B$13,Paramètres!$A$1:$I$89,7,0))</f>
        <v>0</v>
      </c>
      <c r="DD162" s="16">
        <f>IF(ISNA(VLOOKUP(A162,'Données projet'!$A$139:$I$159,6,0)),0%,VLOOKUP(A162,'Données projet'!$A$139:$I$159,6,0)*VLOOKUP('Données projet'!$B$13,Paramètres!$A$1:$I$89,7,0))</f>
        <v>0</v>
      </c>
      <c r="DE162" s="16">
        <f>IF(ISNA(VLOOKUP(A162,'Données projet'!$A$139:$I$159,7,0)),0%,VLOOKUP(A162,'Données projet'!$A$139:$I$159,7,0))</f>
        <v>0</v>
      </c>
      <c r="DF162" s="21" t="e">
        <f>EXP(-LN(2)/35)*DF161+(1-EXP(-LN(2)/35))/(LN(2)/35)*DB162*DC162*VLOOKUP('Données projet'!$B$13,Paramètres!$A$1:$I$89,3,0)*0.475*44/12</f>
        <v>#N/A</v>
      </c>
      <c r="DG162" s="21" t="e">
        <f>EXP(-LN(2)/25)*DG161+(1-EXP(-LN(2)/25))/(LN(2)/25)*Calculateur!DB162*Calculateur!DD162*VLOOKUP('Données projet'!$B$13,Paramètres!$A$1:$I$89,3,0)*0.475*44/12</f>
        <v>#N/A</v>
      </c>
      <c r="DH162" s="21" t="e">
        <f>EXP(-LN(2)/2)*DH161+(1-EXP(-LN(2)/2))/(LN(2)/2)*DB162*DE162*VLOOKUP('Données projet'!$B$13,Paramètres!$A$1:$I$89,3,0)*0.475*44/12</f>
        <v>#N/A</v>
      </c>
      <c r="DI162" s="22" t="e">
        <f t="shared" si="175"/>
        <v>#N/A</v>
      </c>
      <c r="DJ162" s="75">
        <f>('Scénario référence'!$F$8+'Scénario référence'!$F$9+'Scénario référence'!$B$17+'Scénario référence'!$B$9+'Scénario référence'!$B$10)*70+IF((45+25*(1-EXP(-0.0175*A162)))&lt;70,'Scénario référence'!$B$16*(45+25*(1-EXP(-0.0175*A162))),70*'Scénario référence'!$B$16)+IF((32+38*(1-EXP(-0.0175*A162)))&lt;70,'Scénario référence'!$B$18*(32+38*(1-EXP(-0.0175*A162))),70*'Scénario référence'!$B$18)</f>
        <v>70</v>
      </c>
      <c r="DK162" s="12">
        <f>IF(A162&gt;30,10,('Scénario référence'!$B$16+'Scénario référence'!$B$17+'Scénario référence'!$B$18+'Scénario référence'!$B$9+'Scénario référence'!$B$10)*A162*10/30+('Scénario référence'!$F$8+'Scénario référence'!$F$9)*10)</f>
        <v>10</v>
      </c>
      <c r="DL162" s="12" t="e">
        <f>VLOOKUP(A162,'Données projet'!$A$165:$I$185,2,0)</f>
        <v>#N/A</v>
      </c>
      <c r="DM162" s="12" t="e">
        <f>VLOOKUP(A162,'Données projet'!$A$165:$I$185,9,0)</f>
        <v>#N/A</v>
      </c>
      <c r="DN162" s="12">
        <f t="array" ref="DN162">INDEX(DM:DM,MIN(IF(ISNUMBER(DM162:DM358),ROW(DM162:DM358),"")))</f>
        <v>0</v>
      </c>
      <c r="DO162" s="12">
        <f>IF('Données projet'!$A$166&gt;35,DO161+DN162-DW161,IF(A162&lt;'Données projet'!$A$166,$DL$205^A162,IF(A162='Données projet'!$A$166,'Données projet'!$B$166,DO161+DN162-DW161)))</f>
        <v>268.00000000000017</v>
      </c>
      <c r="DP162" s="17">
        <f>DO162*VLOOKUP('Données projet'!$B$14,Paramètres!$A$1:$I$89,3,0)*VLOOKUP('Données projet'!$B$14,Paramètres!$A$1:$I$89,5,0)</f>
        <v>175.59360000000012</v>
      </c>
      <c r="DQ162" s="13">
        <f t="shared" si="176"/>
        <v>44.340433728638573</v>
      </c>
      <c r="DR162" s="20">
        <f t="shared" si="177"/>
        <v>383.05177541071242</v>
      </c>
      <c r="DS162" s="59">
        <f t="shared" si="125"/>
        <v>676.38510874404574</v>
      </c>
      <c r="DT162" s="59">
        <f ca="1">AVERAGE(OFFSET($DS$3,0,0,'Données projet'!$E$14+1,1))-AVERAGE(OFFSET($H$3,0,0,'Données projet'!$E$14+1,1))</f>
        <v>188.68915783955595</v>
      </c>
      <c r="DU162" s="59">
        <f t="shared" si="152"/>
        <v>240.82467772396944</v>
      </c>
      <c r="DV162" s="15">
        <f>IF(ISNA(VLOOKUP(A162,'Données projet'!$A$165:$I$185,3,0)),0,VLOOKUP(A162,'Données projet'!$A$165:$I$185,3,0))</f>
        <v>0</v>
      </c>
      <c r="DW162" s="15">
        <f>IF(ISNA(VLOOKUP(A162,'Données projet'!$A$165:$I$185,4,0)),0,VLOOKUP(A162,'Données projet'!$A$165:$I$185,4,0))</f>
        <v>0</v>
      </c>
      <c r="DX162" s="16">
        <f>IF(ISNA(VLOOKUP(A162,'Données projet'!$A$165:$I$185,5,0)),0%,VLOOKUP(A162,'Données projet'!$A$165:$I$185,5,0)*VLOOKUP('Données projet'!$B$14,Paramètres!$A$1:$I$89,7,0))</f>
        <v>0</v>
      </c>
      <c r="DY162" s="16">
        <f>IF(ISNA(VLOOKUP(A162,'Données projet'!$A$165:$I$185,6,0)),0%,VLOOKUP(A162,'Données projet'!$A$165:$I$185,6,0)*VLOOKUP('Données projet'!$B$14,Paramètres!$A$1:$I$89,7,0))</f>
        <v>0</v>
      </c>
      <c r="DZ162" s="16">
        <f>IF(ISNA(VLOOKUP(A162,'Données projet'!$A$165:$I$185,7,0)),0%,VLOOKUP(A162,'Données projet'!$A$165:$I$185,7,0))</f>
        <v>0</v>
      </c>
      <c r="EA162" s="21">
        <f>EXP(-LN(2)/35)*EA161+(1-EXP(-LN(2)/35))/(LN(2)/35)*DW162*DX162*VLOOKUP('Données projet'!$B$14,Paramètres!$A$1:$I$89,3,0)*0.475*44/12</f>
        <v>0.12101770248368635</v>
      </c>
      <c r="EB162" s="21">
        <f>EXP(-LN(2)/25)*EB161+(1-EXP(-LN(2)/25))/(LN(2)/25)*Calculateur!DW162*Calculateur!DY162*VLOOKUP('Données projet'!$B$14,Paramètres!$A$1:$I$89,3,0)*0.475*44/12</f>
        <v>0.22481992790994734</v>
      </c>
      <c r="EC162" s="21">
        <f>EXP(-LN(2)/2)*EC161+(1-EXP(-LN(2)/2))/(LN(2)/2)*DW162*DZ162*VLOOKUP('Données projet'!$B$14,Paramètres!$A$1:$I$89,3,0)*0.475*44/12</f>
        <v>5.365150055616482E-19</v>
      </c>
      <c r="ED162" s="22">
        <f t="shared" si="178"/>
        <v>0.34583763039363369</v>
      </c>
      <c r="EE162" s="75">
        <f>('Scénario référence'!$F$8+'Scénario référence'!$F$9+'Scénario référence'!$B$17+'Scénario référence'!$B$9+'Scénario référence'!$B$10)*70+IF((45+25*(1-EXP(-0.0175*A162)))&lt;70,'Scénario référence'!$B$16*(45+25*(1-EXP(-0.0175*A162))),70*'Scénario référence'!$B$16)+IF((32+38*(1-EXP(-0.0175*A162)))&lt;70,'Scénario référence'!$B$18*(32+38*(1-EXP(-0.0175*A162))),70*'Scénario référence'!$B$18)</f>
        <v>70</v>
      </c>
      <c r="EF162" s="12">
        <f>IF(A162&gt;30,10,('Scénario référence'!$B$16+'Scénario référence'!$B$17+'Scénario référence'!$B$18+'Scénario référence'!$B$9+'Scénario référence'!$B$10)*A162*10/30+('Scénario référence'!$F$8+'Scénario référence'!$F$9)*10)</f>
        <v>10</v>
      </c>
      <c r="EG162" s="12" t="e">
        <f>VLOOKUP(A162,'Données projet'!$A$191:$I$211,2,0)</f>
        <v>#N/A</v>
      </c>
      <c r="EH162" s="12" t="e">
        <f>VLOOKUP(A162,'Données projet'!$A$191:$I$211,9,0)</f>
        <v>#N/A</v>
      </c>
      <c r="EI162" s="12">
        <f t="array" ref="EI162">INDEX(EH:EH,MIN(IF(ISNUMBER(EH162:EH358),ROW(EH162:EH358),"")))</f>
        <v>0</v>
      </c>
      <c r="EJ162" s="12">
        <f>IF('Données projet'!$A$192&gt;35,EJ161+EI162-ER161,IF(A162&lt;'Données projet'!$A$192,$EG$205^A162,IF(A162='Données projet'!$A$192,'Données projet'!$B$192,EJ161+EI162-ER161)))</f>
        <v>275.99999999999972</v>
      </c>
      <c r="EK162" s="17">
        <f>EJ162*VLOOKUP('Données projet'!$B$15,Paramètres!$A$1:$I$89,3,0)*VLOOKUP('Données projet'!$B$15,Paramètres!$A$1:$I$89,5,0)</f>
        <v>223.8911999999998</v>
      </c>
      <c r="EL162" s="13">
        <f t="shared" si="179"/>
        <v>54.95975389514858</v>
      </c>
      <c r="EM162" s="20">
        <f t="shared" si="180"/>
        <v>485.66541136738346</v>
      </c>
      <c r="EN162" s="59">
        <f t="shared" si="128"/>
        <v>778.99874470071677</v>
      </c>
      <c r="EO162" s="59">
        <f ca="1">AVERAGE(OFFSET($EN$3,0,0,'Données projet'!$E$15+1,1))-AVERAGE(OFFSET($H$3,0,0,'Données projet'!$E$15+1,1))</f>
        <v>205.5272583787887</v>
      </c>
      <c r="EP162" s="59">
        <f t="shared" si="154"/>
        <v>180.54762778843178</v>
      </c>
      <c r="EQ162" s="15">
        <f>IF(ISNA(VLOOKUP(A162,'Données projet'!$A$191:$I$211,3,0)),0,VLOOKUP(A162,'Données projet'!$A$191:$I$211,3,0))</f>
        <v>0</v>
      </c>
      <c r="ER162" s="15">
        <f>IF(ISNA(VLOOKUP(A162,'Données projet'!$A$191:$I$211,4,0)),0,VLOOKUP(A162,'Données projet'!$A$191:$I$211,4,0))</f>
        <v>0</v>
      </c>
      <c r="ES162" s="16">
        <f>IF(ISNA(VLOOKUP(A162,'Données projet'!$A$191:$I$211,5,0)),0%,VLOOKUP(A162,'Données projet'!$A$191:$I$211,5,0)*VLOOKUP('Données projet'!$B$15,Paramètres!$A$1:$I$89,7,0))</f>
        <v>0</v>
      </c>
      <c r="ET162" s="16">
        <f>IF(ISNA(VLOOKUP(A162,'Données projet'!$A$191:$I$211,6,0)),0%,VLOOKUP(A162,'Données projet'!$A$191:$I$211,6,0)*VLOOKUP('Données projet'!$B$15,Paramètres!$A$1:$I$89,7,0))</f>
        <v>0</v>
      </c>
      <c r="EU162" s="16">
        <f>IF(ISNA(VLOOKUP(A162,'Données projet'!$A$191:$I$211,7,0)),0%,VLOOKUP(A162,'Données projet'!$A$191:$I$211,7,0))</f>
        <v>0</v>
      </c>
      <c r="EV162" s="21">
        <f>EXP(-LN(2)/35)*EV161+(1-EXP(-LN(2)/35))/(LN(2)/35)*ER162*ES162*VLOOKUP('Données projet'!$B$15,Paramètres!$A$1:$I$89,3,0)*0.475*44/12</f>
        <v>7.7912349408544745E-2</v>
      </c>
      <c r="EW162" s="21">
        <f>EXP(-LN(2)/25)*EW161+(1-EXP(-LN(2)/25))/(LN(2)/25)*Calculateur!ER162*Calculateur!ET162*VLOOKUP('Données projet'!$B$15,Paramètres!$A$1:$I$89,3,0)*0.475*44/12</f>
        <v>0.16232680808041927</v>
      </c>
      <c r="EX162" s="21">
        <f>EXP(-LN(2)/2)*EX161+(1-EXP(-LN(2)/2))/(LN(2)/2)*ER162*EU162*VLOOKUP('Données projet'!$B$15,Paramètres!$A$1:$I$89,3,0)*0.475*44/12</f>
        <v>3.473938628144222E-19</v>
      </c>
      <c r="EY162" s="22">
        <f t="shared" si="181"/>
        <v>0.24023915748896402</v>
      </c>
      <c r="EZ162" s="75">
        <f>('Scénario référence'!$F$8+'Scénario référence'!$F$9+'Scénario référence'!$B$17+'Scénario référence'!$B$9+'Scénario référence'!$B$10)*70+IF((45+25*(1-EXP(-0.0175*A162)))&lt;70,'Scénario référence'!$B$16*(45+25*(1-EXP(-0.0175*A162))),70*'Scénario référence'!$B$16)+IF((32+38*(1-EXP(-0.0175*A162)))&lt;70,'Scénario référence'!$B$18*(32+38*(1-EXP(-0.0175*A162))),70*'Scénario référence'!$B$18)</f>
        <v>70</v>
      </c>
      <c r="FA162" s="12">
        <f>IF(A162&gt;30,10,('Scénario référence'!$B$16+'Scénario référence'!$B$17+'Scénario référence'!$B$18+'Scénario référence'!$B$9+'Scénario référence'!$B$10)*A162*10/30+('Scénario référence'!$F$8+'Scénario référence'!$F$9)*10)</f>
        <v>10</v>
      </c>
      <c r="FB162" s="12" t="e">
        <f>VLOOKUP(A162,'Données projet'!$A$217:$I$237,2,0)</f>
        <v>#N/A</v>
      </c>
      <c r="FC162" s="12" t="e">
        <f>VLOOKUP(A162,'Données projet'!$A$217:$I$237,9,0)</f>
        <v>#N/A</v>
      </c>
      <c r="FD162" s="12">
        <f t="array" ref="FD162">INDEX(FC:FC,MIN(IF(ISNUMBER(FC162:FC358),ROW(FC162:FC358),"")))</f>
        <v>0</v>
      </c>
      <c r="FE162" s="12">
        <f>IF('Données projet'!$A$218&gt;35,FE161+FD162-FM161,IF(A162&lt;'Données projet'!$A$218,$FB$205^A162,IF(A162='Données projet'!$A$218,'Données projet'!$B$218,FE161+FD162-FM161)))</f>
        <v>418.99999999999983</v>
      </c>
      <c r="FF162" s="17">
        <f>FE162*VLOOKUP('Données projet'!$B$16,Paramètres!$A$1:$I$89,3,0)*VLOOKUP('Données projet'!$B$16,Paramètres!$A$1:$I$89,5,0)</f>
        <v>359.5019999999999</v>
      </c>
      <c r="FG162" s="13">
        <f t="shared" si="182"/>
        <v>83.516011055432813</v>
      </c>
      <c r="FH162" s="20">
        <f t="shared" si="183"/>
        <v>771.58970258821194</v>
      </c>
      <c r="FI162" s="59">
        <f t="shared" si="131"/>
        <v>1064.9230359215453</v>
      </c>
      <c r="FJ162" s="59">
        <f ca="1">AVERAGE(OFFSET($FI$3,0,0,'Données projet'!$E$16+1,1))-AVERAGE(OFFSET($H$3,0,0,'Données projet'!$E$16+1,1))</f>
        <v>383.97627237444709</v>
      </c>
      <c r="FK162" s="59">
        <f t="shared" si="156"/>
        <v>203.35476578922339</v>
      </c>
      <c r="FL162" s="15">
        <f>IF(ISNA(VLOOKUP(A162,'Données projet'!$A$217:$I$237,3,0)),0,VLOOKUP(A162,'Données projet'!$A$217:$I$237,3,0))</f>
        <v>0</v>
      </c>
      <c r="FM162" s="15">
        <f>IF(ISNA(VLOOKUP(A162,'Données projet'!$A$217:$I$237,4,0)),0,VLOOKUP(A162,'Données projet'!$A$217:$I$237,4,0))</f>
        <v>0</v>
      </c>
      <c r="FN162" s="16">
        <f>IF(ISNA(VLOOKUP(A162,'Données projet'!$A$217:$I$237,5,0)),0%,VLOOKUP(A162,'Données projet'!$A$217:$I$237,5,0)*VLOOKUP('Données projet'!$B$16,Paramètres!$A$1:$I$89,7,0))</f>
        <v>0</v>
      </c>
      <c r="FO162" s="16">
        <f>IF(ISNA(VLOOKUP(A162,'Données projet'!$A$217:$I$237,6,0)),0%,VLOOKUP(A162,'Données projet'!$A$217:$I$237,6,0)*VLOOKUP('Données projet'!$B$16,Paramètres!$A$1:$I$89,7,0))</f>
        <v>0</v>
      </c>
      <c r="FP162" s="16">
        <f>IF(ISNA(VLOOKUP(A162,'Données projet'!$A$217:$I$237,7,0)),0%,VLOOKUP(A162,'Données projet'!$A$217:$I$237,7,0))</f>
        <v>0</v>
      </c>
      <c r="FQ162" s="21">
        <f>EXP(-LN(2)/35)*FQ161+(1-EXP(-LN(2)/35))/(LN(2)/35)*FM162*FN162*VLOOKUP('Données projet'!$B$16,Paramètres!$A$1:$I$89,3,0)*0.475*44/12</f>
        <v>0.40042720687535499</v>
      </c>
      <c r="FR162" s="21">
        <f>EXP(-LN(2)/25)*FR161+(1-EXP(-LN(2)/25))/(LN(2)/25)*Calculateur!FM162*Calculateur!FO162*VLOOKUP('Données projet'!$B$16,Paramètres!$A$1:$I$89,3,0)*0.475*44/12</f>
        <v>0.1647784882717796</v>
      </c>
      <c r="FS162" s="21">
        <f>EXP(-LN(2)/2)*FS161+(1-EXP(-LN(2)/2))/(LN(2)/2)*FM162*FP162*VLOOKUP('Données projet'!$B$16,Paramètres!$A$1:$I$89,3,0)*0.475*44/12</f>
        <v>6.3809123044714101E-19</v>
      </c>
      <c r="FT162" s="22">
        <f t="shared" si="184"/>
        <v>0.56520569514713459</v>
      </c>
      <c r="FU162" s="75">
        <f>('Scénario référence'!$F$8+'Scénario référence'!$F$9+'Scénario référence'!$B$17+'Scénario référence'!$B$9+'Scénario référence'!$B$10)*70+IF((45+25*(1-EXP(-0.0175*A162)))&lt;70,'Scénario référence'!$B$16*(45+25*(1-EXP(-0.0175*A162))),70*'Scénario référence'!$B$16)+IF((32+38*(1-EXP(-0.0175*A162)))&lt;70,'Scénario référence'!$B$18*(32+38*(1-EXP(-0.0175*A162))),70*'Scénario référence'!$B$18)</f>
        <v>70</v>
      </c>
      <c r="FV162" s="12">
        <f>IF(A162&gt;30,10,('Scénario référence'!$B$16+'Scénario référence'!$B$17+'Scénario référence'!$B$18+'Scénario référence'!$B$9+'Scénario référence'!$B$10)*A162*10/30+('Scénario référence'!$F$8+'Scénario référence'!$F$9)*10)</f>
        <v>10</v>
      </c>
      <c r="FW162" s="12" t="e">
        <f>VLOOKUP(A162,'Données projet'!$A$243:$I$263,2,0)</f>
        <v>#N/A</v>
      </c>
      <c r="FX162" s="12" t="e">
        <f>VLOOKUP(A162,'Données projet'!$A$243:$I$263,9,0)</f>
        <v>#N/A</v>
      </c>
      <c r="FY162" s="12">
        <f t="array" ref="FY162">INDEX(FX:FX,MIN(IF(ISNUMBER(FX162:FX358),ROW(FX162:FX358),"")))</f>
        <v>0</v>
      </c>
      <c r="FZ162" s="12">
        <f>IF('Données projet'!$A$244&gt;35,FZ161+FY162-GH161,IF(A162&lt;'Données projet'!$A$244,$FW$205^A162,IF(A162='Données projet'!$A$244,'Données projet'!$B$244,FZ161+FY162-GH161)))</f>
        <v>4.5474735088646412E-13</v>
      </c>
      <c r="GA162" s="17">
        <f>FZ162*VLOOKUP('Données projet'!$B$17,Paramètres!$A$1:$I$89,3,0)*VLOOKUP('Données projet'!$B$17,Paramètres!$A$1:$I$89,5,0)</f>
        <v>4.8949004849418999E-13</v>
      </c>
      <c r="GB162" s="13">
        <f t="shared" si="185"/>
        <v>6.1123715499968684E-12</v>
      </c>
      <c r="GC162" s="20">
        <f t="shared" si="186"/>
        <v>1.1498242284038591E-11</v>
      </c>
      <c r="GD162" s="59">
        <f t="shared" si="134"/>
        <v>293.3333333333448</v>
      </c>
      <c r="GE162" s="59">
        <f ca="1">AVERAGE(OFFSET($GD$3,0,0,'Données projet'!$E$17+1,1))-AVERAGE(OFFSET($H$3,0,0,'Données projet'!$E$17+1,1))</f>
        <v>286.77702855541287</v>
      </c>
      <c r="GF162" s="59">
        <f t="shared" si="158"/>
        <v>227.12211541860779</v>
      </c>
      <c r="GG162" s="15">
        <f>IF(ISNA(VLOOKUP(A162,'Données projet'!$A$243:$I$263,3,0)),0,VLOOKUP(A162,'Données projet'!$A$243:$I$263,3,0))</f>
        <v>0</v>
      </c>
      <c r="GH162" s="15">
        <f>IF(ISNA(VLOOKUP(A162,'Données projet'!$A$243:$I$263,4,0)),0,VLOOKUP(A162,'Données projet'!$A$243:$I$263,4,0))</f>
        <v>0</v>
      </c>
      <c r="GI162" s="16">
        <f>IF(ISNA(VLOOKUP(A162,'Données projet'!$A$243:$I$263,5,0)),0%,VLOOKUP(A162,'Données projet'!$A$243:$I$263,5,0)*VLOOKUP('Données projet'!$B$17,Paramètres!$A$1:$I$89,7,0))</f>
        <v>0</v>
      </c>
      <c r="GJ162" s="16">
        <f>IF(ISNA(VLOOKUP(A162,'Données projet'!$A$243:$I$263,6,0)),0%,VLOOKUP(A162,'Données projet'!$A$243:$I$263,6,0)*VLOOKUP('Données projet'!$B$17,Paramètres!$A$1:$I$89,7,0))</f>
        <v>0</v>
      </c>
      <c r="GK162" s="16">
        <f>IF(ISNA(VLOOKUP(A162,'Données projet'!$A$243:$I$263,7,0)),0%,VLOOKUP(A162,'Données projet'!$A$243:$I$263,7,0))</f>
        <v>0</v>
      </c>
      <c r="GL162" s="21">
        <f>EXP(-LN(2)/35)*GL161+(1-EXP(-LN(2)/35))/(LN(2)/35)*GH162*GI162*VLOOKUP('Données projet'!$B$17,Paramètres!$A$1:$I$89,3,0)*0.475*44/12</f>
        <v>0</v>
      </c>
      <c r="GM162" s="21">
        <f>EXP(-LN(2)/25)*GM161+(1-EXP(-LN(2)/25))/(LN(2)/25)*Calculateur!GH162*Calculateur!GJ162*VLOOKUP('Données projet'!$B$17,Paramètres!$A$1:$I$89,3,0)*0.475*44/12</f>
        <v>0</v>
      </c>
      <c r="GN162" s="21">
        <f>EXP(-LN(2)/2)*GN161+(1-EXP(-LN(2)/2))/(LN(2)/2)*GH162*GK162*VLOOKUP('Données projet'!$B$17,Paramètres!$A$1:$I$89,3,0)*0.475*44/12</f>
        <v>0</v>
      </c>
      <c r="GO162" s="21">
        <f t="shared" si="187"/>
        <v>0</v>
      </c>
      <c r="GP162" s="75">
        <f>('Scénario référence'!$F$8+'Scénario référence'!$F$9+'Scénario référence'!$B$17+'Scénario référence'!$B$9+'Scénario référence'!$B$10)*70+IF((45+25*(1-EXP(-0.0175*A162)))&lt;70,'Scénario référence'!$B$16*(45+25*(1-EXP(-0.0175*A162))),70*'Scénario référence'!$B$16)+IF((32+38*(1-EXP(-0.0175*A162)))&lt;70,'Scénario référence'!$B$18*(32+38*(1-EXP(-0.0175*A162))),70*'Scénario référence'!$B$18)</f>
        <v>70</v>
      </c>
      <c r="GQ162" s="12">
        <f>IF(A162&gt;30,10,('Scénario référence'!$B$16+'Scénario référence'!$B$17+'Scénario référence'!$B$18+'Scénario référence'!$B$9+'Scénario référence'!$B$10)*A162*10/30+('Scénario référence'!$F$8+'Scénario référence'!$F$9)*10)</f>
        <v>10</v>
      </c>
      <c r="GR162" s="12" t="e">
        <f>VLOOKUP(A162,'Données projet'!$A$269:$I$289,2,0)</f>
        <v>#N/A</v>
      </c>
      <c r="GS162" s="12" t="e">
        <f>VLOOKUP(A162,'Données projet'!$A$269:$I$289,9,0)</f>
        <v>#N/A</v>
      </c>
      <c r="GT162" s="12">
        <f t="array" ref="GT162">INDEX(GS:GS,MIN(IF(ISNUMBER(GS162:GS358),ROW(GS162:GS358),"")))</f>
        <v>0</v>
      </c>
      <c r="GU162" s="12">
        <f>IF('Données projet'!$A$270&gt;35,GU161+GT162-HC161,IF(A162&lt;'Données projet'!$A$270,$GR$205^A162,IF(A162='Données projet'!$A$270,'Données projet'!$B$270,GU161+GT162-HC161)))</f>
        <v>4.5474735088646412E-13</v>
      </c>
      <c r="GV162" s="17">
        <f>GU162*VLOOKUP('Données projet'!$B$18,Paramètres!$A$1:$I$89,3,0)*VLOOKUP('Données projet'!$B$18,Paramètres!$A$1:$I$89,5,0)</f>
        <v>4.8949004849418999E-13</v>
      </c>
      <c r="GW162" s="13">
        <f t="shared" si="188"/>
        <v>6.1123715499968684E-12</v>
      </c>
      <c r="GX162" s="20">
        <f t="shared" si="189"/>
        <v>1.1498242284038591E-11</v>
      </c>
      <c r="GY162" s="59">
        <f t="shared" si="137"/>
        <v>293.3333333333448</v>
      </c>
      <c r="GZ162" s="59">
        <f ca="1">AVERAGE(OFFSET($GY$3,0,0,'Données projet'!$E$18+1,1))-AVERAGE(OFFSET($H$3,0,0,'Données projet'!$E$18+1,1))</f>
        <v>286.77702855541287</v>
      </c>
      <c r="HA162" s="59">
        <f t="shared" si="160"/>
        <v>227.12211541860779</v>
      </c>
      <c r="HB162" s="15">
        <f>IF(ISNA(VLOOKUP(A162,'Données projet'!$A$269:$I$289,3,0)),0,VLOOKUP(A162,'Données projet'!$A$269:$I$289,3,0))</f>
        <v>0</v>
      </c>
      <c r="HC162" s="15">
        <f>IF(ISNA(VLOOKUP(A162,'Données projet'!$A$269:$I$289,4,0)),0,VLOOKUP(A162,'Données projet'!$A$269:$I$289,4,0))</f>
        <v>0</v>
      </c>
      <c r="HD162" s="16">
        <f>IF(ISNA(VLOOKUP(A162,'Données projet'!$A$269:$I$289,5,0)),0%,VLOOKUP(A162,'Données projet'!$A$269:$I$289,5,0)*VLOOKUP('Données projet'!$B$18,Paramètres!$A$1:$I$89,7,0))</f>
        <v>0</v>
      </c>
      <c r="HE162" s="16">
        <f>IF(ISNA(VLOOKUP(A162,'Données projet'!$A$269:$I$289,6,0)),0%,VLOOKUP(A162,'Données projet'!$A$269:$I$289,6,0)*VLOOKUP('Données projet'!$B$18,Paramètres!$A$1:$I$89,7,0))</f>
        <v>0</v>
      </c>
      <c r="HF162" s="16">
        <f>IF(ISNA(VLOOKUP(A162,'Données projet'!$A$269:$I$289,7,0)),0%,VLOOKUP(A162,'Données projet'!$A$269:$I$289,7,0))</f>
        <v>0</v>
      </c>
      <c r="HG162" s="21">
        <f>EXP(-LN(2)/35)*HG161+(1-EXP(-LN(2)/35))/(LN(2)/35)*HC162*HD162*VLOOKUP('Données projet'!$B$18,Paramètres!$A$1:$I$89,3,0)*0.475*44/12</f>
        <v>0</v>
      </c>
      <c r="HH162" s="21">
        <f>EXP(-LN(2)/25)*HH161+(1-EXP(-LN(2)/25))/(LN(2)/25)*Calculateur!HC162*Calculateur!HE162*VLOOKUP('Données projet'!$B$18,Paramètres!$A$1:$I$89,3,0)*0.475*44/12</f>
        <v>0</v>
      </c>
      <c r="HI162" s="21">
        <f>EXP(-LN(2)/2)*HI161+(1-EXP(-LN(2)/2))/(LN(2)/2)*HC162*HF162*VLOOKUP('Données projet'!$B$18,Paramètres!$A$1:$I$89,3,0)*0.475*44/12</f>
        <v>0</v>
      </c>
      <c r="HJ162" s="22">
        <f t="shared" si="190"/>
        <v>0</v>
      </c>
    </row>
    <row r="163" spans="1:218" x14ac:dyDescent="0.25">
      <c r="A163" s="10">
        <f t="shared" si="161"/>
        <v>160</v>
      </c>
      <c r="B163" s="73">
        <f>'Scénario référence'!$B$16*5+'Scénario référence'!$B$17*0+'Scénario référence'!$B$18*5</f>
        <v>0</v>
      </c>
      <c r="C163" s="19">
        <f>Calculateur!C162+'Scénario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142.27200000000005</v>
      </c>
      <c r="D163" s="11">
        <f t="shared" si="140"/>
        <v>36.817000136193258</v>
      </c>
      <c r="E16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63" s="11">
        <f>IF(OR('Scénario référence'!$F$8&gt;0,'Scénario référence'!$F$9&gt;0),('Scénario référence'!$F$8+'Scénario référence'!$F$9)*10,0)</f>
        <v>10</v>
      </c>
      <c r="G163" s="11">
        <f>'Scénario référence'!$B$8*B163*44/12+'Scénario référence'!$B$9*(C163+D163)/0.475*44/12+'Scénario référence'!$B$10*(C163+D163)/0.475*44/12+'Scénario référence'!$F$8*(C163+D163)/0.475*44/12+'Scénario référence'!$F$9*(C163+D163)/0.475*44/12</f>
        <v>1382.4414045600888</v>
      </c>
      <c r="H163" s="67">
        <f t="shared" si="110"/>
        <v>605.24667523720336</v>
      </c>
      <c r="I163" s="70">
        <f>('Scénario référence'!$F$8+'Scénario référence'!$F$9+'Scénario référence'!$B$17+'Scénario référence'!$B$9+'Scénario référence'!$B$10)*70+IF((45+25*(1-EXP(-0.0175*A163)))&lt;70,'Scénario référence'!$B$16*(45+25*(1-EXP(-0.0175*A163))),70*'Scénario référence'!$B$16)+IF((32+38*(1-EXP(-0.0175*A163)))&lt;70,'Scénario référence'!$B$18*(32+38*(1-EXP(-0.0175*A163))),70*'Scénario référence'!$B$18)</f>
        <v>70</v>
      </c>
      <c r="J163" s="13">
        <f>IF(A163&gt;30,10,('Scénario référence'!$B$16+'Scénario référence'!$B$17+'Scénario référence'!$B$18+'Scénario référence'!$B$9+'Scénario référence'!$B$10)*A163*10/30+('Scénario référence'!$F$8+'Scénario référence'!$F$9)*10)</f>
        <v>10</v>
      </c>
      <c r="K163" s="12" t="e">
        <f>VLOOKUP(A163,'Données projet'!$A$35:$I$55,2,0)</f>
        <v>#N/A</v>
      </c>
      <c r="L163" s="12" t="e">
        <f>VLOOKUP(A163,'Données projet'!$A$35:$I$55,9,0)</f>
        <v>#N/A</v>
      </c>
      <c r="M163" s="12">
        <f t="array" ref="M163">INDEX(L:L,MIN(IF(ISNUMBER(L163:L359),ROW(L163:L359),"")))</f>
        <v>0</v>
      </c>
      <c r="N163" s="13">
        <f>IF('Données projet'!$A$36&gt;35,N162+M163-V162,IF(A163&lt;'Données projet'!$A$36,$K$205^A163,IF(A163='Données projet'!$A$36,'Données projet'!$B$36,N162+M163-V162)))</f>
        <v>-2.2737367544323206E-13</v>
      </c>
      <c r="O163" s="13">
        <f>N163*VLOOKUP('Données projet'!$B$9,Paramètres!$A$1:$I$89,3,0)*VLOOKUP('Données projet'!$B$9,Paramètres!$A$1:$I$89,5,0)</f>
        <v>-1.2710188457276673E-13</v>
      </c>
      <c r="P163" s="13" t="e">
        <f t="shared" si="141"/>
        <v>#NUM!</v>
      </c>
      <c r="Q163" s="20" t="e">
        <f t="shared" si="162"/>
        <v>#NUM!</v>
      </c>
      <c r="R163" s="59" t="e">
        <f t="shared" si="109"/>
        <v>#NUM!</v>
      </c>
      <c r="S163" s="59">
        <f ca="1">AVERAGE(OFFSET($R$3,0,0,'Données projet'!$E$9+1,1))-AVERAGE(OFFSET($H$3,0,0,'Données projet'!$E$9+1,1))</f>
        <v>255.5374979188561</v>
      </c>
      <c r="T163" s="59">
        <f t="shared" si="142"/>
        <v>343.10418468620901</v>
      </c>
      <c r="U163" s="15">
        <f>IF(ISNA(VLOOKUP(A163,'Données projet'!$A$35:$I$55,3,0)),0,VLOOKUP(A163,'Données projet'!$A$35:$I$55,3,0))</f>
        <v>0</v>
      </c>
      <c r="V163" s="15">
        <f>IF(ISNA(VLOOKUP(A163,'Données projet'!$A$35:$I$55,4,0)),0,VLOOKUP(A163,'Données projet'!$A$35:$I$55,4,0))</f>
        <v>0</v>
      </c>
      <c r="W163" s="16">
        <f>IF(ISNA(VLOOKUP(A163,'Données projet'!$A$35:$I$55,5,0)),0%,VLOOKUP(A163,'Données projet'!$A$35:$I$55,5,0)*VLOOKUP('Données projet'!$B$9,Paramètres!$A$1:$I$89,7,0))</f>
        <v>0</v>
      </c>
      <c r="X163" s="16">
        <f>IF(ISNA(VLOOKUP(A163,'Données projet'!$A$35:$I$55,6,0)),0%,VLOOKUP(A163,'Données projet'!$A$35:$I$55,6,0)*VLOOKUP('Données projet'!$B$9,Paramètres!$A$1:$I$89,7,0))</f>
        <v>0</v>
      </c>
      <c r="Y163" s="16">
        <f>IF(ISNA(VLOOKUP(A163,'Données projet'!$A$35:$I$55,7,0)),0%,VLOOKUP(A163,'Données projet'!$A$35:$I$55,7,0))</f>
        <v>0</v>
      </c>
      <c r="Z163" s="21">
        <f>EXP(-LN(2)/35)*Z162+(1-EXP(-LN(2)/35))/(LN(2)/35)*V163*W163*VLOOKUP('Données projet'!$B$9,Paramètres!$A$1:$I$89,3,0)*0.475*44/12</f>
        <v>0.23542512399996071</v>
      </c>
      <c r="AA163" s="21">
        <f>EXP(-LN(2)/25)*AA162+(1-EXP(-LN(2)/25))/(LN(2)/25)*Calculateur!V163*Calculateur!X163*VLOOKUP('Données projet'!$B$9,Paramètres!$A$1:$I$89,3,0)*0.475*44/12</f>
        <v>0.43419414300646736</v>
      </c>
      <c r="AB163" s="21">
        <f>EXP(-LN(2)/2)*AB162+(1-EXP(-LN(2)/2))/(LN(2)/2)*V163*Y163*VLOOKUP('Données projet'!$B$9,Paramètres!$A$1:$I$89,3,0)*0.475*44/12</f>
        <v>4.5879426545155127E-20</v>
      </c>
      <c r="AC163" s="22">
        <f t="shared" si="163"/>
        <v>0.66961926700642804</v>
      </c>
      <c r="AD163" s="13">
        <f>('Scénario référence'!$F$8+'Scénario référence'!$F$9+'Scénario référence'!$B$17+'Scénario référence'!$B$9+'Scénario référence'!$B$10)*70+IF((45+25*(1-EXP(-0.0175*A163)))&lt;70,'Scénario référence'!$B$16*(45+25*(1-EXP(-0.0175*A163))),70*'Scénario référence'!$B$16)+IF((32+38*(1-EXP(-0.0175*A163)))&lt;70,'Scénario référence'!$B$18*(32+38*(1-EXP(-0.0175*A163))),70*'Scénario référence'!$B$18)</f>
        <v>70</v>
      </c>
      <c r="AE163" s="13">
        <f>IF(A163&gt;30,10,('Scénario référence'!$B$16+'Scénario référence'!$B$17+'Scénario référence'!$B$18+'Scénario référence'!$B$9+'Scénario référence'!$B$10)*A163*10/30+('Scénario référence'!$F$8+'Scénario référence'!$F$9)*10)</f>
        <v>10</v>
      </c>
      <c r="AF163" s="12" t="e">
        <f>VLOOKUP(A163,'Données projet'!$A$61:$I$81,2,0)</f>
        <v>#N/A</v>
      </c>
      <c r="AG163" s="12" t="e">
        <f>VLOOKUP(A163,'Données projet'!$A$61:$I$81,9,0)</f>
        <v>#N/A</v>
      </c>
      <c r="AH163" s="12">
        <f t="array" ref="AH163">INDEX(AG:AG,MIN(IF(ISNUMBER(AG163:AG359),ROW(AG163:AG359),"")))</f>
        <v>0</v>
      </c>
      <c r="AI163" s="13">
        <f>IF('Données projet'!$A$62&gt;35,AI162+AH163-AQ162,IF(A163&lt;'Données projet'!$A$62,$AF$205^A163,IF(A163='Données projet'!$A$62,'Données projet'!$B$62,AI162+AH163-AQ162)))</f>
        <v>0</v>
      </c>
      <c r="AJ163" s="13">
        <f>AI163*VLOOKUP('Données projet'!$B$10,Paramètres!$A$1:$I$89,3,0)*VLOOKUP('Données projet'!$B$10,Paramètres!$A$1:$I$89,5,0)</f>
        <v>0</v>
      </c>
      <c r="AK163" s="13" t="e">
        <f t="shared" si="164"/>
        <v>#NUM!</v>
      </c>
      <c r="AL163" s="20" t="e">
        <f t="shared" si="165"/>
        <v>#NUM!</v>
      </c>
      <c r="AM163" s="59" t="e">
        <f t="shared" si="113"/>
        <v>#NUM!</v>
      </c>
      <c r="AN163" s="59">
        <f ca="1">AVERAGE(OFFSET($AM$3,0,0,'Données projet'!$E$10+1,1))-AVERAGE(OFFSET($H$3,0,0,'Données projet'!$E$10+1,1))</f>
        <v>261.78489480911571</v>
      </c>
      <c r="AO163" s="59">
        <f t="shared" si="144"/>
        <v>297.50513563712764</v>
      </c>
      <c r="AP163" s="15">
        <f>IF(ISNA(VLOOKUP(A163,'Données projet'!$A$61:$I$81,3,0)),0,VLOOKUP(A163,'Données projet'!$A$61:$I$81,3,0))</f>
        <v>0</v>
      </c>
      <c r="AQ163" s="15">
        <f>IF(ISNA(VLOOKUP(A163,'Données projet'!$A$61:$I$81,4,0)),0,VLOOKUP(A163,'Données projet'!$A$61:$I$81,4,0))</f>
        <v>0</v>
      </c>
      <c r="AR163" s="16">
        <f>IF(ISNA(VLOOKUP(A163,'Données projet'!$A$61:$I$81,5,0)),0%,VLOOKUP(A163,'Données projet'!$A$61:$I$81,5,0)*VLOOKUP('Données projet'!$B$10,Paramètres!$A$1:$I$89,7,0))</f>
        <v>0</v>
      </c>
      <c r="AS163" s="16">
        <f>IF(ISNA(VLOOKUP(A163,'Données projet'!$A$61:$I$81,6,0)),0%,VLOOKUP(A163,'Données projet'!$A$61:$I$81,6,0)*VLOOKUP('Données projet'!$B$10,Paramètres!$A$1:$I$89,7,0))</f>
        <v>0</v>
      </c>
      <c r="AT163" s="16">
        <f>IF(ISNA(VLOOKUP(A163,'Données projet'!$A$61:$I$81,7,0)),0%,VLOOKUP(A163,'Données projet'!$A$61:$I$81,7,0))</f>
        <v>0</v>
      </c>
      <c r="AU163" s="21">
        <f>EXP(-LN(2)/35)*AU162+(1-EXP(-LN(2)/35))/(LN(2)/35)*AQ163*AR163*VLOOKUP('Données projet'!$B$10,Paramètres!$A$1:$I$89,3,0)*0.475*44/12</f>
        <v>0.63571442447682813</v>
      </c>
      <c r="AV163" s="21">
        <f>EXP(-LN(2)/25)*AV162+(1-EXP(-LN(2)/25))/(LN(2)/25)*Calculateur!AQ163*Calculateur!AS163*VLOOKUP('Données projet'!$B$10,Paramètres!$A$1:$I$89,3,0)*0.475*44/12</f>
        <v>0.75819153230645608</v>
      </c>
      <c r="AW163" s="21">
        <f>EXP(-LN(2)/2)*AW162+(1-EXP(-LN(2)/2))/(LN(2)/2)*AQ163*AT163*VLOOKUP('Données projet'!$B$10,Paramètres!$A$1:$I$89,3,0)*0.475*44/12</f>
        <v>6.613956110468474E-19</v>
      </c>
      <c r="AX163" s="21">
        <f t="shared" si="166"/>
        <v>1.3939059567832843</v>
      </c>
      <c r="AY163" s="74">
        <f>('Scénario référence'!$F$8+'Scénario référence'!$F$9+'Scénario référence'!$B$17+'Scénario référence'!$B$9+'Scénario référence'!$B$10)*70+IF((45+25*(1-EXP(-0.0175*A163)))&lt;70,'Scénario référence'!$B$16*(45+25*(1-EXP(-0.0175*A163))),70*'Scénario référence'!$B$16)+IF((32+38*(1-EXP(-0.0175*A163)))&lt;70,'Scénario référence'!$B$18*(32+38*(1-EXP(-0.0175*A163))),70*'Scénario référence'!$B$18)</f>
        <v>70</v>
      </c>
      <c r="AZ163" s="12">
        <f>IF(A163&gt;30,10,('Scénario référence'!$B$16+'Scénario référence'!$B$17+'Scénario référence'!$B$18+'Scénario référence'!$B$9+'Scénario référence'!$B$10)*A163*10/30+('Scénario référence'!$F$8+'Scénario référence'!$F$9)*10)</f>
        <v>10</v>
      </c>
      <c r="BA163" s="12" t="e">
        <f>VLOOKUP(A163,'Données projet'!$A$87:$I$107,2,0)</f>
        <v>#N/A</v>
      </c>
      <c r="BB163" s="12" t="e">
        <f>VLOOKUP(A163,'Données projet'!$A$87:$I$107,9,0)</f>
        <v>#N/A</v>
      </c>
      <c r="BC163" s="12">
        <f t="array" ref="BC163">INDEX(BB:BB,MIN(IF(ISNUMBER(BB163:BB359),ROW(BB163:BB359),"")))</f>
        <v>0</v>
      </c>
      <c r="BD163" s="12">
        <f>IF('Données projet'!$A$88&gt;35,BD162+BC163-BL162,IF(A163&lt;'Données projet'!$A$88,$BA$205^A163,IF(A163='Données projet'!$A$88,'Données projet'!$B$88,BD162+BC163-BL162)))</f>
        <v>553.99999999999955</v>
      </c>
      <c r="BE163" s="13">
        <f>BD163*VLOOKUP('Données projet'!$B$11,Paramètres!$A$1:$I$89,3,0)*VLOOKUP('Données projet'!$B$11,Paramètres!$A$1:$I$89,5,0)</f>
        <v>331.29199999999975</v>
      </c>
      <c r="BF163" s="13">
        <f t="shared" si="167"/>
        <v>77.698110787752</v>
      </c>
      <c r="BG163" s="20">
        <f t="shared" si="168"/>
        <v>712.32444295533423</v>
      </c>
      <c r="BH163" s="59">
        <f t="shared" si="116"/>
        <v>1005.6577762886675</v>
      </c>
      <c r="BI163" s="59">
        <f ca="1">AVERAGE(OFFSET($BH$3,0,0,'Données projet'!$E$11+1,1))-AVERAGE(OFFSET($H$3,0,0,'Données projet'!$E$11+1,1))</f>
        <v>316.58509520829671</v>
      </c>
      <c r="BJ163" s="59">
        <f t="shared" si="146"/>
        <v>240.71332110643596</v>
      </c>
      <c r="BK163" s="15">
        <f>IF(ISNA(VLOOKUP(A163,'Données projet'!$A$87:$I$107,3,0)),0,VLOOKUP(A163,'Données projet'!$A$87:$I$107,3,0))</f>
        <v>0</v>
      </c>
      <c r="BL163" s="15">
        <f>IF(ISNA(VLOOKUP(A163,'Données projet'!$A$87:$I$107,4,0)),0,VLOOKUP(A163,'Données projet'!$A$87:$I$107,4,0))</f>
        <v>0</v>
      </c>
      <c r="BM163" s="16">
        <f>IF(ISNA(VLOOKUP(A163,'Données projet'!$A$87:$I$107,5,0)),0%,VLOOKUP(A163,'Données projet'!$A$87:$I$107,5,0)*VLOOKUP('Données projet'!$B$11,Paramètres!$A$1:$I$89,7,0))</f>
        <v>0</v>
      </c>
      <c r="BN163" s="16">
        <f>IF(ISNA(VLOOKUP(A163,'Données projet'!$A$87:$I$107,6,0)),0%,VLOOKUP(A163,'Données projet'!$A$87:$I$107,6,0)*VLOOKUP('Données projet'!$B$11,Paramètres!$A$1:$I$89,7,0))</f>
        <v>0</v>
      </c>
      <c r="BO163" s="16">
        <f>IF(ISNA(VLOOKUP(A163,'Données projet'!$A$87:$I$107,7,0)),0%,VLOOKUP(A163,'Données projet'!$A$87:$I$107,7,0))</f>
        <v>0</v>
      </c>
      <c r="BP163" s="21">
        <f>EXP(-LN(2)/35)*BP162+(1-EXP(-LN(2)/35))/(LN(2)/35)*BL163*BM163*VLOOKUP('Données projet'!$B$11,Paramètres!$A$1:$I$89,3,0)*0.475*44/12</f>
        <v>0.19310298645287599</v>
      </c>
      <c r="BQ163" s="21">
        <f>EXP(-LN(2)/25)*BQ162+(1-EXP(-LN(2)/25))/(LN(2)/25)*Calculateur!BL163*Calculateur!BN163*VLOOKUP('Données projet'!$B$11,Paramètres!$A$1:$I$89,3,0)*0.475*44/12</f>
        <v>0.41535944396807489</v>
      </c>
      <c r="BR163" s="21">
        <f>EXP(-LN(2)/2)*BR162+(1-EXP(-LN(2)/2))/(LN(2)/2)*BL163*BO163*VLOOKUP('Données projet'!$B$11,Paramètres!$A$1:$I$89,3,0)*0.475*44/12</f>
        <v>5.9466708548878988E-19</v>
      </c>
      <c r="BS163" s="22">
        <f t="shared" si="169"/>
        <v>0.60846243042095094</v>
      </c>
      <c r="BT163" s="75">
        <f>('Scénario référence'!$F$8+'Scénario référence'!$F$9+'Scénario référence'!$B$17+'Scénario référence'!$B$9+'Scénario référence'!$B$10)*70+IF((45+25*(1-EXP(-0.0175*A163)))&lt;70,'Scénario référence'!$B$16*(45+25*(1-EXP(-0.0175*A163))),70*'Scénario référence'!$B$16)+IF((32+38*(1-EXP(-0.0175*A163)))&lt;70,'Scénario référence'!$B$18*(32+38*(1-EXP(-0.0175*A163))),70*'Scénario référence'!$B$18)</f>
        <v>70</v>
      </c>
      <c r="BU163" s="12">
        <f>IF(A163&gt;30,10,('Scénario référence'!$B$16+'Scénario référence'!$B$17+'Scénario référence'!$B$18+'Scénario référence'!$B$9+'Scénario référence'!$B$10)*A163*10/30+('Scénario référence'!$F$8+'Scénario référence'!$F$9)*10)</f>
        <v>10</v>
      </c>
      <c r="BV163" s="12" t="e">
        <f>VLOOKUP(A163,'Données projet'!$A$113:$I$133,2,0)</f>
        <v>#N/A</v>
      </c>
      <c r="BW163" s="12" t="e">
        <f>VLOOKUP(A163,'Données projet'!$A$113:$I$133,9,0)</f>
        <v>#N/A</v>
      </c>
      <c r="BX163" s="12">
        <f t="array" ref="BX163">INDEX(BW:BW,MIN(IF(ISNUMBER(BW163:BW359),ROW(BW163:BW359),"")))</f>
        <v>0</v>
      </c>
      <c r="BY163" s="12">
        <f>IF('Données projet'!$A$114&gt;35,BY162+BX163-CG162,IF(A163&lt;'Données projet'!$A$114,$BV$205^A163,IF(A163='Données projet'!$A$114,'Données projet'!$B$114,BY162+BX163-CG162)))</f>
        <v>333.99999999999977</v>
      </c>
      <c r="BZ163" s="13">
        <f>BY163*VLOOKUP('Données projet'!$B$12,Paramètres!$A$1:$I$89,3,0)*VLOOKUP('Données projet'!$B$12,Paramètres!$A$1:$I$89,5,0)</f>
        <v>191.04799999999986</v>
      </c>
      <c r="CA163" s="13">
        <f t="shared" si="170"/>
        <v>47.771576544305155</v>
      </c>
      <c r="CB163" s="20">
        <f t="shared" si="171"/>
        <v>415.94409581466454</v>
      </c>
      <c r="CC163" s="59">
        <f t="shared" si="119"/>
        <v>709.27742914799785</v>
      </c>
      <c r="CD163" s="59">
        <f ca="1">AVERAGE(OFFSET($CC$3,0,0,'Données projet'!$E$12+1,1))-AVERAGE(OFFSET($H$3,0,0,'Données projet'!$E$12+1,1))</f>
        <v>188.64374818906128</v>
      </c>
      <c r="CE163" s="59">
        <f t="shared" si="148"/>
        <v>211.95157880548652</v>
      </c>
      <c r="CF163" s="15">
        <f>IF(ISNA(VLOOKUP(A163,'Données projet'!$A$113:$I$133,3,0)),0,VLOOKUP(A163,'Données projet'!$A$113:$I$133,3,0))</f>
        <v>0</v>
      </c>
      <c r="CG163" s="15">
        <f>IF(ISNA(VLOOKUP(A163,'Données projet'!$A$113:$I$133,4,0)),0,VLOOKUP(A163,'Données projet'!$A$113:$I$133,4,0))</f>
        <v>0</v>
      </c>
      <c r="CH163" s="16">
        <f>IF(ISNA(VLOOKUP(A163,'Données projet'!$A$113:$I$133,5,0)),0%,VLOOKUP(A163,'Données projet'!$A$113:$I$133,5,0)*VLOOKUP('Données projet'!$B$12,Paramètres!$A$1:$I$89,7,0))</f>
        <v>0</v>
      </c>
      <c r="CI163" s="16">
        <f>IF(ISNA(VLOOKUP(A163,'Données projet'!$A$113:$I$133,6,0)),0%,VLOOKUP(A163,'Données projet'!$A$113:$I$133,6,0)*VLOOKUP('Données projet'!$B$12,Paramètres!$A$1:$I$89,7,0))</f>
        <v>0</v>
      </c>
      <c r="CJ163" s="16">
        <f>IF(ISNA(VLOOKUP(A163,'Données projet'!$A$113:$I$133,7,0)),0%,VLOOKUP(A163,'Données projet'!$A$113:$I$133,7,0))</f>
        <v>0</v>
      </c>
      <c r="CK163" s="21">
        <f>EXP(-LN(2)/35)*CK162+(1-EXP(-LN(2)/35))/(LN(2)/35)*CG163*CH163*VLOOKUP('Données projet'!$B$12,Paramètres!$A$1:$I$89,3,0)*0.475*44/12</f>
        <v>0.18730871435477967</v>
      </c>
      <c r="CL163" s="21">
        <f>EXP(-LN(2)/25)*CL162+(1-EXP(-LN(2)/25))/(LN(2)/25)*Calculateur!CG163*Calculateur!CI163*VLOOKUP('Données projet'!$B$12,Paramètres!$A$1:$I$89,3,0)*0.475*44/12</f>
        <v>0.39094571313272836</v>
      </c>
      <c r="CM163" s="21">
        <f>EXP(-LN(2)/2)*CM162+(1-EXP(-LN(2)/2))/(LN(2)/2)*CG163*CJ163*VLOOKUP('Données projet'!$B$12,Paramètres!$A$1:$I$89,3,0)*0.475*44/12</f>
        <v>5.7588854485212359E-19</v>
      </c>
      <c r="CN163" s="22">
        <f t="shared" si="172"/>
        <v>0.57825442748750799</v>
      </c>
      <c r="CO163" s="75">
        <f>('Scénario référence'!$F$8+'Scénario référence'!$F$9+'Scénario référence'!$B$17+'Scénario référence'!$B$9+'Scénario référence'!$B$10)*70+IF((45+25*(1-EXP(-0.0175*A163)))&lt;70,'Scénario référence'!$B$16*(45+25*(1-EXP(-0.0175*A163))),70*'Scénario référence'!$B$16)+IF((32+38*(1-EXP(-0.0175*A163)))&lt;70,'Scénario référence'!$B$18*(32+38*(1-EXP(-0.0175*A163))),70*'Scénario référence'!$B$18)</f>
        <v>70</v>
      </c>
      <c r="CP163" s="12">
        <f>IF(A163&gt;30,10,('Scénario référence'!$B$16+'Scénario référence'!$B$17+'Scénario référence'!$B$18+'Scénario référence'!$B$9+'Scénario référence'!$B$10)*A163*10/30+('Scénario référence'!$F$8+'Scénario référence'!$F$9)*10)</f>
        <v>10</v>
      </c>
      <c r="CQ163" s="12" t="e">
        <f>VLOOKUP(A163,'Données projet'!$A$139:$I$159,2,0)</f>
        <v>#N/A</v>
      </c>
      <c r="CR163" s="12" t="e">
        <f>VLOOKUP(A163,'Données projet'!$A$139:$I$159,9,0)</f>
        <v>#N/A</v>
      </c>
      <c r="CS163" s="12">
        <f t="array" ref="CS163">INDEX(CR:CR,MIN(IF(ISNUMBER(CR163:CR359),ROW(CR163:CR359),"")))</f>
        <v>0</v>
      </c>
      <c r="CT163" s="12">
        <f>IF('Données projet'!$A$140&gt;35,CT162+CS163-DB162,IF(A163&lt;'Données projet'!$A$140,$CQ$205^A163,IF(A163='Données projet'!$A$140,'Données projet'!$B$140,CT162+CS163-DB162)))</f>
        <v>0</v>
      </c>
      <c r="CU163" s="17" t="e">
        <f>CT163*VLOOKUP('Données projet'!$B$13,Paramètres!$A$1:$I$89,3,0)*VLOOKUP('Données projet'!$B$13,Paramètres!$A$1:$I$89,5,0)</f>
        <v>#N/A</v>
      </c>
      <c r="CV163" s="13" t="e">
        <f t="shared" si="173"/>
        <v>#N/A</v>
      </c>
      <c r="CW163" s="20" t="e">
        <f t="shared" si="174"/>
        <v>#N/A</v>
      </c>
      <c r="CX163" s="59" t="e">
        <f t="shared" si="122"/>
        <v>#N/A</v>
      </c>
      <c r="CY163" s="59" t="e">
        <f ca="1">AVERAGE(OFFSET($CX$3,0,0,'Données projet'!$E$13+1,1))-AVERAGE(OFFSET($H$3,0,0,'Données projet'!$E$13+1,1))</f>
        <v>#N/A</v>
      </c>
      <c r="CZ163" s="59" t="e">
        <f t="shared" si="150"/>
        <v>#N/A</v>
      </c>
      <c r="DA163" s="15">
        <f>IF(ISNA(VLOOKUP(A163,'Données projet'!$A$139:$I$159,3,0)),0,VLOOKUP(A163,'Données projet'!$A$139:$I$159,3,0))</f>
        <v>0</v>
      </c>
      <c r="DB163" s="15">
        <f>IF(ISNA(VLOOKUP(A163,'Données projet'!$A$139:$I$159,4,0)),0,VLOOKUP(A163,'Données projet'!$A$139:$I$159,4,0))</f>
        <v>0</v>
      </c>
      <c r="DC163" s="16">
        <f>IF(ISNA(VLOOKUP(A163,'Données projet'!$A$139:$I$159,5,0)),0%,VLOOKUP(A163,'Données projet'!$A$139:$I$159,5,0)*VLOOKUP('Données projet'!$B$13,Paramètres!$A$1:$I$89,7,0))</f>
        <v>0</v>
      </c>
      <c r="DD163" s="16">
        <f>IF(ISNA(VLOOKUP(A163,'Données projet'!$A$139:$I$159,6,0)),0%,VLOOKUP(A163,'Données projet'!$A$139:$I$159,6,0)*VLOOKUP('Données projet'!$B$13,Paramètres!$A$1:$I$89,7,0))</f>
        <v>0</v>
      </c>
      <c r="DE163" s="16">
        <f>IF(ISNA(VLOOKUP(A163,'Données projet'!$A$139:$I$159,7,0)),0%,VLOOKUP(A163,'Données projet'!$A$139:$I$159,7,0))</f>
        <v>0</v>
      </c>
      <c r="DF163" s="21" t="e">
        <f>EXP(-LN(2)/35)*DF162+(1-EXP(-LN(2)/35))/(LN(2)/35)*DB163*DC163*VLOOKUP('Données projet'!$B$13,Paramètres!$A$1:$I$89,3,0)*0.475*44/12</f>
        <v>#N/A</v>
      </c>
      <c r="DG163" s="21" t="e">
        <f>EXP(-LN(2)/25)*DG162+(1-EXP(-LN(2)/25))/(LN(2)/25)*Calculateur!DB163*Calculateur!DD163*VLOOKUP('Données projet'!$B$13,Paramètres!$A$1:$I$89,3,0)*0.475*44/12</f>
        <v>#N/A</v>
      </c>
      <c r="DH163" s="21" t="e">
        <f>EXP(-LN(2)/2)*DH162+(1-EXP(-LN(2)/2))/(LN(2)/2)*DB163*DE163*VLOOKUP('Données projet'!$B$13,Paramètres!$A$1:$I$89,3,0)*0.475*44/12</f>
        <v>#N/A</v>
      </c>
      <c r="DI163" s="22" t="e">
        <f t="shared" si="175"/>
        <v>#N/A</v>
      </c>
      <c r="DJ163" s="75">
        <f>('Scénario référence'!$F$8+'Scénario référence'!$F$9+'Scénario référence'!$B$17+'Scénario référence'!$B$9+'Scénario référence'!$B$10)*70+IF((45+25*(1-EXP(-0.0175*A163)))&lt;70,'Scénario référence'!$B$16*(45+25*(1-EXP(-0.0175*A163))),70*'Scénario référence'!$B$16)+IF((32+38*(1-EXP(-0.0175*A163)))&lt;70,'Scénario référence'!$B$18*(32+38*(1-EXP(-0.0175*A163))),70*'Scénario référence'!$B$18)</f>
        <v>70</v>
      </c>
      <c r="DK163" s="12">
        <f>IF(A163&gt;30,10,('Scénario référence'!$B$16+'Scénario référence'!$B$17+'Scénario référence'!$B$18+'Scénario référence'!$B$9+'Scénario référence'!$B$10)*A163*10/30+('Scénario référence'!$F$8+'Scénario référence'!$F$9)*10)</f>
        <v>10</v>
      </c>
      <c r="DL163" s="12" t="e">
        <f>VLOOKUP(A163,'Données projet'!$A$165:$I$185,2,0)</f>
        <v>#N/A</v>
      </c>
      <c r="DM163" s="12" t="e">
        <f>VLOOKUP(A163,'Données projet'!$A$165:$I$185,9,0)</f>
        <v>#N/A</v>
      </c>
      <c r="DN163" s="12">
        <f t="array" ref="DN163">INDEX(DM:DM,MIN(IF(ISNUMBER(DM163:DM359),ROW(DM163:DM359),"")))</f>
        <v>0</v>
      </c>
      <c r="DO163" s="12">
        <f>IF('Données projet'!$A$166&gt;35,DO162+DN163-DW162,IF(A163&lt;'Données projet'!$A$166,$DL$205^A163,IF(A163='Données projet'!$A$166,'Données projet'!$B$166,DO162+DN163-DW162)))</f>
        <v>268.00000000000017</v>
      </c>
      <c r="DP163" s="17">
        <f>DO163*VLOOKUP('Données projet'!$B$14,Paramètres!$A$1:$I$89,3,0)*VLOOKUP('Données projet'!$B$14,Paramètres!$A$1:$I$89,5,0)</f>
        <v>175.59360000000012</v>
      </c>
      <c r="DQ163" s="13">
        <f t="shared" si="176"/>
        <v>44.340433728638573</v>
      </c>
      <c r="DR163" s="20">
        <f t="shared" si="177"/>
        <v>383.05177541071242</v>
      </c>
      <c r="DS163" s="59">
        <f t="shared" si="125"/>
        <v>676.38510874404574</v>
      </c>
      <c r="DT163" s="59">
        <f ca="1">AVERAGE(OFFSET($DS$3,0,0,'Données projet'!$E$14+1,1))-AVERAGE(OFFSET($H$3,0,0,'Données projet'!$E$14+1,1))</f>
        <v>188.68915783955595</v>
      </c>
      <c r="DU163" s="59">
        <f t="shared" si="152"/>
        <v>240.82467772396944</v>
      </c>
      <c r="DV163" s="15">
        <f>IF(ISNA(VLOOKUP(A163,'Données projet'!$A$165:$I$185,3,0)),0,VLOOKUP(A163,'Données projet'!$A$165:$I$185,3,0))</f>
        <v>0</v>
      </c>
      <c r="DW163" s="15">
        <f>IF(ISNA(VLOOKUP(A163,'Données projet'!$A$165:$I$185,4,0)),0,VLOOKUP(A163,'Données projet'!$A$165:$I$185,4,0))</f>
        <v>0</v>
      </c>
      <c r="DX163" s="16">
        <f>IF(ISNA(VLOOKUP(A163,'Données projet'!$A$165:$I$185,5,0)),0%,VLOOKUP(A163,'Données projet'!$A$165:$I$185,5,0)*VLOOKUP('Données projet'!$B$14,Paramètres!$A$1:$I$89,7,0))</f>
        <v>0</v>
      </c>
      <c r="DY163" s="16">
        <f>IF(ISNA(VLOOKUP(A163,'Données projet'!$A$165:$I$185,6,0)),0%,VLOOKUP(A163,'Données projet'!$A$165:$I$185,6,0)*VLOOKUP('Données projet'!$B$14,Paramètres!$A$1:$I$89,7,0))</f>
        <v>0</v>
      </c>
      <c r="DZ163" s="16">
        <f>IF(ISNA(VLOOKUP(A163,'Données projet'!$A$165:$I$185,7,0)),0%,VLOOKUP(A163,'Données projet'!$A$165:$I$185,7,0))</f>
        <v>0</v>
      </c>
      <c r="EA163" s="21">
        <f>EXP(-LN(2)/35)*EA162+(1-EXP(-LN(2)/35))/(LN(2)/35)*DW163*DX163*VLOOKUP('Données projet'!$B$14,Paramètres!$A$1:$I$89,3,0)*0.475*44/12</f>
        <v>0.1186446191514913</v>
      </c>
      <c r="EB163" s="21">
        <f>EXP(-LN(2)/25)*EB162+(1-EXP(-LN(2)/25))/(LN(2)/25)*Calculateur!DW163*Calculateur!DY163*VLOOKUP('Données projet'!$B$14,Paramètres!$A$1:$I$89,3,0)*0.475*44/12</f>
        <v>0.21867221515848365</v>
      </c>
      <c r="EC163" s="21">
        <f>EXP(-LN(2)/2)*EC162+(1-EXP(-LN(2)/2))/(LN(2)/2)*DW163*DZ163*VLOOKUP('Données projet'!$B$14,Paramètres!$A$1:$I$89,3,0)*0.475*44/12</f>
        <v>3.793733986409797E-19</v>
      </c>
      <c r="ED163" s="22">
        <f t="shared" si="178"/>
        <v>0.33731683430997494</v>
      </c>
      <c r="EE163" s="75">
        <f>('Scénario référence'!$F$8+'Scénario référence'!$F$9+'Scénario référence'!$B$17+'Scénario référence'!$B$9+'Scénario référence'!$B$10)*70+IF((45+25*(1-EXP(-0.0175*A163)))&lt;70,'Scénario référence'!$B$16*(45+25*(1-EXP(-0.0175*A163))),70*'Scénario référence'!$B$16)+IF((32+38*(1-EXP(-0.0175*A163)))&lt;70,'Scénario référence'!$B$18*(32+38*(1-EXP(-0.0175*A163))),70*'Scénario référence'!$B$18)</f>
        <v>70</v>
      </c>
      <c r="EF163" s="12">
        <f>IF(A163&gt;30,10,('Scénario référence'!$B$16+'Scénario référence'!$B$17+'Scénario référence'!$B$18+'Scénario référence'!$B$9+'Scénario référence'!$B$10)*A163*10/30+('Scénario référence'!$F$8+'Scénario référence'!$F$9)*10)</f>
        <v>10</v>
      </c>
      <c r="EG163" s="12" t="e">
        <f>VLOOKUP(A163,'Données projet'!$A$191:$I$211,2,0)</f>
        <v>#N/A</v>
      </c>
      <c r="EH163" s="12" t="e">
        <f>VLOOKUP(A163,'Données projet'!$A$191:$I$211,9,0)</f>
        <v>#N/A</v>
      </c>
      <c r="EI163" s="12">
        <f t="array" ref="EI163">INDEX(EH:EH,MIN(IF(ISNUMBER(EH163:EH359),ROW(EH163:EH359),"")))</f>
        <v>0</v>
      </c>
      <c r="EJ163" s="12">
        <f>IF('Données projet'!$A$192&gt;35,EJ162+EI163-ER162,IF(A163&lt;'Données projet'!$A$192,$EG$205^A163,IF(A163='Données projet'!$A$192,'Données projet'!$B$192,EJ162+EI163-ER162)))</f>
        <v>275.99999999999972</v>
      </c>
      <c r="EK163" s="17">
        <f>EJ163*VLOOKUP('Données projet'!$B$15,Paramètres!$A$1:$I$89,3,0)*VLOOKUP('Données projet'!$B$15,Paramètres!$A$1:$I$89,5,0)</f>
        <v>223.8911999999998</v>
      </c>
      <c r="EL163" s="13">
        <f t="shared" si="179"/>
        <v>54.95975389514858</v>
      </c>
      <c r="EM163" s="20">
        <f t="shared" si="180"/>
        <v>485.66541136738346</v>
      </c>
      <c r="EN163" s="59">
        <f t="shared" si="128"/>
        <v>778.99874470071677</v>
      </c>
      <c r="EO163" s="59">
        <f ca="1">AVERAGE(OFFSET($EN$3,0,0,'Données projet'!$E$15+1,1))-AVERAGE(OFFSET($H$3,0,0,'Données projet'!$E$15+1,1))</f>
        <v>205.5272583787887</v>
      </c>
      <c r="EP163" s="59">
        <f t="shared" si="154"/>
        <v>180.54762778843178</v>
      </c>
      <c r="EQ163" s="15">
        <f>IF(ISNA(VLOOKUP(A163,'Données projet'!$A$191:$I$211,3,0)),0,VLOOKUP(A163,'Données projet'!$A$191:$I$211,3,0))</f>
        <v>0</v>
      </c>
      <c r="ER163" s="15">
        <f>IF(ISNA(VLOOKUP(A163,'Données projet'!$A$191:$I$211,4,0)),0,VLOOKUP(A163,'Données projet'!$A$191:$I$211,4,0))</f>
        <v>0</v>
      </c>
      <c r="ES163" s="16">
        <f>IF(ISNA(VLOOKUP(A163,'Données projet'!$A$191:$I$211,5,0)),0%,VLOOKUP(A163,'Données projet'!$A$191:$I$211,5,0)*VLOOKUP('Données projet'!$B$15,Paramètres!$A$1:$I$89,7,0))</f>
        <v>0</v>
      </c>
      <c r="ET163" s="16">
        <f>IF(ISNA(VLOOKUP(A163,'Données projet'!$A$191:$I$211,6,0)),0%,VLOOKUP(A163,'Données projet'!$A$191:$I$211,6,0)*VLOOKUP('Données projet'!$B$15,Paramètres!$A$1:$I$89,7,0))</f>
        <v>0</v>
      </c>
      <c r="EU163" s="16">
        <f>IF(ISNA(VLOOKUP(A163,'Données projet'!$A$191:$I$211,7,0)),0%,VLOOKUP(A163,'Données projet'!$A$191:$I$211,7,0))</f>
        <v>0</v>
      </c>
      <c r="EV163" s="21">
        <f>EXP(-LN(2)/35)*EV162+(1-EXP(-LN(2)/35))/(LN(2)/35)*ER163*ES163*VLOOKUP('Données projet'!$B$15,Paramètres!$A$1:$I$89,3,0)*0.475*44/12</f>
        <v>7.6384535758483932E-2</v>
      </c>
      <c r="EW163" s="21">
        <f>EXP(-LN(2)/25)*EW162+(1-EXP(-LN(2)/25))/(LN(2)/25)*Calculateur!ER163*Calculateur!ET163*VLOOKUP('Données projet'!$B$15,Paramètres!$A$1:$I$89,3,0)*0.475*44/12</f>
        <v>0.15788797297706436</v>
      </c>
      <c r="EX163" s="21">
        <f>EXP(-LN(2)/2)*EX162+(1-EXP(-LN(2)/2))/(LN(2)/2)*ER163*EU163*VLOOKUP('Données projet'!$B$15,Paramètres!$A$1:$I$89,3,0)*0.475*44/12</f>
        <v>2.4564455613866714E-19</v>
      </c>
      <c r="EY163" s="22">
        <f t="shared" si="181"/>
        <v>0.23427250873554828</v>
      </c>
      <c r="EZ163" s="75">
        <f>('Scénario référence'!$F$8+'Scénario référence'!$F$9+'Scénario référence'!$B$17+'Scénario référence'!$B$9+'Scénario référence'!$B$10)*70+IF((45+25*(1-EXP(-0.0175*A163)))&lt;70,'Scénario référence'!$B$16*(45+25*(1-EXP(-0.0175*A163))),70*'Scénario référence'!$B$16)+IF((32+38*(1-EXP(-0.0175*A163)))&lt;70,'Scénario référence'!$B$18*(32+38*(1-EXP(-0.0175*A163))),70*'Scénario référence'!$B$18)</f>
        <v>70</v>
      </c>
      <c r="FA163" s="12">
        <f>IF(A163&gt;30,10,('Scénario référence'!$B$16+'Scénario référence'!$B$17+'Scénario référence'!$B$18+'Scénario référence'!$B$9+'Scénario référence'!$B$10)*A163*10/30+('Scénario référence'!$F$8+'Scénario référence'!$F$9)*10)</f>
        <v>10</v>
      </c>
      <c r="FB163" s="12" t="e">
        <f>VLOOKUP(A163,'Données projet'!$A$217:$I$237,2,0)</f>
        <v>#N/A</v>
      </c>
      <c r="FC163" s="12" t="e">
        <f>VLOOKUP(A163,'Données projet'!$A$217:$I$237,9,0)</f>
        <v>#N/A</v>
      </c>
      <c r="FD163" s="12">
        <f t="array" ref="FD163">INDEX(FC:FC,MIN(IF(ISNUMBER(FC163:FC359),ROW(FC163:FC359),"")))</f>
        <v>0</v>
      </c>
      <c r="FE163" s="12">
        <f>IF('Données projet'!$A$218&gt;35,FE162+FD163-FM162,IF(A163&lt;'Données projet'!$A$218,$FB$205^A163,IF(A163='Données projet'!$A$218,'Données projet'!$B$218,FE162+FD163-FM162)))</f>
        <v>418.99999999999983</v>
      </c>
      <c r="FF163" s="17">
        <f>FE163*VLOOKUP('Données projet'!$B$16,Paramètres!$A$1:$I$89,3,0)*VLOOKUP('Données projet'!$B$16,Paramètres!$A$1:$I$89,5,0)</f>
        <v>359.5019999999999</v>
      </c>
      <c r="FG163" s="13">
        <f t="shared" si="182"/>
        <v>83.516011055432813</v>
      </c>
      <c r="FH163" s="20">
        <f t="shared" si="183"/>
        <v>771.58970258821194</v>
      </c>
      <c r="FI163" s="59">
        <f t="shared" si="131"/>
        <v>1064.9230359215453</v>
      </c>
      <c r="FJ163" s="59">
        <f ca="1">AVERAGE(OFFSET($FI$3,0,0,'Données projet'!$E$16+1,1))-AVERAGE(OFFSET($H$3,0,0,'Données projet'!$E$16+1,1))</f>
        <v>383.97627237444709</v>
      </c>
      <c r="FK163" s="59">
        <f t="shared" si="156"/>
        <v>203.35476578922339</v>
      </c>
      <c r="FL163" s="15">
        <f>IF(ISNA(VLOOKUP(A163,'Données projet'!$A$217:$I$237,3,0)),0,VLOOKUP(A163,'Données projet'!$A$217:$I$237,3,0))</f>
        <v>0</v>
      </c>
      <c r="FM163" s="15">
        <f>IF(ISNA(VLOOKUP(A163,'Données projet'!$A$217:$I$237,4,0)),0,VLOOKUP(A163,'Données projet'!$A$217:$I$237,4,0))</f>
        <v>0</v>
      </c>
      <c r="FN163" s="16">
        <f>IF(ISNA(VLOOKUP(A163,'Données projet'!$A$217:$I$237,5,0)),0%,VLOOKUP(A163,'Données projet'!$A$217:$I$237,5,0)*VLOOKUP('Données projet'!$B$16,Paramètres!$A$1:$I$89,7,0))</f>
        <v>0</v>
      </c>
      <c r="FO163" s="16">
        <f>IF(ISNA(VLOOKUP(A163,'Données projet'!$A$217:$I$237,6,0)),0%,VLOOKUP(A163,'Données projet'!$A$217:$I$237,6,0)*VLOOKUP('Données projet'!$B$16,Paramètres!$A$1:$I$89,7,0))</f>
        <v>0</v>
      </c>
      <c r="FP163" s="16">
        <f>IF(ISNA(VLOOKUP(A163,'Données projet'!$A$217:$I$237,7,0)),0%,VLOOKUP(A163,'Données projet'!$A$217:$I$237,7,0))</f>
        <v>0</v>
      </c>
      <c r="FQ163" s="21">
        <f>EXP(-LN(2)/35)*FQ162+(1-EXP(-LN(2)/35))/(LN(2)/35)*FM163*FN163*VLOOKUP('Données projet'!$B$16,Paramètres!$A$1:$I$89,3,0)*0.475*44/12</f>
        <v>0.39257507358500915</v>
      </c>
      <c r="FR163" s="21">
        <f>EXP(-LN(2)/25)*FR162+(1-EXP(-LN(2)/25))/(LN(2)/25)*Calculateur!FM163*Calculateur!FO163*VLOOKUP('Données projet'!$B$16,Paramètres!$A$1:$I$89,3,0)*0.475*44/12</f>
        <v>0.16027261184466368</v>
      </c>
      <c r="FS163" s="21">
        <f>EXP(-LN(2)/2)*FS162+(1-EXP(-LN(2)/2))/(LN(2)/2)*FM163*FP163*VLOOKUP('Données projet'!$B$16,Paramètres!$A$1:$I$89,3,0)*0.475*44/12</f>
        <v>4.511986360648414E-19</v>
      </c>
      <c r="FT163" s="22">
        <f t="shared" si="184"/>
        <v>0.55284768542967289</v>
      </c>
      <c r="FU163" s="75">
        <f>('Scénario référence'!$F$8+'Scénario référence'!$F$9+'Scénario référence'!$B$17+'Scénario référence'!$B$9+'Scénario référence'!$B$10)*70+IF((45+25*(1-EXP(-0.0175*A163)))&lt;70,'Scénario référence'!$B$16*(45+25*(1-EXP(-0.0175*A163))),70*'Scénario référence'!$B$16)+IF((32+38*(1-EXP(-0.0175*A163)))&lt;70,'Scénario référence'!$B$18*(32+38*(1-EXP(-0.0175*A163))),70*'Scénario référence'!$B$18)</f>
        <v>70</v>
      </c>
      <c r="FV163" s="12">
        <f>IF(A163&gt;30,10,('Scénario référence'!$B$16+'Scénario référence'!$B$17+'Scénario référence'!$B$18+'Scénario référence'!$B$9+'Scénario référence'!$B$10)*A163*10/30+('Scénario référence'!$F$8+'Scénario référence'!$F$9)*10)</f>
        <v>10</v>
      </c>
      <c r="FW163" s="12" t="e">
        <f>VLOOKUP(A163,'Données projet'!$A$243:$I$263,2,0)</f>
        <v>#N/A</v>
      </c>
      <c r="FX163" s="12" t="e">
        <f>VLOOKUP(A163,'Données projet'!$A$243:$I$263,9,0)</f>
        <v>#N/A</v>
      </c>
      <c r="FY163" s="12">
        <f t="array" ref="FY163">INDEX(FX:FX,MIN(IF(ISNUMBER(FX163:FX359),ROW(FX163:FX359),"")))</f>
        <v>0</v>
      </c>
      <c r="FZ163" s="12">
        <f>IF('Données projet'!$A$244&gt;35,FZ162+FY163-GH162,IF(A163&lt;'Données projet'!$A$244,$FW$205^A163,IF(A163='Données projet'!$A$244,'Données projet'!$B$244,FZ162+FY163-GH162)))</f>
        <v>4.5474735088646412E-13</v>
      </c>
      <c r="GA163" s="17">
        <f>FZ163*VLOOKUP('Données projet'!$B$17,Paramètres!$A$1:$I$89,3,0)*VLOOKUP('Données projet'!$B$17,Paramètres!$A$1:$I$89,5,0)</f>
        <v>4.8949004849418999E-13</v>
      </c>
      <c r="GB163" s="13">
        <f t="shared" si="185"/>
        <v>6.1123715499968684E-12</v>
      </c>
      <c r="GC163" s="20">
        <f t="shared" si="186"/>
        <v>1.1498242284038591E-11</v>
      </c>
      <c r="GD163" s="59">
        <f t="shared" si="134"/>
        <v>293.3333333333448</v>
      </c>
      <c r="GE163" s="59">
        <f ca="1">AVERAGE(OFFSET($GD$3,0,0,'Données projet'!$E$17+1,1))-AVERAGE(OFFSET($H$3,0,0,'Données projet'!$E$17+1,1))</f>
        <v>286.77702855541287</v>
      </c>
      <c r="GF163" s="59">
        <f t="shared" si="158"/>
        <v>227.12211541860779</v>
      </c>
      <c r="GG163" s="15">
        <f>IF(ISNA(VLOOKUP(A163,'Données projet'!$A$243:$I$263,3,0)),0,VLOOKUP(A163,'Données projet'!$A$243:$I$263,3,0))</f>
        <v>0</v>
      </c>
      <c r="GH163" s="15">
        <f>IF(ISNA(VLOOKUP(A163,'Données projet'!$A$243:$I$263,4,0)),0,VLOOKUP(A163,'Données projet'!$A$243:$I$263,4,0))</f>
        <v>0</v>
      </c>
      <c r="GI163" s="16">
        <f>IF(ISNA(VLOOKUP(A163,'Données projet'!$A$243:$I$263,5,0)),0%,VLOOKUP(A163,'Données projet'!$A$243:$I$263,5,0)*VLOOKUP('Données projet'!$B$17,Paramètres!$A$1:$I$89,7,0))</f>
        <v>0</v>
      </c>
      <c r="GJ163" s="16">
        <f>IF(ISNA(VLOOKUP(A163,'Données projet'!$A$243:$I$263,6,0)),0%,VLOOKUP(A163,'Données projet'!$A$243:$I$263,6,0)*VLOOKUP('Données projet'!$B$17,Paramètres!$A$1:$I$89,7,0))</f>
        <v>0</v>
      </c>
      <c r="GK163" s="16">
        <f>IF(ISNA(VLOOKUP(A163,'Données projet'!$A$243:$I$263,7,0)),0%,VLOOKUP(A163,'Données projet'!$A$243:$I$263,7,0))</f>
        <v>0</v>
      </c>
      <c r="GL163" s="21">
        <f>EXP(-LN(2)/35)*GL162+(1-EXP(-LN(2)/35))/(LN(2)/35)*GH163*GI163*VLOOKUP('Données projet'!$B$17,Paramètres!$A$1:$I$89,3,0)*0.475*44/12</f>
        <v>0</v>
      </c>
      <c r="GM163" s="21">
        <f>EXP(-LN(2)/25)*GM162+(1-EXP(-LN(2)/25))/(LN(2)/25)*Calculateur!GH163*Calculateur!GJ163*VLOOKUP('Données projet'!$B$17,Paramètres!$A$1:$I$89,3,0)*0.475*44/12</f>
        <v>0</v>
      </c>
      <c r="GN163" s="21">
        <f>EXP(-LN(2)/2)*GN162+(1-EXP(-LN(2)/2))/(LN(2)/2)*GH163*GK163*VLOOKUP('Données projet'!$B$17,Paramètres!$A$1:$I$89,3,0)*0.475*44/12</f>
        <v>0</v>
      </c>
      <c r="GO163" s="21">
        <f t="shared" si="187"/>
        <v>0</v>
      </c>
      <c r="GP163" s="75">
        <f>('Scénario référence'!$F$8+'Scénario référence'!$F$9+'Scénario référence'!$B$17+'Scénario référence'!$B$9+'Scénario référence'!$B$10)*70+IF((45+25*(1-EXP(-0.0175*A163)))&lt;70,'Scénario référence'!$B$16*(45+25*(1-EXP(-0.0175*A163))),70*'Scénario référence'!$B$16)+IF((32+38*(1-EXP(-0.0175*A163)))&lt;70,'Scénario référence'!$B$18*(32+38*(1-EXP(-0.0175*A163))),70*'Scénario référence'!$B$18)</f>
        <v>70</v>
      </c>
      <c r="GQ163" s="12">
        <f>IF(A163&gt;30,10,('Scénario référence'!$B$16+'Scénario référence'!$B$17+'Scénario référence'!$B$18+'Scénario référence'!$B$9+'Scénario référence'!$B$10)*A163*10/30+('Scénario référence'!$F$8+'Scénario référence'!$F$9)*10)</f>
        <v>10</v>
      </c>
      <c r="GR163" s="12" t="e">
        <f>VLOOKUP(A163,'Données projet'!$A$269:$I$289,2,0)</f>
        <v>#N/A</v>
      </c>
      <c r="GS163" s="12" t="e">
        <f>VLOOKUP(A163,'Données projet'!$A$269:$I$289,9,0)</f>
        <v>#N/A</v>
      </c>
      <c r="GT163" s="12">
        <f t="array" ref="GT163">INDEX(GS:GS,MIN(IF(ISNUMBER(GS163:GS359),ROW(GS163:GS359),"")))</f>
        <v>0</v>
      </c>
      <c r="GU163" s="12">
        <f>IF('Données projet'!$A$270&gt;35,GU162+GT163-HC162,IF(A163&lt;'Données projet'!$A$270,$GR$205^A163,IF(A163='Données projet'!$A$270,'Données projet'!$B$270,GU162+GT163-HC162)))</f>
        <v>4.5474735088646412E-13</v>
      </c>
      <c r="GV163" s="17">
        <f>GU163*VLOOKUP('Données projet'!$B$18,Paramètres!$A$1:$I$89,3,0)*VLOOKUP('Données projet'!$B$18,Paramètres!$A$1:$I$89,5,0)</f>
        <v>4.8949004849418999E-13</v>
      </c>
      <c r="GW163" s="13">
        <f t="shared" si="188"/>
        <v>6.1123715499968684E-12</v>
      </c>
      <c r="GX163" s="20">
        <f t="shared" si="189"/>
        <v>1.1498242284038591E-11</v>
      </c>
      <c r="GY163" s="59">
        <f t="shared" si="137"/>
        <v>293.3333333333448</v>
      </c>
      <c r="GZ163" s="59">
        <f ca="1">AVERAGE(OFFSET($GY$3,0,0,'Données projet'!$E$18+1,1))-AVERAGE(OFFSET($H$3,0,0,'Données projet'!$E$18+1,1))</f>
        <v>286.77702855541287</v>
      </c>
      <c r="HA163" s="59">
        <f t="shared" si="160"/>
        <v>227.12211541860779</v>
      </c>
      <c r="HB163" s="15">
        <f>IF(ISNA(VLOOKUP(A163,'Données projet'!$A$269:$I$289,3,0)),0,VLOOKUP(A163,'Données projet'!$A$269:$I$289,3,0))</f>
        <v>0</v>
      </c>
      <c r="HC163" s="15">
        <f>IF(ISNA(VLOOKUP(A163,'Données projet'!$A$269:$I$289,4,0)),0,VLOOKUP(A163,'Données projet'!$A$269:$I$289,4,0))</f>
        <v>0</v>
      </c>
      <c r="HD163" s="16">
        <f>IF(ISNA(VLOOKUP(A163,'Données projet'!$A$269:$I$289,5,0)),0%,VLOOKUP(A163,'Données projet'!$A$269:$I$289,5,0)*VLOOKUP('Données projet'!$B$18,Paramètres!$A$1:$I$89,7,0))</f>
        <v>0</v>
      </c>
      <c r="HE163" s="16">
        <f>IF(ISNA(VLOOKUP(A163,'Données projet'!$A$269:$I$289,6,0)),0%,VLOOKUP(A163,'Données projet'!$A$269:$I$289,6,0)*VLOOKUP('Données projet'!$B$18,Paramètres!$A$1:$I$89,7,0))</f>
        <v>0</v>
      </c>
      <c r="HF163" s="16">
        <f>IF(ISNA(VLOOKUP(A163,'Données projet'!$A$269:$I$289,7,0)),0%,VLOOKUP(A163,'Données projet'!$A$269:$I$289,7,0))</f>
        <v>0</v>
      </c>
      <c r="HG163" s="21">
        <f>EXP(-LN(2)/35)*HG162+(1-EXP(-LN(2)/35))/(LN(2)/35)*HC163*HD163*VLOOKUP('Données projet'!$B$18,Paramètres!$A$1:$I$89,3,0)*0.475*44/12</f>
        <v>0</v>
      </c>
      <c r="HH163" s="21">
        <f>EXP(-LN(2)/25)*HH162+(1-EXP(-LN(2)/25))/(LN(2)/25)*Calculateur!HC163*Calculateur!HE163*VLOOKUP('Données projet'!$B$18,Paramètres!$A$1:$I$89,3,0)*0.475*44/12</f>
        <v>0</v>
      </c>
      <c r="HI163" s="21">
        <f>EXP(-LN(2)/2)*HI162+(1-EXP(-LN(2)/2))/(LN(2)/2)*HC163*HF163*VLOOKUP('Données projet'!$B$18,Paramètres!$A$1:$I$89,3,0)*0.475*44/12</f>
        <v>0</v>
      </c>
      <c r="HJ163" s="22">
        <f t="shared" si="190"/>
        <v>0</v>
      </c>
    </row>
    <row r="164" spans="1:218" x14ac:dyDescent="0.25">
      <c r="A164" s="10">
        <f t="shared" si="161"/>
        <v>161</v>
      </c>
      <c r="B164" s="73">
        <f>'Scénario référence'!$B$16*5+'Scénario référence'!$B$17*0+'Scénario référence'!$B$18*5</f>
        <v>0</v>
      </c>
      <c r="C164" s="19">
        <f>Calculateur!C163+'Scénario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143.16120000000004</v>
      </c>
      <c r="D164" s="11">
        <f t="shared" si="140"/>
        <v>37.020248232558458</v>
      </c>
      <c r="E16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64" s="11">
        <f>IF(OR('Scénario référence'!$F$8&gt;0,'Scénario référence'!$F$9&gt;0),('Scénario référence'!$F$8+'Scénario référence'!$F$9)*10,0)</f>
        <v>10</v>
      </c>
      <c r="G164" s="11">
        <f>'Scénario référence'!$B$8*B164*44/12+'Scénario référence'!$B$9*(C164+D164)/0.475*44/12+'Scénario référence'!$B$10*(C164+D164)/0.475*44/12+'Scénario référence'!$F$8*(C164+D164)/0.475*44/12+'Scénario référence'!$F$9*(C164+D164)/0.475*44/12</f>
        <v>1390.8743372337849</v>
      </c>
      <c r="H164" s="67">
        <f t="shared" si="110"/>
        <v>607.14935567170596</v>
      </c>
      <c r="I164" s="70">
        <f>('Scénario référence'!$F$8+'Scénario référence'!$F$9+'Scénario référence'!$B$17+'Scénario référence'!$B$9+'Scénario référence'!$B$10)*70+IF((45+25*(1-EXP(-0.0175*A164)))&lt;70,'Scénario référence'!$B$16*(45+25*(1-EXP(-0.0175*A164))),70*'Scénario référence'!$B$16)+IF((32+38*(1-EXP(-0.0175*A164)))&lt;70,'Scénario référence'!$B$18*(32+38*(1-EXP(-0.0175*A164))),70*'Scénario référence'!$B$18)</f>
        <v>70</v>
      </c>
      <c r="J164" s="13">
        <f>IF(A164&gt;30,10,('Scénario référence'!$B$16+'Scénario référence'!$B$17+'Scénario référence'!$B$18+'Scénario référence'!$B$9+'Scénario référence'!$B$10)*A164*10/30+('Scénario référence'!$F$8+'Scénario référence'!$F$9)*10)</f>
        <v>10</v>
      </c>
      <c r="K164" s="12" t="e">
        <f>VLOOKUP(A164,'Données projet'!$A$35:$I$55,2,0)</f>
        <v>#N/A</v>
      </c>
      <c r="L164" s="12" t="e">
        <f>VLOOKUP(A164,'Données projet'!$A$35:$I$55,9,0)</f>
        <v>#N/A</v>
      </c>
      <c r="M164" s="12">
        <f t="array" ref="M164">INDEX(L:L,MIN(IF(ISNUMBER(L164:L360),ROW(L164:L360),"")))</f>
        <v>0</v>
      </c>
      <c r="N164" s="13">
        <f>IF('Données projet'!$A$36&gt;35,N163+M164-V163,IF(A164&lt;'Données projet'!$A$36,$K$205^A164,IF(A164='Données projet'!$A$36,'Données projet'!$B$36,N163+M164-V163)))</f>
        <v>-2.2737367544323206E-13</v>
      </c>
      <c r="O164" s="13">
        <f>N164*VLOOKUP('Données projet'!$B$9,Paramètres!$A$1:$I$89,3,0)*VLOOKUP('Données projet'!$B$9,Paramètres!$A$1:$I$89,5,0)</f>
        <v>-1.2710188457276673E-13</v>
      </c>
      <c r="P164" s="13" t="e">
        <f t="shared" si="141"/>
        <v>#NUM!</v>
      </c>
      <c r="Q164" s="20" t="e">
        <f t="shared" si="162"/>
        <v>#NUM!</v>
      </c>
      <c r="R164" s="59" t="e">
        <f t="shared" si="109"/>
        <v>#NUM!</v>
      </c>
      <c r="S164" s="59">
        <f ca="1">AVERAGE(OFFSET($R$3,0,0,'Données projet'!$E$9+1,1))-AVERAGE(OFFSET($H$3,0,0,'Données projet'!$E$9+1,1))</f>
        <v>255.5374979188561</v>
      </c>
      <c r="T164" s="59">
        <f t="shared" si="142"/>
        <v>343.10418468620901</v>
      </c>
      <c r="U164" s="15">
        <f>IF(ISNA(VLOOKUP(A164,'Données projet'!$A$35:$I$55,3,0)),0,VLOOKUP(A164,'Données projet'!$A$35:$I$55,3,0))</f>
        <v>0</v>
      </c>
      <c r="V164" s="15">
        <f>IF(ISNA(VLOOKUP(A164,'Données projet'!$A$35:$I$55,4,0)),0,VLOOKUP(A164,'Données projet'!$A$35:$I$55,4,0))</f>
        <v>0</v>
      </c>
      <c r="W164" s="16">
        <f>IF(ISNA(VLOOKUP(A164,'Données projet'!$A$35:$I$55,5,0)),0%,VLOOKUP(A164,'Données projet'!$A$35:$I$55,5,0)*VLOOKUP('Données projet'!$B$9,Paramètres!$A$1:$I$89,7,0))</f>
        <v>0</v>
      </c>
      <c r="X164" s="16">
        <f>IF(ISNA(VLOOKUP(A164,'Données projet'!$A$35:$I$55,6,0)),0%,VLOOKUP(A164,'Données projet'!$A$35:$I$55,6,0)*VLOOKUP('Données projet'!$B$9,Paramètres!$A$1:$I$89,7,0))</f>
        <v>0</v>
      </c>
      <c r="Y164" s="16">
        <f>IF(ISNA(VLOOKUP(A164,'Données projet'!$A$35:$I$55,7,0)),0%,VLOOKUP(A164,'Données projet'!$A$35:$I$55,7,0))</f>
        <v>0</v>
      </c>
      <c r="Z164" s="21">
        <f>EXP(-LN(2)/35)*Z163+(1-EXP(-LN(2)/35))/(LN(2)/35)*V164*W164*VLOOKUP('Données projet'!$B$9,Paramètres!$A$1:$I$89,3,0)*0.475*44/12</f>
        <v>0.23080858091346829</v>
      </c>
      <c r="AA164" s="21">
        <f>EXP(-LN(2)/25)*AA163+(1-EXP(-LN(2)/25))/(LN(2)/25)*Calculateur!V164*Calculateur!X164*VLOOKUP('Données projet'!$B$9,Paramètres!$A$1:$I$89,3,0)*0.475*44/12</f>
        <v>0.42232108133267787</v>
      </c>
      <c r="AB164" s="21">
        <f>EXP(-LN(2)/2)*AB163+(1-EXP(-LN(2)/2))/(LN(2)/2)*V164*Y164*VLOOKUP('Données projet'!$B$9,Paramètres!$A$1:$I$89,3,0)*0.475*44/12</f>
        <v>3.2441653627029286E-20</v>
      </c>
      <c r="AC164" s="22">
        <f t="shared" si="163"/>
        <v>0.65312966224614621</v>
      </c>
      <c r="AD164" s="13">
        <f>('Scénario référence'!$F$8+'Scénario référence'!$F$9+'Scénario référence'!$B$17+'Scénario référence'!$B$9+'Scénario référence'!$B$10)*70+IF((45+25*(1-EXP(-0.0175*A164)))&lt;70,'Scénario référence'!$B$16*(45+25*(1-EXP(-0.0175*A164))),70*'Scénario référence'!$B$16)+IF((32+38*(1-EXP(-0.0175*A164)))&lt;70,'Scénario référence'!$B$18*(32+38*(1-EXP(-0.0175*A164))),70*'Scénario référence'!$B$18)</f>
        <v>70</v>
      </c>
      <c r="AE164" s="13">
        <f>IF(A164&gt;30,10,('Scénario référence'!$B$16+'Scénario référence'!$B$17+'Scénario référence'!$B$18+'Scénario référence'!$B$9+'Scénario référence'!$B$10)*A164*10/30+('Scénario référence'!$F$8+'Scénario référence'!$F$9)*10)</f>
        <v>10</v>
      </c>
      <c r="AF164" s="12" t="e">
        <f>VLOOKUP(A164,'Données projet'!$A$61:$I$81,2,0)</f>
        <v>#N/A</v>
      </c>
      <c r="AG164" s="12" t="e">
        <f>VLOOKUP(A164,'Données projet'!$A$61:$I$81,9,0)</f>
        <v>#N/A</v>
      </c>
      <c r="AH164" s="12">
        <f t="array" ref="AH164">INDEX(AG:AG,MIN(IF(ISNUMBER(AG164:AG360),ROW(AG164:AG360),"")))</f>
        <v>0</v>
      </c>
      <c r="AI164" s="13">
        <f>IF('Données projet'!$A$62&gt;35,AI163+AH164-AQ163,IF(A164&lt;'Données projet'!$A$62,$AF$205^A164,IF(A164='Données projet'!$A$62,'Données projet'!$B$62,AI163+AH164-AQ163)))</f>
        <v>0</v>
      </c>
      <c r="AJ164" s="13">
        <f>AI164*VLOOKUP('Données projet'!$B$10,Paramètres!$A$1:$I$89,3,0)*VLOOKUP('Données projet'!$B$10,Paramètres!$A$1:$I$89,5,0)</f>
        <v>0</v>
      </c>
      <c r="AK164" s="13" t="e">
        <f t="shared" si="164"/>
        <v>#NUM!</v>
      </c>
      <c r="AL164" s="20" t="e">
        <f t="shared" si="165"/>
        <v>#NUM!</v>
      </c>
      <c r="AM164" s="59" t="e">
        <f t="shared" si="113"/>
        <v>#NUM!</v>
      </c>
      <c r="AN164" s="59">
        <f ca="1">AVERAGE(OFFSET($AM$3,0,0,'Données projet'!$E$10+1,1))-AVERAGE(OFFSET($H$3,0,0,'Données projet'!$E$10+1,1))</f>
        <v>261.78489480911571</v>
      </c>
      <c r="AO164" s="59">
        <f t="shared" si="144"/>
        <v>297.50513563712764</v>
      </c>
      <c r="AP164" s="15">
        <f>IF(ISNA(VLOOKUP(A164,'Données projet'!$A$61:$I$81,3,0)),0,VLOOKUP(A164,'Données projet'!$A$61:$I$81,3,0))</f>
        <v>0</v>
      </c>
      <c r="AQ164" s="15">
        <f>IF(ISNA(VLOOKUP(A164,'Données projet'!$A$61:$I$81,4,0)),0,VLOOKUP(A164,'Données projet'!$A$61:$I$81,4,0))</f>
        <v>0</v>
      </c>
      <c r="AR164" s="16">
        <f>IF(ISNA(VLOOKUP(A164,'Données projet'!$A$61:$I$81,5,0)),0%,VLOOKUP(A164,'Données projet'!$A$61:$I$81,5,0)*VLOOKUP('Données projet'!$B$10,Paramètres!$A$1:$I$89,7,0))</f>
        <v>0</v>
      </c>
      <c r="AS164" s="16">
        <f>IF(ISNA(VLOOKUP(A164,'Données projet'!$A$61:$I$81,6,0)),0%,VLOOKUP(A164,'Données projet'!$A$61:$I$81,6,0)*VLOOKUP('Données projet'!$B$10,Paramètres!$A$1:$I$89,7,0))</f>
        <v>0</v>
      </c>
      <c r="AT164" s="16">
        <f>IF(ISNA(VLOOKUP(A164,'Données projet'!$A$61:$I$81,7,0)),0%,VLOOKUP(A164,'Données projet'!$A$61:$I$81,7,0))</f>
        <v>0</v>
      </c>
      <c r="AU164" s="21">
        <f>EXP(-LN(2)/35)*AU163+(1-EXP(-LN(2)/35))/(LN(2)/35)*AQ164*AR164*VLOOKUP('Données projet'!$B$10,Paramètres!$A$1:$I$89,3,0)*0.475*44/12</f>
        <v>0.62324845236034954</v>
      </c>
      <c r="AV164" s="21">
        <f>EXP(-LN(2)/25)*AV163+(1-EXP(-LN(2)/25))/(LN(2)/25)*Calculateur!AQ164*Calculateur!AS164*VLOOKUP('Données projet'!$B$10,Paramètres!$A$1:$I$89,3,0)*0.475*44/12</f>
        <v>0.73745874498397623</v>
      </c>
      <c r="AW164" s="21">
        <f>EXP(-LN(2)/2)*AW163+(1-EXP(-LN(2)/2))/(LN(2)/2)*AQ164*AT164*VLOOKUP('Données projet'!$B$10,Paramètres!$A$1:$I$89,3,0)*0.475*44/12</f>
        <v>4.6767732161824601E-19</v>
      </c>
      <c r="AX164" s="21">
        <f t="shared" si="166"/>
        <v>1.3607071973443259</v>
      </c>
      <c r="AY164" s="74">
        <f>('Scénario référence'!$F$8+'Scénario référence'!$F$9+'Scénario référence'!$B$17+'Scénario référence'!$B$9+'Scénario référence'!$B$10)*70+IF((45+25*(1-EXP(-0.0175*A164)))&lt;70,'Scénario référence'!$B$16*(45+25*(1-EXP(-0.0175*A164))),70*'Scénario référence'!$B$16)+IF((32+38*(1-EXP(-0.0175*A164)))&lt;70,'Scénario référence'!$B$18*(32+38*(1-EXP(-0.0175*A164))),70*'Scénario référence'!$B$18)</f>
        <v>70</v>
      </c>
      <c r="AZ164" s="12">
        <f>IF(A164&gt;30,10,('Scénario référence'!$B$16+'Scénario référence'!$B$17+'Scénario référence'!$B$18+'Scénario référence'!$B$9+'Scénario référence'!$B$10)*A164*10/30+('Scénario référence'!$F$8+'Scénario référence'!$F$9)*10)</f>
        <v>10</v>
      </c>
      <c r="BA164" s="12" t="e">
        <f>VLOOKUP(A164,'Données projet'!$A$87:$I$107,2,0)</f>
        <v>#N/A</v>
      </c>
      <c r="BB164" s="12" t="e">
        <f>VLOOKUP(A164,'Données projet'!$A$87:$I$107,9,0)</f>
        <v>#N/A</v>
      </c>
      <c r="BC164" s="12">
        <f t="array" ref="BC164">INDEX(BB:BB,MIN(IF(ISNUMBER(BB164:BB360),ROW(BB164:BB360),"")))</f>
        <v>0</v>
      </c>
      <c r="BD164" s="12">
        <f>IF('Données projet'!$A$88&gt;35,BD163+BC164-BL163,IF(A164&lt;'Données projet'!$A$88,$BA$205^A164,IF(A164='Données projet'!$A$88,'Données projet'!$B$88,BD163+BC164-BL163)))</f>
        <v>553.99999999999955</v>
      </c>
      <c r="BE164" s="13">
        <f>BD164*VLOOKUP('Données projet'!$B$11,Paramètres!$A$1:$I$89,3,0)*VLOOKUP('Données projet'!$B$11,Paramètres!$A$1:$I$89,5,0)</f>
        <v>331.29199999999975</v>
      </c>
      <c r="BF164" s="13">
        <f t="shared" si="167"/>
        <v>77.698110787752</v>
      </c>
      <c r="BG164" s="20">
        <f t="shared" si="168"/>
        <v>712.32444295533423</v>
      </c>
      <c r="BH164" s="59">
        <f t="shared" si="116"/>
        <v>1005.6577762886675</v>
      </c>
      <c r="BI164" s="59">
        <f ca="1">AVERAGE(OFFSET($BH$3,0,0,'Données projet'!$E$11+1,1))-AVERAGE(OFFSET($H$3,0,0,'Données projet'!$E$11+1,1))</f>
        <v>316.58509520829671</v>
      </c>
      <c r="BJ164" s="59">
        <f t="shared" si="146"/>
        <v>240.71332110643596</v>
      </c>
      <c r="BK164" s="15">
        <f>IF(ISNA(VLOOKUP(A164,'Données projet'!$A$87:$I$107,3,0)),0,VLOOKUP(A164,'Données projet'!$A$87:$I$107,3,0))</f>
        <v>0</v>
      </c>
      <c r="BL164" s="15">
        <f>IF(ISNA(VLOOKUP(A164,'Données projet'!$A$87:$I$107,4,0)),0,VLOOKUP(A164,'Données projet'!$A$87:$I$107,4,0))</f>
        <v>0</v>
      </c>
      <c r="BM164" s="16">
        <f>IF(ISNA(VLOOKUP(A164,'Données projet'!$A$87:$I$107,5,0)),0%,VLOOKUP(A164,'Données projet'!$A$87:$I$107,5,0)*VLOOKUP('Données projet'!$B$11,Paramètres!$A$1:$I$89,7,0))</f>
        <v>0</v>
      </c>
      <c r="BN164" s="16">
        <f>IF(ISNA(VLOOKUP(A164,'Données projet'!$A$87:$I$107,6,0)),0%,VLOOKUP(A164,'Données projet'!$A$87:$I$107,6,0)*VLOOKUP('Données projet'!$B$11,Paramètres!$A$1:$I$89,7,0))</f>
        <v>0</v>
      </c>
      <c r="BO164" s="16">
        <f>IF(ISNA(VLOOKUP(A164,'Données projet'!$A$87:$I$107,7,0)),0%,VLOOKUP(A164,'Données projet'!$A$87:$I$107,7,0))</f>
        <v>0</v>
      </c>
      <c r="BP164" s="21">
        <f>EXP(-LN(2)/35)*BP163+(1-EXP(-LN(2)/35))/(LN(2)/35)*BL164*BM164*VLOOKUP('Données projet'!$B$11,Paramètres!$A$1:$I$89,3,0)*0.475*44/12</f>
        <v>0.18931635466972691</v>
      </c>
      <c r="BQ164" s="21">
        <f>EXP(-LN(2)/25)*BQ163+(1-EXP(-LN(2)/25))/(LN(2)/25)*Calculateur!BL164*Calculateur!BN164*VLOOKUP('Données projet'!$B$11,Paramètres!$A$1:$I$89,3,0)*0.475*44/12</f>
        <v>0.40400141812996404</v>
      </c>
      <c r="BR164" s="21">
        <f>EXP(-LN(2)/2)*BR163+(1-EXP(-LN(2)/2))/(LN(2)/2)*BL164*BO164*VLOOKUP('Données projet'!$B$11,Paramètres!$A$1:$I$89,3,0)*0.475*44/12</f>
        <v>4.204931286975637E-19</v>
      </c>
      <c r="BS164" s="22">
        <f t="shared" si="169"/>
        <v>0.593317772799691</v>
      </c>
      <c r="BT164" s="75">
        <f>('Scénario référence'!$F$8+'Scénario référence'!$F$9+'Scénario référence'!$B$17+'Scénario référence'!$B$9+'Scénario référence'!$B$10)*70+IF((45+25*(1-EXP(-0.0175*A164)))&lt;70,'Scénario référence'!$B$16*(45+25*(1-EXP(-0.0175*A164))),70*'Scénario référence'!$B$16)+IF((32+38*(1-EXP(-0.0175*A164)))&lt;70,'Scénario référence'!$B$18*(32+38*(1-EXP(-0.0175*A164))),70*'Scénario référence'!$B$18)</f>
        <v>70</v>
      </c>
      <c r="BU164" s="12">
        <f>IF(A164&gt;30,10,('Scénario référence'!$B$16+'Scénario référence'!$B$17+'Scénario référence'!$B$18+'Scénario référence'!$B$9+'Scénario référence'!$B$10)*A164*10/30+('Scénario référence'!$F$8+'Scénario référence'!$F$9)*10)</f>
        <v>10</v>
      </c>
      <c r="BV164" s="12" t="e">
        <f>VLOOKUP(A164,'Données projet'!$A$113:$I$133,2,0)</f>
        <v>#N/A</v>
      </c>
      <c r="BW164" s="12" t="e">
        <f>VLOOKUP(A164,'Données projet'!$A$113:$I$133,9,0)</f>
        <v>#N/A</v>
      </c>
      <c r="BX164" s="12">
        <f t="array" ref="BX164">INDEX(BW:BW,MIN(IF(ISNUMBER(BW164:BW360),ROW(BW164:BW360),"")))</f>
        <v>0</v>
      </c>
      <c r="BY164" s="12">
        <f>IF('Données projet'!$A$114&gt;35,BY163+BX164-CG163,IF(A164&lt;'Données projet'!$A$114,$BV$205^A164,IF(A164='Données projet'!$A$114,'Données projet'!$B$114,BY163+BX164-CG163)))</f>
        <v>333.99999999999977</v>
      </c>
      <c r="BZ164" s="13">
        <f>BY164*VLOOKUP('Données projet'!$B$12,Paramètres!$A$1:$I$89,3,0)*VLOOKUP('Données projet'!$B$12,Paramètres!$A$1:$I$89,5,0)</f>
        <v>191.04799999999986</v>
      </c>
      <c r="CA164" s="13">
        <f t="shared" si="170"/>
        <v>47.771576544305155</v>
      </c>
      <c r="CB164" s="20">
        <f t="shared" si="171"/>
        <v>415.94409581466454</v>
      </c>
      <c r="CC164" s="59">
        <f t="shared" si="119"/>
        <v>709.27742914799785</v>
      </c>
      <c r="CD164" s="59">
        <f ca="1">AVERAGE(OFFSET($CC$3,0,0,'Données projet'!$E$12+1,1))-AVERAGE(OFFSET($H$3,0,0,'Données projet'!$E$12+1,1))</f>
        <v>188.64374818906128</v>
      </c>
      <c r="CE164" s="59">
        <f t="shared" si="148"/>
        <v>211.95157880548652</v>
      </c>
      <c r="CF164" s="15">
        <f>IF(ISNA(VLOOKUP(A164,'Données projet'!$A$113:$I$133,3,0)),0,VLOOKUP(A164,'Données projet'!$A$113:$I$133,3,0))</f>
        <v>0</v>
      </c>
      <c r="CG164" s="15">
        <f>IF(ISNA(VLOOKUP(A164,'Données projet'!$A$113:$I$133,4,0)),0,VLOOKUP(A164,'Données projet'!$A$113:$I$133,4,0))</f>
        <v>0</v>
      </c>
      <c r="CH164" s="16">
        <f>IF(ISNA(VLOOKUP(A164,'Données projet'!$A$113:$I$133,5,0)),0%,VLOOKUP(A164,'Données projet'!$A$113:$I$133,5,0)*VLOOKUP('Données projet'!$B$12,Paramètres!$A$1:$I$89,7,0))</f>
        <v>0</v>
      </c>
      <c r="CI164" s="16">
        <f>IF(ISNA(VLOOKUP(A164,'Données projet'!$A$113:$I$133,6,0)),0%,VLOOKUP(A164,'Données projet'!$A$113:$I$133,6,0)*VLOOKUP('Données projet'!$B$12,Paramètres!$A$1:$I$89,7,0))</f>
        <v>0</v>
      </c>
      <c r="CJ164" s="16">
        <f>IF(ISNA(VLOOKUP(A164,'Données projet'!$A$113:$I$133,7,0)),0%,VLOOKUP(A164,'Données projet'!$A$113:$I$133,7,0))</f>
        <v>0</v>
      </c>
      <c r="CK164" s="21">
        <f>EXP(-LN(2)/35)*CK163+(1-EXP(-LN(2)/35))/(LN(2)/35)*CG164*CH164*VLOOKUP('Données projet'!$B$12,Paramètres!$A$1:$I$89,3,0)*0.475*44/12</f>
        <v>0.18363570471331722</v>
      </c>
      <c r="CL164" s="21">
        <f>EXP(-LN(2)/25)*CL163+(1-EXP(-LN(2)/25))/(LN(2)/25)*Calculateur!CG164*Calculateur!CI164*VLOOKUP('Données projet'!$B$12,Paramètres!$A$1:$I$89,3,0)*0.475*44/12</f>
        <v>0.38025528204817238</v>
      </c>
      <c r="CM164" s="21">
        <f>EXP(-LN(2)/2)*CM163+(1-EXP(-LN(2)/2))/(LN(2)/2)*CG164*CJ164*VLOOKUP('Données projet'!$B$12,Paramètres!$A$1:$I$89,3,0)*0.475*44/12</f>
        <v>4.0721469527258982E-19</v>
      </c>
      <c r="CN164" s="22">
        <f t="shared" si="172"/>
        <v>0.56389098676148963</v>
      </c>
      <c r="CO164" s="75">
        <f>('Scénario référence'!$F$8+'Scénario référence'!$F$9+'Scénario référence'!$B$17+'Scénario référence'!$B$9+'Scénario référence'!$B$10)*70+IF((45+25*(1-EXP(-0.0175*A164)))&lt;70,'Scénario référence'!$B$16*(45+25*(1-EXP(-0.0175*A164))),70*'Scénario référence'!$B$16)+IF((32+38*(1-EXP(-0.0175*A164)))&lt;70,'Scénario référence'!$B$18*(32+38*(1-EXP(-0.0175*A164))),70*'Scénario référence'!$B$18)</f>
        <v>70</v>
      </c>
      <c r="CP164" s="12">
        <f>IF(A164&gt;30,10,('Scénario référence'!$B$16+'Scénario référence'!$B$17+'Scénario référence'!$B$18+'Scénario référence'!$B$9+'Scénario référence'!$B$10)*A164*10/30+('Scénario référence'!$F$8+'Scénario référence'!$F$9)*10)</f>
        <v>10</v>
      </c>
      <c r="CQ164" s="12" t="e">
        <f>VLOOKUP(A164,'Données projet'!$A$139:$I$159,2,0)</f>
        <v>#N/A</v>
      </c>
      <c r="CR164" s="12" t="e">
        <f>VLOOKUP(A164,'Données projet'!$A$139:$I$159,9,0)</f>
        <v>#N/A</v>
      </c>
      <c r="CS164" s="12">
        <f t="array" ref="CS164">INDEX(CR:CR,MIN(IF(ISNUMBER(CR164:CR360),ROW(CR164:CR360),"")))</f>
        <v>0</v>
      </c>
      <c r="CT164" s="12">
        <f>IF('Données projet'!$A$140&gt;35,CT163+CS164-DB163,IF(A164&lt;'Données projet'!$A$140,$CQ$205^A164,IF(A164='Données projet'!$A$140,'Données projet'!$B$140,CT163+CS164-DB163)))</f>
        <v>0</v>
      </c>
      <c r="CU164" s="17" t="e">
        <f>CT164*VLOOKUP('Données projet'!$B$13,Paramètres!$A$1:$I$89,3,0)*VLOOKUP('Données projet'!$B$13,Paramètres!$A$1:$I$89,5,0)</f>
        <v>#N/A</v>
      </c>
      <c r="CV164" s="13" t="e">
        <f t="shared" si="173"/>
        <v>#N/A</v>
      </c>
      <c r="CW164" s="20" t="e">
        <f t="shared" si="174"/>
        <v>#N/A</v>
      </c>
      <c r="CX164" s="59" t="e">
        <f t="shared" si="122"/>
        <v>#N/A</v>
      </c>
      <c r="CY164" s="59" t="e">
        <f ca="1">AVERAGE(OFFSET($CX$3,0,0,'Données projet'!$E$13+1,1))-AVERAGE(OFFSET($H$3,0,0,'Données projet'!$E$13+1,1))</f>
        <v>#N/A</v>
      </c>
      <c r="CZ164" s="59" t="e">
        <f t="shared" si="150"/>
        <v>#N/A</v>
      </c>
      <c r="DA164" s="15">
        <f>IF(ISNA(VLOOKUP(A164,'Données projet'!$A$139:$I$159,3,0)),0,VLOOKUP(A164,'Données projet'!$A$139:$I$159,3,0))</f>
        <v>0</v>
      </c>
      <c r="DB164" s="15">
        <f>IF(ISNA(VLOOKUP(A164,'Données projet'!$A$139:$I$159,4,0)),0,VLOOKUP(A164,'Données projet'!$A$139:$I$159,4,0))</f>
        <v>0</v>
      </c>
      <c r="DC164" s="16">
        <f>IF(ISNA(VLOOKUP(A164,'Données projet'!$A$139:$I$159,5,0)),0%,VLOOKUP(A164,'Données projet'!$A$139:$I$159,5,0)*VLOOKUP('Données projet'!$B$13,Paramètres!$A$1:$I$89,7,0))</f>
        <v>0</v>
      </c>
      <c r="DD164" s="16">
        <f>IF(ISNA(VLOOKUP(A164,'Données projet'!$A$139:$I$159,6,0)),0%,VLOOKUP(A164,'Données projet'!$A$139:$I$159,6,0)*VLOOKUP('Données projet'!$B$13,Paramètres!$A$1:$I$89,7,0))</f>
        <v>0</v>
      </c>
      <c r="DE164" s="16">
        <f>IF(ISNA(VLOOKUP(A164,'Données projet'!$A$139:$I$159,7,0)),0%,VLOOKUP(A164,'Données projet'!$A$139:$I$159,7,0))</f>
        <v>0</v>
      </c>
      <c r="DF164" s="21" t="e">
        <f>EXP(-LN(2)/35)*DF163+(1-EXP(-LN(2)/35))/(LN(2)/35)*DB164*DC164*VLOOKUP('Données projet'!$B$13,Paramètres!$A$1:$I$89,3,0)*0.475*44/12</f>
        <v>#N/A</v>
      </c>
      <c r="DG164" s="21" t="e">
        <f>EXP(-LN(2)/25)*DG163+(1-EXP(-LN(2)/25))/(LN(2)/25)*Calculateur!DB164*Calculateur!DD164*VLOOKUP('Données projet'!$B$13,Paramètres!$A$1:$I$89,3,0)*0.475*44/12</f>
        <v>#N/A</v>
      </c>
      <c r="DH164" s="21" t="e">
        <f>EXP(-LN(2)/2)*DH163+(1-EXP(-LN(2)/2))/(LN(2)/2)*DB164*DE164*VLOOKUP('Données projet'!$B$13,Paramètres!$A$1:$I$89,3,0)*0.475*44/12</f>
        <v>#N/A</v>
      </c>
      <c r="DI164" s="22" t="e">
        <f t="shared" si="175"/>
        <v>#N/A</v>
      </c>
      <c r="DJ164" s="75">
        <f>('Scénario référence'!$F$8+'Scénario référence'!$F$9+'Scénario référence'!$B$17+'Scénario référence'!$B$9+'Scénario référence'!$B$10)*70+IF((45+25*(1-EXP(-0.0175*A164)))&lt;70,'Scénario référence'!$B$16*(45+25*(1-EXP(-0.0175*A164))),70*'Scénario référence'!$B$16)+IF((32+38*(1-EXP(-0.0175*A164)))&lt;70,'Scénario référence'!$B$18*(32+38*(1-EXP(-0.0175*A164))),70*'Scénario référence'!$B$18)</f>
        <v>70</v>
      </c>
      <c r="DK164" s="12">
        <f>IF(A164&gt;30,10,('Scénario référence'!$B$16+'Scénario référence'!$B$17+'Scénario référence'!$B$18+'Scénario référence'!$B$9+'Scénario référence'!$B$10)*A164*10/30+('Scénario référence'!$F$8+'Scénario référence'!$F$9)*10)</f>
        <v>10</v>
      </c>
      <c r="DL164" s="12" t="e">
        <f>VLOOKUP(A164,'Données projet'!$A$165:$I$185,2,0)</f>
        <v>#N/A</v>
      </c>
      <c r="DM164" s="12" t="e">
        <f>VLOOKUP(A164,'Données projet'!$A$165:$I$185,9,0)</f>
        <v>#N/A</v>
      </c>
      <c r="DN164" s="12">
        <f t="array" ref="DN164">INDEX(DM:DM,MIN(IF(ISNUMBER(DM164:DM360),ROW(DM164:DM360),"")))</f>
        <v>0</v>
      </c>
      <c r="DO164" s="12">
        <f>IF('Données projet'!$A$166&gt;35,DO163+DN164-DW163,IF(A164&lt;'Données projet'!$A$166,$DL$205^A164,IF(A164='Données projet'!$A$166,'Données projet'!$B$166,DO163+DN164-DW163)))</f>
        <v>268.00000000000017</v>
      </c>
      <c r="DP164" s="17">
        <f>DO164*VLOOKUP('Données projet'!$B$14,Paramètres!$A$1:$I$89,3,0)*VLOOKUP('Données projet'!$B$14,Paramètres!$A$1:$I$89,5,0)</f>
        <v>175.59360000000012</v>
      </c>
      <c r="DQ164" s="13">
        <f t="shared" si="176"/>
        <v>44.340433728638573</v>
      </c>
      <c r="DR164" s="20">
        <f t="shared" si="177"/>
        <v>383.05177541071242</v>
      </c>
      <c r="DS164" s="59">
        <f t="shared" si="125"/>
        <v>676.38510874404574</v>
      </c>
      <c r="DT164" s="59">
        <f ca="1">AVERAGE(OFFSET($DS$3,0,0,'Données projet'!$E$14+1,1))-AVERAGE(OFFSET($H$3,0,0,'Données projet'!$E$14+1,1))</f>
        <v>188.68915783955595</v>
      </c>
      <c r="DU164" s="59">
        <f t="shared" si="152"/>
        <v>240.82467772396944</v>
      </c>
      <c r="DV164" s="15">
        <f>IF(ISNA(VLOOKUP(A164,'Données projet'!$A$165:$I$185,3,0)),0,VLOOKUP(A164,'Données projet'!$A$165:$I$185,3,0))</f>
        <v>0</v>
      </c>
      <c r="DW164" s="15">
        <f>IF(ISNA(VLOOKUP(A164,'Données projet'!$A$165:$I$185,4,0)),0,VLOOKUP(A164,'Données projet'!$A$165:$I$185,4,0))</f>
        <v>0</v>
      </c>
      <c r="DX164" s="16">
        <f>IF(ISNA(VLOOKUP(A164,'Données projet'!$A$165:$I$185,5,0)),0%,VLOOKUP(A164,'Données projet'!$A$165:$I$185,5,0)*VLOOKUP('Données projet'!$B$14,Paramètres!$A$1:$I$89,7,0))</f>
        <v>0</v>
      </c>
      <c r="DY164" s="16">
        <f>IF(ISNA(VLOOKUP(A164,'Données projet'!$A$165:$I$185,6,0)),0%,VLOOKUP(A164,'Données projet'!$A$165:$I$185,6,0)*VLOOKUP('Données projet'!$B$14,Paramètres!$A$1:$I$89,7,0))</f>
        <v>0</v>
      </c>
      <c r="DZ164" s="16">
        <f>IF(ISNA(VLOOKUP(A164,'Données projet'!$A$165:$I$185,7,0)),0%,VLOOKUP(A164,'Données projet'!$A$165:$I$185,7,0))</f>
        <v>0</v>
      </c>
      <c r="EA164" s="21">
        <f>EXP(-LN(2)/35)*EA163+(1-EXP(-LN(2)/35))/(LN(2)/35)*DW164*DX164*VLOOKUP('Données projet'!$B$14,Paramètres!$A$1:$I$89,3,0)*0.475*44/12</f>
        <v>0.11631807053600268</v>
      </c>
      <c r="EB164" s="21">
        <f>EXP(-LN(2)/25)*EB163+(1-EXP(-LN(2)/25))/(LN(2)/25)*Calculateur!DW164*Calculateur!DY164*VLOOKUP('Données projet'!$B$14,Paramètres!$A$1:$I$89,3,0)*0.475*44/12</f>
        <v>0.2126926119355029</v>
      </c>
      <c r="EC164" s="21">
        <f>EXP(-LN(2)/2)*EC163+(1-EXP(-LN(2)/2))/(LN(2)/2)*DW164*DZ164*VLOOKUP('Données projet'!$B$14,Paramètres!$A$1:$I$89,3,0)*0.475*44/12</f>
        <v>2.682575027808241E-19</v>
      </c>
      <c r="ED164" s="22">
        <f t="shared" si="178"/>
        <v>0.32901068247150556</v>
      </c>
      <c r="EE164" s="75">
        <f>('Scénario référence'!$F$8+'Scénario référence'!$F$9+'Scénario référence'!$B$17+'Scénario référence'!$B$9+'Scénario référence'!$B$10)*70+IF((45+25*(1-EXP(-0.0175*A164)))&lt;70,'Scénario référence'!$B$16*(45+25*(1-EXP(-0.0175*A164))),70*'Scénario référence'!$B$16)+IF((32+38*(1-EXP(-0.0175*A164)))&lt;70,'Scénario référence'!$B$18*(32+38*(1-EXP(-0.0175*A164))),70*'Scénario référence'!$B$18)</f>
        <v>70</v>
      </c>
      <c r="EF164" s="12">
        <f>IF(A164&gt;30,10,('Scénario référence'!$B$16+'Scénario référence'!$B$17+'Scénario référence'!$B$18+'Scénario référence'!$B$9+'Scénario référence'!$B$10)*A164*10/30+('Scénario référence'!$F$8+'Scénario référence'!$F$9)*10)</f>
        <v>10</v>
      </c>
      <c r="EG164" s="12" t="e">
        <f>VLOOKUP(A164,'Données projet'!$A$191:$I$211,2,0)</f>
        <v>#N/A</v>
      </c>
      <c r="EH164" s="12" t="e">
        <f>VLOOKUP(A164,'Données projet'!$A$191:$I$211,9,0)</f>
        <v>#N/A</v>
      </c>
      <c r="EI164" s="12">
        <f t="array" ref="EI164">INDEX(EH:EH,MIN(IF(ISNUMBER(EH164:EH360),ROW(EH164:EH360),"")))</f>
        <v>0</v>
      </c>
      <c r="EJ164" s="12">
        <f>IF('Données projet'!$A$192&gt;35,EJ163+EI164-ER163,IF(A164&lt;'Données projet'!$A$192,$EG$205^A164,IF(A164='Données projet'!$A$192,'Données projet'!$B$192,EJ163+EI164-ER163)))</f>
        <v>275.99999999999972</v>
      </c>
      <c r="EK164" s="17">
        <f>EJ164*VLOOKUP('Données projet'!$B$15,Paramètres!$A$1:$I$89,3,0)*VLOOKUP('Données projet'!$B$15,Paramètres!$A$1:$I$89,5,0)</f>
        <v>223.8911999999998</v>
      </c>
      <c r="EL164" s="13">
        <f t="shared" si="179"/>
        <v>54.95975389514858</v>
      </c>
      <c r="EM164" s="20">
        <f t="shared" si="180"/>
        <v>485.66541136738346</v>
      </c>
      <c r="EN164" s="59">
        <f t="shared" si="128"/>
        <v>778.99874470071677</v>
      </c>
      <c r="EO164" s="59">
        <f ca="1">AVERAGE(OFFSET($EN$3,0,0,'Données projet'!$E$15+1,1))-AVERAGE(OFFSET($H$3,0,0,'Données projet'!$E$15+1,1))</f>
        <v>205.5272583787887</v>
      </c>
      <c r="EP164" s="59">
        <f t="shared" si="154"/>
        <v>180.54762778843178</v>
      </c>
      <c r="EQ164" s="15">
        <f>IF(ISNA(VLOOKUP(A164,'Données projet'!$A$191:$I$211,3,0)),0,VLOOKUP(A164,'Données projet'!$A$191:$I$211,3,0))</f>
        <v>0</v>
      </c>
      <c r="ER164" s="15">
        <f>IF(ISNA(VLOOKUP(A164,'Données projet'!$A$191:$I$211,4,0)),0,VLOOKUP(A164,'Données projet'!$A$191:$I$211,4,0))</f>
        <v>0</v>
      </c>
      <c r="ES164" s="16">
        <f>IF(ISNA(VLOOKUP(A164,'Données projet'!$A$191:$I$211,5,0)),0%,VLOOKUP(A164,'Données projet'!$A$191:$I$211,5,0)*VLOOKUP('Données projet'!$B$15,Paramètres!$A$1:$I$89,7,0))</f>
        <v>0</v>
      </c>
      <c r="ET164" s="16">
        <f>IF(ISNA(VLOOKUP(A164,'Données projet'!$A$191:$I$211,6,0)),0%,VLOOKUP(A164,'Données projet'!$A$191:$I$211,6,0)*VLOOKUP('Données projet'!$B$15,Paramètres!$A$1:$I$89,7,0))</f>
        <v>0</v>
      </c>
      <c r="EU164" s="16">
        <f>IF(ISNA(VLOOKUP(A164,'Données projet'!$A$191:$I$211,7,0)),0%,VLOOKUP(A164,'Données projet'!$A$191:$I$211,7,0))</f>
        <v>0</v>
      </c>
      <c r="EV164" s="21">
        <f>EXP(-LN(2)/35)*EV163+(1-EXP(-LN(2)/35))/(LN(2)/35)*ER164*ES164*VLOOKUP('Données projet'!$B$15,Paramètres!$A$1:$I$89,3,0)*0.475*44/12</f>
        <v>7.4886681602226501E-2</v>
      </c>
      <c r="EW164" s="21">
        <f>EXP(-LN(2)/25)*EW163+(1-EXP(-LN(2)/25))/(LN(2)/25)*Calculateur!ER164*Calculateur!ET164*VLOOKUP('Données projet'!$B$15,Paramètres!$A$1:$I$89,3,0)*0.475*44/12</f>
        <v>0.1535705180530389</v>
      </c>
      <c r="EX164" s="21">
        <f>EXP(-LN(2)/2)*EX163+(1-EXP(-LN(2)/2))/(LN(2)/2)*ER164*EU164*VLOOKUP('Données projet'!$B$15,Paramètres!$A$1:$I$89,3,0)*0.475*44/12</f>
        <v>1.736969314072111E-19</v>
      </c>
      <c r="EY164" s="22">
        <f t="shared" si="181"/>
        <v>0.2284571996552654</v>
      </c>
      <c r="EZ164" s="75">
        <f>('Scénario référence'!$F$8+'Scénario référence'!$F$9+'Scénario référence'!$B$17+'Scénario référence'!$B$9+'Scénario référence'!$B$10)*70+IF((45+25*(1-EXP(-0.0175*A164)))&lt;70,'Scénario référence'!$B$16*(45+25*(1-EXP(-0.0175*A164))),70*'Scénario référence'!$B$16)+IF((32+38*(1-EXP(-0.0175*A164)))&lt;70,'Scénario référence'!$B$18*(32+38*(1-EXP(-0.0175*A164))),70*'Scénario référence'!$B$18)</f>
        <v>70</v>
      </c>
      <c r="FA164" s="12">
        <f>IF(A164&gt;30,10,('Scénario référence'!$B$16+'Scénario référence'!$B$17+'Scénario référence'!$B$18+'Scénario référence'!$B$9+'Scénario référence'!$B$10)*A164*10/30+('Scénario référence'!$F$8+'Scénario référence'!$F$9)*10)</f>
        <v>10</v>
      </c>
      <c r="FB164" s="12" t="e">
        <f>VLOOKUP(A164,'Données projet'!$A$217:$I$237,2,0)</f>
        <v>#N/A</v>
      </c>
      <c r="FC164" s="12" t="e">
        <f>VLOOKUP(A164,'Données projet'!$A$217:$I$237,9,0)</f>
        <v>#N/A</v>
      </c>
      <c r="FD164" s="12">
        <f t="array" ref="FD164">INDEX(FC:FC,MIN(IF(ISNUMBER(FC164:FC360),ROW(FC164:FC360),"")))</f>
        <v>0</v>
      </c>
      <c r="FE164" s="12">
        <f>IF('Données projet'!$A$218&gt;35,FE163+FD164-FM163,IF(A164&lt;'Données projet'!$A$218,$FB$205^A164,IF(A164='Données projet'!$A$218,'Données projet'!$B$218,FE163+FD164-FM163)))</f>
        <v>418.99999999999983</v>
      </c>
      <c r="FF164" s="17">
        <f>FE164*VLOOKUP('Données projet'!$B$16,Paramètres!$A$1:$I$89,3,0)*VLOOKUP('Données projet'!$B$16,Paramètres!$A$1:$I$89,5,0)</f>
        <v>359.5019999999999</v>
      </c>
      <c r="FG164" s="13">
        <f t="shared" si="182"/>
        <v>83.516011055432813</v>
      </c>
      <c r="FH164" s="20">
        <f t="shared" si="183"/>
        <v>771.58970258821194</v>
      </c>
      <c r="FI164" s="59">
        <f t="shared" si="131"/>
        <v>1064.9230359215453</v>
      </c>
      <c r="FJ164" s="59">
        <f ca="1">AVERAGE(OFFSET($FI$3,0,0,'Données projet'!$E$16+1,1))-AVERAGE(OFFSET($H$3,0,0,'Données projet'!$E$16+1,1))</f>
        <v>383.97627237444709</v>
      </c>
      <c r="FK164" s="59">
        <f t="shared" si="156"/>
        <v>203.35476578922339</v>
      </c>
      <c r="FL164" s="15">
        <f>IF(ISNA(VLOOKUP(A164,'Données projet'!$A$217:$I$237,3,0)),0,VLOOKUP(A164,'Données projet'!$A$217:$I$237,3,0))</f>
        <v>0</v>
      </c>
      <c r="FM164" s="15">
        <f>IF(ISNA(VLOOKUP(A164,'Données projet'!$A$217:$I$237,4,0)),0,VLOOKUP(A164,'Données projet'!$A$217:$I$237,4,0))</f>
        <v>0</v>
      </c>
      <c r="FN164" s="16">
        <f>IF(ISNA(VLOOKUP(A164,'Données projet'!$A$217:$I$237,5,0)),0%,VLOOKUP(A164,'Données projet'!$A$217:$I$237,5,0)*VLOOKUP('Données projet'!$B$16,Paramètres!$A$1:$I$89,7,0))</f>
        <v>0</v>
      </c>
      <c r="FO164" s="16">
        <f>IF(ISNA(VLOOKUP(A164,'Données projet'!$A$217:$I$237,6,0)),0%,VLOOKUP(A164,'Données projet'!$A$217:$I$237,6,0)*VLOOKUP('Données projet'!$B$16,Paramètres!$A$1:$I$89,7,0))</f>
        <v>0</v>
      </c>
      <c r="FP164" s="16">
        <f>IF(ISNA(VLOOKUP(A164,'Données projet'!$A$217:$I$237,7,0)),0%,VLOOKUP(A164,'Données projet'!$A$217:$I$237,7,0))</f>
        <v>0</v>
      </c>
      <c r="FQ164" s="21">
        <f>EXP(-LN(2)/35)*FQ163+(1-EXP(-LN(2)/35))/(LN(2)/35)*FM164*FN164*VLOOKUP('Données projet'!$B$16,Paramètres!$A$1:$I$89,3,0)*0.475*44/12</f>
        <v>0.38487691583915856</v>
      </c>
      <c r="FR164" s="21">
        <f>EXP(-LN(2)/25)*FR163+(1-EXP(-LN(2)/25))/(LN(2)/25)*Calculateur!FM164*Calculateur!FO164*VLOOKUP('Données projet'!$B$16,Paramètres!$A$1:$I$89,3,0)*0.475*44/12</f>
        <v>0.155889948845401</v>
      </c>
      <c r="FS164" s="21">
        <f>EXP(-LN(2)/2)*FS163+(1-EXP(-LN(2)/2))/(LN(2)/2)*FM164*FP164*VLOOKUP('Données projet'!$B$16,Paramètres!$A$1:$I$89,3,0)*0.475*44/12</f>
        <v>3.190456152235705E-19</v>
      </c>
      <c r="FT164" s="22">
        <f t="shared" si="184"/>
        <v>0.54076686468455959</v>
      </c>
      <c r="FU164" s="75">
        <f>('Scénario référence'!$F$8+'Scénario référence'!$F$9+'Scénario référence'!$B$17+'Scénario référence'!$B$9+'Scénario référence'!$B$10)*70+IF((45+25*(1-EXP(-0.0175*A164)))&lt;70,'Scénario référence'!$B$16*(45+25*(1-EXP(-0.0175*A164))),70*'Scénario référence'!$B$16)+IF((32+38*(1-EXP(-0.0175*A164)))&lt;70,'Scénario référence'!$B$18*(32+38*(1-EXP(-0.0175*A164))),70*'Scénario référence'!$B$18)</f>
        <v>70</v>
      </c>
      <c r="FV164" s="12">
        <f>IF(A164&gt;30,10,('Scénario référence'!$B$16+'Scénario référence'!$B$17+'Scénario référence'!$B$18+'Scénario référence'!$B$9+'Scénario référence'!$B$10)*A164*10/30+('Scénario référence'!$F$8+'Scénario référence'!$F$9)*10)</f>
        <v>10</v>
      </c>
      <c r="FW164" s="12" t="e">
        <f>VLOOKUP(A164,'Données projet'!$A$243:$I$263,2,0)</f>
        <v>#N/A</v>
      </c>
      <c r="FX164" s="12" t="e">
        <f>VLOOKUP(A164,'Données projet'!$A$243:$I$263,9,0)</f>
        <v>#N/A</v>
      </c>
      <c r="FY164" s="12">
        <f t="array" ref="FY164">INDEX(FX:FX,MIN(IF(ISNUMBER(FX164:FX360),ROW(FX164:FX360),"")))</f>
        <v>0</v>
      </c>
      <c r="FZ164" s="12">
        <f>IF('Données projet'!$A$244&gt;35,FZ163+FY164-GH163,IF(A164&lt;'Données projet'!$A$244,$FW$205^A164,IF(A164='Données projet'!$A$244,'Données projet'!$B$244,FZ163+FY164-GH163)))</f>
        <v>4.5474735088646412E-13</v>
      </c>
      <c r="GA164" s="17">
        <f>FZ164*VLOOKUP('Données projet'!$B$17,Paramètres!$A$1:$I$89,3,0)*VLOOKUP('Données projet'!$B$17,Paramètres!$A$1:$I$89,5,0)</f>
        <v>4.8949004849418999E-13</v>
      </c>
      <c r="GB164" s="13">
        <f t="shared" si="185"/>
        <v>6.1123715499968684E-12</v>
      </c>
      <c r="GC164" s="20">
        <f t="shared" si="186"/>
        <v>1.1498242284038591E-11</v>
      </c>
      <c r="GD164" s="59">
        <f t="shared" si="134"/>
        <v>293.3333333333448</v>
      </c>
      <c r="GE164" s="59">
        <f ca="1">AVERAGE(OFFSET($GD$3,0,0,'Données projet'!$E$17+1,1))-AVERAGE(OFFSET($H$3,0,0,'Données projet'!$E$17+1,1))</f>
        <v>286.77702855541287</v>
      </c>
      <c r="GF164" s="59">
        <f t="shared" si="158"/>
        <v>227.12211541860779</v>
      </c>
      <c r="GG164" s="15">
        <f>IF(ISNA(VLOOKUP(A164,'Données projet'!$A$243:$I$263,3,0)),0,VLOOKUP(A164,'Données projet'!$A$243:$I$263,3,0))</f>
        <v>0</v>
      </c>
      <c r="GH164" s="15">
        <f>IF(ISNA(VLOOKUP(A164,'Données projet'!$A$243:$I$263,4,0)),0,VLOOKUP(A164,'Données projet'!$A$243:$I$263,4,0))</f>
        <v>0</v>
      </c>
      <c r="GI164" s="16">
        <f>IF(ISNA(VLOOKUP(A164,'Données projet'!$A$243:$I$263,5,0)),0%,VLOOKUP(A164,'Données projet'!$A$243:$I$263,5,0)*VLOOKUP('Données projet'!$B$17,Paramètres!$A$1:$I$89,7,0))</f>
        <v>0</v>
      </c>
      <c r="GJ164" s="16">
        <f>IF(ISNA(VLOOKUP(A164,'Données projet'!$A$243:$I$263,6,0)),0%,VLOOKUP(A164,'Données projet'!$A$243:$I$263,6,0)*VLOOKUP('Données projet'!$B$17,Paramètres!$A$1:$I$89,7,0))</f>
        <v>0</v>
      </c>
      <c r="GK164" s="16">
        <f>IF(ISNA(VLOOKUP(A164,'Données projet'!$A$243:$I$263,7,0)),0%,VLOOKUP(A164,'Données projet'!$A$243:$I$263,7,0))</f>
        <v>0</v>
      </c>
      <c r="GL164" s="21">
        <f>EXP(-LN(2)/35)*GL163+(1-EXP(-LN(2)/35))/(LN(2)/35)*GH164*GI164*VLOOKUP('Données projet'!$B$17,Paramètres!$A$1:$I$89,3,0)*0.475*44/12</f>
        <v>0</v>
      </c>
      <c r="GM164" s="21">
        <f>EXP(-LN(2)/25)*GM163+(1-EXP(-LN(2)/25))/(LN(2)/25)*Calculateur!GH164*Calculateur!GJ164*VLOOKUP('Données projet'!$B$17,Paramètres!$A$1:$I$89,3,0)*0.475*44/12</f>
        <v>0</v>
      </c>
      <c r="GN164" s="21">
        <f>EXP(-LN(2)/2)*GN163+(1-EXP(-LN(2)/2))/(LN(2)/2)*GH164*GK164*VLOOKUP('Données projet'!$B$17,Paramètres!$A$1:$I$89,3,0)*0.475*44/12</f>
        <v>0</v>
      </c>
      <c r="GO164" s="21">
        <f t="shared" si="187"/>
        <v>0</v>
      </c>
      <c r="GP164" s="75">
        <f>('Scénario référence'!$F$8+'Scénario référence'!$F$9+'Scénario référence'!$B$17+'Scénario référence'!$B$9+'Scénario référence'!$B$10)*70+IF((45+25*(1-EXP(-0.0175*A164)))&lt;70,'Scénario référence'!$B$16*(45+25*(1-EXP(-0.0175*A164))),70*'Scénario référence'!$B$16)+IF((32+38*(1-EXP(-0.0175*A164)))&lt;70,'Scénario référence'!$B$18*(32+38*(1-EXP(-0.0175*A164))),70*'Scénario référence'!$B$18)</f>
        <v>70</v>
      </c>
      <c r="GQ164" s="12">
        <f>IF(A164&gt;30,10,('Scénario référence'!$B$16+'Scénario référence'!$B$17+'Scénario référence'!$B$18+'Scénario référence'!$B$9+'Scénario référence'!$B$10)*A164*10/30+('Scénario référence'!$F$8+'Scénario référence'!$F$9)*10)</f>
        <v>10</v>
      </c>
      <c r="GR164" s="12" t="e">
        <f>VLOOKUP(A164,'Données projet'!$A$269:$I$289,2,0)</f>
        <v>#N/A</v>
      </c>
      <c r="GS164" s="12" t="e">
        <f>VLOOKUP(A164,'Données projet'!$A$269:$I$289,9,0)</f>
        <v>#N/A</v>
      </c>
      <c r="GT164" s="12">
        <f t="array" ref="GT164">INDEX(GS:GS,MIN(IF(ISNUMBER(GS164:GS360),ROW(GS164:GS360),"")))</f>
        <v>0</v>
      </c>
      <c r="GU164" s="12">
        <f>IF('Données projet'!$A$270&gt;35,GU163+GT164-HC163,IF(A164&lt;'Données projet'!$A$270,$GR$205^A164,IF(A164='Données projet'!$A$270,'Données projet'!$B$270,GU163+GT164-HC163)))</f>
        <v>4.5474735088646412E-13</v>
      </c>
      <c r="GV164" s="17">
        <f>GU164*VLOOKUP('Données projet'!$B$18,Paramètres!$A$1:$I$89,3,0)*VLOOKUP('Données projet'!$B$18,Paramètres!$A$1:$I$89,5,0)</f>
        <v>4.8949004849418999E-13</v>
      </c>
      <c r="GW164" s="13">
        <f t="shared" si="188"/>
        <v>6.1123715499968684E-12</v>
      </c>
      <c r="GX164" s="20">
        <f t="shared" si="189"/>
        <v>1.1498242284038591E-11</v>
      </c>
      <c r="GY164" s="59">
        <f t="shared" si="137"/>
        <v>293.3333333333448</v>
      </c>
      <c r="GZ164" s="59">
        <f ca="1">AVERAGE(OFFSET($GY$3,0,0,'Données projet'!$E$18+1,1))-AVERAGE(OFFSET($H$3,0,0,'Données projet'!$E$18+1,1))</f>
        <v>286.77702855541287</v>
      </c>
      <c r="HA164" s="59">
        <f t="shared" si="160"/>
        <v>227.12211541860779</v>
      </c>
      <c r="HB164" s="15">
        <f>IF(ISNA(VLOOKUP(A164,'Données projet'!$A$269:$I$289,3,0)),0,VLOOKUP(A164,'Données projet'!$A$269:$I$289,3,0))</f>
        <v>0</v>
      </c>
      <c r="HC164" s="15">
        <f>IF(ISNA(VLOOKUP(A164,'Données projet'!$A$269:$I$289,4,0)),0,VLOOKUP(A164,'Données projet'!$A$269:$I$289,4,0))</f>
        <v>0</v>
      </c>
      <c r="HD164" s="16">
        <f>IF(ISNA(VLOOKUP(A164,'Données projet'!$A$269:$I$289,5,0)),0%,VLOOKUP(A164,'Données projet'!$A$269:$I$289,5,0)*VLOOKUP('Données projet'!$B$18,Paramètres!$A$1:$I$89,7,0))</f>
        <v>0</v>
      </c>
      <c r="HE164" s="16">
        <f>IF(ISNA(VLOOKUP(A164,'Données projet'!$A$269:$I$289,6,0)),0%,VLOOKUP(A164,'Données projet'!$A$269:$I$289,6,0)*VLOOKUP('Données projet'!$B$18,Paramètres!$A$1:$I$89,7,0))</f>
        <v>0</v>
      </c>
      <c r="HF164" s="16">
        <f>IF(ISNA(VLOOKUP(A164,'Données projet'!$A$269:$I$289,7,0)),0%,VLOOKUP(A164,'Données projet'!$A$269:$I$289,7,0))</f>
        <v>0</v>
      </c>
      <c r="HG164" s="21">
        <f>EXP(-LN(2)/35)*HG163+(1-EXP(-LN(2)/35))/(LN(2)/35)*HC164*HD164*VLOOKUP('Données projet'!$B$18,Paramètres!$A$1:$I$89,3,0)*0.475*44/12</f>
        <v>0</v>
      </c>
      <c r="HH164" s="21">
        <f>EXP(-LN(2)/25)*HH163+(1-EXP(-LN(2)/25))/(LN(2)/25)*Calculateur!HC164*Calculateur!HE164*VLOOKUP('Données projet'!$B$18,Paramètres!$A$1:$I$89,3,0)*0.475*44/12</f>
        <v>0</v>
      </c>
      <c r="HI164" s="21">
        <f>EXP(-LN(2)/2)*HI163+(1-EXP(-LN(2)/2))/(LN(2)/2)*HC164*HF164*VLOOKUP('Données projet'!$B$18,Paramètres!$A$1:$I$89,3,0)*0.475*44/12</f>
        <v>0</v>
      </c>
      <c r="HJ164" s="22">
        <f t="shared" si="190"/>
        <v>0</v>
      </c>
    </row>
    <row r="165" spans="1:218" x14ac:dyDescent="0.25">
      <c r="A165" s="10">
        <f t="shared" si="161"/>
        <v>162</v>
      </c>
      <c r="B165" s="73">
        <f>'Scénario référence'!$B$16*5+'Scénario référence'!$B$17*0+'Scénario référence'!$B$18*5</f>
        <v>0</v>
      </c>
      <c r="C165" s="19">
        <f>Calculateur!C164+'Scénario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144.05040000000002</v>
      </c>
      <c r="D165" s="11">
        <f t="shared" si="140"/>
        <v>37.223349436444416</v>
      </c>
      <c r="E16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65" s="11">
        <f>IF(OR('Scénario référence'!$F$8&gt;0,'Scénario référence'!$F$9&gt;0),('Scénario référence'!$F$8+'Scénario référence'!$F$9)*10,0)</f>
        <v>10</v>
      </c>
      <c r="G165" s="11">
        <f>'Scénario référence'!$B$8*B165*44/12+'Scénario référence'!$B$9*(C165+D165)/0.475*44/12+'Scénario référence'!$B$10*(C165+D165)/0.475*44/12+'Scénario référence'!$F$8*(C165+D165)/0.475*44/12+'Scénario référence'!$F$9*(C165+D165)/0.475*44/12</f>
        <v>1399.3061360006238</v>
      </c>
      <c r="H165" s="67">
        <f t="shared" si="110"/>
        <v>609.05178026847398</v>
      </c>
      <c r="I165" s="70">
        <f>('Scénario référence'!$F$8+'Scénario référence'!$F$9+'Scénario référence'!$B$17+'Scénario référence'!$B$9+'Scénario référence'!$B$10)*70+IF((45+25*(1-EXP(-0.0175*A165)))&lt;70,'Scénario référence'!$B$16*(45+25*(1-EXP(-0.0175*A165))),70*'Scénario référence'!$B$16)+IF((32+38*(1-EXP(-0.0175*A165)))&lt;70,'Scénario référence'!$B$18*(32+38*(1-EXP(-0.0175*A165))),70*'Scénario référence'!$B$18)</f>
        <v>70</v>
      </c>
      <c r="J165" s="13">
        <f>IF(A165&gt;30,10,('Scénario référence'!$B$16+'Scénario référence'!$B$17+'Scénario référence'!$B$18+'Scénario référence'!$B$9+'Scénario référence'!$B$10)*A165*10/30+('Scénario référence'!$F$8+'Scénario référence'!$F$9)*10)</f>
        <v>10</v>
      </c>
      <c r="K165" s="12" t="e">
        <f>VLOOKUP(A165,'Données projet'!$A$35:$I$55,2,0)</f>
        <v>#N/A</v>
      </c>
      <c r="L165" s="12" t="e">
        <f>VLOOKUP(A165,'Données projet'!$A$35:$I$55,9,0)</f>
        <v>#N/A</v>
      </c>
      <c r="M165" s="12">
        <f t="array" ref="M165">INDEX(L:L,MIN(IF(ISNUMBER(L165:L361),ROW(L165:L361),"")))</f>
        <v>0</v>
      </c>
      <c r="N165" s="13">
        <f>IF('Données projet'!$A$36&gt;35,N164+M165-V164,IF(A165&lt;'Données projet'!$A$36,$K$205^A165,IF(A165='Données projet'!$A$36,'Données projet'!$B$36,N164+M165-V164)))</f>
        <v>-2.2737367544323206E-13</v>
      </c>
      <c r="O165" s="13">
        <f>N165*VLOOKUP('Données projet'!$B$9,Paramètres!$A$1:$I$89,3,0)*VLOOKUP('Données projet'!$B$9,Paramètres!$A$1:$I$89,5,0)</f>
        <v>-1.2710188457276673E-13</v>
      </c>
      <c r="P165" s="13" t="e">
        <f t="shared" si="141"/>
        <v>#NUM!</v>
      </c>
      <c r="Q165" s="20" t="e">
        <f t="shared" si="162"/>
        <v>#NUM!</v>
      </c>
      <c r="R165" s="59" t="e">
        <f t="shared" si="109"/>
        <v>#NUM!</v>
      </c>
      <c r="S165" s="59">
        <f ca="1">AVERAGE(OFFSET($R$3,0,0,'Données projet'!$E$9+1,1))-AVERAGE(OFFSET($H$3,0,0,'Données projet'!$E$9+1,1))</f>
        <v>255.5374979188561</v>
      </c>
      <c r="T165" s="59">
        <f t="shared" si="142"/>
        <v>343.10418468620901</v>
      </c>
      <c r="U165" s="15">
        <f>IF(ISNA(VLOOKUP(A165,'Données projet'!$A$35:$I$55,3,0)),0,VLOOKUP(A165,'Données projet'!$A$35:$I$55,3,0))</f>
        <v>0</v>
      </c>
      <c r="V165" s="15">
        <f>IF(ISNA(VLOOKUP(A165,'Données projet'!$A$35:$I$55,4,0)),0,VLOOKUP(A165,'Données projet'!$A$35:$I$55,4,0))</f>
        <v>0</v>
      </c>
      <c r="W165" s="16">
        <f>IF(ISNA(VLOOKUP(A165,'Données projet'!$A$35:$I$55,5,0)),0%,VLOOKUP(A165,'Données projet'!$A$35:$I$55,5,0)*VLOOKUP('Données projet'!$B$9,Paramètres!$A$1:$I$89,7,0))</f>
        <v>0</v>
      </c>
      <c r="X165" s="16">
        <f>IF(ISNA(VLOOKUP(A165,'Données projet'!$A$35:$I$55,6,0)),0%,VLOOKUP(A165,'Données projet'!$A$35:$I$55,6,0)*VLOOKUP('Données projet'!$B$9,Paramètres!$A$1:$I$89,7,0))</f>
        <v>0</v>
      </c>
      <c r="Y165" s="16">
        <f>IF(ISNA(VLOOKUP(A165,'Données projet'!$A$35:$I$55,7,0)),0%,VLOOKUP(A165,'Données projet'!$A$35:$I$55,7,0))</f>
        <v>0</v>
      </c>
      <c r="Z165" s="21">
        <f>EXP(-LN(2)/35)*Z164+(1-EXP(-LN(2)/35))/(LN(2)/35)*V165*W165*VLOOKUP('Données projet'!$B$9,Paramètres!$A$1:$I$89,3,0)*0.475*44/12</f>
        <v>0.22628256542108874</v>
      </c>
      <c r="AA165" s="21">
        <f>EXP(-LN(2)/25)*AA164+(1-EXP(-LN(2)/25))/(LN(2)/25)*Calculateur!V165*Calculateur!X165*VLOOKUP('Données projet'!$B$9,Paramètres!$A$1:$I$89,3,0)*0.475*44/12</f>
        <v>0.41077268915473536</v>
      </c>
      <c r="AB165" s="21">
        <f>EXP(-LN(2)/2)*AB164+(1-EXP(-LN(2)/2))/(LN(2)/2)*V165*Y165*VLOOKUP('Données projet'!$B$9,Paramètres!$A$1:$I$89,3,0)*0.475*44/12</f>
        <v>2.2939713272577563E-20</v>
      </c>
      <c r="AC165" s="22">
        <f t="shared" si="163"/>
        <v>0.63705525457582413</v>
      </c>
      <c r="AD165" s="13">
        <f>('Scénario référence'!$F$8+'Scénario référence'!$F$9+'Scénario référence'!$B$17+'Scénario référence'!$B$9+'Scénario référence'!$B$10)*70+IF((45+25*(1-EXP(-0.0175*A165)))&lt;70,'Scénario référence'!$B$16*(45+25*(1-EXP(-0.0175*A165))),70*'Scénario référence'!$B$16)+IF((32+38*(1-EXP(-0.0175*A165)))&lt;70,'Scénario référence'!$B$18*(32+38*(1-EXP(-0.0175*A165))),70*'Scénario référence'!$B$18)</f>
        <v>70</v>
      </c>
      <c r="AE165" s="13">
        <f>IF(A165&gt;30,10,('Scénario référence'!$B$16+'Scénario référence'!$B$17+'Scénario référence'!$B$18+'Scénario référence'!$B$9+'Scénario référence'!$B$10)*A165*10/30+('Scénario référence'!$F$8+'Scénario référence'!$F$9)*10)</f>
        <v>10</v>
      </c>
      <c r="AF165" s="12" t="e">
        <f>VLOOKUP(A165,'Données projet'!$A$61:$I$81,2,0)</f>
        <v>#N/A</v>
      </c>
      <c r="AG165" s="12" t="e">
        <f>VLOOKUP(A165,'Données projet'!$A$61:$I$81,9,0)</f>
        <v>#N/A</v>
      </c>
      <c r="AH165" s="12">
        <f t="array" ref="AH165">INDEX(AG:AG,MIN(IF(ISNUMBER(AG165:AG361),ROW(AG165:AG361),"")))</f>
        <v>0</v>
      </c>
      <c r="AI165" s="13">
        <f>IF('Données projet'!$A$62&gt;35,AI164+AH165-AQ164,IF(A165&lt;'Données projet'!$A$62,$AF$205^A165,IF(A165='Données projet'!$A$62,'Données projet'!$B$62,AI164+AH165-AQ164)))</f>
        <v>0</v>
      </c>
      <c r="AJ165" s="13">
        <f>AI165*VLOOKUP('Données projet'!$B$10,Paramètres!$A$1:$I$89,3,0)*VLOOKUP('Données projet'!$B$10,Paramètres!$A$1:$I$89,5,0)</f>
        <v>0</v>
      </c>
      <c r="AK165" s="13" t="e">
        <f t="shared" si="164"/>
        <v>#NUM!</v>
      </c>
      <c r="AL165" s="20" t="e">
        <f t="shared" si="165"/>
        <v>#NUM!</v>
      </c>
      <c r="AM165" s="59" t="e">
        <f t="shared" si="113"/>
        <v>#NUM!</v>
      </c>
      <c r="AN165" s="59">
        <f ca="1">AVERAGE(OFFSET($AM$3,0,0,'Données projet'!$E$10+1,1))-AVERAGE(OFFSET($H$3,0,0,'Données projet'!$E$10+1,1))</f>
        <v>261.78489480911571</v>
      </c>
      <c r="AO165" s="59">
        <f t="shared" si="144"/>
        <v>297.50513563712764</v>
      </c>
      <c r="AP165" s="15">
        <f>IF(ISNA(VLOOKUP(A165,'Données projet'!$A$61:$I$81,3,0)),0,VLOOKUP(A165,'Données projet'!$A$61:$I$81,3,0))</f>
        <v>0</v>
      </c>
      <c r="AQ165" s="15">
        <f>IF(ISNA(VLOOKUP(A165,'Données projet'!$A$61:$I$81,4,0)),0,VLOOKUP(A165,'Données projet'!$A$61:$I$81,4,0))</f>
        <v>0</v>
      </c>
      <c r="AR165" s="16">
        <f>IF(ISNA(VLOOKUP(A165,'Données projet'!$A$61:$I$81,5,0)),0%,VLOOKUP(A165,'Données projet'!$A$61:$I$81,5,0)*VLOOKUP('Données projet'!$B$10,Paramètres!$A$1:$I$89,7,0))</f>
        <v>0</v>
      </c>
      <c r="AS165" s="16">
        <f>IF(ISNA(VLOOKUP(A165,'Données projet'!$A$61:$I$81,6,0)),0%,VLOOKUP(A165,'Données projet'!$A$61:$I$81,6,0)*VLOOKUP('Données projet'!$B$10,Paramètres!$A$1:$I$89,7,0))</f>
        <v>0</v>
      </c>
      <c r="AT165" s="16">
        <f>IF(ISNA(VLOOKUP(A165,'Données projet'!$A$61:$I$81,7,0)),0%,VLOOKUP(A165,'Données projet'!$A$61:$I$81,7,0))</f>
        <v>0</v>
      </c>
      <c r="AU165" s="21">
        <f>EXP(-LN(2)/35)*AU164+(1-EXP(-LN(2)/35))/(LN(2)/35)*AQ165*AR165*VLOOKUP('Données projet'!$B$10,Paramètres!$A$1:$I$89,3,0)*0.475*44/12</f>
        <v>0.61102693035358291</v>
      </c>
      <c r="AV165" s="21">
        <f>EXP(-LN(2)/25)*AV164+(1-EXP(-LN(2)/25))/(LN(2)/25)*Calculateur!AQ165*Calculateur!AS165*VLOOKUP('Données projet'!$B$10,Paramètres!$A$1:$I$89,3,0)*0.475*44/12</f>
        <v>0.71729289682111952</v>
      </c>
      <c r="AW165" s="21">
        <f>EXP(-LN(2)/2)*AW164+(1-EXP(-LN(2)/2))/(LN(2)/2)*AQ165*AT165*VLOOKUP('Données projet'!$B$10,Paramètres!$A$1:$I$89,3,0)*0.475*44/12</f>
        <v>3.306978055234237E-19</v>
      </c>
      <c r="AX165" s="21">
        <f t="shared" si="166"/>
        <v>1.3283198271747025</v>
      </c>
      <c r="AY165" s="74">
        <f>('Scénario référence'!$F$8+'Scénario référence'!$F$9+'Scénario référence'!$B$17+'Scénario référence'!$B$9+'Scénario référence'!$B$10)*70+IF((45+25*(1-EXP(-0.0175*A165)))&lt;70,'Scénario référence'!$B$16*(45+25*(1-EXP(-0.0175*A165))),70*'Scénario référence'!$B$16)+IF((32+38*(1-EXP(-0.0175*A165)))&lt;70,'Scénario référence'!$B$18*(32+38*(1-EXP(-0.0175*A165))),70*'Scénario référence'!$B$18)</f>
        <v>70</v>
      </c>
      <c r="AZ165" s="12">
        <f>IF(A165&gt;30,10,('Scénario référence'!$B$16+'Scénario référence'!$B$17+'Scénario référence'!$B$18+'Scénario référence'!$B$9+'Scénario référence'!$B$10)*A165*10/30+('Scénario référence'!$F$8+'Scénario référence'!$F$9)*10)</f>
        <v>10</v>
      </c>
      <c r="BA165" s="12" t="e">
        <f>VLOOKUP(A165,'Données projet'!$A$87:$I$107,2,0)</f>
        <v>#N/A</v>
      </c>
      <c r="BB165" s="12" t="e">
        <f>VLOOKUP(A165,'Données projet'!$A$87:$I$107,9,0)</f>
        <v>#N/A</v>
      </c>
      <c r="BC165" s="12">
        <f t="array" ref="BC165">INDEX(BB:BB,MIN(IF(ISNUMBER(BB165:BB361),ROW(BB165:BB361),"")))</f>
        <v>0</v>
      </c>
      <c r="BD165" s="12">
        <f>IF('Données projet'!$A$88&gt;35,BD164+BC165-BL164,IF(A165&lt;'Données projet'!$A$88,$BA$205^A165,IF(A165='Données projet'!$A$88,'Données projet'!$B$88,BD164+BC165-BL164)))</f>
        <v>553.99999999999955</v>
      </c>
      <c r="BE165" s="13">
        <f>BD165*VLOOKUP('Données projet'!$B$11,Paramètres!$A$1:$I$89,3,0)*VLOOKUP('Données projet'!$B$11,Paramètres!$A$1:$I$89,5,0)</f>
        <v>331.29199999999975</v>
      </c>
      <c r="BF165" s="13">
        <f t="shared" si="167"/>
        <v>77.698110787752</v>
      </c>
      <c r="BG165" s="20">
        <f t="shared" si="168"/>
        <v>712.32444295533423</v>
      </c>
      <c r="BH165" s="59">
        <f t="shared" si="116"/>
        <v>1005.6577762886675</v>
      </c>
      <c r="BI165" s="59">
        <f ca="1">AVERAGE(OFFSET($BH$3,0,0,'Données projet'!$E$11+1,1))-AVERAGE(OFFSET($H$3,0,0,'Données projet'!$E$11+1,1))</f>
        <v>316.58509520829671</v>
      </c>
      <c r="BJ165" s="59">
        <f t="shared" si="146"/>
        <v>240.71332110643596</v>
      </c>
      <c r="BK165" s="15">
        <f>IF(ISNA(VLOOKUP(A165,'Données projet'!$A$87:$I$107,3,0)),0,VLOOKUP(A165,'Données projet'!$A$87:$I$107,3,0))</f>
        <v>0</v>
      </c>
      <c r="BL165" s="15">
        <f>IF(ISNA(VLOOKUP(A165,'Données projet'!$A$87:$I$107,4,0)),0,VLOOKUP(A165,'Données projet'!$A$87:$I$107,4,0))</f>
        <v>0</v>
      </c>
      <c r="BM165" s="16">
        <f>IF(ISNA(VLOOKUP(A165,'Données projet'!$A$87:$I$107,5,0)),0%,VLOOKUP(A165,'Données projet'!$A$87:$I$107,5,0)*VLOOKUP('Données projet'!$B$11,Paramètres!$A$1:$I$89,7,0))</f>
        <v>0</v>
      </c>
      <c r="BN165" s="16">
        <f>IF(ISNA(VLOOKUP(A165,'Données projet'!$A$87:$I$107,6,0)),0%,VLOOKUP(A165,'Données projet'!$A$87:$I$107,6,0)*VLOOKUP('Données projet'!$B$11,Paramètres!$A$1:$I$89,7,0))</f>
        <v>0</v>
      </c>
      <c r="BO165" s="16">
        <f>IF(ISNA(VLOOKUP(A165,'Données projet'!$A$87:$I$107,7,0)),0%,VLOOKUP(A165,'Données projet'!$A$87:$I$107,7,0))</f>
        <v>0</v>
      </c>
      <c r="BP165" s="21">
        <f>EXP(-LN(2)/35)*BP164+(1-EXP(-LN(2)/35))/(LN(2)/35)*BL165*BM165*VLOOKUP('Données projet'!$B$11,Paramètres!$A$1:$I$89,3,0)*0.475*44/12</f>
        <v>0.18560397642622803</v>
      </c>
      <c r="BQ165" s="21">
        <f>EXP(-LN(2)/25)*BQ164+(1-EXP(-LN(2)/25))/(LN(2)/25)*Calculateur!BL165*Calculateur!BN165*VLOOKUP('Données projet'!$B$11,Paramètres!$A$1:$I$89,3,0)*0.475*44/12</f>
        <v>0.39295397810568894</v>
      </c>
      <c r="BR165" s="21">
        <f>EXP(-LN(2)/2)*BR164+(1-EXP(-LN(2)/2))/(LN(2)/2)*BL165*BO165*VLOOKUP('Données projet'!$B$11,Paramètres!$A$1:$I$89,3,0)*0.475*44/12</f>
        <v>2.9733354274439494E-19</v>
      </c>
      <c r="BS165" s="22">
        <f t="shared" si="169"/>
        <v>0.57855795453191694</v>
      </c>
      <c r="BT165" s="75">
        <f>('Scénario référence'!$F$8+'Scénario référence'!$F$9+'Scénario référence'!$B$17+'Scénario référence'!$B$9+'Scénario référence'!$B$10)*70+IF((45+25*(1-EXP(-0.0175*A165)))&lt;70,'Scénario référence'!$B$16*(45+25*(1-EXP(-0.0175*A165))),70*'Scénario référence'!$B$16)+IF((32+38*(1-EXP(-0.0175*A165)))&lt;70,'Scénario référence'!$B$18*(32+38*(1-EXP(-0.0175*A165))),70*'Scénario référence'!$B$18)</f>
        <v>70</v>
      </c>
      <c r="BU165" s="12">
        <f>IF(A165&gt;30,10,('Scénario référence'!$B$16+'Scénario référence'!$B$17+'Scénario référence'!$B$18+'Scénario référence'!$B$9+'Scénario référence'!$B$10)*A165*10/30+('Scénario référence'!$F$8+'Scénario référence'!$F$9)*10)</f>
        <v>10</v>
      </c>
      <c r="BV165" s="12" t="e">
        <f>VLOOKUP(A165,'Données projet'!$A$113:$I$133,2,0)</f>
        <v>#N/A</v>
      </c>
      <c r="BW165" s="12" t="e">
        <f>VLOOKUP(A165,'Données projet'!$A$113:$I$133,9,0)</f>
        <v>#N/A</v>
      </c>
      <c r="BX165" s="12">
        <f t="array" ref="BX165">INDEX(BW:BW,MIN(IF(ISNUMBER(BW165:BW361),ROW(BW165:BW361),"")))</f>
        <v>0</v>
      </c>
      <c r="BY165" s="12">
        <f>IF('Données projet'!$A$114&gt;35,BY164+BX165-CG164,IF(A165&lt;'Données projet'!$A$114,$BV$205^A165,IF(A165='Données projet'!$A$114,'Données projet'!$B$114,BY164+BX165-CG164)))</f>
        <v>333.99999999999977</v>
      </c>
      <c r="BZ165" s="13">
        <f>BY165*VLOOKUP('Données projet'!$B$12,Paramètres!$A$1:$I$89,3,0)*VLOOKUP('Données projet'!$B$12,Paramètres!$A$1:$I$89,5,0)</f>
        <v>191.04799999999986</v>
      </c>
      <c r="CA165" s="13">
        <f t="shared" si="170"/>
        <v>47.771576544305155</v>
      </c>
      <c r="CB165" s="20">
        <f t="shared" si="171"/>
        <v>415.94409581466454</v>
      </c>
      <c r="CC165" s="59">
        <f t="shared" si="119"/>
        <v>709.27742914799785</v>
      </c>
      <c r="CD165" s="59">
        <f ca="1">AVERAGE(OFFSET($CC$3,0,0,'Données projet'!$E$12+1,1))-AVERAGE(OFFSET($H$3,0,0,'Données projet'!$E$12+1,1))</f>
        <v>188.64374818906128</v>
      </c>
      <c r="CE165" s="59">
        <f t="shared" si="148"/>
        <v>211.95157880548652</v>
      </c>
      <c r="CF165" s="15">
        <f>IF(ISNA(VLOOKUP(A165,'Données projet'!$A$113:$I$133,3,0)),0,VLOOKUP(A165,'Données projet'!$A$113:$I$133,3,0))</f>
        <v>0</v>
      </c>
      <c r="CG165" s="15">
        <f>IF(ISNA(VLOOKUP(A165,'Données projet'!$A$113:$I$133,4,0)),0,VLOOKUP(A165,'Données projet'!$A$113:$I$133,4,0))</f>
        <v>0</v>
      </c>
      <c r="CH165" s="16">
        <f>IF(ISNA(VLOOKUP(A165,'Données projet'!$A$113:$I$133,5,0)),0%,VLOOKUP(A165,'Données projet'!$A$113:$I$133,5,0)*VLOOKUP('Données projet'!$B$12,Paramètres!$A$1:$I$89,7,0))</f>
        <v>0</v>
      </c>
      <c r="CI165" s="16">
        <f>IF(ISNA(VLOOKUP(A165,'Données projet'!$A$113:$I$133,6,0)),0%,VLOOKUP(A165,'Données projet'!$A$113:$I$133,6,0)*VLOOKUP('Données projet'!$B$12,Paramètres!$A$1:$I$89,7,0))</f>
        <v>0</v>
      </c>
      <c r="CJ165" s="16">
        <f>IF(ISNA(VLOOKUP(A165,'Données projet'!$A$113:$I$133,7,0)),0%,VLOOKUP(A165,'Données projet'!$A$113:$I$133,7,0))</f>
        <v>0</v>
      </c>
      <c r="CK165" s="21">
        <f>EXP(-LN(2)/35)*CK164+(1-EXP(-LN(2)/35))/(LN(2)/35)*CG165*CH165*VLOOKUP('Données projet'!$B$12,Paramètres!$A$1:$I$89,3,0)*0.475*44/12</f>
        <v>0.18003472055060921</v>
      </c>
      <c r="CL165" s="21">
        <f>EXP(-LN(2)/25)*CL164+(1-EXP(-LN(2)/25))/(LN(2)/25)*Calculateur!CG165*Calculateur!CI165*VLOOKUP('Données projet'!$B$12,Paramètres!$A$1:$I$89,3,0)*0.475*44/12</f>
        <v>0.36985718136380891</v>
      </c>
      <c r="CM165" s="21">
        <f>EXP(-LN(2)/2)*CM164+(1-EXP(-LN(2)/2))/(LN(2)/2)*CG165*CJ165*VLOOKUP('Données projet'!$B$12,Paramètres!$A$1:$I$89,3,0)*0.475*44/12</f>
        <v>2.879442724260618E-19</v>
      </c>
      <c r="CN165" s="22">
        <f t="shared" si="172"/>
        <v>0.54989190191441817</v>
      </c>
      <c r="CO165" s="75">
        <f>('Scénario référence'!$F$8+'Scénario référence'!$F$9+'Scénario référence'!$B$17+'Scénario référence'!$B$9+'Scénario référence'!$B$10)*70+IF((45+25*(1-EXP(-0.0175*A165)))&lt;70,'Scénario référence'!$B$16*(45+25*(1-EXP(-0.0175*A165))),70*'Scénario référence'!$B$16)+IF((32+38*(1-EXP(-0.0175*A165)))&lt;70,'Scénario référence'!$B$18*(32+38*(1-EXP(-0.0175*A165))),70*'Scénario référence'!$B$18)</f>
        <v>70</v>
      </c>
      <c r="CP165" s="12">
        <f>IF(A165&gt;30,10,('Scénario référence'!$B$16+'Scénario référence'!$B$17+'Scénario référence'!$B$18+'Scénario référence'!$B$9+'Scénario référence'!$B$10)*A165*10/30+('Scénario référence'!$F$8+'Scénario référence'!$F$9)*10)</f>
        <v>10</v>
      </c>
      <c r="CQ165" s="12" t="e">
        <f>VLOOKUP(A165,'Données projet'!$A$139:$I$159,2,0)</f>
        <v>#N/A</v>
      </c>
      <c r="CR165" s="12" t="e">
        <f>VLOOKUP(A165,'Données projet'!$A$139:$I$159,9,0)</f>
        <v>#N/A</v>
      </c>
      <c r="CS165" s="12">
        <f t="array" ref="CS165">INDEX(CR:CR,MIN(IF(ISNUMBER(CR165:CR361),ROW(CR165:CR361),"")))</f>
        <v>0</v>
      </c>
      <c r="CT165" s="12">
        <f>IF('Données projet'!$A$140&gt;35,CT164+CS165-DB164,IF(A165&lt;'Données projet'!$A$140,$CQ$205^A165,IF(A165='Données projet'!$A$140,'Données projet'!$B$140,CT164+CS165-DB164)))</f>
        <v>0</v>
      </c>
      <c r="CU165" s="17" t="e">
        <f>CT165*VLOOKUP('Données projet'!$B$13,Paramètres!$A$1:$I$89,3,0)*VLOOKUP('Données projet'!$B$13,Paramètres!$A$1:$I$89,5,0)</f>
        <v>#N/A</v>
      </c>
      <c r="CV165" s="13" t="e">
        <f t="shared" si="173"/>
        <v>#N/A</v>
      </c>
      <c r="CW165" s="20" t="e">
        <f t="shared" si="174"/>
        <v>#N/A</v>
      </c>
      <c r="CX165" s="59" t="e">
        <f t="shared" si="122"/>
        <v>#N/A</v>
      </c>
      <c r="CY165" s="59" t="e">
        <f ca="1">AVERAGE(OFFSET($CX$3,0,0,'Données projet'!$E$13+1,1))-AVERAGE(OFFSET($H$3,0,0,'Données projet'!$E$13+1,1))</f>
        <v>#N/A</v>
      </c>
      <c r="CZ165" s="59" t="e">
        <f t="shared" si="150"/>
        <v>#N/A</v>
      </c>
      <c r="DA165" s="15">
        <f>IF(ISNA(VLOOKUP(A165,'Données projet'!$A$139:$I$159,3,0)),0,VLOOKUP(A165,'Données projet'!$A$139:$I$159,3,0))</f>
        <v>0</v>
      </c>
      <c r="DB165" s="15">
        <f>IF(ISNA(VLOOKUP(A165,'Données projet'!$A$139:$I$159,4,0)),0,VLOOKUP(A165,'Données projet'!$A$139:$I$159,4,0))</f>
        <v>0</v>
      </c>
      <c r="DC165" s="16">
        <f>IF(ISNA(VLOOKUP(A165,'Données projet'!$A$139:$I$159,5,0)),0%,VLOOKUP(A165,'Données projet'!$A$139:$I$159,5,0)*VLOOKUP('Données projet'!$B$13,Paramètres!$A$1:$I$89,7,0))</f>
        <v>0</v>
      </c>
      <c r="DD165" s="16">
        <f>IF(ISNA(VLOOKUP(A165,'Données projet'!$A$139:$I$159,6,0)),0%,VLOOKUP(A165,'Données projet'!$A$139:$I$159,6,0)*VLOOKUP('Données projet'!$B$13,Paramètres!$A$1:$I$89,7,0))</f>
        <v>0</v>
      </c>
      <c r="DE165" s="16">
        <f>IF(ISNA(VLOOKUP(A165,'Données projet'!$A$139:$I$159,7,0)),0%,VLOOKUP(A165,'Données projet'!$A$139:$I$159,7,0))</f>
        <v>0</v>
      </c>
      <c r="DF165" s="21" t="e">
        <f>EXP(-LN(2)/35)*DF164+(1-EXP(-LN(2)/35))/(LN(2)/35)*DB165*DC165*VLOOKUP('Données projet'!$B$13,Paramètres!$A$1:$I$89,3,0)*0.475*44/12</f>
        <v>#N/A</v>
      </c>
      <c r="DG165" s="21" t="e">
        <f>EXP(-LN(2)/25)*DG164+(1-EXP(-LN(2)/25))/(LN(2)/25)*Calculateur!DB165*Calculateur!DD165*VLOOKUP('Données projet'!$B$13,Paramètres!$A$1:$I$89,3,0)*0.475*44/12</f>
        <v>#N/A</v>
      </c>
      <c r="DH165" s="21" t="e">
        <f>EXP(-LN(2)/2)*DH164+(1-EXP(-LN(2)/2))/(LN(2)/2)*DB165*DE165*VLOOKUP('Données projet'!$B$13,Paramètres!$A$1:$I$89,3,0)*0.475*44/12</f>
        <v>#N/A</v>
      </c>
      <c r="DI165" s="22" t="e">
        <f t="shared" si="175"/>
        <v>#N/A</v>
      </c>
      <c r="DJ165" s="75">
        <f>('Scénario référence'!$F$8+'Scénario référence'!$F$9+'Scénario référence'!$B$17+'Scénario référence'!$B$9+'Scénario référence'!$B$10)*70+IF((45+25*(1-EXP(-0.0175*A165)))&lt;70,'Scénario référence'!$B$16*(45+25*(1-EXP(-0.0175*A165))),70*'Scénario référence'!$B$16)+IF((32+38*(1-EXP(-0.0175*A165)))&lt;70,'Scénario référence'!$B$18*(32+38*(1-EXP(-0.0175*A165))),70*'Scénario référence'!$B$18)</f>
        <v>70</v>
      </c>
      <c r="DK165" s="12">
        <f>IF(A165&gt;30,10,('Scénario référence'!$B$16+'Scénario référence'!$B$17+'Scénario référence'!$B$18+'Scénario référence'!$B$9+'Scénario référence'!$B$10)*A165*10/30+('Scénario référence'!$F$8+'Scénario référence'!$F$9)*10)</f>
        <v>10</v>
      </c>
      <c r="DL165" s="12" t="e">
        <f>VLOOKUP(A165,'Données projet'!$A$165:$I$185,2,0)</f>
        <v>#N/A</v>
      </c>
      <c r="DM165" s="12" t="e">
        <f>VLOOKUP(A165,'Données projet'!$A$165:$I$185,9,0)</f>
        <v>#N/A</v>
      </c>
      <c r="DN165" s="12">
        <f t="array" ref="DN165">INDEX(DM:DM,MIN(IF(ISNUMBER(DM165:DM361),ROW(DM165:DM361),"")))</f>
        <v>0</v>
      </c>
      <c r="DO165" s="12">
        <f>IF('Données projet'!$A$166&gt;35,DO164+DN165-DW164,IF(A165&lt;'Données projet'!$A$166,$DL$205^A165,IF(A165='Données projet'!$A$166,'Données projet'!$B$166,DO164+DN165-DW164)))</f>
        <v>268.00000000000017</v>
      </c>
      <c r="DP165" s="17">
        <f>DO165*VLOOKUP('Données projet'!$B$14,Paramètres!$A$1:$I$89,3,0)*VLOOKUP('Données projet'!$B$14,Paramètres!$A$1:$I$89,5,0)</f>
        <v>175.59360000000012</v>
      </c>
      <c r="DQ165" s="13">
        <f t="shared" si="176"/>
        <v>44.340433728638573</v>
      </c>
      <c r="DR165" s="20">
        <f t="shared" si="177"/>
        <v>383.05177541071242</v>
      </c>
      <c r="DS165" s="59">
        <f t="shared" si="125"/>
        <v>676.38510874404574</v>
      </c>
      <c r="DT165" s="59">
        <f ca="1">AVERAGE(OFFSET($DS$3,0,0,'Données projet'!$E$14+1,1))-AVERAGE(OFFSET($H$3,0,0,'Données projet'!$E$14+1,1))</f>
        <v>188.68915783955595</v>
      </c>
      <c r="DU165" s="59">
        <f t="shared" si="152"/>
        <v>240.82467772396944</v>
      </c>
      <c r="DV165" s="15">
        <f>IF(ISNA(VLOOKUP(A165,'Données projet'!$A$165:$I$185,3,0)),0,VLOOKUP(A165,'Données projet'!$A$165:$I$185,3,0))</f>
        <v>0</v>
      </c>
      <c r="DW165" s="15">
        <f>IF(ISNA(VLOOKUP(A165,'Données projet'!$A$165:$I$185,4,0)),0,VLOOKUP(A165,'Données projet'!$A$165:$I$185,4,0))</f>
        <v>0</v>
      </c>
      <c r="DX165" s="16">
        <f>IF(ISNA(VLOOKUP(A165,'Données projet'!$A$165:$I$185,5,0)),0%,VLOOKUP(A165,'Données projet'!$A$165:$I$185,5,0)*VLOOKUP('Données projet'!$B$14,Paramètres!$A$1:$I$89,7,0))</f>
        <v>0</v>
      </c>
      <c r="DY165" s="16">
        <f>IF(ISNA(VLOOKUP(A165,'Données projet'!$A$165:$I$185,6,0)),0%,VLOOKUP(A165,'Données projet'!$A$165:$I$185,6,0)*VLOOKUP('Données projet'!$B$14,Paramètres!$A$1:$I$89,7,0))</f>
        <v>0</v>
      </c>
      <c r="DZ165" s="16">
        <f>IF(ISNA(VLOOKUP(A165,'Données projet'!$A$165:$I$185,7,0)),0%,VLOOKUP(A165,'Données projet'!$A$165:$I$185,7,0))</f>
        <v>0</v>
      </c>
      <c r="EA165" s="21">
        <f>EXP(-LN(2)/35)*EA164+(1-EXP(-LN(2)/35))/(LN(2)/35)*DW165*DX165*VLOOKUP('Données projet'!$B$14,Paramètres!$A$1:$I$89,3,0)*0.475*44/12</f>
        <v>0.11403714411980927</v>
      </c>
      <c r="EB165" s="21">
        <f>EXP(-LN(2)/25)*EB164+(1-EXP(-LN(2)/25))/(LN(2)/25)*Calculateur!DW165*Calculateur!DY165*VLOOKUP('Données projet'!$B$14,Paramètres!$A$1:$I$89,3,0)*0.475*44/12</f>
        <v>0.20687652127710823</v>
      </c>
      <c r="EC165" s="21">
        <f>EXP(-LN(2)/2)*EC164+(1-EXP(-LN(2)/2))/(LN(2)/2)*DW165*DZ165*VLOOKUP('Données projet'!$B$14,Paramètres!$A$1:$I$89,3,0)*0.475*44/12</f>
        <v>1.8968669932048985E-19</v>
      </c>
      <c r="ED165" s="22">
        <f t="shared" si="178"/>
        <v>0.32091366539691751</v>
      </c>
      <c r="EE165" s="75">
        <f>('Scénario référence'!$F$8+'Scénario référence'!$F$9+'Scénario référence'!$B$17+'Scénario référence'!$B$9+'Scénario référence'!$B$10)*70+IF((45+25*(1-EXP(-0.0175*A165)))&lt;70,'Scénario référence'!$B$16*(45+25*(1-EXP(-0.0175*A165))),70*'Scénario référence'!$B$16)+IF((32+38*(1-EXP(-0.0175*A165)))&lt;70,'Scénario référence'!$B$18*(32+38*(1-EXP(-0.0175*A165))),70*'Scénario référence'!$B$18)</f>
        <v>70</v>
      </c>
      <c r="EF165" s="12">
        <f>IF(A165&gt;30,10,('Scénario référence'!$B$16+'Scénario référence'!$B$17+'Scénario référence'!$B$18+'Scénario référence'!$B$9+'Scénario référence'!$B$10)*A165*10/30+('Scénario référence'!$F$8+'Scénario référence'!$F$9)*10)</f>
        <v>10</v>
      </c>
      <c r="EG165" s="12" t="e">
        <f>VLOOKUP(A165,'Données projet'!$A$191:$I$211,2,0)</f>
        <v>#N/A</v>
      </c>
      <c r="EH165" s="12" t="e">
        <f>VLOOKUP(A165,'Données projet'!$A$191:$I$211,9,0)</f>
        <v>#N/A</v>
      </c>
      <c r="EI165" s="12">
        <f t="array" ref="EI165">INDEX(EH:EH,MIN(IF(ISNUMBER(EH165:EH361),ROW(EH165:EH361),"")))</f>
        <v>0</v>
      </c>
      <c r="EJ165" s="12">
        <f>IF('Données projet'!$A$192&gt;35,EJ164+EI165-ER164,IF(A165&lt;'Données projet'!$A$192,$EG$205^A165,IF(A165='Données projet'!$A$192,'Données projet'!$B$192,EJ164+EI165-ER164)))</f>
        <v>275.99999999999972</v>
      </c>
      <c r="EK165" s="17">
        <f>EJ165*VLOOKUP('Données projet'!$B$15,Paramètres!$A$1:$I$89,3,0)*VLOOKUP('Données projet'!$B$15,Paramètres!$A$1:$I$89,5,0)</f>
        <v>223.8911999999998</v>
      </c>
      <c r="EL165" s="13">
        <f t="shared" si="179"/>
        <v>54.95975389514858</v>
      </c>
      <c r="EM165" s="20">
        <f t="shared" si="180"/>
        <v>485.66541136738346</v>
      </c>
      <c r="EN165" s="59">
        <f t="shared" si="128"/>
        <v>778.99874470071677</v>
      </c>
      <c r="EO165" s="59">
        <f ca="1">AVERAGE(OFFSET($EN$3,0,0,'Données projet'!$E$15+1,1))-AVERAGE(OFFSET($H$3,0,0,'Données projet'!$E$15+1,1))</f>
        <v>205.5272583787887</v>
      </c>
      <c r="EP165" s="59">
        <f t="shared" si="154"/>
        <v>180.54762778843178</v>
      </c>
      <c r="EQ165" s="15">
        <f>IF(ISNA(VLOOKUP(A165,'Données projet'!$A$191:$I$211,3,0)),0,VLOOKUP(A165,'Données projet'!$A$191:$I$211,3,0))</f>
        <v>0</v>
      </c>
      <c r="ER165" s="15">
        <f>IF(ISNA(VLOOKUP(A165,'Données projet'!$A$191:$I$211,4,0)),0,VLOOKUP(A165,'Données projet'!$A$191:$I$211,4,0))</f>
        <v>0</v>
      </c>
      <c r="ES165" s="16">
        <f>IF(ISNA(VLOOKUP(A165,'Données projet'!$A$191:$I$211,5,0)),0%,VLOOKUP(A165,'Données projet'!$A$191:$I$211,5,0)*VLOOKUP('Données projet'!$B$15,Paramètres!$A$1:$I$89,7,0))</f>
        <v>0</v>
      </c>
      <c r="ET165" s="16">
        <f>IF(ISNA(VLOOKUP(A165,'Données projet'!$A$191:$I$211,6,0)),0%,VLOOKUP(A165,'Données projet'!$A$191:$I$211,6,0)*VLOOKUP('Données projet'!$B$15,Paramètres!$A$1:$I$89,7,0))</f>
        <v>0</v>
      </c>
      <c r="EU165" s="16">
        <f>IF(ISNA(VLOOKUP(A165,'Données projet'!$A$191:$I$211,7,0)),0%,VLOOKUP(A165,'Données projet'!$A$191:$I$211,7,0))</f>
        <v>0</v>
      </c>
      <c r="EV165" s="21">
        <f>EXP(-LN(2)/35)*EV164+(1-EXP(-LN(2)/35))/(LN(2)/35)*ER165*ES165*VLOOKUP('Données projet'!$B$15,Paramètres!$A$1:$I$89,3,0)*0.475*44/12</f>
        <v>7.3418199452372448E-2</v>
      </c>
      <c r="EW165" s="21">
        <f>EXP(-LN(2)/25)*EW164+(1-EXP(-LN(2)/25))/(LN(2)/25)*Calculateur!ER165*Calculateur!ET165*VLOOKUP('Données projet'!$B$15,Paramètres!$A$1:$I$89,3,0)*0.475*44/12</f>
        <v>0.14937112416095599</v>
      </c>
      <c r="EX165" s="21">
        <f>EXP(-LN(2)/2)*EX164+(1-EXP(-LN(2)/2))/(LN(2)/2)*ER165*EU165*VLOOKUP('Données projet'!$B$15,Paramètres!$A$1:$I$89,3,0)*0.475*44/12</f>
        <v>1.2282227806933357E-19</v>
      </c>
      <c r="EY165" s="22">
        <f t="shared" si="181"/>
        <v>0.22278932361332843</v>
      </c>
      <c r="EZ165" s="75">
        <f>('Scénario référence'!$F$8+'Scénario référence'!$F$9+'Scénario référence'!$B$17+'Scénario référence'!$B$9+'Scénario référence'!$B$10)*70+IF((45+25*(1-EXP(-0.0175*A165)))&lt;70,'Scénario référence'!$B$16*(45+25*(1-EXP(-0.0175*A165))),70*'Scénario référence'!$B$16)+IF((32+38*(1-EXP(-0.0175*A165)))&lt;70,'Scénario référence'!$B$18*(32+38*(1-EXP(-0.0175*A165))),70*'Scénario référence'!$B$18)</f>
        <v>70</v>
      </c>
      <c r="FA165" s="12">
        <f>IF(A165&gt;30,10,('Scénario référence'!$B$16+'Scénario référence'!$B$17+'Scénario référence'!$B$18+'Scénario référence'!$B$9+'Scénario référence'!$B$10)*A165*10/30+('Scénario référence'!$F$8+'Scénario référence'!$F$9)*10)</f>
        <v>10</v>
      </c>
      <c r="FB165" s="12" t="e">
        <f>VLOOKUP(A165,'Données projet'!$A$217:$I$237,2,0)</f>
        <v>#N/A</v>
      </c>
      <c r="FC165" s="12" t="e">
        <f>VLOOKUP(A165,'Données projet'!$A$217:$I$237,9,0)</f>
        <v>#N/A</v>
      </c>
      <c r="FD165" s="12">
        <f t="array" ref="FD165">INDEX(FC:FC,MIN(IF(ISNUMBER(FC165:FC361),ROW(FC165:FC361),"")))</f>
        <v>0</v>
      </c>
      <c r="FE165" s="12">
        <f>IF('Données projet'!$A$218&gt;35,FE164+FD165-FM164,IF(A165&lt;'Données projet'!$A$218,$FB$205^A165,IF(A165='Données projet'!$A$218,'Données projet'!$B$218,FE164+FD165-FM164)))</f>
        <v>418.99999999999983</v>
      </c>
      <c r="FF165" s="17">
        <f>FE165*VLOOKUP('Données projet'!$B$16,Paramètres!$A$1:$I$89,3,0)*VLOOKUP('Données projet'!$B$16,Paramètres!$A$1:$I$89,5,0)</f>
        <v>359.5019999999999</v>
      </c>
      <c r="FG165" s="13">
        <f t="shared" si="182"/>
        <v>83.516011055432813</v>
      </c>
      <c r="FH165" s="20">
        <f t="shared" si="183"/>
        <v>771.58970258821194</v>
      </c>
      <c r="FI165" s="59">
        <f t="shared" si="131"/>
        <v>1064.9230359215453</v>
      </c>
      <c r="FJ165" s="59">
        <f ca="1">AVERAGE(OFFSET($FI$3,0,0,'Données projet'!$E$16+1,1))-AVERAGE(OFFSET($H$3,0,0,'Données projet'!$E$16+1,1))</f>
        <v>383.97627237444709</v>
      </c>
      <c r="FK165" s="59">
        <f t="shared" si="156"/>
        <v>203.35476578922339</v>
      </c>
      <c r="FL165" s="15">
        <f>IF(ISNA(VLOOKUP(A165,'Données projet'!$A$217:$I$237,3,0)),0,VLOOKUP(A165,'Données projet'!$A$217:$I$237,3,0))</f>
        <v>0</v>
      </c>
      <c r="FM165" s="15">
        <f>IF(ISNA(VLOOKUP(A165,'Données projet'!$A$217:$I$237,4,0)),0,VLOOKUP(A165,'Données projet'!$A$217:$I$237,4,0))</f>
        <v>0</v>
      </c>
      <c r="FN165" s="16">
        <f>IF(ISNA(VLOOKUP(A165,'Données projet'!$A$217:$I$237,5,0)),0%,VLOOKUP(A165,'Données projet'!$A$217:$I$237,5,0)*VLOOKUP('Données projet'!$B$16,Paramètres!$A$1:$I$89,7,0))</f>
        <v>0</v>
      </c>
      <c r="FO165" s="16">
        <f>IF(ISNA(VLOOKUP(A165,'Données projet'!$A$217:$I$237,6,0)),0%,VLOOKUP(A165,'Données projet'!$A$217:$I$237,6,0)*VLOOKUP('Données projet'!$B$16,Paramètres!$A$1:$I$89,7,0))</f>
        <v>0</v>
      </c>
      <c r="FP165" s="16">
        <f>IF(ISNA(VLOOKUP(A165,'Données projet'!$A$217:$I$237,7,0)),0%,VLOOKUP(A165,'Données projet'!$A$217:$I$237,7,0))</f>
        <v>0</v>
      </c>
      <c r="FQ165" s="21">
        <f>EXP(-LN(2)/35)*FQ164+(1-EXP(-LN(2)/35))/(LN(2)/35)*FM165*FN165*VLOOKUP('Données projet'!$B$16,Paramètres!$A$1:$I$89,3,0)*0.475*44/12</f>
        <v>0.37732971427129153</v>
      </c>
      <c r="FR165" s="21">
        <f>EXP(-LN(2)/25)*FR164+(1-EXP(-LN(2)/25))/(LN(2)/25)*Calculateur!FM165*Calculateur!FO165*VLOOKUP('Données projet'!$B$16,Paramètres!$A$1:$I$89,3,0)*0.475*44/12</f>
        <v>0.15162712999632738</v>
      </c>
      <c r="FS165" s="21">
        <f>EXP(-LN(2)/2)*FS164+(1-EXP(-LN(2)/2))/(LN(2)/2)*FM165*FP165*VLOOKUP('Données projet'!$B$16,Paramètres!$A$1:$I$89,3,0)*0.475*44/12</f>
        <v>2.255993180324207E-19</v>
      </c>
      <c r="FT165" s="22">
        <f t="shared" si="184"/>
        <v>0.52895684426761891</v>
      </c>
      <c r="FU165" s="75">
        <f>('Scénario référence'!$F$8+'Scénario référence'!$F$9+'Scénario référence'!$B$17+'Scénario référence'!$B$9+'Scénario référence'!$B$10)*70+IF((45+25*(1-EXP(-0.0175*A165)))&lt;70,'Scénario référence'!$B$16*(45+25*(1-EXP(-0.0175*A165))),70*'Scénario référence'!$B$16)+IF((32+38*(1-EXP(-0.0175*A165)))&lt;70,'Scénario référence'!$B$18*(32+38*(1-EXP(-0.0175*A165))),70*'Scénario référence'!$B$18)</f>
        <v>70</v>
      </c>
      <c r="FV165" s="12">
        <f>IF(A165&gt;30,10,('Scénario référence'!$B$16+'Scénario référence'!$B$17+'Scénario référence'!$B$18+'Scénario référence'!$B$9+'Scénario référence'!$B$10)*A165*10/30+('Scénario référence'!$F$8+'Scénario référence'!$F$9)*10)</f>
        <v>10</v>
      </c>
      <c r="FW165" s="12" t="e">
        <f>VLOOKUP(A165,'Données projet'!$A$243:$I$263,2,0)</f>
        <v>#N/A</v>
      </c>
      <c r="FX165" s="12" t="e">
        <f>VLOOKUP(A165,'Données projet'!$A$243:$I$263,9,0)</f>
        <v>#N/A</v>
      </c>
      <c r="FY165" s="12">
        <f t="array" ref="FY165">INDEX(FX:FX,MIN(IF(ISNUMBER(FX165:FX361),ROW(FX165:FX361),"")))</f>
        <v>0</v>
      </c>
      <c r="FZ165" s="12">
        <f>IF('Données projet'!$A$244&gt;35,FZ164+FY165-GH164,IF(A165&lt;'Données projet'!$A$244,$FW$205^A165,IF(A165='Données projet'!$A$244,'Données projet'!$B$244,FZ164+FY165-GH164)))</f>
        <v>4.5474735088646412E-13</v>
      </c>
      <c r="GA165" s="17">
        <f>FZ165*VLOOKUP('Données projet'!$B$17,Paramètres!$A$1:$I$89,3,0)*VLOOKUP('Données projet'!$B$17,Paramètres!$A$1:$I$89,5,0)</f>
        <v>4.8949004849418999E-13</v>
      </c>
      <c r="GB165" s="13">
        <f t="shared" si="185"/>
        <v>6.1123715499968684E-12</v>
      </c>
      <c r="GC165" s="20">
        <f t="shared" si="186"/>
        <v>1.1498242284038591E-11</v>
      </c>
      <c r="GD165" s="59">
        <f t="shared" si="134"/>
        <v>293.3333333333448</v>
      </c>
      <c r="GE165" s="59">
        <f ca="1">AVERAGE(OFFSET($GD$3,0,0,'Données projet'!$E$17+1,1))-AVERAGE(OFFSET($H$3,0,0,'Données projet'!$E$17+1,1))</f>
        <v>286.77702855541287</v>
      </c>
      <c r="GF165" s="59">
        <f t="shared" si="158"/>
        <v>227.12211541860779</v>
      </c>
      <c r="GG165" s="15">
        <f>IF(ISNA(VLOOKUP(A165,'Données projet'!$A$243:$I$263,3,0)),0,VLOOKUP(A165,'Données projet'!$A$243:$I$263,3,0))</f>
        <v>0</v>
      </c>
      <c r="GH165" s="15">
        <f>IF(ISNA(VLOOKUP(A165,'Données projet'!$A$243:$I$263,4,0)),0,VLOOKUP(A165,'Données projet'!$A$243:$I$263,4,0))</f>
        <v>0</v>
      </c>
      <c r="GI165" s="16">
        <f>IF(ISNA(VLOOKUP(A165,'Données projet'!$A$243:$I$263,5,0)),0%,VLOOKUP(A165,'Données projet'!$A$243:$I$263,5,0)*VLOOKUP('Données projet'!$B$17,Paramètres!$A$1:$I$89,7,0))</f>
        <v>0</v>
      </c>
      <c r="GJ165" s="16">
        <f>IF(ISNA(VLOOKUP(A165,'Données projet'!$A$243:$I$263,6,0)),0%,VLOOKUP(A165,'Données projet'!$A$243:$I$263,6,0)*VLOOKUP('Données projet'!$B$17,Paramètres!$A$1:$I$89,7,0))</f>
        <v>0</v>
      </c>
      <c r="GK165" s="16">
        <f>IF(ISNA(VLOOKUP(A165,'Données projet'!$A$243:$I$263,7,0)),0%,VLOOKUP(A165,'Données projet'!$A$243:$I$263,7,0))</f>
        <v>0</v>
      </c>
      <c r="GL165" s="21">
        <f>EXP(-LN(2)/35)*GL164+(1-EXP(-LN(2)/35))/(LN(2)/35)*GH165*GI165*VLOOKUP('Données projet'!$B$17,Paramètres!$A$1:$I$89,3,0)*0.475*44/12</f>
        <v>0</v>
      </c>
      <c r="GM165" s="21">
        <f>EXP(-LN(2)/25)*GM164+(1-EXP(-LN(2)/25))/(LN(2)/25)*Calculateur!GH165*Calculateur!GJ165*VLOOKUP('Données projet'!$B$17,Paramètres!$A$1:$I$89,3,0)*0.475*44/12</f>
        <v>0</v>
      </c>
      <c r="GN165" s="21">
        <f>EXP(-LN(2)/2)*GN164+(1-EXP(-LN(2)/2))/(LN(2)/2)*GH165*GK165*VLOOKUP('Données projet'!$B$17,Paramètres!$A$1:$I$89,3,0)*0.475*44/12</f>
        <v>0</v>
      </c>
      <c r="GO165" s="21">
        <f t="shared" si="187"/>
        <v>0</v>
      </c>
      <c r="GP165" s="75">
        <f>('Scénario référence'!$F$8+'Scénario référence'!$F$9+'Scénario référence'!$B$17+'Scénario référence'!$B$9+'Scénario référence'!$B$10)*70+IF((45+25*(1-EXP(-0.0175*A165)))&lt;70,'Scénario référence'!$B$16*(45+25*(1-EXP(-0.0175*A165))),70*'Scénario référence'!$B$16)+IF((32+38*(1-EXP(-0.0175*A165)))&lt;70,'Scénario référence'!$B$18*(32+38*(1-EXP(-0.0175*A165))),70*'Scénario référence'!$B$18)</f>
        <v>70</v>
      </c>
      <c r="GQ165" s="12">
        <f>IF(A165&gt;30,10,('Scénario référence'!$B$16+'Scénario référence'!$B$17+'Scénario référence'!$B$18+'Scénario référence'!$B$9+'Scénario référence'!$B$10)*A165*10/30+('Scénario référence'!$F$8+'Scénario référence'!$F$9)*10)</f>
        <v>10</v>
      </c>
      <c r="GR165" s="12" t="e">
        <f>VLOOKUP(A165,'Données projet'!$A$269:$I$289,2,0)</f>
        <v>#N/A</v>
      </c>
      <c r="GS165" s="12" t="e">
        <f>VLOOKUP(A165,'Données projet'!$A$269:$I$289,9,0)</f>
        <v>#N/A</v>
      </c>
      <c r="GT165" s="12">
        <f t="array" ref="GT165">INDEX(GS:GS,MIN(IF(ISNUMBER(GS165:GS361),ROW(GS165:GS361),"")))</f>
        <v>0</v>
      </c>
      <c r="GU165" s="12">
        <f>IF('Données projet'!$A$270&gt;35,GU164+GT165-HC164,IF(A165&lt;'Données projet'!$A$270,$GR$205^A165,IF(A165='Données projet'!$A$270,'Données projet'!$B$270,GU164+GT165-HC164)))</f>
        <v>4.5474735088646412E-13</v>
      </c>
      <c r="GV165" s="17">
        <f>GU165*VLOOKUP('Données projet'!$B$18,Paramètres!$A$1:$I$89,3,0)*VLOOKUP('Données projet'!$B$18,Paramètres!$A$1:$I$89,5,0)</f>
        <v>4.8949004849418999E-13</v>
      </c>
      <c r="GW165" s="13">
        <f t="shared" si="188"/>
        <v>6.1123715499968684E-12</v>
      </c>
      <c r="GX165" s="20">
        <f t="shared" si="189"/>
        <v>1.1498242284038591E-11</v>
      </c>
      <c r="GY165" s="59">
        <f t="shared" si="137"/>
        <v>293.3333333333448</v>
      </c>
      <c r="GZ165" s="59">
        <f ca="1">AVERAGE(OFFSET($GY$3,0,0,'Données projet'!$E$18+1,1))-AVERAGE(OFFSET($H$3,0,0,'Données projet'!$E$18+1,1))</f>
        <v>286.77702855541287</v>
      </c>
      <c r="HA165" s="59">
        <f t="shared" si="160"/>
        <v>227.12211541860779</v>
      </c>
      <c r="HB165" s="15">
        <f>IF(ISNA(VLOOKUP(A165,'Données projet'!$A$269:$I$289,3,0)),0,VLOOKUP(A165,'Données projet'!$A$269:$I$289,3,0))</f>
        <v>0</v>
      </c>
      <c r="HC165" s="15">
        <f>IF(ISNA(VLOOKUP(A165,'Données projet'!$A$269:$I$289,4,0)),0,VLOOKUP(A165,'Données projet'!$A$269:$I$289,4,0))</f>
        <v>0</v>
      </c>
      <c r="HD165" s="16">
        <f>IF(ISNA(VLOOKUP(A165,'Données projet'!$A$269:$I$289,5,0)),0%,VLOOKUP(A165,'Données projet'!$A$269:$I$289,5,0)*VLOOKUP('Données projet'!$B$18,Paramètres!$A$1:$I$89,7,0))</f>
        <v>0</v>
      </c>
      <c r="HE165" s="16">
        <f>IF(ISNA(VLOOKUP(A165,'Données projet'!$A$269:$I$289,6,0)),0%,VLOOKUP(A165,'Données projet'!$A$269:$I$289,6,0)*VLOOKUP('Données projet'!$B$18,Paramètres!$A$1:$I$89,7,0))</f>
        <v>0</v>
      </c>
      <c r="HF165" s="16">
        <f>IF(ISNA(VLOOKUP(A165,'Données projet'!$A$269:$I$289,7,0)),0%,VLOOKUP(A165,'Données projet'!$A$269:$I$289,7,0))</f>
        <v>0</v>
      </c>
      <c r="HG165" s="21">
        <f>EXP(-LN(2)/35)*HG164+(1-EXP(-LN(2)/35))/(LN(2)/35)*HC165*HD165*VLOOKUP('Données projet'!$B$18,Paramètres!$A$1:$I$89,3,0)*0.475*44/12</f>
        <v>0</v>
      </c>
      <c r="HH165" s="21">
        <f>EXP(-LN(2)/25)*HH164+(1-EXP(-LN(2)/25))/(LN(2)/25)*Calculateur!HC165*Calculateur!HE165*VLOOKUP('Données projet'!$B$18,Paramètres!$A$1:$I$89,3,0)*0.475*44/12</f>
        <v>0</v>
      </c>
      <c r="HI165" s="21">
        <f>EXP(-LN(2)/2)*HI164+(1-EXP(-LN(2)/2))/(LN(2)/2)*HC165*HF165*VLOOKUP('Données projet'!$B$18,Paramètres!$A$1:$I$89,3,0)*0.475*44/12</f>
        <v>0</v>
      </c>
      <c r="HJ165" s="22">
        <f t="shared" si="190"/>
        <v>0</v>
      </c>
    </row>
    <row r="166" spans="1:218" x14ac:dyDescent="0.25">
      <c r="A166" s="10">
        <f t="shared" si="161"/>
        <v>163</v>
      </c>
      <c r="B166" s="73">
        <f>'Scénario référence'!$B$16*5+'Scénario référence'!$B$17*0+'Scénario référence'!$B$18*5</f>
        <v>0</v>
      </c>
      <c r="C166" s="19">
        <f>Calculateur!C165+'Scénario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144.93960000000001</v>
      </c>
      <c r="D166" s="11">
        <f t="shared" si="140"/>
        <v>37.426304759789126</v>
      </c>
      <c r="E16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66" s="11">
        <f>IF(OR('Scénario référence'!$F$8&gt;0,'Scénario référence'!$F$9&gt;0),('Scénario référence'!$F$8+'Scénario référence'!$F$9)*10,0)</f>
        <v>10</v>
      </c>
      <c r="G166" s="11">
        <f>'Scénario référence'!$B$8*B166*44/12+'Scénario référence'!$B$9*(C166+D166)/0.475*44/12+'Scénario référence'!$B$10*(C166+D166)/0.475*44/12+'Scénario référence'!$F$8*(C166+D166)/0.475*44/12+'Scénario référence'!$F$9*(C166+D166)/0.475*44/12</f>
        <v>1407.7368086720564</v>
      </c>
      <c r="H166" s="67">
        <f t="shared" si="110"/>
        <v>610.95395078996603</v>
      </c>
      <c r="I166" s="70">
        <f>('Scénario référence'!$F$8+'Scénario référence'!$F$9+'Scénario référence'!$B$17+'Scénario référence'!$B$9+'Scénario référence'!$B$10)*70+IF((45+25*(1-EXP(-0.0175*A166)))&lt;70,'Scénario référence'!$B$16*(45+25*(1-EXP(-0.0175*A166))),70*'Scénario référence'!$B$16)+IF((32+38*(1-EXP(-0.0175*A166)))&lt;70,'Scénario référence'!$B$18*(32+38*(1-EXP(-0.0175*A166))),70*'Scénario référence'!$B$18)</f>
        <v>70</v>
      </c>
      <c r="J166" s="13">
        <f>IF(A166&gt;30,10,('Scénario référence'!$B$16+'Scénario référence'!$B$17+'Scénario référence'!$B$18+'Scénario référence'!$B$9+'Scénario référence'!$B$10)*A166*10/30+('Scénario référence'!$F$8+'Scénario référence'!$F$9)*10)</f>
        <v>10</v>
      </c>
      <c r="K166" s="12" t="e">
        <f>VLOOKUP(A166,'Données projet'!$A$35:$I$55,2,0)</f>
        <v>#N/A</v>
      </c>
      <c r="L166" s="12" t="e">
        <f>VLOOKUP(A166,'Données projet'!$A$35:$I$55,9,0)</f>
        <v>#N/A</v>
      </c>
      <c r="M166" s="12">
        <f t="array" ref="M166">INDEX(L:L,MIN(IF(ISNUMBER(L166:L362),ROW(L166:L362),"")))</f>
        <v>0</v>
      </c>
      <c r="N166" s="13">
        <f>IF('Données projet'!$A$36&gt;35,N165+M166-V165,IF(A166&lt;'Données projet'!$A$36,$K$205^A166,IF(A166='Données projet'!$A$36,'Données projet'!$B$36,N165+M166-V165)))</f>
        <v>-2.2737367544323206E-13</v>
      </c>
      <c r="O166" s="13">
        <f>N166*VLOOKUP('Données projet'!$B$9,Paramètres!$A$1:$I$89,3,0)*VLOOKUP('Données projet'!$B$9,Paramètres!$A$1:$I$89,5,0)</f>
        <v>-1.2710188457276673E-13</v>
      </c>
      <c r="P166" s="13" t="e">
        <f t="shared" si="141"/>
        <v>#NUM!</v>
      </c>
      <c r="Q166" s="20" t="e">
        <f t="shared" si="162"/>
        <v>#NUM!</v>
      </c>
      <c r="R166" s="59" t="e">
        <f t="shared" si="109"/>
        <v>#NUM!</v>
      </c>
      <c r="S166" s="59">
        <f ca="1">AVERAGE(OFFSET($R$3,0,0,'Données projet'!$E$9+1,1))-AVERAGE(OFFSET($H$3,0,0,'Données projet'!$E$9+1,1))</f>
        <v>255.5374979188561</v>
      </c>
      <c r="T166" s="59">
        <f t="shared" si="142"/>
        <v>343.10418468620901</v>
      </c>
      <c r="U166" s="15">
        <f>IF(ISNA(VLOOKUP(A166,'Données projet'!$A$35:$I$55,3,0)),0,VLOOKUP(A166,'Données projet'!$A$35:$I$55,3,0))</f>
        <v>0</v>
      </c>
      <c r="V166" s="15">
        <f>IF(ISNA(VLOOKUP(A166,'Données projet'!$A$35:$I$55,4,0)),0,VLOOKUP(A166,'Données projet'!$A$35:$I$55,4,0))</f>
        <v>0</v>
      </c>
      <c r="W166" s="16">
        <f>IF(ISNA(VLOOKUP(A166,'Données projet'!$A$35:$I$55,5,0)),0%,VLOOKUP(A166,'Données projet'!$A$35:$I$55,5,0)*VLOOKUP('Données projet'!$B$9,Paramètres!$A$1:$I$89,7,0))</f>
        <v>0</v>
      </c>
      <c r="X166" s="16">
        <f>IF(ISNA(VLOOKUP(A166,'Données projet'!$A$35:$I$55,6,0)),0%,VLOOKUP(A166,'Données projet'!$A$35:$I$55,6,0)*VLOOKUP('Données projet'!$B$9,Paramètres!$A$1:$I$89,7,0))</f>
        <v>0</v>
      </c>
      <c r="Y166" s="16">
        <f>IF(ISNA(VLOOKUP(A166,'Données projet'!$A$35:$I$55,7,0)),0%,VLOOKUP(A166,'Données projet'!$A$35:$I$55,7,0))</f>
        <v>0</v>
      </c>
      <c r="Z166" s="21">
        <f>EXP(-LN(2)/35)*Z165+(1-EXP(-LN(2)/35))/(LN(2)/35)*V166*W166*VLOOKUP('Données projet'!$B$9,Paramètres!$A$1:$I$89,3,0)*0.475*44/12</f>
        <v>0.22184530233191788</v>
      </c>
      <c r="AA166" s="21">
        <f>EXP(-LN(2)/25)*AA165+(1-EXP(-LN(2)/25))/(LN(2)/25)*Calculateur!V166*Calculateur!X166*VLOOKUP('Données projet'!$B$9,Paramètres!$A$1:$I$89,3,0)*0.475*44/12</f>
        <v>0.39954008836820221</v>
      </c>
      <c r="AB166" s="21">
        <f>EXP(-LN(2)/2)*AB165+(1-EXP(-LN(2)/2))/(LN(2)/2)*V166*Y166*VLOOKUP('Données projet'!$B$9,Paramètres!$A$1:$I$89,3,0)*0.475*44/12</f>
        <v>1.6220826813514643E-20</v>
      </c>
      <c r="AC166" s="22">
        <f t="shared" si="163"/>
        <v>0.62138539070012011</v>
      </c>
      <c r="AD166" s="13">
        <f>('Scénario référence'!$F$8+'Scénario référence'!$F$9+'Scénario référence'!$B$17+'Scénario référence'!$B$9+'Scénario référence'!$B$10)*70+IF((45+25*(1-EXP(-0.0175*A166)))&lt;70,'Scénario référence'!$B$16*(45+25*(1-EXP(-0.0175*A166))),70*'Scénario référence'!$B$16)+IF((32+38*(1-EXP(-0.0175*A166)))&lt;70,'Scénario référence'!$B$18*(32+38*(1-EXP(-0.0175*A166))),70*'Scénario référence'!$B$18)</f>
        <v>70</v>
      </c>
      <c r="AE166" s="13">
        <f>IF(A166&gt;30,10,('Scénario référence'!$B$16+'Scénario référence'!$B$17+'Scénario référence'!$B$18+'Scénario référence'!$B$9+'Scénario référence'!$B$10)*A166*10/30+('Scénario référence'!$F$8+'Scénario référence'!$F$9)*10)</f>
        <v>10</v>
      </c>
      <c r="AF166" s="12" t="e">
        <f>VLOOKUP(A166,'Données projet'!$A$61:$I$81,2,0)</f>
        <v>#N/A</v>
      </c>
      <c r="AG166" s="12" t="e">
        <f>VLOOKUP(A166,'Données projet'!$A$61:$I$81,9,0)</f>
        <v>#N/A</v>
      </c>
      <c r="AH166" s="12">
        <f t="array" ref="AH166">INDEX(AG:AG,MIN(IF(ISNUMBER(AG166:AG362),ROW(AG166:AG362),"")))</f>
        <v>0</v>
      </c>
      <c r="AI166" s="13">
        <f>IF('Données projet'!$A$62&gt;35,AI165+AH166-AQ165,IF(A166&lt;'Données projet'!$A$62,$AF$205^A166,IF(A166='Données projet'!$A$62,'Données projet'!$B$62,AI165+AH166-AQ165)))</f>
        <v>0</v>
      </c>
      <c r="AJ166" s="13">
        <f>AI166*VLOOKUP('Données projet'!$B$10,Paramètres!$A$1:$I$89,3,0)*VLOOKUP('Données projet'!$B$10,Paramètres!$A$1:$I$89,5,0)</f>
        <v>0</v>
      </c>
      <c r="AK166" s="13" t="e">
        <f t="shared" si="164"/>
        <v>#NUM!</v>
      </c>
      <c r="AL166" s="20" t="e">
        <f t="shared" si="165"/>
        <v>#NUM!</v>
      </c>
      <c r="AM166" s="59" t="e">
        <f t="shared" si="113"/>
        <v>#NUM!</v>
      </c>
      <c r="AN166" s="59">
        <f ca="1">AVERAGE(OFFSET($AM$3,0,0,'Données projet'!$E$10+1,1))-AVERAGE(OFFSET($H$3,0,0,'Données projet'!$E$10+1,1))</f>
        <v>261.78489480911571</v>
      </c>
      <c r="AO166" s="59">
        <f t="shared" si="144"/>
        <v>297.50513563712764</v>
      </c>
      <c r="AP166" s="15">
        <f>IF(ISNA(VLOOKUP(A166,'Données projet'!$A$61:$I$81,3,0)),0,VLOOKUP(A166,'Données projet'!$A$61:$I$81,3,0))</f>
        <v>0</v>
      </c>
      <c r="AQ166" s="15">
        <f>IF(ISNA(VLOOKUP(A166,'Données projet'!$A$61:$I$81,4,0)),0,VLOOKUP(A166,'Données projet'!$A$61:$I$81,4,0))</f>
        <v>0</v>
      </c>
      <c r="AR166" s="16">
        <f>IF(ISNA(VLOOKUP(A166,'Données projet'!$A$61:$I$81,5,0)),0%,VLOOKUP(A166,'Données projet'!$A$61:$I$81,5,0)*VLOOKUP('Données projet'!$B$10,Paramètres!$A$1:$I$89,7,0))</f>
        <v>0</v>
      </c>
      <c r="AS166" s="16">
        <f>IF(ISNA(VLOOKUP(A166,'Données projet'!$A$61:$I$81,6,0)),0%,VLOOKUP(A166,'Données projet'!$A$61:$I$81,6,0)*VLOOKUP('Données projet'!$B$10,Paramètres!$A$1:$I$89,7,0))</f>
        <v>0</v>
      </c>
      <c r="AT166" s="16">
        <f>IF(ISNA(VLOOKUP(A166,'Données projet'!$A$61:$I$81,7,0)),0%,VLOOKUP(A166,'Données projet'!$A$61:$I$81,7,0))</f>
        <v>0</v>
      </c>
      <c r="AU166" s="21">
        <f>EXP(-LN(2)/35)*AU165+(1-EXP(-LN(2)/35))/(LN(2)/35)*AQ166*AR166*VLOOKUP('Données projet'!$B$10,Paramètres!$A$1:$I$89,3,0)*0.475*44/12</f>
        <v>0.59904506493897658</v>
      </c>
      <c r="AV166" s="21">
        <f>EXP(-LN(2)/25)*AV165+(1-EXP(-LN(2)/25))/(LN(2)/25)*Calculateur!AQ166*Calculateur!AS166*VLOOKUP('Données projet'!$B$10,Paramètres!$A$1:$I$89,3,0)*0.475*44/12</f>
        <v>0.69767848483675199</v>
      </c>
      <c r="AW166" s="21">
        <f>EXP(-LN(2)/2)*AW165+(1-EXP(-LN(2)/2))/(LN(2)/2)*AQ166*AT166*VLOOKUP('Données projet'!$B$10,Paramètres!$A$1:$I$89,3,0)*0.475*44/12</f>
        <v>2.3383866080912301E-19</v>
      </c>
      <c r="AX166" s="21">
        <f t="shared" si="166"/>
        <v>1.2967235497757286</v>
      </c>
      <c r="AY166" s="74">
        <f>('Scénario référence'!$F$8+'Scénario référence'!$F$9+'Scénario référence'!$B$17+'Scénario référence'!$B$9+'Scénario référence'!$B$10)*70+IF((45+25*(1-EXP(-0.0175*A166)))&lt;70,'Scénario référence'!$B$16*(45+25*(1-EXP(-0.0175*A166))),70*'Scénario référence'!$B$16)+IF((32+38*(1-EXP(-0.0175*A166)))&lt;70,'Scénario référence'!$B$18*(32+38*(1-EXP(-0.0175*A166))),70*'Scénario référence'!$B$18)</f>
        <v>70</v>
      </c>
      <c r="AZ166" s="12">
        <f>IF(A166&gt;30,10,('Scénario référence'!$B$16+'Scénario référence'!$B$17+'Scénario référence'!$B$18+'Scénario référence'!$B$9+'Scénario référence'!$B$10)*A166*10/30+('Scénario référence'!$F$8+'Scénario référence'!$F$9)*10)</f>
        <v>10</v>
      </c>
      <c r="BA166" s="12" t="e">
        <f>VLOOKUP(A166,'Données projet'!$A$87:$I$107,2,0)</f>
        <v>#N/A</v>
      </c>
      <c r="BB166" s="12" t="e">
        <f>VLOOKUP(A166,'Données projet'!$A$87:$I$107,9,0)</f>
        <v>#N/A</v>
      </c>
      <c r="BC166" s="12">
        <f t="array" ref="BC166">INDEX(BB:BB,MIN(IF(ISNUMBER(BB166:BB362),ROW(BB166:BB362),"")))</f>
        <v>0</v>
      </c>
      <c r="BD166" s="12">
        <f>IF('Données projet'!$A$88&gt;35,BD165+BC166-BL165,IF(A166&lt;'Données projet'!$A$88,$BA$205^A166,IF(A166='Données projet'!$A$88,'Données projet'!$B$88,BD165+BC166-BL165)))</f>
        <v>553.99999999999955</v>
      </c>
      <c r="BE166" s="13">
        <f>BD166*VLOOKUP('Données projet'!$B$11,Paramètres!$A$1:$I$89,3,0)*VLOOKUP('Données projet'!$B$11,Paramètres!$A$1:$I$89,5,0)</f>
        <v>331.29199999999975</v>
      </c>
      <c r="BF166" s="13">
        <f t="shared" si="167"/>
        <v>77.698110787752</v>
      </c>
      <c r="BG166" s="20">
        <f t="shared" si="168"/>
        <v>712.32444295533423</v>
      </c>
      <c r="BH166" s="59">
        <f t="shared" si="116"/>
        <v>1005.6577762886675</v>
      </c>
      <c r="BI166" s="59">
        <f ca="1">AVERAGE(OFFSET($BH$3,0,0,'Données projet'!$E$11+1,1))-AVERAGE(OFFSET($H$3,0,0,'Données projet'!$E$11+1,1))</f>
        <v>316.58509520829671</v>
      </c>
      <c r="BJ166" s="59">
        <f t="shared" si="146"/>
        <v>240.71332110643596</v>
      </c>
      <c r="BK166" s="15">
        <f>IF(ISNA(VLOOKUP(A166,'Données projet'!$A$87:$I$107,3,0)),0,VLOOKUP(A166,'Données projet'!$A$87:$I$107,3,0))</f>
        <v>0</v>
      </c>
      <c r="BL166" s="15">
        <f>IF(ISNA(VLOOKUP(A166,'Données projet'!$A$87:$I$107,4,0)),0,VLOOKUP(A166,'Données projet'!$A$87:$I$107,4,0))</f>
        <v>0</v>
      </c>
      <c r="BM166" s="16">
        <f>IF(ISNA(VLOOKUP(A166,'Données projet'!$A$87:$I$107,5,0)),0%,VLOOKUP(A166,'Données projet'!$A$87:$I$107,5,0)*VLOOKUP('Données projet'!$B$11,Paramètres!$A$1:$I$89,7,0))</f>
        <v>0</v>
      </c>
      <c r="BN166" s="16">
        <f>IF(ISNA(VLOOKUP(A166,'Données projet'!$A$87:$I$107,6,0)),0%,VLOOKUP(A166,'Données projet'!$A$87:$I$107,6,0)*VLOOKUP('Données projet'!$B$11,Paramètres!$A$1:$I$89,7,0))</f>
        <v>0</v>
      </c>
      <c r="BO166" s="16">
        <f>IF(ISNA(VLOOKUP(A166,'Données projet'!$A$87:$I$107,7,0)),0%,VLOOKUP(A166,'Données projet'!$A$87:$I$107,7,0))</f>
        <v>0</v>
      </c>
      <c r="BP166" s="21">
        <f>EXP(-LN(2)/35)*BP165+(1-EXP(-LN(2)/35))/(LN(2)/35)*BL166*BM166*VLOOKUP('Données projet'!$B$11,Paramètres!$A$1:$I$89,3,0)*0.475*44/12</f>
        <v>0.18196439565575703</v>
      </c>
      <c r="BQ166" s="21">
        <f>EXP(-LN(2)/25)*BQ165+(1-EXP(-LN(2)/25))/(LN(2)/25)*Calculateur!BL166*Calculateur!BN166*VLOOKUP('Données projet'!$B$11,Paramètres!$A$1:$I$89,3,0)*0.475*44/12</f>
        <v>0.38220863090983725</v>
      </c>
      <c r="BR166" s="21">
        <f>EXP(-LN(2)/2)*BR165+(1-EXP(-LN(2)/2))/(LN(2)/2)*BL166*BO166*VLOOKUP('Données projet'!$B$11,Paramètres!$A$1:$I$89,3,0)*0.475*44/12</f>
        <v>2.1024656434878185E-19</v>
      </c>
      <c r="BS166" s="22">
        <f t="shared" si="169"/>
        <v>0.56417302656559432</v>
      </c>
      <c r="BT166" s="75">
        <f>('Scénario référence'!$F$8+'Scénario référence'!$F$9+'Scénario référence'!$B$17+'Scénario référence'!$B$9+'Scénario référence'!$B$10)*70+IF((45+25*(1-EXP(-0.0175*A166)))&lt;70,'Scénario référence'!$B$16*(45+25*(1-EXP(-0.0175*A166))),70*'Scénario référence'!$B$16)+IF((32+38*(1-EXP(-0.0175*A166)))&lt;70,'Scénario référence'!$B$18*(32+38*(1-EXP(-0.0175*A166))),70*'Scénario référence'!$B$18)</f>
        <v>70</v>
      </c>
      <c r="BU166" s="12">
        <f>IF(A166&gt;30,10,('Scénario référence'!$B$16+'Scénario référence'!$B$17+'Scénario référence'!$B$18+'Scénario référence'!$B$9+'Scénario référence'!$B$10)*A166*10/30+('Scénario référence'!$F$8+'Scénario référence'!$F$9)*10)</f>
        <v>10</v>
      </c>
      <c r="BV166" s="12" t="e">
        <f>VLOOKUP(A166,'Données projet'!$A$113:$I$133,2,0)</f>
        <v>#N/A</v>
      </c>
      <c r="BW166" s="12" t="e">
        <f>VLOOKUP(A166,'Données projet'!$A$113:$I$133,9,0)</f>
        <v>#N/A</v>
      </c>
      <c r="BX166" s="12">
        <f t="array" ref="BX166">INDEX(BW:BW,MIN(IF(ISNUMBER(BW166:BW362),ROW(BW166:BW362),"")))</f>
        <v>0</v>
      </c>
      <c r="BY166" s="12">
        <f>IF('Données projet'!$A$114&gt;35,BY165+BX166-CG165,IF(A166&lt;'Données projet'!$A$114,$BV$205^A166,IF(A166='Données projet'!$A$114,'Données projet'!$B$114,BY165+BX166-CG165)))</f>
        <v>333.99999999999977</v>
      </c>
      <c r="BZ166" s="13">
        <f>BY166*VLOOKUP('Données projet'!$B$12,Paramètres!$A$1:$I$89,3,0)*VLOOKUP('Données projet'!$B$12,Paramètres!$A$1:$I$89,5,0)</f>
        <v>191.04799999999986</v>
      </c>
      <c r="CA166" s="13">
        <f t="shared" si="170"/>
        <v>47.771576544305155</v>
      </c>
      <c r="CB166" s="20">
        <f t="shared" si="171"/>
        <v>415.94409581466454</v>
      </c>
      <c r="CC166" s="59">
        <f t="shared" si="119"/>
        <v>709.27742914799785</v>
      </c>
      <c r="CD166" s="59">
        <f ca="1">AVERAGE(OFFSET($CC$3,0,0,'Données projet'!$E$12+1,1))-AVERAGE(OFFSET($H$3,0,0,'Données projet'!$E$12+1,1))</f>
        <v>188.64374818906128</v>
      </c>
      <c r="CE166" s="59">
        <f t="shared" si="148"/>
        <v>211.95157880548652</v>
      </c>
      <c r="CF166" s="15">
        <f>IF(ISNA(VLOOKUP(A166,'Données projet'!$A$113:$I$133,3,0)),0,VLOOKUP(A166,'Données projet'!$A$113:$I$133,3,0))</f>
        <v>0</v>
      </c>
      <c r="CG166" s="15">
        <f>IF(ISNA(VLOOKUP(A166,'Données projet'!$A$113:$I$133,4,0)),0,VLOOKUP(A166,'Données projet'!$A$113:$I$133,4,0))</f>
        <v>0</v>
      </c>
      <c r="CH166" s="16">
        <f>IF(ISNA(VLOOKUP(A166,'Données projet'!$A$113:$I$133,5,0)),0%,VLOOKUP(A166,'Données projet'!$A$113:$I$133,5,0)*VLOOKUP('Données projet'!$B$12,Paramètres!$A$1:$I$89,7,0))</f>
        <v>0</v>
      </c>
      <c r="CI166" s="16">
        <f>IF(ISNA(VLOOKUP(A166,'Données projet'!$A$113:$I$133,6,0)),0%,VLOOKUP(A166,'Données projet'!$A$113:$I$133,6,0)*VLOOKUP('Données projet'!$B$12,Paramètres!$A$1:$I$89,7,0))</f>
        <v>0</v>
      </c>
      <c r="CJ166" s="16">
        <f>IF(ISNA(VLOOKUP(A166,'Données projet'!$A$113:$I$133,7,0)),0%,VLOOKUP(A166,'Données projet'!$A$113:$I$133,7,0))</f>
        <v>0</v>
      </c>
      <c r="CK166" s="21">
        <f>EXP(-LN(2)/35)*CK165+(1-EXP(-LN(2)/35))/(LN(2)/35)*CG166*CH166*VLOOKUP('Données projet'!$B$12,Paramètres!$A$1:$I$89,3,0)*0.475*44/12</f>
        <v>0.17650434949094843</v>
      </c>
      <c r="CL166" s="21">
        <f>EXP(-LN(2)/25)*CL165+(1-EXP(-LN(2)/25))/(LN(2)/25)*Calculateur!CG166*Calculateur!CI166*VLOOKUP('Données projet'!$B$12,Paramètres!$A$1:$I$89,3,0)*0.475*44/12</f>
        <v>0.35974341728947168</v>
      </c>
      <c r="CM166" s="21">
        <f>EXP(-LN(2)/2)*CM165+(1-EXP(-LN(2)/2))/(LN(2)/2)*CG166*CJ166*VLOOKUP('Données projet'!$B$12,Paramètres!$A$1:$I$89,3,0)*0.475*44/12</f>
        <v>2.0360734763629491E-19</v>
      </c>
      <c r="CN166" s="22">
        <f t="shared" si="172"/>
        <v>0.53624776678042008</v>
      </c>
      <c r="CO166" s="75">
        <f>('Scénario référence'!$F$8+'Scénario référence'!$F$9+'Scénario référence'!$B$17+'Scénario référence'!$B$9+'Scénario référence'!$B$10)*70+IF((45+25*(1-EXP(-0.0175*A166)))&lt;70,'Scénario référence'!$B$16*(45+25*(1-EXP(-0.0175*A166))),70*'Scénario référence'!$B$16)+IF((32+38*(1-EXP(-0.0175*A166)))&lt;70,'Scénario référence'!$B$18*(32+38*(1-EXP(-0.0175*A166))),70*'Scénario référence'!$B$18)</f>
        <v>70</v>
      </c>
      <c r="CP166" s="12">
        <f>IF(A166&gt;30,10,('Scénario référence'!$B$16+'Scénario référence'!$B$17+'Scénario référence'!$B$18+'Scénario référence'!$B$9+'Scénario référence'!$B$10)*A166*10/30+('Scénario référence'!$F$8+'Scénario référence'!$F$9)*10)</f>
        <v>10</v>
      </c>
      <c r="CQ166" s="12" t="e">
        <f>VLOOKUP(A166,'Données projet'!$A$139:$I$159,2,0)</f>
        <v>#N/A</v>
      </c>
      <c r="CR166" s="12" t="e">
        <f>VLOOKUP(A166,'Données projet'!$A$139:$I$159,9,0)</f>
        <v>#N/A</v>
      </c>
      <c r="CS166" s="12">
        <f t="array" ref="CS166">INDEX(CR:CR,MIN(IF(ISNUMBER(CR166:CR362),ROW(CR166:CR362),"")))</f>
        <v>0</v>
      </c>
      <c r="CT166" s="12">
        <f>IF('Données projet'!$A$140&gt;35,CT165+CS166-DB165,IF(A166&lt;'Données projet'!$A$140,$CQ$205^A166,IF(A166='Données projet'!$A$140,'Données projet'!$B$140,CT165+CS166-DB165)))</f>
        <v>0</v>
      </c>
      <c r="CU166" s="17" t="e">
        <f>CT166*VLOOKUP('Données projet'!$B$13,Paramètres!$A$1:$I$89,3,0)*VLOOKUP('Données projet'!$B$13,Paramètres!$A$1:$I$89,5,0)</f>
        <v>#N/A</v>
      </c>
      <c r="CV166" s="13" t="e">
        <f t="shared" si="173"/>
        <v>#N/A</v>
      </c>
      <c r="CW166" s="20" t="e">
        <f t="shared" si="174"/>
        <v>#N/A</v>
      </c>
      <c r="CX166" s="59" t="e">
        <f t="shared" si="122"/>
        <v>#N/A</v>
      </c>
      <c r="CY166" s="59" t="e">
        <f ca="1">AVERAGE(OFFSET($CX$3,0,0,'Données projet'!$E$13+1,1))-AVERAGE(OFFSET($H$3,0,0,'Données projet'!$E$13+1,1))</f>
        <v>#N/A</v>
      </c>
      <c r="CZ166" s="59" t="e">
        <f t="shared" si="150"/>
        <v>#N/A</v>
      </c>
      <c r="DA166" s="15">
        <f>IF(ISNA(VLOOKUP(A166,'Données projet'!$A$139:$I$159,3,0)),0,VLOOKUP(A166,'Données projet'!$A$139:$I$159,3,0))</f>
        <v>0</v>
      </c>
      <c r="DB166" s="15">
        <f>IF(ISNA(VLOOKUP(A166,'Données projet'!$A$139:$I$159,4,0)),0,VLOOKUP(A166,'Données projet'!$A$139:$I$159,4,0))</f>
        <v>0</v>
      </c>
      <c r="DC166" s="16">
        <f>IF(ISNA(VLOOKUP(A166,'Données projet'!$A$139:$I$159,5,0)),0%,VLOOKUP(A166,'Données projet'!$A$139:$I$159,5,0)*VLOOKUP('Données projet'!$B$13,Paramètres!$A$1:$I$89,7,0))</f>
        <v>0</v>
      </c>
      <c r="DD166" s="16">
        <f>IF(ISNA(VLOOKUP(A166,'Données projet'!$A$139:$I$159,6,0)),0%,VLOOKUP(A166,'Données projet'!$A$139:$I$159,6,0)*VLOOKUP('Données projet'!$B$13,Paramètres!$A$1:$I$89,7,0))</f>
        <v>0</v>
      </c>
      <c r="DE166" s="16">
        <f>IF(ISNA(VLOOKUP(A166,'Données projet'!$A$139:$I$159,7,0)),0%,VLOOKUP(A166,'Données projet'!$A$139:$I$159,7,0))</f>
        <v>0</v>
      </c>
      <c r="DF166" s="21" t="e">
        <f>EXP(-LN(2)/35)*DF165+(1-EXP(-LN(2)/35))/(LN(2)/35)*DB166*DC166*VLOOKUP('Données projet'!$B$13,Paramètres!$A$1:$I$89,3,0)*0.475*44/12</f>
        <v>#N/A</v>
      </c>
      <c r="DG166" s="21" t="e">
        <f>EXP(-LN(2)/25)*DG165+(1-EXP(-LN(2)/25))/(LN(2)/25)*Calculateur!DB166*Calculateur!DD166*VLOOKUP('Données projet'!$B$13,Paramètres!$A$1:$I$89,3,0)*0.475*44/12</f>
        <v>#N/A</v>
      </c>
      <c r="DH166" s="21" t="e">
        <f>EXP(-LN(2)/2)*DH165+(1-EXP(-LN(2)/2))/(LN(2)/2)*DB166*DE166*VLOOKUP('Données projet'!$B$13,Paramètres!$A$1:$I$89,3,0)*0.475*44/12</f>
        <v>#N/A</v>
      </c>
      <c r="DI166" s="22" t="e">
        <f t="shared" si="175"/>
        <v>#N/A</v>
      </c>
      <c r="DJ166" s="75">
        <f>('Scénario référence'!$F$8+'Scénario référence'!$F$9+'Scénario référence'!$B$17+'Scénario référence'!$B$9+'Scénario référence'!$B$10)*70+IF((45+25*(1-EXP(-0.0175*A166)))&lt;70,'Scénario référence'!$B$16*(45+25*(1-EXP(-0.0175*A166))),70*'Scénario référence'!$B$16)+IF((32+38*(1-EXP(-0.0175*A166)))&lt;70,'Scénario référence'!$B$18*(32+38*(1-EXP(-0.0175*A166))),70*'Scénario référence'!$B$18)</f>
        <v>70</v>
      </c>
      <c r="DK166" s="12">
        <f>IF(A166&gt;30,10,('Scénario référence'!$B$16+'Scénario référence'!$B$17+'Scénario référence'!$B$18+'Scénario référence'!$B$9+'Scénario référence'!$B$10)*A166*10/30+('Scénario référence'!$F$8+'Scénario référence'!$F$9)*10)</f>
        <v>10</v>
      </c>
      <c r="DL166" s="12" t="e">
        <f>VLOOKUP(A166,'Données projet'!$A$165:$I$185,2,0)</f>
        <v>#N/A</v>
      </c>
      <c r="DM166" s="12" t="e">
        <f>VLOOKUP(A166,'Données projet'!$A$165:$I$185,9,0)</f>
        <v>#N/A</v>
      </c>
      <c r="DN166" s="12">
        <f t="array" ref="DN166">INDEX(DM:DM,MIN(IF(ISNUMBER(DM166:DM362),ROW(DM166:DM362),"")))</f>
        <v>0</v>
      </c>
      <c r="DO166" s="12">
        <f>IF('Données projet'!$A$166&gt;35,DO165+DN166-DW165,IF(A166&lt;'Données projet'!$A$166,$DL$205^A166,IF(A166='Données projet'!$A$166,'Données projet'!$B$166,DO165+DN166-DW165)))</f>
        <v>268.00000000000017</v>
      </c>
      <c r="DP166" s="17">
        <f>DO166*VLOOKUP('Données projet'!$B$14,Paramètres!$A$1:$I$89,3,0)*VLOOKUP('Données projet'!$B$14,Paramètres!$A$1:$I$89,5,0)</f>
        <v>175.59360000000012</v>
      </c>
      <c r="DQ166" s="13">
        <f t="shared" si="176"/>
        <v>44.340433728638573</v>
      </c>
      <c r="DR166" s="20">
        <f t="shared" si="177"/>
        <v>383.05177541071242</v>
      </c>
      <c r="DS166" s="59">
        <f t="shared" si="125"/>
        <v>676.38510874404574</v>
      </c>
      <c r="DT166" s="59">
        <f ca="1">AVERAGE(OFFSET($DS$3,0,0,'Données projet'!$E$14+1,1))-AVERAGE(OFFSET($H$3,0,0,'Données projet'!$E$14+1,1))</f>
        <v>188.68915783955595</v>
      </c>
      <c r="DU166" s="59">
        <f t="shared" si="152"/>
        <v>240.82467772396944</v>
      </c>
      <c r="DV166" s="15">
        <f>IF(ISNA(VLOOKUP(A166,'Données projet'!$A$165:$I$185,3,0)),0,VLOOKUP(A166,'Données projet'!$A$165:$I$185,3,0))</f>
        <v>0</v>
      </c>
      <c r="DW166" s="15">
        <f>IF(ISNA(VLOOKUP(A166,'Données projet'!$A$165:$I$185,4,0)),0,VLOOKUP(A166,'Données projet'!$A$165:$I$185,4,0))</f>
        <v>0</v>
      </c>
      <c r="DX166" s="16">
        <f>IF(ISNA(VLOOKUP(A166,'Données projet'!$A$165:$I$185,5,0)),0%,VLOOKUP(A166,'Données projet'!$A$165:$I$185,5,0)*VLOOKUP('Données projet'!$B$14,Paramètres!$A$1:$I$89,7,0))</f>
        <v>0</v>
      </c>
      <c r="DY166" s="16">
        <f>IF(ISNA(VLOOKUP(A166,'Données projet'!$A$165:$I$185,6,0)),0%,VLOOKUP(A166,'Données projet'!$A$165:$I$185,6,0)*VLOOKUP('Données projet'!$B$14,Paramètres!$A$1:$I$89,7,0))</f>
        <v>0</v>
      </c>
      <c r="DZ166" s="16">
        <f>IF(ISNA(VLOOKUP(A166,'Données projet'!$A$165:$I$185,7,0)),0%,VLOOKUP(A166,'Données projet'!$A$165:$I$185,7,0))</f>
        <v>0</v>
      </c>
      <c r="EA166" s="21">
        <f>EXP(-LN(2)/35)*EA165+(1-EXP(-LN(2)/35))/(LN(2)/35)*DW166*DX166*VLOOKUP('Données projet'!$B$14,Paramètres!$A$1:$I$89,3,0)*0.475*44/12</f>
        <v>0.11180094527940966</v>
      </c>
      <c r="EB166" s="21">
        <f>EXP(-LN(2)/25)*EB165+(1-EXP(-LN(2)/25))/(LN(2)/25)*Calculateur!DW166*Calculateur!DY166*VLOOKUP('Données projet'!$B$14,Paramètres!$A$1:$I$89,3,0)*0.475*44/12</f>
        <v>0.20121947192362227</v>
      </c>
      <c r="EC166" s="21">
        <f>EXP(-LN(2)/2)*EC165+(1-EXP(-LN(2)/2))/(LN(2)/2)*DW166*DZ166*VLOOKUP('Données projet'!$B$14,Paramètres!$A$1:$I$89,3,0)*0.475*44/12</f>
        <v>1.3412875139041205E-19</v>
      </c>
      <c r="ED166" s="22">
        <f t="shared" si="178"/>
        <v>0.31302041720303192</v>
      </c>
      <c r="EE166" s="75">
        <f>('Scénario référence'!$F$8+'Scénario référence'!$F$9+'Scénario référence'!$B$17+'Scénario référence'!$B$9+'Scénario référence'!$B$10)*70+IF((45+25*(1-EXP(-0.0175*A166)))&lt;70,'Scénario référence'!$B$16*(45+25*(1-EXP(-0.0175*A166))),70*'Scénario référence'!$B$16)+IF((32+38*(1-EXP(-0.0175*A166)))&lt;70,'Scénario référence'!$B$18*(32+38*(1-EXP(-0.0175*A166))),70*'Scénario référence'!$B$18)</f>
        <v>70</v>
      </c>
      <c r="EF166" s="12">
        <f>IF(A166&gt;30,10,('Scénario référence'!$B$16+'Scénario référence'!$B$17+'Scénario référence'!$B$18+'Scénario référence'!$B$9+'Scénario référence'!$B$10)*A166*10/30+('Scénario référence'!$F$8+'Scénario référence'!$F$9)*10)</f>
        <v>10</v>
      </c>
      <c r="EG166" s="12" t="e">
        <f>VLOOKUP(A166,'Données projet'!$A$191:$I$211,2,0)</f>
        <v>#N/A</v>
      </c>
      <c r="EH166" s="12" t="e">
        <f>VLOOKUP(A166,'Données projet'!$A$191:$I$211,9,0)</f>
        <v>#N/A</v>
      </c>
      <c r="EI166" s="12">
        <f t="array" ref="EI166">INDEX(EH:EH,MIN(IF(ISNUMBER(EH166:EH362),ROW(EH166:EH362),"")))</f>
        <v>0</v>
      </c>
      <c r="EJ166" s="12">
        <f>IF('Données projet'!$A$192&gt;35,EJ165+EI166-ER165,IF(A166&lt;'Données projet'!$A$192,$EG$205^A166,IF(A166='Données projet'!$A$192,'Données projet'!$B$192,EJ165+EI166-ER165)))</f>
        <v>275.99999999999972</v>
      </c>
      <c r="EK166" s="17">
        <f>EJ166*VLOOKUP('Données projet'!$B$15,Paramètres!$A$1:$I$89,3,0)*VLOOKUP('Données projet'!$B$15,Paramètres!$A$1:$I$89,5,0)</f>
        <v>223.8911999999998</v>
      </c>
      <c r="EL166" s="13">
        <f t="shared" si="179"/>
        <v>54.95975389514858</v>
      </c>
      <c r="EM166" s="20">
        <f t="shared" si="180"/>
        <v>485.66541136738346</v>
      </c>
      <c r="EN166" s="59">
        <f t="shared" si="128"/>
        <v>778.99874470071677</v>
      </c>
      <c r="EO166" s="59">
        <f ca="1">AVERAGE(OFFSET($EN$3,0,0,'Données projet'!$E$15+1,1))-AVERAGE(OFFSET($H$3,0,0,'Données projet'!$E$15+1,1))</f>
        <v>205.5272583787887</v>
      </c>
      <c r="EP166" s="59">
        <f t="shared" si="154"/>
        <v>180.54762778843178</v>
      </c>
      <c r="EQ166" s="15">
        <f>IF(ISNA(VLOOKUP(A166,'Données projet'!$A$191:$I$211,3,0)),0,VLOOKUP(A166,'Données projet'!$A$191:$I$211,3,0))</f>
        <v>0</v>
      </c>
      <c r="ER166" s="15">
        <f>IF(ISNA(VLOOKUP(A166,'Données projet'!$A$191:$I$211,4,0)),0,VLOOKUP(A166,'Données projet'!$A$191:$I$211,4,0))</f>
        <v>0</v>
      </c>
      <c r="ES166" s="16">
        <f>IF(ISNA(VLOOKUP(A166,'Données projet'!$A$191:$I$211,5,0)),0%,VLOOKUP(A166,'Données projet'!$A$191:$I$211,5,0)*VLOOKUP('Données projet'!$B$15,Paramètres!$A$1:$I$89,7,0))</f>
        <v>0</v>
      </c>
      <c r="ET166" s="16">
        <f>IF(ISNA(VLOOKUP(A166,'Données projet'!$A$191:$I$211,6,0)),0%,VLOOKUP(A166,'Données projet'!$A$191:$I$211,6,0)*VLOOKUP('Données projet'!$B$15,Paramètres!$A$1:$I$89,7,0))</f>
        <v>0</v>
      </c>
      <c r="EU166" s="16">
        <f>IF(ISNA(VLOOKUP(A166,'Données projet'!$A$191:$I$211,7,0)),0%,VLOOKUP(A166,'Données projet'!$A$191:$I$211,7,0))</f>
        <v>0</v>
      </c>
      <c r="EV166" s="21">
        <f>EXP(-LN(2)/35)*EV165+(1-EXP(-LN(2)/35))/(LN(2)/35)*ER166*ES166*VLOOKUP('Données projet'!$B$15,Paramètres!$A$1:$I$89,3,0)*0.475*44/12</f>
        <v>7.1978513341791367E-2</v>
      </c>
      <c r="EW166" s="21">
        <f>EXP(-LN(2)/25)*EW165+(1-EXP(-LN(2)/25))/(LN(2)/25)*Calculateur!ER166*Calculateur!ET166*VLOOKUP('Données projet'!$B$15,Paramètres!$A$1:$I$89,3,0)*0.475*44/12</f>
        <v>0.14528656291568862</v>
      </c>
      <c r="EX166" s="21">
        <f>EXP(-LN(2)/2)*EX165+(1-EXP(-LN(2)/2))/(LN(2)/2)*ER166*EU166*VLOOKUP('Données projet'!$B$15,Paramètres!$A$1:$I$89,3,0)*0.475*44/12</f>
        <v>8.6848465703605549E-20</v>
      </c>
      <c r="EY166" s="22">
        <f t="shared" si="181"/>
        <v>0.21726507625747998</v>
      </c>
      <c r="EZ166" s="75">
        <f>('Scénario référence'!$F$8+'Scénario référence'!$F$9+'Scénario référence'!$B$17+'Scénario référence'!$B$9+'Scénario référence'!$B$10)*70+IF((45+25*(1-EXP(-0.0175*A166)))&lt;70,'Scénario référence'!$B$16*(45+25*(1-EXP(-0.0175*A166))),70*'Scénario référence'!$B$16)+IF((32+38*(1-EXP(-0.0175*A166)))&lt;70,'Scénario référence'!$B$18*(32+38*(1-EXP(-0.0175*A166))),70*'Scénario référence'!$B$18)</f>
        <v>70</v>
      </c>
      <c r="FA166" s="12">
        <f>IF(A166&gt;30,10,('Scénario référence'!$B$16+'Scénario référence'!$B$17+'Scénario référence'!$B$18+'Scénario référence'!$B$9+'Scénario référence'!$B$10)*A166*10/30+('Scénario référence'!$F$8+'Scénario référence'!$F$9)*10)</f>
        <v>10</v>
      </c>
      <c r="FB166" s="12" t="e">
        <f>VLOOKUP(A166,'Données projet'!$A$217:$I$237,2,0)</f>
        <v>#N/A</v>
      </c>
      <c r="FC166" s="12" t="e">
        <f>VLOOKUP(A166,'Données projet'!$A$217:$I$237,9,0)</f>
        <v>#N/A</v>
      </c>
      <c r="FD166" s="12">
        <f t="array" ref="FD166">INDEX(FC:FC,MIN(IF(ISNUMBER(FC166:FC362),ROW(FC166:FC362),"")))</f>
        <v>0</v>
      </c>
      <c r="FE166" s="12">
        <f>IF('Données projet'!$A$218&gt;35,FE165+FD166-FM165,IF(A166&lt;'Données projet'!$A$218,$FB$205^A166,IF(A166='Données projet'!$A$218,'Données projet'!$B$218,FE165+FD166-FM165)))</f>
        <v>418.99999999999983</v>
      </c>
      <c r="FF166" s="17">
        <f>FE166*VLOOKUP('Données projet'!$B$16,Paramètres!$A$1:$I$89,3,0)*VLOOKUP('Données projet'!$B$16,Paramètres!$A$1:$I$89,5,0)</f>
        <v>359.5019999999999</v>
      </c>
      <c r="FG166" s="13">
        <f t="shared" si="182"/>
        <v>83.516011055432813</v>
      </c>
      <c r="FH166" s="20">
        <f t="shared" si="183"/>
        <v>771.58970258821194</v>
      </c>
      <c r="FI166" s="59">
        <f t="shared" si="131"/>
        <v>1064.9230359215453</v>
      </c>
      <c r="FJ166" s="59">
        <f ca="1">AVERAGE(OFFSET($FI$3,0,0,'Données projet'!$E$16+1,1))-AVERAGE(OFFSET($H$3,0,0,'Données projet'!$E$16+1,1))</f>
        <v>383.97627237444709</v>
      </c>
      <c r="FK166" s="59">
        <f t="shared" si="156"/>
        <v>203.35476578922339</v>
      </c>
      <c r="FL166" s="15">
        <f>IF(ISNA(VLOOKUP(A166,'Données projet'!$A$217:$I$237,3,0)),0,VLOOKUP(A166,'Données projet'!$A$217:$I$237,3,0))</f>
        <v>0</v>
      </c>
      <c r="FM166" s="15">
        <f>IF(ISNA(VLOOKUP(A166,'Données projet'!$A$217:$I$237,4,0)),0,VLOOKUP(A166,'Données projet'!$A$217:$I$237,4,0))</f>
        <v>0</v>
      </c>
      <c r="FN166" s="16">
        <f>IF(ISNA(VLOOKUP(A166,'Données projet'!$A$217:$I$237,5,0)),0%,VLOOKUP(A166,'Données projet'!$A$217:$I$237,5,0)*VLOOKUP('Données projet'!$B$16,Paramètres!$A$1:$I$89,7,0))</f>
        <v>0</v>
      </c>
      <c r="FO166" s="16">
        <f>IF(ISNA(VLOOKUP(A166,'Données projet'!$A$217:$I$237,6,0)),0%,VLOOKUP(A166,'Données projet'!$A$217:$I$237,6,0)*VLOOKUP('Données projet'!$B$16,Paramètres!$A$1:$I$89,7,0))</f>
        <v>0</v>
      </c>
      <c r="FP166" s="16">
        <f>IF(ISNA(VLOOKUP(A166,'Données projet'!$A$217:$I$237,7,0)),0%,VLOOKUP(A166,'Données projet'!$A$217:$I$237,7,0))</f>
        <v>0</v>
      </c>
      <c r="FQ166" s="21">
        <f>EXP(-LN(2)/35)*FQ165+(1-EXP(-LN(2)/35))/(LN(2)/35)*FM166*FN166*VLOOKUP('Données projet'!$B$16,Paramètres!$A$1:$I$89,3,0)*0.475*44/12</f>
        <v>0.36993050872283195</v>
      </c>
      <c r="FR166" s="21">
        <f>EXP(-LN(2)/25)*FR165+(1-EXP(-LN(2)/25))/(LN(2)/25)*Calculateur!FM166*Calculateur!FO166*VLOOKUP('Données projet'!$B$16,Paramètres!$A$1:$I$89,3,0)*0.475*44/12</f>
        <v>0.1474808781528536</v>
      </c>
      <c r="FS166" s="21">
        <f>EXP(-LN(2)/2)*FS165+(1-EXP(-LN(2)/2))/(LN(2)/2)*FM166*FP166*VLOOKUP('Données projet'!$B$16,Paramètres!$A$1:$I$89,3,0)*0.475*44/12</f>
        <v>1.5952280761178525E-19</v>
      </c>
      <c r="FT166" s="22">
        <f t="shared" si="184"/>
        <v>0.51741138687568555</v>
      </c>
      <c r="FU166" s="75">
        <f>('Scénario référence'!$F$8+'Scénario référence'!$F$9+'Scénario référence'!$B$17+'Scénario référence'!$B$9+'Scénario référence'!$B$10)*70+IF((45+25*(1-EXP(-0.0175*A166)))&lt;70,'Scénario référence'!$B$16*(45+25*(1-EXP(-0.0175*A166))),70*'Scénario référence'!$B$16)+IF((32+38*(1-EXP(-0.0175*A166)))&lt;70,'Scénario référence'!$B$18*(32+38*(1-EXP(-0.0175*A166))),70*'Scénario référence'!$B$18)</f>
        <v>70</v>
      </c>
      <c r="FV166" s="12">
        <f>IF(A166&gt;30,10,('Scénario référence'!$B$16+'Scénario référence'!$B$17+'Scénario référence'!$B$18+'Scénario référence'!$B$9+'Scénario référence'!$B$10)*A166*10/30+('Scénario référence'!$F$8+'Scénario référence'!$F$9)*10)</f>
        <v>10</v>
      </c>
      <c r="FW166" s="12" t="e">
        <f>VLOOKUP(A166,'Données projet'!$A$243:$I$263,2,0)</f>
        <v>#N/A</v>
      </c>
      <c r="FX166" s="12" t="e">
        <f>VLOOKUP(A166,'Données projet'!$A$243:$I$263,9,0)</f>
        <v>#N/A</v>
      </c>
      <c r="FY166" s="12">
        <f t="array" ref="FY166">INDEX(FX:FX,MIN(IF(ISNUMBER(FX166:FX362),ROW(FX166:FX362),"")))</f>
        <v>0</v>
      </c>
      <c r="FZ166" s="12">
        <f>IF('Données projet'!$A$244&gt;35,FZ165+FY166-GH165,IF(A166&lt;'Données projet'!$A$244,$FW$205^A166,IF(A166='Données projet'!$A$244,'Données projet'!$B$244,FZ165+FY166-GH165)))</f>
        <v>4.5474735088646412E-13</v>
      </c>
      <c r="GA166" s="17">
        <f>FZ166*VLOOKUP('Données projet'!$B$17,Paramètres!$A$1:$I$89,3,0)*VLOOKUP('Données projet'!$B$17,Paramètres!$A$1:$I$89,5,0)</f>
        <v>4.8949004849418999E-13</v>
      </c>
      <c r="GB166" s="13">
        <f t="shared" si="185"/>
        <v>6.1123715499968684E-12</v>
      </c>
      <c r="GC166" s="20">
        <f t="shared" si="186"/>
        <v>1.1498242284038591E-11</v>
      </c>
      <c r="GD166" s="59">
        <f t="shared" si="134"/>
        <v>293.3333333333448</v>
      </c>
      <c r="GE166" s="59">
        <f ca="1">AVERAGE(OFFSET($GD$3,0,0,'Données projet'!$E$17+1,1))-AVERAGE(OFFSET($H$3,0,0,'Données projet'!$E$17+1,1))</f>
        <v>286.77702855541287</v>
      </c>
      <c r="GF166" s="59">
        <f t="shared" si="158"/>
        <v>227.12211541860779</v>
      </c>
      <c r="GG166" s="15">
        <f>IF(ISNA(VLOOKUP(A166,'Données projet'!$A$243:$I$263,3,0)),0,VLOOKUP(A166,'Données projet'!$A$243:$I$263,3,0))</f>
        <v>0</v>
      </c>
      <c r="GH166" s="15">
        <f>IF(ISNA(VLOOKUP(A166,'Données projet'!$A$243:$I$263,4,0)),0,VLOOKUP(A166,'Données projet'!$A$243:$I$263,4,0))</f>
        <v>0</v>
      </c>
      <c r="GI166" s="16">
        <f>IF(ISNA(VLOOKUP(A166,'Données projet'!$A$243:$I$263,5,0)),0%,VLOOKUP(A166,'Données projet'!$A$243:$I$263,5,0)*VLOOKUP('Données projet'!$B$17,Paramètres!$A$1:$I$89,7,0))</f>
        <v>0</v>
      </c>
      <c r="GJ166" s="16">
        <f>IF(ISNA(VLOOKUP(A166,'Données projet'!$A$243:$I$263,6,0)),0%,VLOOKUP(A166,'Données projet'!$A$243:$I$263,6,0)*VLOOKUP('Données projet'!$B$17,Paramètres!$A$1:$I$89,7,0))</f>
        <v>0</v>
      </c>
      <c r="GK166" s="16">
        <f>IF(ISNA(VLOOKUP(A166,'Données projet'!$A$243:$I$263,7,0)),0%,VLOOKUP(A166,'Données projet'!$A$243:$I$263,7,0))</f>
        <v>0</v>
      </c>
      <c r="GL166" s="21">
        <f>EXP(-LN(2)/35)*GL165+(1-EXP(-LN(2)/35))/(LN(2)/35)*GH166*GI166*VLOOKUP('Données projet'!$B$17,Paramètres!$A$1:$I$89,3,0)*0.475*44/12</f>
        <v>0</v>
      </c>
      <c r="GM166" s="21">
        <f>EXP(-LN(2)/25)*GM165+(1-EXP(-LN(2)/25))/(LN(2)/25)*Calculateur!GH166*Calculateur!GJ166*VLOOKUP('Données projet'!$B$17,Paramètres!$A$1:$I$89,3,0)*0.475*44/12</f>
        <v>0</v>
      </c>
      <c r="GN166" s="21">
        <f>EXP(-LN(2)/2)*GN165+(1-EXP(-LN(2)/2))/(LN(2)/2)*GH166*GK166*VLOOKUP('Données projet'!$B$17,Paramètres!$A$1:$I$89,3,0)*0.475*44/12</f>
        <v>0</v>
      </c>
      <c r="GO166" s="21">
        <f t="shared" si="187"/>
        <v>0</v>
      </c>
      <c r="GP166" s="75">
        <f>('Scénario référence'!$F$8+'Scénario référence'!$F$9+'Scénario référence'!$B$17+'Scénario référence'!$B$9+'Scénario référence'!$B$10)*70+IF((45+25*(1-EXP(-0.0175*A166)))&lt;70,'Scénario référence'!$B$16*(45+25*(1-EXP(-0.0175*A166))),70*'Scénario référence'!$B$16)+IF((32+38*(1-EXP(-0.0175*A166)))&lt;70,'Scénario référence'!$B$18*(32+38*(1-EXP(-0.0175*A166))),70*'Scénario référence'!$B$18)</f>
        <v>70</v>
      </c>
      <c r="GQ166" s="12">
        <f>IF(A166&gt;30,10,('Scénario référence'!$B$16+'Scénario référence'!$B$17+'Scénario référence'!$B$18+'Scénario référence'!$B$9+'Scénario référence'!$B$10)*A166*10/30+('Scénario référence'!$F$8+'Scénario référence'!$F$9)*10)</f>
        <v>10</v>
      </c>
      <c r="GR166" s="12" t="e">
        <f>VLOOKUP(A166,'Données projet'!$A$269:$I$289,2,0)</f>
        <v>#N/A</v>
      </c>
      <c r="GS166" s="12" t="e">
        <f>VLOOKUP(A166,'Données projet'!$A$269:$I$289,9,0)</f>
        <v>#N/A</v>
      </c>
      <c r="GT166" s="12">
        <f t="array" ref="GT166">INDEX(GS:GS,MIN(IF(ISNUMBER(GS166:GS362),ROW(GS166:GS362),"")))</f>
        <v>0</v>
      </c>
      <c r="GU166" s="12">
        <f>IF('Données projet'!$A$270&gt;35,GU165+GT166-HC165,IF(A166&lt;'Données projet'!$A$270,$GR$205^A166,IF(A166='Données projet'!$A$270,'Données projet'!$B$270,GU165+GT166-HC165)))</f>
        <v>4.5474735088646412E-13</v>
      </c>
      <c r="GV166" s="17">
        <f>GU166*VLOOKUP('Données projet'!$B$18,Paramètres!$A$1:$I$89,3,0)*VLOOKUP('Données projet'!$B$18,Paramètres!$A$1:$I$89,5,0)</f>
        <v>4.8949004849418999E-13</v>
      </c>
      <c r="GW166" s="13">
        <f t="shared" si="188"/>
        <v>6.1123715499968684E-12</v>
      </c>
      <c r="GX166" s="20">
        <f t="shared" si="189"/>
        <v>1.1498242284038591E-11</v>
      </c>
      <c r="GY166" s="59">
        <f t="shared" si="137"/>
        <v>293.3333333333448</v>
      </c>
      <c r="GZ166" s="59">
        <f ca="1">AVERAGE(OFFSET($GY$3,0,0,'Données projet'!$E$18+1,1))-AVERAGE(OFFSET($H$3,0,0,'Données projet'!$E$18+1,1))</f>
        <v>286.77702855541287</v>
      </c>
      <c r="HA166" s="59">
        <f t="shared" si="160"/>
        <v>227.12211541860779</v>
      </c>
      <c r="HB166" s="15">
        <f>IF(ISNA(VLOOKUP(A166,'Données projet'!$A$269:$I$289,3,0)),0,VLOOKUP(A166,'Données projet'!$A$269:$I$289,3,0))</f>
        <v>0</v>
      </c>
      <c r="HC166" s="15">
        <f>IF(ISNA(VLOOKUP(A166,'Données projet'!$A$269:$I$289,4,0)),0,VLOOKUP(A166,'Données projet'!$A$269:$I$289,4,0))</f>
        <v>0</v>
      </c>
      <c r="HD166" s="16">
        <f>IF(ISNA(VLOOKUP(A166,'Données projet'!$A$269:$I$289,5,0)),0%,VLOOKUP(A166,'Données projet'!$A$269:$I$289,5,0)*VLOOKUP('Données projet'!$B$18,Paramètres!$A$1:$I$89,7,0))</f>
        <v>0</v>
      </c>
      <c r="HE166" s="16">
        <f>IF(ISNA(VLOOKUP(A166,'Données projet'!$A$269:$I$289,6,0)),0%,VLOOKUP(A166,'Données projet'!$A$269:$I$289,6,0)*VLOOKUP('Données projet'!$B$18,Paramètres!$A$1:$I$89,7,0))</f>
        <v>0</v>
      </c>
      <c r="HF166" s="16">
        <f>IF(ISNA(VLOOKUP(A166,'Données projet'!$A$269:$I$289,7,0)),0%,VLOOKUP(A166,'Données projet'!$A$269:$I$289,7,0))</f>
        <v>0</v>
      </c>
      <c r="HG166" s="21">
        <f>EXP(-LN(2)/35)*HG165+(1-EXP(-LN(2)/35))/(LN(2)/35)*HC166*HD166*VLOOKUP('Données projet'!$B$18,Paramètres!$A$1:$I$89,3,0)*0.475*44/12</f>
        <v>0</v>
      </c>
      <c r="HH166" s="21">
        <f>EXP(-LN(2)/25)*HH165+(1-EXP(-LN(2)/25))/(LN(2)/25)*Calculateur!HC166*Calculateur!HE166*VLOOKUP('Données projet'!$B$18,Paramètres!$A$1:$I$89,3,0)*0.475*44/12</f>
        <v>0</v>
      </c>
      <c r="HI166" s="21">
        <f>EXP(-LN(2)/2)*HI165+(1-EXP(-LN(2)/2))/(LN(2)/2)*HC166*HF166*VLOOKUP('Données projet'!$B$18,Paramètres!$A$1:$I$89,3,0)*0.475*44/12</f>
        <v>0</v>
      </c>
      <c r="HJ166" s="22">
        <f t="shared" si="190"/>
        <v>0</v>
      </c>
    </row>
    <row r="167" spans="1:218" x14ac:dyDescent="0.25">
      <c r="A167" s="10">
        <f t="shared" si="161"/>
        <v>164</v>
      </c>
      <c r="B167" s="73">
        <f>'Scénario référence'!$B$16*5+'Scénario référence'!$B$17*0+'Scénario référence'!$B$18*5</f>
        <v>0</v>
      </c>
      <c r="C167" s="19">
        <f>Calculateur!C166+'Scénario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145.8288</v>
      </c>
      <c r="D167" s="11">
        <f t="shared" si="140"/>
        <v>37.629115201395898</v>
      </c>
      <c r="E16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67" s="11">
        <f>IF(OR('Scénario référence'!$F$8&gt;0,'Scénario référence'!$F$9&gt;0),('Scénario référence'!$F$8+'Scénario référence'!$F$9)*10,0)</f>
        <v>10</v>
      </c>
      <c r="G167" s="11">
        <f>'Scénario référence'!$B$8*B167*44/12+'Scénario référence'!$B$9*(C167+D167)/0.475*44/12+'Scénario référence'!$B$10*(C167+D167)/0.475*44/12+'Scénario référence'!$F$8*(C167+D167)/0.475*44/12+'Scénario référence'!$F$9*(C167+D167)/0.475*44/12</f>
        <v>1416.1663629581437</v>
      </c>
      <c r="H167" s="67">
        <f t="shared" si="110"/>
        <v>612.85586897576445</v>
      </c>
      <c r="I167" s="70">
        <f>('Scénario référence'!$F$8+'Scénario référence'!$F$9+'Scénario référence'!$B$17+'Scénario référence'!$B$9+'Scénario référence'!$B$10)*70+IF((45+25*(1-EXP(-0.0175*A167)))&lt;70,'Scénario référence'!$B$16*(45+25*(1-EXP(-0.0175*A167))),70*'Scénario référence'!$B$16)+IF((32+38*(1-EXP(-0.0175*A167)))&lt;70,'Scénario référence'!$B$18*(32+38*(1-EXP(-0.0175*A167))),70*'Scénario référence'!$B$18)</f>
        <v>70</v>
      </c>
      <c r="J167" s="13">
        <f>IF(A167&gt;30,10,('Scénario référence'!$B$16+'Scénario référence'!$B$17+'Scénario référence'!$B$18+'Scénario référence'!$B$9+'Scénario référence'!$B$10)*A167*10/30+('Scénario référence'!$F$8+'Scénario référence'!$F$9)*10)</f>
        <v>10</v>
      </c>
      <c r="K167" s="12" t="e">
        <f>VLOOKUP(A167,'Données projet'!$A$35:$I$55,2,0)</f>
        <v>#N/A</v>
      </c>
      <c r="L167" s="12" t="e">
        <f>VLOOKUP(A167,'Données projet'!$A$35:$I$55,9,0)</f>
        <v>#N/A</v>
      </c>
      <c r="M167" s="12">
        <f t="array" ref="M167">INDEX(L:L,MIN(IF(ISNUMBER(L167:L363),ROW(L167:L363),"")))</f>
        <v>0</v>
      </c>
      <c r="N167" s="13">
        <f>IF('Données projet'!$A$36&gt;35,N166+M167-V166,IF(A167&lt;'Données projet'!$A$36,$K$205^A167,IF(A167='Données projet'!$A$36,'Données projet'!$B$36,N166+M167-V166)))</f>
        <v>-2.2737367544323206E-13</v>
      </c>
      <c r="O167" s="13">
        <f>N167*VLOOKUP('Données projet'!$B$9,Paramètres!$A$1:$I$89,3,0)*VLOOKUP('Données projet'!$B$9,Paramètres!$A$1:$I$89,5,0)</f>
        <v>-1.2710188457276673E-13</v>
      </c>
      <c r="P167" s="13" t="e">
        <f t="shared" si="141"/>
        <v>#NUM!</v>
      </c>
      <c r="Q167" s="20" t="e">
        <f t="shared" si="162"/>
        <v>#NUM!</v>
      </c>
      <c r="R167" s="59" t="e">
        <f t="shared" si="109"/>
        <v>#NUM!</v>
      </c>
      <c r="S167" s="59">
        <f ca="1">AVERAGE(OFFSET($R$3,0,0,'Données projet'!$E$9+1,1))-AVERAGE(OFFSET($H$3,0,0,'Données projet'!$E$9+1,1))</f>
        <v>255.5374979188561</v>
      </c>
      <c r="T167" s="59">
        <f t="shared" si="142"/>
        <v>343.10418468620901</v>
      </c>
      <c r="U167" s="15">
        <f>IF(ISNA(VLOOKUP(A167,'Données projet'!$A$35:$I$55,3,0)),0,VLOOKUP(A167,'Données projet'!$A$35:$I$55,3,0))</f>
        <v>0</v>
      </c>
      <c r="V167" s="15">
        <f>IF(ISNA(VLOOKUP(A167,'Données projet'!$A$35:$I$55,4,0)),0,VLOOKUP(A167,'Données projet'!$A$35:$I$55,4,0))</f>
        <v>0</v>
      </c>
      <c r="W167" s="16">
        <f>IF(ISNA(VLOOKUP(A167,'Données projet'!$A$35:$I$55,5,0)),0%,VLOOKUP(A167,'Données projet'!$A$35:$I$55,5,0)*VLOOKUP('Données projet'!$B$9,Paramètres!$A$1:$I$89,7,0))</f>
        <v>0</v>
      </c>
      <c r="X167" s="16">
        <f>IF(ISNA(VLOOKUP(A167,'Données projet'!$A$35:$I$55,6,0)),0%,VLOOKUP(A167,'Données projet'!$A$35:$I$55,6,0)*VLOOKUP('Données projet'!$B$9,Paramètres!$A$1:$I$89,7,0))</f>
        <v>0</v>
      </c>
      <c r="Y167" s="16">
        <f>IF(ISNA(VLOOKUP(A167,'Données projet'!$A$35:$I$55,7,0)),0%,VLOOKUP(A167,'Données projet'!$A$35:$I$55,7,0))</f>
        <v>0</v>
      </c>
      <c r="Z167" s="21">
        <f>EXP(-LN(2)/35)*Z166+(1-EXP(-LN(2)/35))/(LN(2)/35)*V167*W167*VLOOKUP('Données projet'!$B$9,Paramètres!$A$1:$I$89,3,0)*0.475*44/12</f>
        <v>0.21749505126546242</v>
      </c>
      <c r="AA167" s="21">
        <f>EXP(-LN(2)/25)*AA166+(1-EXP(-LN(2)/25))/(LN(2)/25)*Calculateur!V167*Calculateur!X167*VLOOKUP('Données projet'!$B$9,Paramètres!$A$1:$I$89,3,0)*0.475*44/12</f>
        <v>0.38861464364087361</v>
      </c>
      <c r="AB167" s="21">
        <f>EXP(-LN(2)/2)*AB166+(1-EXP(-LN(2)/2))/(LN(2)/2)*V167*Y167*VLOOKUP('Données projet'!$B$9,Paramètres!$A$1:$I$89,3,0)*0.475*44/12</f>
        <v>1.1469856636288782E-20</v>
      </c>
      <c r="AC167" s="22">
        <f t="shared" si="163"/>
        <v>0.60610969490633604</v>
      </c>
      <c r="AD167" s="13">
        <f>('Scénario référence'!$F$8+'Scénario référence'!$F$9+'Scénario référence'!$B$17+'Scénario référence'!$B$9+'Scénario référence'!$B$10)*70+IF((45+25*(1-EXP(-0.0175*A167)))&lt;70,'Scénario référence'!$B$16*(45+25*(1-EXP(-0.0175*A167))),70*'Scénario référence'!$B$16)+IF((32+38*(1-EXP(-0.0175*A167)))&lt;70,'Scénario référence'!$B$18*(32+38*(1-EXP(-0.0175*A167))),70*'Scénario référence'!$B$18)</f>
        <v>70</v>
      </c>
      <c r="AE167" s="13">
        <f>IF(A167&gt;30,10,('Scénario référence'!$B$16+'Scénario référence'!$B$17+'Scénario référence'!$B$18+'Scénario référence'!$B$9+'Scénario référence'!$B$10)*A167*10/30+('Scénario référence'!$F$8+'Scénario référence'!$F$9)*10)</f>
        <v>10</v>
      </c>
      <c r="AF167" s="12" t="e">
        <f>VLOOKUP(A167,'Données projet'!$A$61:$I$81,2,0)</f>
        <v>#N/A</v>
      </c>
      <c r="AG167" s="12" t="e">
        <f>VLOOKUP(A167,'Données projet'!$A$61:$I$81,9,0)</f>
        <v>#N/A</v>
      </c>
      <c r="AH167" s="12">
        <f t="array" ref="AH167">INDEX(AG:AG,MIN(IF(ISNUMBER(AG167:AG363),ROW(AG167:AG363),"")))</f>
        <v>0</v>
      </c>
      <c r="AI167" s="13">
        <f>IF('Données projet'!$A$62&gt;35,AI166+AH167-AQ166,IF(A167&lt;'Données projet'!$A$62,$AF$205^A167,IF(A167='Données projet'!$A$62,'Données projet'!$B$62,AI166+AH167-AQ166)))</f>
        <v>0</v>
      </c>
      <c r="AJ167" s="13">
        <f>AI167*VLOOKUP('Données projet'!$B$10,Paramètres!$A$1:$I$89,3,0)*VLOOKUP('Données projet'!$B$10,Paramètres!$A$1:$I$89,5,0)</f>
        <v>0</v>
      </c>
      <c r="AK167" s="13" t="e">
        <f t="shared" si="164"/>
        <v>#NUM!</v>
      </c>
      <c r="AL167" s="20" t="e">
        <f t="shared" si="165"/>
        <v>#NUM!</v>
      </c>
      <c r="AM167" s="59" t="e">
        <f t="shared" si="113"/>
        <v>#NUM!</v>
      </c>
      <c r="AN167" s="59">
        <f ca="1">AVERAGE(OFFSET($AM$3,0,0,'Données projet'!$E$10+1,1))-AVERAGE(OFFSET($H$3,0,0,'Données projet'!$E$10+1,1))</f>
        <v>261.78489480911571</v>
      </c>
      <c r="AO167" s="59">
        <f t="shared" si="144"/>
        <v>297.50513563712764</v>
      </c>
      <c r="AP167" s="15">
        <f>IF(ISNA(VLOOKUP(A167,'Données projet'!$A$61:$I$81,3,0)),0,VLOOKUP(A167,'Données projet'!$A$61:$I$81,3,0))</f>
        <v>0</v>
      </c>
      <c r="AQ167" s="15">
        <f>IF(ISNA(VLOOKUP(A167,'Données projet'!$A$61:$I$81,4,0)),0,VLOOKUP(A167,'Données projet'!$A$61:$I$81,4,0))</f>
        <v>0</v>
      </c>
      <c r="AR167" s="16">
        <f>IF(ISNA(VLOOKUP(A167,'Données projet'!$A$61:$I$81,5,0)),0%,VLOOKUP(A167,'Données projet'!$A$61:$I$81,5,0)*VLOOKUP('Données projet'!$B$10,Paramètres!$A$1:$I$89,7,0))</f>
        <v>0</v>
      </c>
      <c r="AS167" s="16">
        <f>IF(ISNA(VLOOKUP(A167,'Données projet'!$A$61:$I$81,6,0)),0%,VLOOKUP(A167,'Données projet'!$A$61:$I$81,6,0)*VLOOKUP('Données projet'!$B$10,Paramètres!$A$1:$I$89,7,0))</f>
        <v>0</v>
      </c>
      <c r="AT167" s="16">
        <f>IF(ISNA(VLOOKUP(A167,'Données projet'!$A$61:$I$81,7,0)),0%,VLOOKUP(A167,'Données projet'!$A$61:$I$81,7,0))</f>
        <v>0</v>
      </c>
      <c r="AU167" s="21">
        <f>EXP(-LN(2)/35)*AU166+(1-EXP(-LN(2)/35))/(LN(2)/35)*AQ167*AR167*VLOOKUP('Données projet'!$B$10,Paramètres!$A$1:$I$89,3,0)*0.475*44/12</f>
        <v>0.58729815659693441</v>
      </c>
      <c r="AV167" s="21">
        <f>EXP(-LN(2)/25)*AV166+(1-EXP(-LN(2)/25))/(LN(2)/25)*Calculateur!AQ167*Calculateur!AS167*VLOOKUP('Données projet'!$B$10,Paramètres!$A$1:$I$89,3,0)*0.475*44/12</f>
        <v>0.67860042997957404</v>
      </c>
      <c r="AW167" s="21">
        <f>EXP(-LN(2)/2)*AW166+(1-EXP(-LN(2)/2))/(LN(2)/2)*AQ167*AT167*VLOOKUP('Données projet'!$B$10,Paramètres!$A$1:$I$89,3,0)*0.475*44/12</f>
        <v>1.6534890276171185E-19</v>
      </c>
      <c r="AX167" s="21">
        <f t="shared" si="166"/>
        <v>1.2658985865765084</v>
      </c>
      <c r="AY167" s="74">
        <f>('Scénario référence'!$F$8+'Scénario référence'!$F$9+'Scénario référence'!$B$17+'Scénario référence'!$B$9+'Scénario référence'!$B$10)*70+IF((45+25*(1-EXP(-0.0175*A167)))&lt;70,'Scénario référence'!$B$16*(45+25*(1-EXP(-0.0175*A167))),70*'Scénario référence'!$B$16)+IF((32+38*(1-EXP(-0.0175*A167)))&lt;70,'Scénario référence'!$B$18*(32+38*(1-EXP(-0.0175*A167))),70*'Scénario référence'!$B$18)</f>
        <v>70</v>
      </c>
      <c r="AZ167" s="12">
        <f>IF(A167&gt;30,10,('Scénario référence'!$B$16+'Scénario référence'!$B$17+'Scénario référence'!$B$18+'Scénario référence'!$B$9+'Scénario référence'!$B$10)*A167*10/30+('Scénario référence'!$F$8+'Scénario référence'!$F$9)*10)</f>
        <v>10</v>
      </c>
      <c r="BA167" s="12" t="e">
        <f>VLOOKUP(A167,'Données projet'!$A$87:$I$107,2,0)</f>
        <v>#N/A</v>
      </c>
      <c r="BB167" s="12" t="e">
        <f>VLOOKUP(A167,'Données projet'!$A$87:$I$107,9,0)</f>
        <v>#N/A</v>
      </c>
      <c r="BC167" s="12">
        <f t="array" ref="BC167">INDEX(BB:BB,MIN(IF(ISNUMBER(BB167:BB363),ROW(BB167:BB363),"")))</f>
        <v>0</v>
      </c>
      <c r="BD167" s="12">
        <f>IF('Données projet'!$A$88&gt;35,BD166+BC167-BL166,IF(A167&lt;'Données projet'!$A$88,$BA$205^A167,IF(A167='Données projet'!$A$88,'Données projet'!$B$88,BD166+BC167-BL166)))</f>
        <v>553.99999999999955</v>
      </c>
      <c r="BE167" s="13">
        <f>BD167*VLOOKUP('Données projet'!$B$11,Paramètres!$A$1:$I$89,3,0)*VLOOKUP('Données projet'!$B$11,Paramètres!$A$1:$I$89,5,0)</f>
        <v>331.29199999999975</v>
      </c>
      <c r="BF167" s="13">
        <f t="shared" si="167"/>
        <v>77.698110787752</v>
      </c>
      <c r="BG167" s="20">
        <f t="shared" si="168"/>
        <v>712.32444295533423</v>
      </c>
      <c r="BH167" s="59">
        <f t="shared" si="116"/>
        <v>1005.6577762886675</v>
      </c>
      <c r="BI167" s="59">
        <f ca="1">AVERAGE(OFFSET($BH$3,0,0,'Données projet'!$E$11+1,1))-AVERAGE(OFFSET($H$3,0,0,'Données projet'!$E$11+1,1))</f>
        <v>316.58509520829671</v>
      </c>
      <c r="BJ167" s="59">
        <f t="shared" si="146"/>
        <v>240.71332110643596</v>
      </c>
      <c r="BK167" s="15">
        <f>IF(ISNA(VLOOKUP(A167,'Données projet'!$A$87:$I$107,3,0)),0,VLOOKUP(A167,'Données projet'!$A$87:$I$107,3,0))</f>
        <v>0</v>
      </c>
      <c r="BL167" s="15">
        <f>IF(ISNA(VLOOKUP(A167,'Données projet'!$A$87:$I$107,4,0)),0,VLOOKUP(A167,'Données projet'!$A$87:$I$107,4,0))</f>
        <v>0</v>
      </c>
      <c r="BM167" s="16">
        <f>IF(ISNA(VLOOKUP(A167,'Données projet'!$A$87:$I$107,5,0)),0%,VLOOKUP(A167,'Données projet'!$A$87:$I$107,5,0)*VLOOKUP('Données projet'!$B$11,Paramètres!$A$1:$I$89,7,0))</f>
        <v>0</v>
      </c>
      <c r="BN167" s="16">
        <f>IF(ISNA(VLOOKUP(A167,'Données projet'!$A$87:$I$107,6,0)),0%,VLOOKUP(A167,'Données projet'!$A$87:$I$107,6,0)*VLOOKUP('Données projet'!$B$11,Paramètres!$A$1:$I$89,7,0))</f>
        <v>0</v>
      </c>
      <c r="BO167" s="16">
        <f>IF(ISNA(VLOOKUP(A167,'Données projet'!$A$87:$I$107,7,0)),0%,VLOOKUP(A167,'Données projet'!$A$87:$I$107,7,0))</f>
        <v>0</v>
      </c>
      <c r="BP167" s="21">
        <f>EXP(-LN(2)/35)*BP166+(1-EXP(-LN(2)/35))/(LN(2)/35)*BL167*BM167*VLOOKUP('Données projet'!$B$11,Paramètres!$A$1:$I$89,3,0)*0.475*44/12</f>
        <v>0.17839618484426989</v>
      </c>
      <c r="BQ167" s="21">
        <f>EXP(-LN(2)/25)*BQ166+(1-EXP(-LN(2)/25))/(LN(2)/25)*Calculateur!BL167*Calculateur!BN167*VLOOKUP('Données projet'!$B$11,Paramètres!$A$1:$I$89,3,0)*0.475*44/12</f>
        <v>0.37175711579812942</v>
      </c>
      <c r="BR167" s="21">
        <f>EXP(-LN(2)/2)*BR166+(1-EXP(-LN(2)/2))/(LN(2)/2)*BL167*BO167*VLOOKUP('Données projet'!$B$11,Paramètres!$A$1:$I$89,3,0)*0.475*44/12</f>
        <v>1.4866677137219747E-19</v>
      </c>
      <c r="BS167" s="22">
        <f t="shared" si="169"/>
        <v>0.55015330064239931</v>
      </c>
      <c r="BT167" s="75">
        <f>('Scénario référence'!$F$8+'Scénario référence'!$F$9+'Scénario référence'!$B$17+'Scénario référence'!$B$9+'Scénario référence'!$B$10)*70+IF((45+25*(1-EXP(-0.0175*A167)))&lt;70,'Scénario référence'!$B$16*(45+25*(1-EXP(-0.0175*A167))),70*'Scénario référence'!$B$16)+IF((32+38*(1-EXP(-0.0175*A167)))&lt;70,'Scénario référence'!$B$18*(32+38*(1-EXP(-0.0175*A167))),70*'Scénario référence'!$B$18)</f>
        <v>70</v>
      </c>
      <c r="BU167" s="12">
        <f>IF(A167&gt;30,10,('Scénario référence'!$B$16+'Scénario référence'!$B$17+'Scénario référence'!$B$18+'Scénario référence'!$B$9+'Scénario référence'!$B$10)*A167*10/30+('Scénario référence'!$F$8+'Scénario référence'!$F$9)*10)</f>
        <v>10</v>
      </c>
      <c r="BV167" s="12" t="e">
        <f>VLOOKUP(A167,'Données projet'!$A$113:$I$133,2,0)</f>
        <v>#N/A</v>
      </c>
      <c r="BW167" s="12" t="e">
        <f>VLOOKUP(A167,'Données projet'!$A$113:$I$133,9,0)</f>
        <v>#N/A</v>
      </c>
      <c r="BX167" s="12">
        <f t="array" ref="BX167">INDEX(BW:BW,MIN(IF(ISNUMBER(BW167:BW363),ROW(BW167:BW363),"")))</f>
        <v>0</v>
      </c>
      <c r="BY167" s="12">
        <f>IF('Données projet'!$A$114&gt;35,BY166+BX167-CG166,IF(A167&lt;'Données projet'!$A$114,$BV$205^A167,IF(A167='Données projet'!$A$114,'Données projet'!$B$114,BY166+BX167-CG166)))</f>
        <v>333.99999999999977</v>
      </c>
      <c r="BZ167" s="13">
        <f>BY167*VLOOKUP('Données projet'!$B$12,Paramètres!$A$1:$I$89,3,0)*VLOOKUP('Données projet'!$B$12,Paramètres!$A$1:$I$89,5,0)</f>
        <v>191.04799999999986</v>
      </c>
      <c r="CA167" s="13">
        <f t="shared" si="170"/>
        <v>47.771576544305155</v>
      </c>
      <c r="CB167" s="20">
        <f t="shared" si="171"/>
        <v>415.94409581466454</v>
      </c>
      <c r="CC167" s="59">
        <f t="shared" si="119"/>
        <v>709.27742914799785</v>
      </c>
      <c r="CD167" s="59">
        <f ca="1">AVERAGE(OFFSET($CC$3,0,0,'Données projet'!$E$12+1,1))-AVERAGE(OFFSET($H$3,0,0,'Données projet'!$E$12+1,1))</f>
        <v>188.64374818906128</v>
      </c>
      <c r="CE167" s="59">
        <f t="shared" si="148"/>
        <v>211.95157880548652</v>
      </c>
      <c r="CF167" s="15">
        <f>IF(ISNA(VLOOKUP(A167,'Données projet'!$A$113:$I$133,3,0)),0,VLOOKUP(A167,'Données projet'!$A$113:$I$133,3,0))</f>
        <v>0</v>
      </c>
      <c r="CG167" s="15">
        <f>IF(ISNA(VLOOKUP(A167,'Données projet'!$A$113:$I$133,4,0)),0,VLOOKUP(A167,'Données projet'!$A$113:$I$133,4,0))</f>
        <v>0</v>
      </c>
      <c r="CH167" s="16">
        <f>IF(ISNA(VLOOKUP(A167,'Données projet'!$A$113:$I$133,5,0)),0%,VLOOKUP(A167,'Données projet'!$A$113:$I$133,5,0)*VLOOKUP('Données projet'!$B$12,Paramètres!$A$1:$I$89,7,0))</f>
        <v>0</v>
      </c>
      <c r="CI167" s="16">
        <f>IF(ISNA(VLOOKUP(A167,'Données projet'!$A$113:$I$133,6,0)),0%,VLOOKUP(A167,'Données projet'!$A$113:$I$133,6,0)*VLOOKUP('Données projet'!$B$12,Paramètres!$A$1:$I$89,7,0))</f>
        <v>0</v>
      </c>
      <c r="CJ167" s="16">
        <f>IF(ISNA(VLOOKUP(A167,'Données projet'!$A$113:$I$133,7,0)),0%,VLOOKUP(A167,'Données projet'!$A$113:$I$133,7,0))</f>
        <v>0</v>
      </c>
      <c r="CK167" s="21">
        <f>EXP(-LN(2)/35)*CK166+(1-EXP(-LN(2)/35))/(LN(2)/35)*CG167*CH167*VLOOKUP('Données projet'!$B$12,Paramètres!$A$1:$I$89,3,0)*0.475*44/12</f>
        <v>0.17304320685445387</v>
      </c>
      <c r="CL167" s="21">
        <f>EXP(-LN(2)/25)*CL166+(1-EXP(-LN(2)/25))/(LN(2)/25)*Calculateur!CG167*Calculateur!CI167*VLOOKUP('Données projet'!$B$12,Paramètres!$A$1:$I$89,3,0)*0.475*44/12</f>
        <v>0.34990621462560695</v>
      </c>
      <c r="CM167" s="21">
        <f>EXP(-LN(2)/2)*CM166+(1-EXP(-LN(2)/2))/(LN(2)/2)*CG167*CJ167*VLOOKUP('Données projet'!$B$12,Paramètres!$A$1:$I$89,3,0)*0.475*44/12</f>
        <v>1.439721362130309E-19</v>
      </c>
      <c r="CN167" s="22">
        <f t="shared" si="172"/>
        <v>0.52294942148006085</v>
      </c>
      <c r="CO167" s="75">
        <f>('Scénario référence'!$F$8+'Scénario référence'!$F$9+'Scénario référence'!$B$17+'Scénario référence'!$B$9+'Scénario référence'!$B$10)*70+IF((45+25*(1-EXP(-0.0175*A167)))&lt;70,'Scénario référence'!$B$16*(45+25*(1-EXP(-0.0175*A167))),70*'Scénario référence'!$B$16)+IF((32+38*(1-EXP(-0.0175*A167)))&lt;70,'Scénario référence'!$B$18*(32+38*(1-EXP(-0.0175*A167))),70*'Scénario référence'!$B$18)</f>
        <v>70</v>
      </c>
      <c r="CP167" s="12">
        <f>IF(A167&gt;30,10,('Scénario référence'!$B$16+'Scénario référence'!$B$17+'Scénario référence'!$B$18+'Scénario référence'!$B$9+'Scénario référence'!$B$10)*A167*10/30+('Scénario référence'!$F$8+'Scénario référence'!$F$9)*10)</f>
        <v>10</v>
      </c>
      <c r="CQ167" s="12" t="e">
        <f>VLOOKUP(A167,'Données projet'!$A$139:$I$159,2,0)</f>
        <v>#N/A</v>
      </c>
      <c r="CR167" s="12" t="e">
        <f>VLOOKUP(A167,'Données projet'!$A$139:$I$159,9,0)</f>
        <v>#N/A</v>
      </c>
      <c r="CS167" s="12">
        <f t="array" ref="CS167">INDEX(CR:CR,MIN(IF(ISNUMBER(CR167:CR363),ROW(CR167:CR363),"")))</f>
        <v>0</v>
      </c>
      <c r="CT167" s="12">
        <f>IF('Données projet'!$A$140&gt;35,CT166+CS167-DB166,IF(A167&lt;'Données projet'!$A$140,$CQ$205^A167,IF(A167='Données projet'!$A$140,'Données projet'!$B$140,CT166+CS167-DB166)))</f>
        <v>0</v>
      </c>
      <c r="CU167" s="17" t="e">
        <f>CT167*VLOOKUP('Données projet'!$B$13,Paramètres!$A$1:$I$89,3,0)*VLOOKUP('Données projet'!$B$13,Paramètres!$A$1:$I$89,5,0)</f>
        <v>#N/A</v>
      </c>
      <c r="CV167" s="13" t="e">
        <f t="shared" si="173"/>
        <v>#N/A</v>
      </c>
      <c r="CW167" s="20" t="e">
        <f t="shared" si="174"/>
        <v>#N/A</v>
      </c>
      <c r="CX167" s="59" t="e">
        <f t="shared" si="122"/>
        <v>#N/A</v>
      </c>
      <c r="CY167" s="59" t="e">
        <f ca="1">AVERAGE(OFFSET($CX$3,0,0,'Données projet'!$E$13+1,1))-AVERAGE(OFFSET($H$3,0,0,'Données projet'!$E$13+1,1))</f>
        <v>#N/A</v>
      </c>
      <c r="CZ167" s="59" t="e">
        <f t="shared" si="150"/>
        <v>#N/A</v>
      </c>
      <c r="DA167" s="15">
        <f>IF(ISNA(VLOOKUP(A167,'Données projet'!$A$139:$I$159,3,0)),0,VLOOKUP(A167,'Données projet'!$A$139:$I$159,3,0))</f>
        <v>0</v>
      </c>
      <c r="DB167" s="15">
        <f>IF(ISNA(VLOOKUP(A167,'Données projet'!$A$139:$I$159,4,0)),0,VLOOKUP(A167,'Données projet'!$A$139:$I$159,4,0))</f>
        <v>0</v>
      </c>
      <c r="DC167" s="16">
        <f>IF(ISNA(VLOOKUP(A167,'Données projet'!$A$139:$I$159,5,0)),0%,VLOOKUP(A167,'Données projet'!$A$139:$I$159,5,0)*VLOOKUP('Données projet'!$B$13,Paramètres!$A$1:$I$89,7,0))</f>
        <v>0</v>
      </c>
      <c r="DD167" s="16">
        <f>IF(ISNA(VLOOKUP(A167,'Données projet'!$A$139:$I$159,6,0)),0%,VLOOKUP(A167,'Données projet'!$A$139:$I$159,6,0)*VLOOKUP('Données projet'!$B$13,Paramètres!$A$1:$I$89,7,0))</f>
        <v>0</v>
      </c>
      <c r="DE167" s="16">
        <f>IF(ISNA(VLOOKUP(A167,'Données projet'!$A$139:$I$159,7,0)),0%,VLOOKUP(A167,'Données projet'!$A$139:$I$159,7,0))</f>
        <v>0</v>
      </c>
      <c r="DF167" s="21" t="e">
        <f>EXP(-LN(2)/35)*DF166+(1-EXP(-LN(2)/35))/(LN(2)/35)*DB167*DC167*VLOOKUP('Données projet'!$B$13,Paramètres!$A$1:$I$89,3,0)*0.475*44/12</f>
        <v>#N/A</v>
      </c>
      <c r="DG167" s="21" t="e">
        <f>EXP(-LN(2)/25)*DG166+(1-EXP(-LN(2)/25))/(LN(2)/25)*Calculateur!DB167*Calculateur!DD167*VLOOKUP('Données projet'!$B$13,Paramètres!$A$1:$I$89,3,0)*0.475*44/12</f>
        <v>#N/A</v>
      </c>
      <c r="DH167" s="21" t="e">
        <f>EXP(-LN(2)/2)*DH166+(1-EXP(-LN(2)/2))/(LN(2)/2)*DB167*DE167*VLOOKUP('Données projet'!$B$13,Paramètres!$A$1:$I$89,3,0)*0.475*44/12</f>
        <v>#N/A</v>
      </c>
      <c r="DI167" s="22" t="e">
        <f t="shared" si="175"/>
        <v>#N/A</v>
      </c>
      <c r="DJ167" s="75">
        <f>('Scénario référence'!$F$8+'Scénario référence'!$F$9+'Scénario référence'!$B$17+'Scénario référence'!$B$9+'Scénario référence'!$B$10)*70+IF((45+25*(1-EXP(-0.0175*A167)))&lt;70,'Scénario référence'!$B$16*(45+25*(1-EXP(-0.0175*A167))),70*'Scénario référence'!$B$16)+IF((32+38*(1-EXP(-0.0175*A167)))&lt;70,'Scénario référence'!$B$18*(32+38*(1-EXP(-0.0175*A167))),70*'Scénario référence'!$B$18)</f>
        <v>70</v>
      </c>
      <c r="DK167" s="12">
        <f>IF(A167&gt;30,10,('Scénario référence'!$B$16+'Scénario référence'!$B$17+'Scénario référence'!$B$18+'Scénario référence'!$B$9+'Scénario référence'!$B$10)*A167*10/30+('Scénario référence'!$F$8+'Scénario référence'!$F$9)*10)</f>
        <v>10</v>
      </c>
      <c r="DL167" s="12" t="e">
        <f>VLOOKUP(A167,'Données projet'!$A$165:$I$185,2,0)</f>
        <v>#N/A</v>
      </c>
      <c r="DM167" s="12" t="e">
        <f>VLOOKUP(A167,'Données projet'!$A$165:$I$185,9,0)</f>
        <v>#N/A</v>
      </c>
      <c r="DN167" s="12">
        <f t="array" ref="DN167">INDEX(DM:DM,MIN(IF(ISNUMBER(DM167:DM363),ROW(DM167:DM363),"")))</f>
        <v>0</v>
      </c>
      <c r="DO167" s="12">
        <f>IF('Données projet'!$A$166&gt;35,DO166+DN167-DW166,IF(A167&lt;'Données projet'!$A$166,$DL$205^A167,IF(A167='Données projet'!$A$166,'Données projet'!$B$166,DO166+DN167-DW166)))</f>
        <v>268.00000000000017</v>
      </c>
      <c r="DP167" s="17">
        <f>DO167*VLOOKUP('Données projet'!$B$14,Paramètres!$A$1:$I$89,3,0)*VLOOKUP('Données projet'!$B$14,Paramètres!$A$1:$I$89,5,0)</f>
        <v>175.59360000000012</v>
      </c>
      <c r="DQ167" s="13">
        <f t="shared" si="176"/>
        <v>44.340433728638573</v>
      </c>
      <c r="DR167" s="20">
        <f t="shared" si="177"/>
        <v>383.05177541071242</v>
      </c>
      <c r="DS167" s="59">
        <f t="shared" si="125"/>
        <v>676.38510874404574</v>
      </c>
      <c r="DT167" s="59">
        <f ca="1">AVERAGE(OFFSET($DS$3,0,0,'Données projet'!$E$14+1,1))-AVERAGE(OFFSET($H$3,0,0,'Données projet'!$E$14+1,1))</f>
        <v>188.68915783955595</v>
      </c>
      <c r="DU167" s="59">
        <f t="shared" si="152"/>
        <v>240.82467772396944</v>
      </c>
      <c r="DV167" s="15">
        <f>IF(ISNA(VLOOKUP(A167,'Données projet'!$A$165:$I$185,3,0)),0,VLOOKUP(A167,'Données projet'!$A$165:$I$185,3,0))</f>
        <v>0</v>
      </c>
      <c r="DW167" s="15">
        <f>IF(ISNA(VLOOKUP(A167,'Données projet'!$A$165:$I$185,4,0)),0,VLOOKUP(A167,'Données projet'!$A$165:$I$185,4,0))</f>
        <v>0</v>
      </c>
      <c r="DX167" s="16">
        <f>IF(ISNA(VLOOKUP(A167,'Données projet'!$A$165:$I$185,5,0)),0%,VLOOKUP(A167,'Données projet'!$A$165:$I$185,5,0)*VLOOKUP('Données projet'!$B$14,Paramètres!$A$1:$I$89,7,0))</f>
        <v>0</v>
      </c>
      <c r="DY167" s="16">
        <f>IF(ISNA(VLOOKUP(A167,'Données projet'!$A$165:$I$185,6,0)),0%,VLOOKUP(A167,'Données projet'!$A$165:$I$185,6,0)*VLOOKUP('Données projet'!$B$14,Paramètres!$A$1:$I$89,7,0))</f>
        <v>0</v>
      </c>
      <c r="DZ167" s="16">
        <f>IF(ISNA(VLOOKUP(A167,'Données projet'!$A$165:$I$185,7,0)),0%,VLOOKUP(A167,'Données projet'!$A$165:$I$185,7,0))</f>
        <v>0</v>
      </c>
      <c r="EA167" s="21">
        <f>EXP(-LN(2)/35)*EA166+(1-EXP(-LN(2)/35))/(LN(2)/35)*DW167*DX167*VLOOKUP('Données projet'!$B$14,Paramètres!$A$1:$I$89,3,0)*0.475*44/12</f>
        <v>0.10960859693432368</v>
      </c>
      <c r="EB167" s="21">
        <f>EXP(-LN(2)/25)*EB166+(1-EXP(-LN(2)/25))/(LN(2)/25)*Calculateur!DW167*Calculateur!DY167*VLOOKUP('Données projet'!$B$14,Paramètres!$A$1:$I$89,3,0)*0.475*44/12</f>
        <v>0.19571711488219867</v>
      </c>
      <c r="EC167" s="21">
        <f>EXP(-LN(2)/2)*EC166+(1-EXP(-LN(2)/2))/(LN(2)/2)*DW167*DZ167*VLOOKUP('Données projet'!$B$14,Paramètres!$A$1:$I$89,3,0)*0.475*44/12</f>
        <v>9.4843349660244925E-20</v>
      </c>
      <c r="ED167" s="22">
        <f t="shared" si="178"/>
        <v>0.30532571181652235</v>
      </c>
      <c r="EE167" s="75">
        <f>('Scénario référence'!$F$8+'Scénario référence'!$F$9+'Scénario référence'!$B$17+'Scénario référence'!$B$9+'Scénario référence'!$B$10)*70+IF((45+25*(1-EXP(-0.0175*A167)))&lt;70,'Scénario référence'!$B$16*(45+25*(1-EXP(-0.0175*A167))),70*'Scénario référence'!$B$16)+IF((32+38*(1-EXP(-0.0175*A167)))&lt;70,'Scénario référence'!$B$18*(32+38*(1-EXP(-0.0175*A167))),70*'Scénario référence'!$B$18)</f>
        <v>70</v>
      </c>
      <c r="EF167" s="12">
        <f>IF(A167&gt;30,10,('Scénario référence'!$B$16+'Scénario référence'!$B$17+'Scénario référence'!$B$18+'Scénario référence'!$B$9+'Scénario référence'!$B$10)*A167*10/30+('Scénario référence'!$F$8+'Scénario référence'!$F$9)*10)</f>
        <v>10</v>
      </c>
      <c r="EG167" s="12" t="e">
        <f>VLOOKUP(A167,'Données projet'!$A$191:$I$211,2,0)</f>
        <v>#N/A</v>
      </c>
      <c r="EH167" s="12" t="e">
        <f>VLOOKUP(A167,'Données projet'!$A$191:$I$211,9,0)</f>
        <v>#N/A</v>
      </c>
      <c r="EI167" s="12">
        <f t="array" ref="EI167">INDEX(EH:EH,MIN(IF(ISNUMBER(EH167:EH363),ROW(EH167:EH363),"")))</f>
        <v>0</v>
      </c>
      <c r="EJ167" s="12">
        <f>IF('Données projet'!$A$192&gt;35,EJ166+EI167-ER166,IF(A167&lt;'Données projet'!$A$192,$EG$205^A167,IF(A167='Données projet'!$A$192,'Données projet'!$B$192,EJ166+EI167-ER166)))</f>
        <v>275.99999999999972</v>
      </c>
      <c r="EK167" s="17">
        <f>EJ167*VLOOKUP('Données projet'!$B$15,Paramètres!$A$1:$I$89,3,0)*VLOOKUP('Données projet'!$B$15,Paramètres!$A$1:$I$89,5,0)</f>
        <v>223.8911999999998</v>
      </c>
      <c r="EL167" s="13">
        <f t="shared" si="179"/>
        <v>54.95975389514858</v>
      </c>
      <c r="EM167" s="20">
        <f t="shared" si="180"/>
        <v>485.66541136738346</v>
      </c>
      <c r="EN167" s="59">
        <f t="shared" si="128"/>
        <v>778.99874470071677</v>
      </c>
      <c r="EO167" s="59">
        <f ca="1">AVERAGE(OFFSET($EN$3,0,0,'Données projet'!$E$15+1,1))-AVERAGE(OFFSET($H$3,0,0,'Données projet'!$E$15+1,1))</f>
        <v>205.5272583787887</v>
      </c>
      <c r="EP167" s="59">
        <f t="shared" si="154"/>
        <v>180.54762778843178</v>
      </c>
      <c r="EQ167" s="15">
        <f>IF(ISNA(VLOOKUP(A167,'Données projet'!$A$191:$I$211,3,0)),0,VLOOKUP(A167,'Données projet'!$A$191:$I$211,3,0))</f>
        <v>0</v>
      </c>
      <c r="ER167" s="15">
        <f>IF(ISNA(VLOOKUP(A167,'Données projet'!$A$191:$I$211,4,0)),0,VLOOKUP(A167,'Données projet'!$A$191:$I$211,4,0))</f>
        <v>0</v>
      </c>
      <c r="ES167" s="16">
        <f>IF(ISNA(VLOOKUP(A167,'Données projet'!$A$191:$I$211,5,0)),0%,VLOOKUP(A167,'Données projet'!$A$191:$I$211,5,0)*VLOOKUP('Données projet'!$B$15,Paramètres!$A$1:$I$89,7,0))</f>
        <v>0</v>
      </c>
      <c r="ET167" s="16">
        <f>IF(ISNA(VLOOKUP(A167,'Données projet'!$A$191:$I$211,6,0)),0%,VLOOKUP(A167,'Données projet'!$A$191:$I$211,6,0)*VLOOKUP('Données projet'!$B$15,Paramètres!$A$1:$I$89,7,0))</f>
        <v>0</v>
      </c>
      <c r="EU167" s="16">
        <f>IF(ISNA(VLOOKUP(A167,'Données projet'!$A$191:$I$211,7,0)),0%,VLOOKUP(A167,'Données projet'!$A$191:$I$211,7,0))</f>
        <v>0</v>
      </c>
      <c r="EV167" s="21">
        <f>EXP(-LN(2)/35)*EV166+(1-EXP(-LN(2)/35))/(LN(2)/35)*ER167*ES167*VLOOKUP('Données projet'!$B$15,Paramètres!$A$1:$I$89,3,0)*0.475*44/12</f>
        <v>7.0567058597716961E-2</v>
      </c>
      <c r="EW167" s="21">
        <f>EXP(-LN(2)/25)*EW166+(1-EXP(-LN(2)/25))/(LN(2)/25)*Calculateur!ER167*Calculateur!ET167*VLOOKUP('Données projet'!$B$15,Paramètres!$A$1:$I$89,3,0)*0.475*44/12</f>
        <v>0.14131369421247084</v>
      </c>
      <c r="EX167" s="21">
        <f>EXP(-LN(2)/2)*EX166+(1-EXP(-LN(2)/2))/(LN(2)/2)*ER167*EU167*VLOOKUP('Données projet'!$B$15,Paramètres!$A$1:$I$89,3,0)*0.475*44/12</f>
        <v>6.1411139034666785E-20</v>
      </c>
      <c r="EY167" s="22">
        <f t="shared" si="181"/>
        <v>0.21188075281018781</v>
      </c>
      <c r="EZ167" s="75">
        <f>('Scénario référence'!$F$8+'Scénario référence'!$F$9+'Scénario référence'!$B$17+'Scénario référence'!$B$9+'Scénario référence'!$B$10)*70+IF((45+25*(1-EXP(-0.0175*A167)))&lt;70,'Scénario référence'!$B$16*(45+25*(1-EXP(-0.0175*A167))),70*'Scénario référence'!$B$16)+IF((32+38*(1-EXP(-0.0175*A167)))&lt;70,'Scénario référence'!$B$18*(32+38*(1-EXP(-0.0175*A167))),70*'Scénario référence'!$B$18)</f>
        <v>70</v>
      </c>
      <c r="FA167" s="12">
        <f>IF(A167&gt;30,10,('Scénario référence'!$B$16+'Scénario référence'!$B$17+'Scénario référence'!$B$18+'Scénario référence'!$B$9+'Scénario référence'!$B$10)*A167*10/30+('Scénario référence'!$F$8+'Scénario référence'!$F$9)*10)</f>
        <v>10</v>
      </c>
      <c r="FB167" s="12" t="e">
        <f>VLOOKUP(A167,'Données projet'!$A$217:$I$237,2,0)</f>
        <v>#N/A</v>
      </c>
      <c r="FC167" s="12" t="e">
        <f>VLOOKUP(A167,'Données projet'!$A$217:$I$237,9,0)</f>
        <v>#N/A</v>
      </c>
      <c r="FD167" s="12">
        <f t="array" ref="FD167">INDEX(FC:FC,MIN(IF(ISNUMBER(FC167:FC363),ROW(FC167:FC363),"")))</f>
        <v>0</v>
      </c>
      <c r="FE167" s="12">
        <f>IF('Données projet'!$A$218&gt;35,FE166+FD167-FM166,IF(A167&lt;'Données projet'!$A$218,$FB$205^A167,IF(A167='Données projet'!$A$218,'Données projet'!$B$218,FE166+FD167-FM166)))</f>
        <v>418.99999999999983</v>
      </c>
      <c r="FF167" s="17">
        <f>FE167*VLOOKUP('Données projet'!$B$16,Paramètres!$A$1:$I$89,3,0)*VLOOKUP('Données projet'!$B$16,Paramètres!$A$1:$I$89,5,0)</f>
        <v>359.5019999999999</v>
      </c>
      <c r="FG167" s="13">
        <f t="shared" si="182"/>
        <v>83.516011055432813</v>
      </c>
      <c r="FH167" s="20">
        <f t="shared" si="183"/>
        <v>771.58970258821194</v>
      </c>
      <c r="FI167" s="59">
        <f t="shared" si="131"/>
        <v>1064.9230359215453</v>
      </c>
      <c r="FJ167" s="59">
        <f ca="1">AVERAGE(OFFSET($FI$3,0,0,'Données projet'!$E$16+1,1))-AVERAGE(OFFSET($H$3,0,0,'Données projet'!$E$16+1,1))</f>
        <v>383.97627237444709</v>
      </c>
      <c r="FK167" s="59">
        <f t="shared" si="156"/>
        <v>203.35476578922339</v>
      </c>
      <c r="FL167" s="15">
        <f>IF(ISNA(VLOOKUP(A167,'Données projet'!$A$217:$I$237,3,0)),0,VLOOKUP(A167,'Données projet'!$A$217:$I$237,3,0))</f>
        <v>0</v>
      </c>
      <c r="FM167" s="15">
        <f>IF(ISNA(VLOOKUP(A167,'Données projet'!$A$217:$I$237,4,0)),0,VLOOKUP(A167,'Données projet'!$A$217:$I$237,4,0))</f>
        <v>0</v>
      </c>
      <c r="FN167" s="16">
        <f>IF(ISNA(VLOOKUP(A167,'Données projet'!$A$217:$I$237,5,0)),0%,VLOOKUP(A167,'Données projet'!$A$217:$I$237,5,0)*VLOOKUP('Données projet'!$B$16,Paramètres!$A$1:$I$89,7,0))</f>
        <v>0</v>
      </c>
      <c r="FO167" s="16">
        <f>IF(ISNA(VLOOKUP(A167,'Données projet'!$A$217:$I$237,6,0)),0%,VLOOKUP(A167,'Données projet'!$A$217:$I$237,6,0)*VLOOKUP('Données projet'!$B$16,Paramètres!$A$1:$I$89,7,0))</f>
        <v>0</v>
      </c>
      <c r="FP167" s="16">
        <f>IF(ISNA(VLOOKUP(A167,'Données projet'!$A$217:$I$237,7,0)),0%,VLOOKUP(A167,'Données projet'!$A$217:$I$237,7,0))</f>
        <v>0</v>
      </c>
      <c r="FQ167" s="21">
        <f>EXP(-LN(2)/35)*FQ166+(1-EXP(-LN(2)/35))/(LN(2)/35)*FM167*FN167*VLOOKUP('Données projet'!$B$16,Paramètres!$A$1:$I$89,3,0)*0.475*44/12</f>
        <v>0.36267639708210792</v>
      </c>
      <c r="FR167" s="21">
        <f>EXP(-LN(2)/25)*FR166+(1-EXP(-LN(2)/25))/(LN(2)/25)*Calculateur!FM167*Calculateur!FO167*VLOOKUP('Données projet'!$B$16,Paramètres!$A$1:$I$89,3,0)*0.475*44/12</f>
        <v>0.14344800578408151</v>
      </c>
      <c r="FS167" s="21">
        <f>EXP(-LN(2)/2)*FS166+(1-EXP(-LN(2)/2))/(LN(2)/2)*FM167*FP167*VLOOKUP('Données projet'!$B$16,Paramètres!$A$1:$I$89,3,0)*0.475*44/12</f>
        <v>1.1279965901621035E-19</v>
      </c>
      <c r="FT167" s="22">
        <f t="shared" si="184"/>
        <v>0.50612440286618943</v>
      </c>
      <c r="FU167" s="75">
        <f>('Scénario référence'!$F$8+'Scénario référence'!$F$9+'Scénario référence'!$B$17+'Scénario référence'!$B$9+'Scénario référence'!$B$10)*70+IF((45+25*(1-EXP(-0.0175*A167)))&lt;70,'Scénario référence'!$B$16*(45+25*(1-EXP(-0.0175*A167))),70*'Scénario référence'!$B$16)+IF((32+38*(1-EXP(-0.0175*A167)))&lt;70,'Scénario référence'!$B$18*(32+38*(1-EXP(-0.0175*A167))),70*'Scénario référence'!$B$18)</f>
        <v>70</v>
      </c>
      <c r="FV167" s="12">
        <f>IF(A167&gt;30,10,('Scénario référence'!$B$16+'Scénario référence'!$B$17+'Scénario référence'!$B$18+'Scénario référence'!$B$9+'Scénario référence'!$B$10)*A167*10/30+('Scénario référence'!$F$8+'Scénario référence'!$F$9)*10)</f>
        <v>10</v>
      </c>
      <c r="FW167" s="12" t="e">
        <f>VLOOKUP(A167,'Données projet'!$A$243:$I$263,2,0)</f>
        <v>#N/A</v>
      </c>
      <c r="FX167" s="12" t="e">
        <f>VLOOKUP(A167,'Données projet'!$A$243:$I$263,9,0)</f>
        <v>#N/A</v>
      </c>
      <c r="FY167" s="12">
        <f t="array" ref="FY167">INDEX(FX:FX,MIN(IF(ISNUMBER(FX167:FX363),ROW(FX167:FX363),"")))</f>
        <v>0</v>
      </c>
      <c r="FZ167" s="12">
        <f>IF('Données projet'!$A$244&gt;35,FZ166+FY167-GH166,IF(A167&lt;'Données projet'!$A$244,$FW$205^A167,IF(A167='Données projet'!$A$244,'Données projet'!$B$244,FZ166+FY167-GH166)))</f>
        <v>4.5474735088646412E-13</v>
      </c>
      <c r="GA167" s="17">
        <f>FZ167*VLOOKUP('Données projet'!$B$17,Paramètres!$A$1:$I$89,3,0)*VLOOKUP('Données projet'!$B$17,Paramètres!$A$1:$I$89,5,0)</f>
        <v>4.8949004849418999E-13</v>
      </c>
      <c r="GB167" s="13">
        <f t="shared" si="185"/>
        <v>6.1123715499968684E-12</v>
      </c>
      <c r="GC167" s="20">
        <f t="shared" si="186"/>
        <v>1.1498242284038591E-11</v>
      </c>
      <c r="GD167" s="59">
        <f t="shared" si="134"/>
        <v>293.3333333333448</v>
      </c>
      <c r="GE167" s="59">
        <f ca="1">AVERAGE(OFFSET($GD$3,0,0,'Données projet'!$E$17+1,1))-AVERAGE(OFFSET($H$3,0,0,'Données projet'!$E$17+1,1))</f>
        <v>286.77702855541287</v>
      </c>
      <c r="GF167" s="59">
        <f t="shared" si="158"/>
        <v>227.12211541860779</v>
      </c>
      <c r="GG167" s="15">
        <f>IF(ISNA(VLOOKUP(A167,'Données projet'!$A$243:$I$263,3,0)),0,VLOOKUP(A167,'Données projet'!$A$243:$I$263,3,0))</f>
        <v>0</v>
      </c>
      <c r="GH167" s="15">
        <f>IF(ISNA(VLOOKUP(A167,'Données projet'!$A$243:$I$263,4,0)),0,VLOOKUP(A167,'Données projet'!$A$243:$I$263,4,0))</f>
        <v>0</v>
      </c>
      <c r="GI167" s="16">
        <f>IF(ISNA(VLOOKUP(A167,'Données projet'!$A$243:$I$263,5,0)),0%,VLOOKUP(A167,'Données projet'!$A$243:$I$263,5,0)*VLOOKUP('Données projet'!$B$17,Paramètres!$A$1:$I$89,7,0))</f>
        <v>0</v>
      </c>
      <c r="GJ167" s="16">
        <f>IF(ISNA(VLOOKUP(A167,'Données projet'!$A$243:$I$263,6,0)),0%,VLOOKUP(A167,'Données projet'!$A$243:$I$263,6,0)*VLOOKUP('Données projet'!$B$17,Paramètres!$A$1:$I$89,7,0))</f>
        <v>0</v>
      </c>
      <c r="GK167" s="16">
        <f>IF(ISNA(VLOOKUP(A167,'Données projet'!$A$243:$I$263,7,0)),0%,VLOOKUP(A167,'Données projet'!$A$243:$I$263,7,0))</f>
        <v>0</v>
      </c>
      <c r="GL167" s="21">
        <f>EXP(-LN(2)/35)*GL166+(1-EXP(-LN(2)/35))/(LN(2)/35)*GH167*GI167*VLOOKUP('Données projet'!$B$17,Paramètres!$A$1:$I$89,3,0)*0.475*44/12</f>
        <v>0</v>
      </c>
      <c r="GM167" s="21">
        <f>EXP(-LN(2)/25)*GM166+(1-EXP(-LN(2)/25))/(LN(2)/25)*Calculateur!GH167*Calculateur!GJ167*VLOOKUP('Données projet'!$B$17,Paramètres!$A$1:$I$89,3,0)*0.475*44/12</f>
        <v>0</v>
      </c>
      <c r="GN167" s="21">
        <f>EXP(-LN(2)/2)*GN166+(1-EXP(-LN(2)/2))/(LN(2)/2)*GH167*GK167*VLOOKUP('Données projet'!$B$17,Paramètres!$A$1:$I$89,3,0)*0.475*44/12</f>
        <v>0</v>
      </c>
      <c r="GO167" s="21">
        <f t="shared" si="187"/>
        <v>0</v>
      </c>
      <c r="GP167" s="75">
        <f>('Scénario référence'!$F$8+'Scénario référence'!$F$9+'Scénario référence'!$B$17+'Scénario référence'!$B$9+'Scénario référence'!$B$10)*70+IF((45+25*(1-EXP(-0.0175*A167)))&lt;70,'Scénario référence'!$B$16*(45+25*(1-EXP(-0.0175*A167))),70*'Scénario référence'!$B$16)+IF((32+38*(1-EXP(-0.0175*A167)))&lt;70,'Scénario référence'!$B$18*(32+38*(1-EXP(-0.0175*A167))),70*'Scénario référence'!$B$18)</f>
        <v>70</v>
      </c>
      <c r="GQ167" s="12">
        <f>IF(A167&gt;30,10,('Scénario référence'!$B$16+'Scénario référence'!$B$17+'Scénario référence'!$B$18+'Scénario référence'!$B$9+'Scénario référence'!$B$10)*A167*10/30+('Scénario référence'!$F$8+'Scénario référence'!$F$9)*10)</f>
        <v>10</v>
      </c>
      <c r="GR167" s="12" t="e">
        <f>VLOOKUP(A167,'Données projet'!$A$269:$I$289,2,0)</f>
        <v>#N/A</v>
      </c>
      <c r="GS167" s="12" t="e">
        <f>VLOOKUP(A167,'Données projet'!$A$269:$I$289,9,0)</f>
        <v>#N/A</v>
      </c>
      <c r="GT167" s="12">
        <f t="array" ref="GT167">INDEX(GS:GS,MIN(IF(ISNUMBER(GS167:GS363),ROW(GS167:GS363),"")))</f>
        <v>0</v>
      </c>
      <c r="GU167" s="12">
        <f>IF('Données projet'!$A$270&gt;35,GU166+GT167-HC166,IF(A167&lt;'Données projet'!$A$270,$GR$205^A167,IF(A167='Données projet'!$A$270,'Données projet'!$B$270,GU166+GT167-HC166)))</f>
        <v>4.5474735088646412E-13</v>
      </c>
      <c r="GV167" s="17">
        <f>GU167*VLOOKUP('Données projet'!$B$18,Paramètres!$A$1:$I$89,3,0)*VLOOKUP('Données projet'!$B$18,Paramètres!$A$1:$I$89,5,0)</f>
        <v>4.8949004849418999E-13</v>
      </c>
      <c r="GW167" s="13">
        <f t="shared" si="188"/>
        <v>6.1123715499968684E-12</v>
      </c>
      <c r="GX167" s="20">
        <f t="shared" si="189"/>
        <v>1.1498242284038591E-11</v>
      </c>
      <c r="GY167" s="59">
        <f t="shared" si="137"/>
        <v>293.3333333333448</v>
      </c>
      <c r="GZ167" s="59">
        <f ca="1">AVERAGE(OFFSET($GY$3,0,0,'Données projet'!$E$18+1,1))-AVERAGE(OFFSET($H$3,0,0,'Données projet'!$E$18+1,1))</f>
        <v>286.77702855541287</v>
      </c>
      <c r="HA167" s="59">
        <f t="shared" si="160"/>
        <v>227.12211541860779</v>
      </c>
      <c r="HB167" s="15">
        <f>IF(ISNA(VLOOKUP(A167,'Données projet'!$A$269:$I$289,3,0)),0,VLOOKUP(A167,'Données projet'!$A$269:$I$289,3,0))</f>
        <v>0</v>
      </c>
      <c r="HC167" s="15">
        <f>IF(ISNA(VLOOKUP(A167,'Données projet'!$A$269:$I$289,4,0)),0,VLOOKUP(A167,'Données projet'!$A$269:$I$289,4,0))</f>
        <v>0</v>
      </c>
      <c r="HD167" s="16">
        <f>IF(ISNA(VLOOKUP(A167,'Données projet'!$A$269:$I$289,5,0)),0%,VLOOKUP(A167,'Données projet'!$A$269:$I$289,5,0)*VLOOKUP('Données projet'!$B$18,Paramètres!$A$1:$I$89,7,0))</f>
        <v>0</v>
      </c>
      <c r="HE167" s="16">
        <f>IF(ISNA(VLOOKUP(A167,'Données projet'!$A$269:$I$289,6,0)),0%,VLOOKUP(A167,'Données projet'!$A$269:$I$289,6,0)*VLOOKUP('Données projet'!$B$18,Paramètres!$A$1:$I$89,7,0))</f>
        <v>0</v>
      </c>
      <c r="HF167" s="16">
        <f>IF(ISNA(VLOOKUP(A167,'Données projet'!$A$269:$I$289,7,0)),0%,VLOOKUP(A167,'Données projet'!$A$269:$I$289,7,0))</f>
        <v>0</v>
      </c>
      <c r="HG167" s="21">
        <f>EXP(-LN(2)/35)*HG166+(1-EXP(-LN(2)/35))/(LN(2)/35)*HC167*HD167*VLOOKUP('Données projet'!$B$18,Paramètres!$A$1:$I$89,3,0)*0.475*44/12</f>
        <v>0</v>
      </c>
      <c r="HH167" s="21">
        <f>EXP(-LN(2)/25)*HH166+(1-EXP(-LN(2)/25))/(LN(2)/25)*Calculateur!HC167*Calculateur!HE167*VLOOKUP('Données projet'!$B$18,Paramètres!$A$1:$I$89,3,0)*0.475*44/12</f>
        <v>0</v>
      </c>
      <c r="HI167" s="21">
        <f>EXP(-LN(2)/2)*HI166+(1-EXP(-LN(2)/2))/(LN(2)/2)*HC167*HF167*VLOOKUP('Données projet'!$B$18,Paramètres!$A$1:$I$89,3,0)*0.475*44/12</f>
        <v>0</v>
      </c>
      <c r="HJ167" s="22">
        <f t="shared" si="190"/>
        <v>0</v>
      </c>
    </row>
    <row r="168" spans="1:218" x14ac:dyDescent="0.25">
      <c r="A168" s="10">
        <f t="shared" si="161"/>
        <v>165</v>
      </c>
      <c r="B168" s="73">
        <f>'Scénario référence'!$B$16*5+'Scénario référence'!$B$17*0+'Scénario référence'!$B$18*5</f>
        <v>0</v>
      </c>
      <c r="C168" s="19">
        <f>Calculateur!C167+'Scénario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146.71799999999999</v>
      </c>
      <c r="D168" s="11">
        <f t="shared" si="140"/>
        <v>37.831781747183037</v>
      </c>
      <c r="E16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68" s="11">
        <f>IF(OR('Scénario référence'!$F$8&gt;0,'Scénario référence'!$F$9&gt;0),('Scénario référence'!$F$8+'Scénario référence'!$F$9)*10,0)</f>
        <v>10</v>
      </c>
      <c r="G168" s="11">
        <f>'Scénario référence'!$B$8*B168*44/12+'Scénario référence'!$B$9*(C168+D168)/0.475*44/12+'Scénario référence'!$B$10*(C168+D168)/0.475*44/12+'Scénario référence'!$F$8*(C168+D168)/0.475*44/12+'Scénario référence'!$F$9*(C168+D168)/0.475*44/12</f>
        <v>1424.594806469483</v>
      </c>
      <c r="H168" s="67">
        <f t="shared" si="110"/>
        <v>614.75753654301047</v>
      </c>
      <c r="I168" s="70">
        <f>('Scénario référence'!$F$8+'Scénario référence'!$F$9+'Scénario référence'!$B$17+'Scénario référence'!$B$9+'Scénario référence'!$B$10)*70+IF((45+25*(1-EXP(-0.0175*A168)))&lt;70,'Scénario référence'!$B$16*(45+25*(1-EXP(-0.0175*A168))),70*'Scénario référence'!$B$16)+IF((32+38*(1-EXP(-0.0175*A168)))&lt;70,'Scénario référence'!$B$18*(32+38*(1-EXP(-0.0175*A168))),70*'Scénario référence'!$B$18)</f>
        <v>70</v>
      </c>
      <c r="J168" s="13">
        <f>IF(A168&gt;30,10,('Scénario référence'!$B$16+'Scénario référence'!$B$17+'Scénario référence'!$B$18+'Scénario référence'!$B$9+'Scénario référence'!$B$10)*A168*10/30+('Scénario référence'!$F$8+'Scénario référence'!$F$9)*10)</f>
        <v>10</v>
      </c>
      <c r="K168" s="12" t="e">
        <f>VLOOKUP(A168,'Données projet'!$A$35:$I$55,2,0)</f>
        <v>#N/A</v>
      </c>
      <c r="L168" s="12" t="e">
        <f>VLOOKUP(A168,'Données projet'!$A$35:$I$55,9,0)</f>
        <v>#N/A</v>
      </c>
      <c r="M168" s="12">
        <f t="array" ref="M168">INDEX(L:L,MIN(IF(ISNUMBER(L168:L364),ROW(L168:L364),"")))</f>
        <v>0</v>
      </c>
      <c r="N168" s="13">
        <f>IF('Données projet'!$A$36&gt;35,N167+M168-V167,IF(A168&lt;'Données projet'!$A$36,$K$205^A168,IF(A168='Données projet'!$A$36,'Données projet'!$B$36,N167+M168-V167)))</f>
        <v>-2.2737367544323206E-13</v>
      </c>
      <c r="O168" s="13">
        <f>N168*VLOOKUP('Données projet'!$B$9,Paramètres!$A$1:$I$89,3,0)*VLOOKUP('Données projet'!$B$9,Paramètres!$A$1:$I$89,5,0)</f>
        <v>-1.2710188457276673E-13</v>
      </c>
      <c r="P168" s="13" t="e">
        <f t="shared" si="141"/>
        <v>#NUM!</v>
      </c>
      <c r="Q168" s="20" t="e">
        <f t="shared" si="162"/>
        <v>#NUM!</v>
      </c>
      <c r="R168" s="59" t="e">
        <f t="shared" si="109"/>
        <v>#NUM!</v>
      </c>
      <c r="S168" s="59">
        <f ca="1">AVERAGE(OFFSET($R$3,0,0,'Données projet'!$E$9+1,1))-AVERAGE(OFFSET($H$3,0,0,'Données projet'!$E$9+1,1))</f>
        <v>255.5374979188561</v>
      </c>
      <c r="T168" s="59">
        <f t="shared" si="142"/>
        <v>343.10418468620901</v>
      </c>
      <c r="U168" s="15">
        <f>IF(ISNA(VLOOKUP(A168,'Données projet'!$A$35:$I$55,3,0)),0,VLOOKUP(A168,'Données projet'!$A$35:$I$55,3,0))</f>
        <v>0</v>
      </c>
      <c r="V168" s="15">
        <f>IF(ISNA(VLOOKUP(A168,'Données projet'!$A$35:$I$55,4,0)),0,VLOOKUP(A168,'Données projet'!$A$35:$I$55,4,0))</f>
        <v>0</v>
      </c>
      <c r="W168" s="16">
        <f>IF(ISNA(VLOOKUP(A168,'Données projet'!$A$35:$I$55,5,0)),0%,VLOOKUP(A168,'Données projet'!$A$35:$I$55,5,0)*VLOOKUP('Données projet'!$B$9,Paramètres!$A$1:$I$89,7,0))</f>
        <v>0</v>
      </c>
      <c r="X168" s="16">
        <f>IF(ISNA(VLOOKUP(A168,'Données projet'!$A$35:$I$55,6,0)),0%,VLOOKUP(A168,'Données projet'!$A$35:$I$55,6,0)*VLOOKUP('Données projet'!$B$9,Paramètres!$A$1:$I$89,7,0))</f>
        <v>0</v>
      </c>
      <c r="Y168" s="16">
        <f>IF(ISNA(VLOOKUP(A168,'Données projet'!$A$35:$I$55,7,0)),0%,VLOOKUP(A168,'Données projet'!$A$35:$I$55,7,0))</f>
        <v>0</v>
      </c>
      <c r="Z168" s="21">
        <f>EXP(-LN(2)/35)*Z167+(1-EXP(-LN(2)/35))/(LN(2)/35)*V168*W168*VLOOKUP('Données projet'!$B$9,Paramètres!$A$1:$I$89,3,0)*0.475*44/12</f>
        <v>0.213230105969029</v>
      </c>
      <c r="AA168" s="21">
        <f>EXP(-LN(2)/25)*AA167+(1-EXP(-LN(2)/25))/(LN(2)/25)*Calculateur!V168*Calculateur!X168*VLOOKUP('Données projet'!$B$9,Paramètres!$A$1:$I$89,3,0)*0.475*44/12</f>
        <v>0.377987955774158</v>
      </c>
      <c r="AB168" s="21">
        <f>EXP(-LN(2)/2)*AB167+(1-EXP(-LN(2)/2))/(LN(2)/2)*V168*Y168*VLOOKUP('Données projet'!$B$9,Paramètres!$A$1:$I$89,3,0)*0.475*44/12</f>
        <v>8.1104134067573214E-21</v>
      </c>
      <c r="AC168" s="22">
        <f t="shared" si="163"/>
        <v>0.59121806174318703</v>
      </c>
      <c r="AD168" s="13">
        <f>('Scénario référence'!$F$8+'Scénario référence'!$F$9+'Scénario référence'!$B$17+'Scénario référence'!$B$9+'Scénario référence'!$B$10)*70+IF((45+25*(1-EXP(-0.0175*A168)))&lt;70,'Scénario référence'!$B$16*(45+25*(1-EXP(-0.0175*A168))),70*'Scénario référence'!$B$16)+IF((32+38*(1-EXP(-0.0175*A168)))&lt;70,'Scénario référence'!$B$18*(32+38*(1-EXP(-0.0175*A168))),70*'Scénario référence'!$B$18)</f>
        <v>70</v>
      </c>
      <c r="AE168" s="13">
        <f>IF(A168&gt;30,10,('Scénario référence'!$B$16+'Scénario référence'!$B$17+'Scénario référence'!$B$18+'Scénario référence'!$B$9+'Scénario référence'!$B$10)*A168*10/30+('Scénario référence'!$F$8+'Scénario référence'!$F$9)*10)</f>
        <v>10</v>
      </c>
      <c r="AF168" s="12" t="e">
        <f>VLOOKUP(A168,'Données projet'!$A$61:$I$81,2,0)</f>
        <v>#N/A</v>
      </c>
      <c r="AG168" s="12" t="e">
        <f>VLOOKUP(A168,'Données projet'!$A$61:$I$81,9,0)</f>
        <v>#N/A</v>
      </c>
      <c r="AH168" s="12">
        <f t="array" ref="AH168">INDEX(AG:AG,MIN(IF(ISNUMBER(AG168:AG364),ROW(AG168:AG364),"")))</f>
        <v>0</v>
      </c>
      <c r="AI168" s="13">
        <f>IF('Données projet'!$A$62&gt;35,AI167+AH168-AQ167,IF(A168&lt;'Données projet'!$A$62,$AF$205^A168,IF(A168='Données projet'!$A$62,'Données projet'!$B$62,AI167+AH168-AQ167)))</f>
        <v>0</v>
      </c>
      <c r="AJ168" s="13">
        <f>AI168*VLOOKUP('Données projet'!$B$10,Paramètres!$A$1:$I$89,3,0)*VLOOKUP('Données projet'!$B$10,Paramètres!$A$1:$I$89,5,0)</f>
        <v>0</v>
      </c>
      <c r="AK168" s="13" t="e">
        <f t="shared" si="164"/>
        <v>#NUM!</v>
      </c>
      <c r="AL168" s="20" t="e">
        <f t="shared" si="165"/>
        <v>#NUM!</v>
      </c>
      <c r="AM168" s="59" t="e">
        <f t="shared" si="113"/>
        <v>#NUM!</v>
      </c>
      <c r="AN168" s="59">
        <f ca="1">AVERAGE(OFFSET($AM$3,0,0,'Données projet'!$E$10+1,1))-AVERAGE(OFFSET($H$3,0,0,'Données projet'!$E$10+1,1))</f>
        <v>261.78489480911571</v>
      </c>
      <c r="AO168" s="59">
        <f t="shared" si="144"/>
        <v>297.50513563712764</v>
      </c>
      <c r="AP168" s="15">
        <f>IF(ISNA(VLOOKUP(A168,'Données projet'!$A$61:$I$81,3,0)),0,VLOOKUP(A168,'Données projet'!$A$61:$I$81,3,0))</f>
        <v>0</v>
      </c>
      <c r="AQ168" s="15">
        <f>IF(ISNA(VLOOKUP(A168,'Données projet'!$A$61:$I$81,4,0)),0,VLOOKUP(A168,'Données projet'!$A$61:$I$81,4,0))</f>
        <v>0</v>
      </c>
      <c r="AR168" s="16">
        <f>IF(ISNA(VLOOKUP(A168,'Données projet'!$A$61:$I$81,5,0)),0%,VLOOKUP(A168,'Données projet'!$A$61:$I$81,5,0)*VLOOKUP('Données projet'!$B$10,Paramètres!$A$1:$I$89,7,0))</f>
        <v>0</v>
      </c>
      <c r="AS168" s="16">
        <f>IF(ISNA(VLOOKUP(A168,'Données projet'!$A$61:$I$81,6,0)),0%,VLOOKUP(A168,'Données projet'!$A$61:$I$81,6,0)*VLOOKUP('Données projet'!$B$10,Paramètres!$A$1:$I$89,7,0))</f>
        <v>0</v>
      </c>
      <c r="AT168" s="16">
        <f>IF(ISNA(VLOOKUP(A168,'Données projet'!$A$61:$I$81,7,0)),0%,VLOOKUP(A168,'Données projet'!$A$61:$I$81,7,0))</f>
        <v>0</v>
      </c>
      <c r="AU168" s="21">
        <f>EXP(-LN(2)/35)*AU167+(1-EXP(-LN(2)/35))/(LN(2)/35)*AQ168*AR168*VLOOKUP('Données projet'!$B$10,Paramètres!$A$1:$I$89,3,0)*0.475*44/12</f>
        <v>0.57578159796257311</v>
      </c>
      <c r="AV168" s="21">
        <f>EXP(-LN(2)/25)*AV167+(1-EXP(-LN(2)/25))/(LN(2)/25)*Calculateur!AQ168*Calculateur!AS168*VLOOKUP('Données projet'!$B$10,Paramètres!$A$1:$I$89,3,0)*0.475*44/12</f>
        <v>0.66004406553573691</v>
      </c>
      <c r="AW168" s="21">
        <f>EXP(-LN(2)/2)*AW167+(1-EXP(-LN(2)/2))/(LN(2)/2)*AQ168*AT168*VLOOKUP('Données projet'!$B$10,Paramètres!$A$1:$I$89,3,0)*0.475*44/12</f>
        <v>1.169193304045615E-19</v>
      </c>
      <c r="AX168" s="21">
        <f t="shared" si="166"/>
        <v>1.23582566349831</v>
      </c>
      <c r="AY168" s="74">
        <f>('Scénario référence'!$F$8+'Scénario référence'!$F$9+'Scénario référence'!$B$17+'Scénario référence'!$B$9+'Scénario référence'!$B$10)*70+IF((45+25*(1-EXP(-0.0175*A168)))&lt;70,'Scénario référence'!$B$16*(45+25*(1-EXP(-0.0175*A168))),70*'Scénario référence'!$B$16)+IF((32+38*(1-EXP(-0.0175*A168)))&lt;70,'Scénario référence'!$B$18*(32+38*(1-EXP(-0.0175*A168))),70*'Scénario référence'!$B$18)</f>
        <v>70</v>
      </c>
      <c r="AZ168" s="12">
        <f>IF(A168&gt;30,10,('Scénario référence'!$B$16+'Scénario référence'!$B$17+'Scénario référence'!$B$18+'Scénario référence'!$B$9+'Scénario référence'!$B$10)*A168*10/30+('Scénario référence'!$F$8+'Scénario référence'!$F$9)*10)</f>
        <v>10</v>
      </c>
      <c r="BA168" s="12" t="e">
        <f>VLOOKUP(A168,'Données projet'!$A$87:$I$107,2,0)</f>
        <v>#N/A</v>
      </c>
      <c r="BB168" s="12" t="e">
        <f>VLOOKUP(A168,'Données projet'!$A$87:$I$107,9,0)</f>
        <v>#N/A</v>
      </c>
      <c r="BC168" s="12">
        <f t="array" ref="BC168">INDEX(BB:BB,MIN(IF(ISNUMBER(BB168:BB364),ROW(BB168:BB364),"")))</f>
        <v>0</v>
      </c>
      <c r="BD168" s="12">
        <f>IF('Données projet'!$A$88&gt;35,BD167+BC168-BL167,IF(A168&lt;'Données projet'!$A$88,$BA$205^A168,IF(A168='Données projet'!$A$88,'Données projet'!$B$88,BD167+BC168-BL167)))</f>
        <v>553.99999999999955</v>
      </c>
      <c r="BE168" s="13">
        <f>BD168*VLOOKUP('Données projet'!$B$11,Paramètres!$A$1:$I$89,3,0)*VLOOKUP('Données projet'!$B$11,Paramètres!$A$1:$I$89,5,0)</f>
        <v>331.29199999999975</v>
      </c>
      <c r="BF168" s="13">
        <f t="shared" si="167"/>
        <v>77.698110787752</v>
      </c>
      <c r="BG168" s="20">
        <f t="shared" si="168"/>
        <v>712.32444295533423</v>
      </c>
      <c r="BH168" s="59">
        <f t="shared" si="116"/>
        <v>1005.6577762886675</v>
      </c>
      <c r="BI168" s="59">
        <f ca="1">AVERAGE(OFFSET($BH$3,0,0,'Données projet'!$E$11+1,1))-AVERAGE(OFFSET($H$3,0,0,'Données projet'!$E$11+1,1))</f>
        <v>316.58509520829671</v>
      </c>
      <c r="BJ168" s="59">
        <f t="shared" si="146"/>
        <v>240.71332110643596</v>
      </c>
      <c r="BK168" s="15">
        <f>IF(ISNA(VLOOKUP(A168,'Données projet'!$A$87:$I$107,3,0)),0,VLOOKUP(A168,'Données projet'!$A$87:$I$107,3,0))</f>
        <v>0</v>
      </c>
      <c r="BL168" s="15">
        <f>IF(ISNA(VLOOKUP(A168,'Données projet'!$A$87:$I$107,4,0)),0,VLOOKUP(A168,'Données projet'!$A$87:$I$107,4,0))</f>
        <v>0</v>
      </c>
      <c r="BM168" s="16">
        <f>IF(ISNA(VLOOKUP(A168,'Données projet'!$A$87:$I$107,5,0)),0%,VLOOKUP(A168,'Données projet'!$A$87:$I$107,5,0)*VLOOKUP('Données projet'!$B$11,Paramètres!$A$1:$I$89,7,0))</f>
        <v>0</v>
      </c>
      <c r="BN168" s="16">
        <f>IF(ISNA(VLOOKUP(A168,'Données projet'!$A$87:$I$107,6,0)),0%,VLOOKUP(A168,'Données projet'!$A$87:$I$107,6,0)*VLOOKUP('Données projet'!$B$11,Paramètres!$A$1:$I$89,7,0))</f>
        <v>0</v>
      </c>
      <c r="BO168" s="16">
        <f>IF(ISNA(VLOOKUP(A168,'Données projet'!$A$87:$I$107,7,0)),0%,VLOOKUP(A168,'Données projet'!$A$87:$I$107,7,0))</f>
        <v>0</v>
      </c>
      <c r="BP168" s="21">
        <f>EXP(-LN(2)/35)*BP167+(1-EXP(-LN(2)/35))/(LN(2)/35)*BL168*BM168*VLOOKUP('Données projet'!$B$11,Paramètres!$A$1:$I$89,3,0)*0.475*44/12</f>
        <v>0.17489794447040233</v>
      </c>
      <c r="BQ168" s="21">
        <f>EXP(-LN(2)/25)*BQ167+(1-EXP(-LN(2)/25))/(LN(2)/25)*Calculateur!BL168*Calculateur!BN168*VLOOKUP('Données projet'!$B$11,Paramètres!$A$1:$I$89,3,0)*0.475*44/12</f>
        <v>0.36159139791677253</v>
      </c>
      <c r="BR168" s="21">
        <f>EXP(-LN(2)/2)*BR167+(1-EXP(-LN(2)/2))/(LN(2)/2)*BL168*BO168*VLOOKUP('Données projet'!$B$11,Paramètres!$A$1:$I$89,3,0)*0.475*44/12</f>
        <v>1.0512328217439093E-19</v>
      </c>
      <c r="BS168" s="22">
        <f t="shared" si="169"/>
        <v>0.53648934238717483</v>
      </c>
      <c r="BT168" s="75">
        <f>('Scénario référence'!$F$8+'Scénario référence'!$F$9+'Scénario référence'!$B$17+'Scénario référence'!$B$9+'Scénario référence'!$B$10)*70+IF((45+25*(1-EXP(-0.0175*A168)))&lt;70,'Scénario référence'!$B$16*(45+25*(1-EXP(-0.0175*A168))),70*'Scénario référence'!$B$16)+IF((32+38*(1-EXP(-0.0175*A168)))&lt;70,'Scénario référence'!$B$18*(32+38*(1-EXP(-0.0175*A168))),70*'Scénario référence'!$B$18)</f>
        <v>70</v>
      </c>
      <c r="BU168" s="12">
        <f>IF(A168&gt;30,10,('Scénario référence'!$B$16+'Scénario référence'!$B$17+'Scénario référence'!$B$18+'Scénario référence'!$B$9+'Scénario référence'!$B$10)*A168*10/30+('Scénario référence'!$F$8+'Scénario référence'!$F$9)*10)</f>
        <v>10</v>
      </c>
      <c r="BV168" s="12" t="e">
        <f>VLOOKUP(A168,'Données projet'!$A$113:$I$133,2,0)</f>
        <v>#N/A</v>
      </c>
      <c r="BW168" s="12" t="e">
        <f>VLOOKUP(A168,'Données projet'!$A$113:$I$133,9,0)</f>
        <v>#N/A</v>
      </c>
      <c r="BX168" s="12">
        <f t="array" ref="BX168">INDEX(BW:BW,MIN(IF(ISNUMBER(BW168:BW364),ROW(BW168:BW364),"")))</f>
        <v>0</v>
      </c>
      <c r="BY168" s="12">
        <f>IF('Données projet'!$A$114&gt;35,BY167+BX168-CG167,IF(A168&lt;'Données projet'!$A$114,$BV$205^A168,IF(A168='Données projet'!$A$114,'Données projet'!$B$114,BY167+BX168-CG167)))</f>
        <v>333.99999999999977</v>
      </c>
      <c r="BZ168" s="13">
        <f>BY168*VLOOKUP('Données projet'!$B$12,Paramètres!$A$1:$I$89,3,0)*VLOOKUP('Données projet'!$B$12,Paramètres!$A$1:$I$89,5,0)</f>
        <v>191.04799999999986</v>
      </c>
      <c r="CA168" s="13">
        <f t="shared" si="170"/>
        <v>47.771576544305155</v>
      </c>
      <c r="CB168" s="20">
        <f t="shared" si="171"/>
        <v>415.94409581466454</v>
      </c>
      <c r="CC168" s="59">
        <f t="shared" si="119"/>
        <v>709.27742914799785</v>
      </c>
      <c r="CD168" s="59">
        <f ca="1">AVERAGE(OFFSET($CC$3,0,0,'Données projet'!$E$12+1,1))-AVERAGE(OFFSET($H$3,0,0,'Données projet'!$E$12+1,1))</f>
        <v>188.64374818906128</v>
      </c>
      <c r="CE168" s="59">
        <f t="shared" si="148"/>
        <v>211.95157880548652</v>
      </c>
      <c r="CF168" s="15">
        <f>IF(ISNA(VLOOKUP(A168,'Données projet'!$A$113:$I$133,3,0)),0,VLOOKUP(A168,'Données projet'!$A$113:$I$133,3,0))</f>
        <v>0</v>
      </c>
      <c r="CG168" s="15">
        <f>IF(ISNA(VLOOKUP(A168,'Données projet'!$A$113:$I$133,4,0)),0,VLOOKUP(A168,'Données projet'!$A$113:$I$133,4,0))</f>
        <v>0</v>
      </c>
      <c r="CH168" s="16">
        <f>IF(ISNA(VLOOKUP(A168,'Données projet'!$A$113:$I$133,5,0)),0%,VLOOKUP(A168,'Données projet'!$A$113:$I$133,5,0)*VLOOKUP('Données projet'!$B$12,Paramètres!$A$1:$I$89,7,0))</f>
        <v>0</v>
      </c>
      <c r="CI168" s="16">
        <f>IF(ISNA(VLOOKUP(A168,'Données projet'!$A$113:$I$133,6,0)),0%,VLOOKUP(A168,'Données projet'!$A$113:$I$133,6,0)*VLOOKUP('Données projet'!$B$12,Paramètres!$A$1:$I$89,7,0))</f>
        <v>0</v>
      </c>
      <c r="CJ168" s="16">
        <f>IF(ISNA(VLOOKUP(A168,'Données projet'!$A$113:$I$133,7,0)),0%,VLOOKUP(A168,'Données projet'!$A$113:$I$133,7,0))</f>
        <v>0</v>
      </c>
      <c r="CK168" s="21">
        <f>EXP(-LN(2)/35)*CK167+(1-EXP(-LN(2)/35))/(LN(2)/35)*CG168*CH168*VLOOKUP('Données projet'!$B$12,Paramètres!$A$1:$I$89,3,0)*0.475*44/12</f>
        <v>0.16964993511397242</v>
      </c>
      <c r="CL168" s="21">
        <f>EXP(-LN(2)/25)*CL167+(1-EXP(-LN(2)/25))/(LN(2)/25)*Calculateur!CG168*Calculateur!CI168*VLOOKUP('Données projet'!$B$12,Paramètres!$A$1:$I$89,3,0)*0.475*44/12</f>
        <v>0.34033801078590165</v>
      </c>
      <c r="CM168" s="21">
        <f>EXP(-LN(2)/2)*CM167+(1-EXP(-LN(2)/2))/(LN(2)/2)*CG168*CJ168*VLOOKUP('Données projet'!$B$12,Paramètres!$A$1:$I$89,3,0)*0.475*44/12</f>
        <v>1.0180367381814746E-19</v>
      </c>
      <c r="CN168" s="22">
        <f t="shared" si="172"/>
        <v>0.50998794589987406</v>
      </c>
      <c r="CO168" s="75">
        <f>('Scénario référence'!$F$8+'Scénario référence'!$F$9+'Scénario référence'!$B$17+'Scénario référence'!$B$9+'Scénario référence'!$B$10)*70+IF((45+25*(1-EXP(-0.0175*A168)))&lt;70,'Scénario référence'!$B$16*(45+25*(1-EXP(-0.0175*A168))),70*'Scénario référence'!$B$16)+IF((32+38*(1-EXP(-0.0175*A168)))&lt;70,'Scénario référence'!$B$18*(32+38*(1-EXP(-0.0175*A168))),70*'Scénario référence'!$B$18)</f>
        <v>70</v>
      </c>
      <c r="CP168" s="12">
        <f>IF(A168&gt;30,10,('Scénario référence'!$B$16+'Scénario référence'!$B$17+'Scénario référence'!$B$18+'Scénario référence'!$B$9+'Scénario référence'!$B$10)*A168*10/30+('Scénario référence'!$F$8+'Scénario référence'!$F$9)*10)</f>
        <v>10</v>
      </c>
      <c r="CQ168" s="12" t="e">
        <f>VLOOKUP(A168,'Données projet'!$A$139:$I$159,2,0)</f>
        <v>#N/A</v>
      </c>
      <c r="CR168" s="12" t="e">
        <f>VLOOKUP(A168,'Données projet'!$A$139:$I$159,9,0)</f>
        <v>#N/A</v>
      </c>
      <c r="CS168" s="12">
        <f t="array" ref="CS168">INDEX(CR:CR,MIN(IF(ISNUMBER(CR168:CR364),ROW(CR168:CR364),"")))</f>
        <v>0</v>
      </c>
      <c r="CT168" s="12">
        <f>IF('Données projet'!$A$140&gt;35,CT167+CS168-DB167,IF(A168&lt;'Données projet'!$A$140,$CQ$205^A168,IF(A168='Données projet'!$A$140,'Données projet'!$B$140,CT167+CS168-DB167)))</f>
        <v>0</v>
      </c>
      <c r="CU168" s="17" t="e">
        <f>CT168*VLOOKUP('Données projet'!$B$13,Paramètres!$A$1:$I$89,3,0)*VLOOKUP('Données projet'!$B$13,Paramètres!$A$1:$I$89,5,0)</f>
        <v>#N/A</v>
      </c>
      <c r="CV168" s="13" t="e">
        <f t="shared" si="173"/>
        <v>#N/A</v>
      </c>
      <c r="CW168" s="20" t="e">
        <f t="shared" si="174"/>
        <v>#N/A</v>
      </c>
      <c r="CX168" s="59" t="e">
        <f t="shared" si="122"/>
        <v>#N/A</v>
      </c>
      <c r="CY168" s="59" t="e">
        <f ca="1">AVERAGE(OFFSET($CX$3,0,0,'Données projet'!$E$13+1,1))-AVERAGE(OFFSET($H$3,0,0,'Données projet'!$E$13+1,1))</f>
        <v>#N/A</v>
      </c>
      <c r="CZ168" s="59" t="e">
        <f t="shared" si="150"/>
        <v>#N/A</v>
      </c>
      <c r="DA168" s="15">
        <f>IF(ISNA(VLOOKUP(A168,'Données projet'!$A$139:$I$159,3,0)),0,VLOOKUP(A168,'Données projet'!$A$139:$I$159,3,0))</f>
        <v>0</v>
      </c>
      <c r="DB168" s="15">
        <f>IF(ISNA(VLOOKUP(A168,'Données projet'!$A$139:$I$159,4,0)),0,VLOOKUP(A168,'Données projet'!$A$139:$I$159,4,0))</f>
        <v>0</v>
      </c>
      <c r="DC168" s="16">
        <f>IF(ISNA(VLOOKUP(A168,'Données projet'!$A$139:$I$159,5,0)),0%,VLOOKUP(A168,'Données projet'!$A$139:$I$159,5,0)*VLOOKUP('Données projet'!$B$13,Paramètres!$A$1:$I$89,7,0))</f>
        <v>0</v>
      </c>
      <c r="DD168" s="16">
        <f>IF(ISNA(VLOOKUP(A168,'Données projet'!$A$139:$I$159,6,0)),0%,VLOOKUP(A168,'Données projet'!$A$139:$I$159,6,0)*VLOOKUP('Données projet'!$B$13,Paramètres!$A$1:$I$89,7,0))</f>
        <v>0</v>
      </c>
      <c r="DE168" s="16">
        <f>IF(ISNA(VLOOKUP(A168,'Données projet'!$A$139:$I$159,7,0)),0%,VLOOKUP(A168,'Données projet'!$A$139:$I$159,7,0))</f>
        <v>0</v>
      </c>
      <c r="DF168" s="21" t="e">
        <f>EXP(-LN(2)/35)*DF167+(1-EXP(-LN(2)/35))/(LN(2)/35)*DB168*DC168*VLOOKUP('Données projet'!$B$13,Paramètres!$A$1:$I$89,3,0)*0.475*44/12</f>
        <v>#N/A</v>
      </c>
      <c r="DG168" s="21" t="e">
        <f>EXP(-LN(2)/25)*DG167+(1-EXP(-LN(2)/25))/(LN(2)/25)*Calculateur!DB168*Calculateur!DD168*VLOOKUP('Données projet'!$B$13,Paramètres!$A$1:$I$89,3,0)*0.475*44/12</f>
        <v>#N/A</v>
      </c>
      <c r="DH168" s="21" t="e">
        <f>EXP(-LN(2)/2)*DH167+(1-EXP(-LN(2)/2))/(LN(2)/2)*DB168*DE168*VLOOKUP('Données projet'!$B$13,Paramètres!$A$1:$I$89,3,0)*0.475*44/12</f>
        <v>#N/A</v>
      </c>
      <c r="DI168" s="22" t="e">
        <f t="shared" si="175"/>
        <v>#N/A</v>
      </c>
      <c r="DJ168" s="75">
        <f>('Scénario référence'!$F$8+'Scénario référence'!$F$9+'Scénario référence'!$B$17+'Scénario référence'!$B$9+'Scénario référence'!$B$10)*70+IF((45+25*(1-EXP(-0.0175*A168)))&lt;70,'Scénario référence'!$B$16*(45+25*(1-EXP(-0.0175*A168))),70*'Scénario référence'!$B$16)+IF((32+38*(1-EXP(-0.0175*A168)))&lt;70,'Scénario référence'!$B$18*(32+38*(1-EXP(-0.0175*A168))),70*'Scénario référence'!$B$18)</f>
        <v>70</v>
      </c>
      <c r="DK168" s="12">
        <f>IF(A168&gt;30,10,('Scénario référence'!$B$16+'Scénario référence'!$B$17+'Scénario référence'!$B$18+'Scénario référence'!$B$9+'Scénario référence'!$B$10)*A168*10/30+('Scénario référence'!$F$8+'Scénario référence'!$F$9)*10)</f>
        <v>10</v>
      </c>
      <c r="DL168" s="12" t="e">
        <f>VLOOKUP(A168,'Données projet'!$A$165:$I$185,2,0)</f>
        <v>#N/A</v>
      </c>
      <c r="DM168" s="12" t="e">
        <f>VLOOKUP(A168,'Données projet'!$A$165:$I$185,9,0)</f>
        <v>#N/A</v>
      </c>
      <c r="DN168" s="12">
        <f t="array" ref="DN168">INDEX(DM:DM,MIN(IF(ISNUMBER(DM168:DM364),ROW(DM168:DM364),"")))</f>
        <v>0</v>
      </c>
      <c r="DO168" s="12">
        <f>IF('Données projet'!$A$166&gt;35,DO167+DN168-DW167,IF(A168&lt;'Données projet'!$A$166,$DL$205^A168,IF(A168='Données projet'!$A$166,'Données projet'!$B$166,DO167+DN168-DW167)))</f>
        <v>268.00000000000017</v>
      </c>
      <c r="DP168" s="17">
        <f>DO168*VLOOKUP('Données projet'!$B$14,Paramètres!$A$1:$I$89,3,0)*VLOOKUP('Données projet'!$B$14,Paramètres!$A$1:$I$89,5,0)</f>
        <v>175.59360000000012</v>
      </c>
      <c r="DQ168" s="13">
        <f t="shared" si="176"/>
        <v>44.340433728638573</v>
      </c>
      <c r="DR168" s="20">
        <f t="shared" si="177"/>
        <v>383.05177541071242</v>
      </c>
      <c r="DS168" s="59">
        <f t="shared" si="125"/>
        <v>676.38510874404574</v>
      </c>
      <c r="DT168" s="59">
        <f ca="1">AVERAGE(OFFSET($DS$3,0,0,'Données projet'!$E$14+1,1))-AVERAGE(OFFSET($H$3,0,0,'Données projet'!$E$14+1,1))</f>
        <v>188.68915783955595</v>
      </c>
      <c r="DU168" s="59">
        <f t="shared" si="152"/>
        <v>240.82467772396944</v>
      </c>
      <c r="DV168" s="15">
        <f>IF(ISNA(VLOOKUP(A168,'Données projet'!$A$165:$I$185,3,0)),0,VLOOKUP(A168,'Données projet'!$A$165:$I$185,3,0))</f>
        <v>0</v>
      </c>
      <c r="DW168" s="15">
        <f>IF(ISNA(VLOOKUP(A168,'Données projet'!$A$165:$I$185,4,0)),0,VLOOKUP(A168,'Données projet'!$A$165:$I$185,4,0))</f>
        <v>0</v>
      </c>
      <c r="DX168" s="16">
        <f>IF(ISNA(VLOOKUP(A168,'Données projet'!$A$165:$I$185,5,0)),0%,VLOOKUP(A168,'Données projet'!$A$165:$I$185,5,0)*VLOOKUP('Données projet'!$B$14,Paramètres!$A$1:$I$89,7,0))</f>
        <v>0</v>
      </c>
      <c r="DY168" s="16">
        <f>IF(ISNA(VLOOKUP(A168,'Données projet'!$A$165:$I$185,6,0)),0%,VLOOKUP(A168,'Données projet'!$A$165:$I$185,6,0)*VLOOKUP('Données projet'!$B$14,Paramètres!$A$1:$I$89,7,0))</f>
        <v>0</v>
      </c>
      <c r="DZ168" s="16">
        <f>IF(ISNA(VLOOKUP(A168,'Données projet'!$A$165:$I$185,7,0)),0%,VLOOKUP(A168,'Données projet'!$A$165:$I$185,7,0))</f>
        <v>0</v>
      </c>
      <c r="EA168" s="21">
        <f>EXP(-LN(2)/35)*EA167+(1-EXP(-LN(2)/35))/(LN(2)/35)*DW168*DX168*VLOOKUP('Données projet'!$B$14,Paramètres!$A$1:$I$89,3,0)*0.475*44/12</f>
        <v>0.10745923920308437</v>
      </c>
      <c r="EB168" s="21">
        <f>EXP(-LN(2)/25)*EB167+(1-EXP(-LN(2)/25))/(LN(2)/25)*Calculateur!DW168*Calculateur!DY168*VLOOKUP('Données projet'!$B$14,Paramètres!$A$1:$I$89,3,0)*0.475*44/12</f>
        <v>0.19036522008342921</v>
      </c>
      <c r="EC168" s="21">
        <f>EXP(-LN(2)/2)*EC167+(1-EXP(-LN(2)/2))/(LN(2)/2)*DW168*DZ168*VLOOKUP('Données projet'!$B$14,Paramètres!$A$1:$I$89,3,0)*0.475*44/12</f>
        <v>6.7064375695206024E-20</v>
      </c>
      <c r="ED168" s="22">
        <f t="shared" si="178"/>
        <v>0.29782445928651358</v>
      </c>
      <c r="EE168" s="75">
        <f>('Scénario référence'!$F$8+'Scénario référence'!$F$9+'Scénario référence'!$B$17+'Scénario référence'!$B$9+'Scénario référence'!$B$10)*70+IF((45+25*(1-EXP(-0.0175*A168)))&lt;70,'Scénario référence'!$B$16*(45+25*(1-EXP(-0.0175*A168))),70*'Scénario référence'!$B$16)+IF((32+38*(1-EXP(-0.0175*A168)))&lt;70,'Scénario référence'!$B$18*(32+38*(1-EXP(-0.0175*A168))),70*'Scénario référence'!$B$18)</f>
        <v>70</v>
      </c>
      <c r="EF168" s="12">
        <f>IF(A168&gt;30,10,('Scénario référence'!$B$16+'Scénario référence'!$B$17+'Scénario référence'!$B$18+'Scénario référence'!$B$9+'Scénario référence'!$B$10)*A168*10/30+('Scénario référence'!$F$8+'Scénario référence'!$F$9)*10)</f>
        <v>10</v>
      </c>
      <c r="EG168" s="12" t="e">
        <f>VLOOKUP(A168,'Données projet'!$A$191:$I$211,2,0)</f>
        <v>#N/A</v>
      </c>
      <c r="EH168" s="12" t="e">
        <f>VLOOKUP(A168,'Données projet'!$A$191:$I$211,9,0)</f>
        <v>#N/A</v>
      </c>
      <c r="EI168" s="12">
        <f t="array" ref="EI168">INDEX(EH:EH,MIN(IF(ISNUMBER(EH168:EH364),ROW(EH168:EH364),"")))</f>
        <v>0</v>
      </c>
      <c r="EJ168" s="12">
        <f>IF('Données projet'!$A$192&gt;35,EJ167+EI168-ER167,IF(A168&lt;'Données projet'!$A$192,$EG$205^A168,IF(A168='Données projet'!$A$192,'Données projet'!$B$192,EJ167+EI168-ER167)))</f>
        <v>275.99999999999972</v>
      </c>
      <c r="EK168" s="17">
        <f>EJ168*VLOOKUP('Données projet'!$B$15,Paramètres!$A$1:$I$89,3,0)*VLOOKUP('Données projet'!$B$15,Paramètres!$A$1:$I$89,5,0)</f>
        <v>223.8911999999998</v>
      </c>
      <c r="EL168" s="13">
        <f t="shared" si="179"/>
        <v>54.95975389514858</v>
      </c>
      <c r="EM168" s="20">
        <f t="shared" si="180"/>
        <v>485.66541136738346</v>
      </c>
      <c r="EN168" s="59">
        <f t="shared" si="128"/>
        <v>778.99874470071677</v>
      </c>
      <c r="EO168" s="59">
        <f ca="1">AVERAGE(OFFSET($EN$3,0,0,'Données projet'!$E$15+1,1))-AVERAGE(OFFSET($H$3,0,0,'Données projet'!$E$15+1,1))</f>
        <v>205.5272583787887</v>
      </c>
      <c r="EP168" s="59">
        <f t="shared" si="154"/>
        <v>180.54762778843178</v>
      </c>
      <c r="EQ168" s="15">
        <f>IF(ISNA(VLOOKUP(A168,'Données projet'!$A$191:$I$211,3,0)),0,VLOOKUP(A168,'Données projet'!$A$191:$I$211,3,0))</f>
        <v>0</v>
      </c>
      <c r="ER168" s="15">
        <f>IF(ISNA(VLOOKUP(A168,'Données projet'!$A$191:$I$211,4,0)),0,VLOOKUP(A168,'Données projet'!$A$191:$I$211,4,0))</f>
        <v>0</v>
      </c>
      <c r="ES168" s="16">
        <f>IF(ISNA(VLOOKUP(A168,'Données projet'!$A$191:$I$211,5,0)),0%,VLOOKUP(A168,'Données projet'!$A$191:$I$211,5,0)*VLOOKUP('Données projet'!$B$15,Paramètres!$A$1:$I$89,7,0))</f>
        <v>0</v>
      </c>
      <c r="ET168" s="16">
        <f>IF(ISNA(VLOOKUP(A168,'Données projet'!$A$191:$I$211,6,0)),0%,VLOOKUP(A168,'Données projet'!$A$191:$I$211,6,0)*VLOOKUP('Données projet'!$B$15,Paramètres!$A$1:$I$89,7,0))</f>
        <v>0</v>
      </c>
      <c r="EU168" s="16">
        <f>IF(ISNA(VLOOKUP(A168,'Données projet'!$A$191:$I$211,7,0)),0%,VLOOKUP(A168,'Données projet'!$A$191:$I$211,7,0))</f>
        <v>0</v>
      </c>
      <c r="EV168" s="21">
        <f>EXP(-LN(2)/35)*EV167+(1-EXP(-LN(2)/35))/(LN(2)/35)*ER168*ES168*VLOOKUP('Données projet'!$B$15,Paramètres!$A$1:$I$89,3,0)*0.475*44/12</f>
        <v>6.9183281620271472E-2</v>
      </c>
      <c r="EW168" s="21">
        <f>EXP(-LN(2)/25)*EW167+(1-EXP(-LN(2)/25))/(LN(2)/25)*Calculateur!ER168*Calculateur!ET168*VLOOKUP('Données projet'!$B$15,Paramètres!$A$1:$I$89,3,0)*0.475*44/12</f>
        <v>0.13744946381286663</v>
      </c>
      <c r="EX168" s="21">
        <f>EXP(-LN(2)/2)*EX167+(1-EXP(-LN(2)/2))/(LN(2)/2)*ER168*EU168*VLOOKUP('Données projet'!$B$15,Paramètres!$A$1:$I$89,3,0)*0.475*44/12</f>
        <v>4.3424232851802775E-20</v>
      </c>
      <c r="EY168" s="22">
        <f t="shared" si="181"/>
        <v>0.20663274543313809</v>
      </c>
      <c r="EZ168" s="75">
        <f>('Scénario référence'!$F$8+'Scénario référence'!$F$9+'Scénario référence'!$B$17+'Scénario référence'!$B$9+'Scénario référence'!$B$10)*70+IF((45+25*(1-EXP(-0.0175*A168)))&lt;70,'Scénario référence'!$B$16*(45+25*(1-EXP(-0.0175*A168))),70*'Scénario référence'!$B$16)+IF((32+38*(1-EXP(-0.0175*A168)))&lt;70,'Scénario référence'!$B$18*(32+38*(1-EXP(-0.0175*A168))),70*'Scénario référence'!$B$18)</f>
        <v>70</v>
      </c>
      <c r="FA168" s="12">
        <f>IF(A168&gt;30,10,('Scénario référence'!$B$16+'Scénario référence'!$B$17+'Scénario référence'!$B$18+'Scénario référence'!$B$9+'Scénario référence'!$B$10)*A168*10/30+('Scénario référence'!$F$8+'Scénario référence'!$F$9)*10)</f>
        <v>10</v>
      </c>
      <c r="FB168" s="12" t="e">
        <f>VLOOKUP(A168,'Données projet'!$A$217:$I$237,2,0)</f>
        <v>#N/A</v>
      </c>
      <c r="FC168" s="12" t="e">
        <f>VLOOKUP(A168,'Données projet'!$A$217:$I$237,9,0)</f>
        <v>#N/A</v>
      </c>
      <c r="FD168" s="12">
        <f t="array" ref="FD168">INDEX(FC:FC,MIN(IF(ISNUMBER(FC168:FC364),ROW(FC168:FC364),"")))</f>
        <v>0</v>
      </c>
      <c r="FE168" s="12">
        <f>IF('Données projet'!$A$218&gt;35,FE167+FD168-FM167,IF(A168&lt;'Données projet'!$A$218,$FB$205^A168,IF(A168='Données projet'!$A$218,'Données projet'!$B$218,FE167+FD168-FM167)))</f>
        <v>418.99999999999983</v>
      </c>
      <c r="FF168" s="17">
        <f>FE168*VLOOKUP('Données projet'!$B$16,Paramètres!$A$1:$I$89,3,0)*VLOOKUP('Données projet'!$B$16,Paramètres!$A$1:$I$89,5,0)</f>
        <v>359.5019999999999</v>
      </c>
      <c r="FG168" s="13">
        <f t="shared" si="182"/>
        <v>83.516011055432813</v>
      </c>
      <c r="FH168" s="20">
        <f t="shared" si="183"/>
        <v>771.58970258821194</v>
      </c>
      <c r="FI168" s="59">
        <f t="shared" si="131"/>
        <v>1064.9230359215453</v>
      </c>
      <c r="FJ168" s="59">
        <f ca="1">AVERAGE(OFFSET($FI$3,0,0,'Données projet'!$E$16+1,1))-AVERAGE(OFFSET($H$3,0,0,'Données projet'!$E$16+1,1))</f>
        <v>383.97627237444709</v>
      </c>
      <c r="FK168" s="59">
        <f t="shared" si="156"/>
        <v>203.35476578922339</v>
      </c>
      <c r="FL168" s="15">
        <f>IF(ISNA(VLOOKUP(A168,'Données projet'!$A$217:$I$237,3,0)),0,VLOOKUP(A168,'Données projet'!$A$217:$I$237,3,0))</f>
        <v>0</v>
      </c>
      <c r="FM168" s="15">
        <f>IF(ISNA(VLOOKUP(A168,'Données projet'!$A$217:$I$237,4,0)),0,VLOOKUP(A168,'Données projet'!$A$217:$I$237,4,0))</f>
        <v>0</v>
      </c>
      <c r="FN168" s="16">
        <f>IF(ISNA(VLOOKUP(A168,'Données projet'!$A$217:$I$237,5,0)),0%,VLOOKUP(A168,'Données projet'!$A$217:$I$237,5,0)*VLOOKUP('Données projet'!$B$16,Paramètres!$A$1:$I$89,7,0))</f>
        <v>0</v>
      </c>
      <c r="FO168" s="16">
        <f>IF(ISNA(VLOOKUP(A168,'Données projet'!$A$217:$I$237,6,0)),0%,VLOOKUP(A168,'Données projet'!$A$217:$I$237,6,0)*VLOOKUP('Données projet'!$B$16,Paramètres!$A$1:$I$89,7,0))</f>
        <v>0</v>
      </c>
      <c r="FP168" s="16">
        <f>IF(ISNA(VLOOKUP(A168,'Données projet'!$A$217:$I$237,7,0)),0%,VLOOKUP(A168,'Données projet'!$A$217:$I$237,7,0))</f>
        <v>0</v>
      </c>
      <c r="FQ168" s="21">
        <f>EXP(-LN(2)/35)*FQ167+(1-EXP(-LN(2)/35))/(LN(2)/35)*FM168*FN168*VLOOKUP('Données projet'!$B$16,Paramètres!$A$1:$I$89,3,0)*0.475*44/12</f>
        <v>0.35556453414608724</v>
      </c>
      <c r="FR168" s="21">
        <f>EXP(-LN(2)/25)*FR167+(1-EXP(-LN(2)/25))/(LN(2)/25)*Calculateur!FM168*Calculateur!FO168*VLOOKUP('Données projet'!$B$16,Paramètres!$A$1:$I$89,3,0)*0.475*44/12</f>
        <v>0.13952541252231304</v>
      </c>
      <c r="FS168" s="21">
        <f>EXP(-LN(2)/2)*FS167+(1-EXP(-LN(2)/2))/(LN(2)/2)*FM168*FP168*VLOOKUP('Données projet'!$B$16,Paramètres!$A$1:$I$89,3,0)*0.475*44/12</f>
        <v>7.9761403805892626E-20</v>
      </c>
      <c r="FT168" s="22">
        <f t="shared" si="184"/>
        <v>0.49508994666840028</v>
      </c>
      <c r="FU168" s="75">
        <f>('Scénario référence'!$F$8+'Scénario référence'!$F$9+'Scénario référence'!$B$17+'Scénario référence'!$B$9+'Scénario référence'!$B$10)*70+IF((45+25*(1-EXP(-0.0175*A168)))&lt;70,'Scénario référence'!$B$16*(45+25*(1-EXP(-0.0175*A168))),70*'Scénario référence'!$B$16)+IF((32+38*(1-EXP(-0.0175*A168)))&lt;70,'Scénario référence'!$B$18*(32+38*(1-EXP(-0.0175*A168))),70*'Scénario référence'!$B$18)</f>
        <v>70</v>
      </c>
      <c r="FV168" s="12">
        <f>IF(A168&gt;30,10,('Scénario référence'!$B$16+'Scénario référence'!$B$17+'Scénario référence'!$B$18+'Scénario référence'!$B$9+'Scénario référence'!$B$10)*A168*10/30+('Scénario référence'!$F$8+'Scénario référence'!$F$9)*10)</f>
        <v>10</v>
      </c>
      <c r="FW168" s="12" t="e">
        <f>VLOOKUP(A168,'Données projet'!$A$243:$I$263,2,0)</f>
        <v>#N/A</v>
      </c>
      <c r="FX168" s="12" t="e">
        <f>VLOOKUP(A168,'Données projet'!$A$243:$I$263,9,0)</f>
        <v>#N/A</v>
      </c>
      <c r="FY168" s="12">
        <f t="array" ref="FY168">INDEX(FX:FX,MIN(IF(ISNUMBER(FX168:FX364),ROW(FX168:FX364),"")))</f>
        <v>0</v>
      </c>
      <c r="FZ168" s="12">
        <f>IF('Données projet'!$A$244&gt;35,FZ167+FY168-GH167,IF(A168&lt;'Données projet'!$A$244,$FW$205^A168,IF(A168='Données projet'!$A$244,'Données projet'!$B$244,FZ167+FY168-GH167)))</f>
        <v>4.5474735088646412E-13</v>
      </c>
      <c r="GA168" s="17">
        <f>FZ168*VLOOKUP('Données projet'!$B$17,Paramètres!$A$1:$I$89,3,0)*VLOOKUP('Données projet'!$B$17,Paramètres!$A$1:$I$89,5,0)</f>
        <v>4.8949004849418999E-13</v>
      </c>
      <c r="GB168" s="13">
        <f t="shared" si="185"/>
        <v>6.1123715499968684E-12</v>
      </c>
      <c r="GC168" s="20">
        <f t="shared" si="186"/>
        <v>1.1498242284038591E-11</v>
      </c>
      <c r="GD168" s="59">
        <f t="shared" si="134"/>
        <v>293.3333333333448</v>
      </c>
      <c r="GE168" s="59">
        <f ca="1">AVERAGE(OFFSET($GD$3,0,0,'Données projet'!$E$17+1,1))-AVERAGE(OFFSET($H$3,0,0,'Données projet'!$E$17+1,1))</f>
        <v>286.77702855541287</v>
      </c>
      <c r="GF168" s="59">
        <f t="shared" si="158"/>
        <v>227.12211541860779</v>
      </c>
      <c r="GG168" s="15">
        <f>IF(ISNA(VLOOKUP(A168,'Données projet'!$A$243:$I$263,3,0)),0,VLOOKUP(A168,'Données projet'!$A$243:$I$263,3,0))</f>
        <v>0</v>
      </c>
      <c r="GH168" s="15">
        <f>IF(ISNA(VLOOKUP(A168,'Données projet'!$A$243:$I$263,4,0)),0,VLOOKUP(A168,'Données projet'!$A$243:$I$263,4,0))</f>
        <v>0</v>
      </c>
      <c r="GI168" s="16">
        <f>IF(ISNA(VLOOKUP(A168,'Données projet'!$A$243:$I$263,5,0)),0%,VLOOKUP(A168,'Données projet'!$A$243:$I$263,5,0)*VLOOKUP('Données projet'!$B$17,Paramètres!$A$1:$I$89,7,0))</f>
        <v>0</v>
      </c>
      <c r="GJ168" s="16">
        <f>IF(ISNA(VLOOKUP(A168,'Données projet'!$A$243:$I$263,6,0)),0%,VLOOKUP(A168,'Données projet'!$A$243:$I$263,6,0)*VLOOKUP('Données projet'!$B$17,Paramètres!$A$1:$I$89,7,0))</f>
        <v>0</v>
      </c>
      <c r="GK168" s="16">
        <f>IF(ISNA(VLOOKUP(A168,'Données projet'!$A$243:$I$263,7,0)),0%,VLOOKUP(A168,'Données projet'!$A$243:$I$263,7,0))</f>
        <v>0</v>
      </c>
      <c r="GL168" s="21">
        <f>EXP(-LN(2)/35)*GL167+(1-EXP(-LN(2)/35))/(LN(2)/35)*GH168*GI168*VLOOKUP('Données projet'!$B$17,Paramètres!$A$1:$I$89,3,0)*0.475*44/12</f>
        <v>0</v>
      </c>
      <c r="GM168" s="21">
        <f>EXP(-LN(2)/25)*GM167+(1-EXP(-LN(2)/25))/(LN(2)/25)*Calculateur!GH168*Calculateur!GJ168*VLOOKUP('Données projet'!$B$17,Paramètres!$A$1:$I$89,3,0)*0.475*44/12</f>
        <v>0</v>
      </c>
      <c r="GN168" s="21">
        <f>EXP(-LN(2)/2)*GN167+(1-EXP(-LN(2)/2))/(LN(2)/2)*GH168*GK168*VLOOKUP('Données projet'!$B$17,Paramètres!$A$1:$I$89,3,0)*0.475*44/12</f>
        <v>0</v>
      </c>
      <c r="GO168" s="21">
        <f t="shared" si="187"/>
        <v>0</v>
      </c>
      <c r="GP168" s="75">
        <f>('Scénario référence'!$F$8+'Scénario référence'!$F$9+'Scénario référence'!$B$17+'Scénario référence'!$B$9+'Scénario référence'!$B$10)*70+IF((45+25*(1-EXP(-0.0175*A168)))&lt;70,'Scénario référence'!$B$16*(45+25*(1-EXP(-0.0175*A168))),70*'Scénario référence'!$B$16)+IF((32+38*(1-EXP(-0.0175*A168)))&lt;70,'Scénario référence'!$B$18*(32+38*(1-EXP(-0.0175*A168))),70*'Scénario référence'!$B$18)</f>
        <v>70</v>
      </c>
      <c r="GQ168" s="12">
        <f>IF(A168&gt;30,10,('Scénario référence'!$B$16+'Scénario référence'!$B$17+'Scénario référence'!$B$18+'Scénario référence'!$B$9+'Scénario référence'!$B$10)*A168*10/30+('Scénario référence'!$F$8+'Scénario référence'!$F$9)*10)</f>
        <v>10</v>
      </c>
      <c r="GR168" s="12" t="e">
        <f>VLOOKUP(A168,'Données projet'!$A$269:$I$289,2,0)</f>
        <v>#N/A</v>
      </c>
      <c r="GS168" s="12" t="e">
        <f>VLOOKUP(A168,'Données projet'!$A$269:$I$289,9,0)</f>
        <v>#N/A</v>
      </c>
      <c r="GT168" s="12">
        <f t="array" ref="GT168">INDEX(GS:GS,MIN(IF(ISNUMBER(GS168:GS364),ROW(GS168:GS364),"")))</f>
        <v>0</v>
      </c>
      <c r="GU168" s="12">
        <f>IF('Données projet'!$A$270&gt;35,GU167+GT168-HC167,IF(A168&lt;'Données projet'!$A$270,$GR$205^A168,IF(A168='Données projet'!$A$270,'Données projet'!$B$270,GU167+GT168-HC167)))</f>
        <v>4.5474735088646412E-13</v>
      </c>
      <c r="GV168" s="17">
        <f>GU168*VLOOKUP('Données projet'!$B$18,Paramètres!$A$1:$I$89,3,0)*VLOOKUP('Données projet'!$B$18,Paramètres!$A$1:$I$89,5,0)</f>
        <v>4.8949004849418999E-13</v>
      </c>
      <c r="GW168" s="13">
        <f t="shared" si="188"/>
        <v>6.1123715499968684E-12</v>
      </c>
      <c r="GX168" s="20">
        <f t="shared" si="189"/>
        <v>1.1498242284038591E-11</v>
      </c>
      <c r="GY168" s="59">
        <f t="shared" si="137"/>
        <v>293.3333333333448</v>
      </c>
      <c r="GZ168" s="59">
        <f ca="1">AVERAGE(OFFSET($GY$3,0,0,'Données projet'!$E$18+1,1))-AVERAGE(OFFSET($H$3,0,0,'Données projet'!$E$18+1,1))</f>
        <v>286.77702855541287</v>
      </c>
      <c r="HA168" s="59">
        <f t="shared" si="160"/>
        <v>227.12211541860779</v>
      </c>
      <c r="HB168" s="15">
        <f>IF(ISNA(VLOOKUP(A168,'Données projet'!$A$269:$I$289,3,0)),0,VLOOKUP(A168,'Données projet'!$A$269:$I$289,3,0))</f>
        <v>0</v>
      </c>
      <c r="HC168" s="15">
        <f>IF(ISNA(VLOOKUP(A168,'Données projet'!$A$269:$I$289,4,0)),0,VLOOKUP(A168,'Données projet'!$A$269:$I$289,4,0))</f>
        <v>0</v>
      </c>
      <c r="HD168" s="16">
        <f>IF(ISNA(VLOOKUP(A168,'Données projet'!$A$269:$I$289,5,0)),0%,VLOOKUP(A168,'Données projet'!$A$269:$I$289,5,0)*VLOOKUP('Données projet'!$B$18,Paramètres!$A$1:$I$89,7,0))</f>
        <v>0</v>
      </c>
      <c r="HE168" s="16">
        <f>IF(ISNA(VLOOKUP(A168,'Données projet'!$A$269:$I$289,6,0)),0%,VLOOKUP(A168,'Données projet'!$A$269:$I$289,6,0)*VLOOKUP('Données projet'!$B$18,Paramètres!$A$1:$I$89,7,0))</f>
        <v>0</v>
      </c>
      <c r="HF168" s="16">
        <f>IF(ISNA(VLOOKUP(A168,'Données projet'!$A$269:$I$289,7,0)),0%,VLOOKUP(A168,'Données projet'!$A$269:$I$289,7,0))</f>
        <v>0</v>
      </c>
      <c r="HG168" s="21">
        <f>EXP(-LN(2)/35)*HG167+(1-EXP(-LN(2)/35))/(LN(2)/35)*HC168*HD168*VLOOKUP('Données projet'!$B$18,Paramètres!$A$1:$I$89,3,0)*0.475*44/12</f>
        <v>0</v>
      </c>
      <c r="HH168" s="21">
        <f>EXP(-LN(2)/25)*HH167+(1-EXP(-LN(2)/25))/(LN(2)/25)*Calculateur!HC168*Calculateur!HE168*VLOOKUP('Données projet'!$B$18,Paramètres!$A$1:$I$89,3,0)*0.475*44/12</f>
        <v>0</v>
      </c>
      <c r="HI168" s="21">
        <f>EXP(-LN(2)/2)*HI167+(1-EXP(-LN(2)/2))/(LN(2)/2)*HC168*HF168*VLOOKUP('Données projet'!$B$18,Paramètres!$A$1:$I$89,3,0)*0.475*44/12</f>
        <v>0</v>
      </c>
      <c r="HJ168" s="22">
        <f t="shared" si="190"/>
        <v>0</v>
      </c>
    </row>
    <row r="169" spans="1:218" x14ac:dyDescent="0.25">
      <c r="A169" s="10">
        <f t="shared" si="161"/>
        <v>166</v>
      </c>
      <c r="B169" s="73">
        <f>'Scénario référence'!$B$16*5+'Scénario référence'!$B$17*0+'Scénario référence'!$B$18*5</f>
        <v>0</v>
      </c>
      <c r="C169" s="19">
        <f>Calculateur!C168+'Scénario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147.60719999999998</v>
      </c>
      <c r="D169" s="11">
        <f t="shared" si="140"/>
        <v>38.034305370426985</v>
      </c>
      <c r="E16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69" s="11">
        <f>IF(OR('Scénario référence'!$F$8&gt;0,'Scénario référence'!$F$9&gt;0),('Scénario référence'!$F$8+'Scénario référence'!$F$9)*10,0)</f>
        <v>10</v>
      </c>
      <c r="G169" s="11">
        <f>'Scénario référence'!$B$8*B169*44/12+'Scénario référence'!$B$9*(C169+D169)/0.475*44/12+'Scénario référence'!$B$10*(C169+D169)/0.475*44/12+'Scénario référence'!$F$8*(C169+D169)/0.475*44/12+'Scénario référence'!$F$9*(C169+D169)/0.475*44/12</f>
        <v>1433.0221467190852</v>
      </c>
      <c r="H169" s="67">
        <f t="shared" si="110"/>
        <v>616.65895518682692</v>
      </c>
      <c r="I169" s="70">
        <f>('Scénario référence'!$F$8+'Scénario référence'!$F$9+'Scénario référence'!$B$17+'Scénario référence'!$B$9+'Scénario référence'!$B$10)*70+IF((45+25*(1-EXP(-0.0175*A169)))&lt;70,'Scénario référence'!$B$16*(45+25*(1-EXP(-0.0175*A169))),70*'Scénario référence'!$B$16)+IF((32+38*(1-EXP(-0.0175*A169)))&lt;70,'Scénario référence'!$B$18*(32+38*(1-EXP(-0.0175*A169))),70*'Scénario référence'!$B$18)</f>
        <v>70</v>
      </c>
      <c r="J169" s="13">
        <f>IF(A169&gt;30,10,('Scénario référence'!$B$16+'Scénario référence'!$B$17+'Scénario référence'!$B$18+'Scénario référence'!$B$9+'Scénario référence'!$B$10)*A169*10/30+('Scénario référence'!$F$8+'Scénario référence'!$F$9)*10)</f>
        <v>10</v>
      </c>
      <c r="K169" s="12" t="e">
        <f>VLOOKUP(A169,'Données projet'!$A$35:$I$55,2,0)</f>
        <v>#N/A</v>
      </c>
      <c r="L169" s="12" t="e">
        <f>VLOOKUP(A169,'Données projet'!$A$35:$I$55,9,0)</f>
        <v>#N/A</v>
      </c>
      <c r="M169" s="12">
        <f t="array" ref="M169">INDEX(L:L,MIN(IF(ISNUMBER(L169:L365),ROW(L169:L365),"")))</f>
        <v>0</v>
      </c>
      <c r="N169" s="13">
        <f>IF('Données projet'!$A$36&gt;35,N168+M169-V168,IF(A169&lt;'Données projet'!$A$36,$K$205^A169,IF(A169='Données projet'!$A$36,'Données projet'!$B$36,N168+M169-V168)))</f>
        <v>-2.2737367544323206E-13</v>
      </c>
      <c r="O169" s="13">
        <f>N169*VLOOKUP('Données projet'!$B$9,Paramètres!$A$1:$I$89,3,0)*VLOOKUP('Données projet'!$B$9,Paramètres!$A$1:$I$89,5,0)</f>
        <v>-1.2710188457276673E-13</v>
      </c>
      <c r="P169" s="13" t="e">
        <f t="shared" si="141"/>
        <v>#NUM!</v>
      </c>
      <c r="Q169" s="20" t="e">
        <f t="shared" si="162"/>
        <v>#NUM!</v>
      </c>
      <c r="R169" s="59" t="e">
        <f t="shared" si="109"/>
        <v>#NUM!</v>
      </c>
      <c r="S169" s="59">
        <f ca="1">AVERAGE(OFFSET($R$3,0,0,'Données projet'!$E$9+1,1))-AVERAGE(OFFSET($H$3,0,0,'Données projet'!$E$9+1,1))</f>
        <v>255.5374979188561</v>
      </c>
      <c r="T169" s="59">
        <f t="shared" si="142"/>
        <v>343.10418468620901</v>
      </c>
      <c r="U169" s="15">
        <f>IF(ISNA(VLOOKUP(A169,'Données projet'!$A$35:$I$55,3,0)),0,VLOOKUP(A169,'Données projet'!$A$35:$I$55,3,0))</f>
        <v>0</v>
      </c>
      <c r="V169" s="15">
        <f>IF(ISNA(VLOOKUP(A169,'Données projet'!$A$35:$I$55,4,0)),0,VLOOKUP(A169,'Données projet'!$A$35:$I$55,4,0))</f>
        <v>0</v>
      </c>
      <c r="W169" s="16">
        <f>IF(ISNA(VLOOKUP(A169,'Données projet'!$A$35:$I$55,5,0)),0%,VLOOKUP(A169,'Données projet'!$A$35:$I$55,5,0)*VLOOKUP('Données projet'!$B$9,Paramètres!$A$1:$I$89,7,0))</f>
        <v>0</v>
      </c>
      <c r="X169" s="16">
        <f>IF(ISNA(VLOOKUP(A169,'Données projet'!$A$35:$I$55,6,0)),0%,VLOOKUP(A169,'Données projet'!$A$35:$I$55,6,0)*VLOOKUP('Données projet'!$B$9,Paramètres!$A$1:$I$89,7,0))</f>
        <v>0</v>
      </c>
      <c r="Y169" s="16">
        <f>IF(ISNA(VLOOKUP(A169,'Données projet'!$A$35:$I$55,7,0)),0%,VLOOKUP(A169,'Données projet'!$A$35:$I$55,7,0))</f>
        <v>0</v>
      </c>
      <c r="Z169" s="21">
        <f>EXP(-LN(2)/35)*Z168+(1-EXP(-LN(2)/35))/(LN(2)/35)*V169*W169*VLOOKUP('Données projet'!$B$9,Paramètres!$A$1:$I$89,3,0)*0.475*44/12</f>
        <v>0.20904879364849888</v>
      </c>
      <c r="AA169" s="21">
        <f>EXP(-LN(2)/25)*AA168+(1-EXP(-LN(2)/25))/(LN(2)/25)*Calculateur!V169*Calculateur!X169*VLOOKUP('Données projet'!$B$9,Paramètres!$A$1:$I$89,3,0)*0.475*44/12</f>
        <v>0.36765185524599098</v>
      </c>
      <c r="AB169" s="21">
        <f>EXP(-LN(2)/2)*AB168+(1-EXP(-LN(2)/2))/(LN(2)/2)*V169*Y169*VLOOKUP('Données projet'!$B$9,Paramètres!$A$1:$I$89,3,0)*0.475*44/12</f>
        <v>5.7349283181443908E-21</v>
      </c>
      <c r="AC169" s="22">
        <f t="shared" si="163"/>
        <v>0.57670064889448991</v>
      </c>
      <c r="AD169" s="13">
        <f>('Scénario référence'!$F$8+'Scénario référence'!$F$9+'Scénario référence'!$B$17+'Scénario référence'!$B$9+'Scénario référence'!$B$10)*70+IF((45+25*(1-EXP(-0.0175*A169)))&lt;70,'Scénario référence'!$B$16*(45+25*(1-EXP(-0.0175*A169))),70*'Scénario référence'!$B$16)+IF((32+38*(1-EXP(-0.0175*A169)))&lt;70,'Scénario référence'!$B$18*(32+38*(1-EXP(-0.0175*A169))),70*'Scénario référence'!$B$18)</f>
        <v>70</v>
      </c>
      <c r="AE169" s="13">
        <f>IF(A169&gt;30,10,('Scénario référence'!$B$16+'Scénario référence'!$B$17+'Scénario référence'!$B$18+'Scénario référence'!$B$9+'Scénario référence'!$B$10)*A169*10/30+('Scénario référence'!$F$8+'Scénario référence'!$F$9)*10)</f>
        <v>10</v>
      </c>
      <c r="AF169" s="12" t="e">
        <f>VLOOKUP(A169,'Données projet'!$A$61:$I$81,2,0)</f>
        <v>#N/A</v>
      </c>
      <c r="AG169" s="12" t="e">
        <f>VLOOKUP(A169,'Données projet'!$A$61:$I$81,9,0)</f>
        <v>#N/A</v>
      </c>
      <c r="AH169" s="12">
        <f t="array" ref="AH169">INDEX(AG:AG,MIN(IF(ISNUMBER(AG169:AG365),ROW(AG169:AG365),"")))</f>
        <v>0</v>
      </c>
      <c r="AI169" s="13">
        <f>IF('Données projet'!$A$62&gt;35,AI168+AH169-AQ168,IF(A169&lt;'Données projet'!$A$62,$AF$205^A169,IF(A169='Données projet'!$A$62,'Données projet'!$B$62,AI168+AH169-AQ168)))</f>
        <v>0</v>
      </c>
      <c r="AJ169" s="13">
        <f>AI169*VLOOKUP('Données projet'!$B$10,Paramètres!$A$1:$I$89,3,0)*VLOOKUP('Données projet'!$B$10,Paramètres!$A$1:$I$89,5,0)</f>
        <v>0</v>
      </c>
      <c r="AK169" s="13" t="e">
        <f t="shared" si="164"/>
        <v>#NUM!</v>
      </c>
      <c r="AL169" s="20" t="e">
        <f t="shared" si="165"/>
        <v>#NUM!</v>
      </c>
      <c r="AM169" s="59" t="e">
        <f t="shared" si="113"/>
        <v>#NUM!</v>
      </c>
      <c r="AN169" s="59">
        <f ca="1">AVERAGE(OFFSET($AM$3,0,0,'Données projet'!$E$10+1,1))-AVERAGE(OFFSET($H$3,0,0,'Données projet'!$E$10+1,1))</f>
        <v>261.78489480911571</v>
      </c>
      <c r="AO169" s="59">
        <f t="shared" si="144"/>
        <v>297.50513563712764</v>
      </c>
      <c r="AP169" s="15">
        <f>IF(ISNA(VLOOKUP(A169,'Données projet'!$A$61:$I$81,3,0)),0,VLOOKUP(A169,'Données projet'!$A$61:$I$81,3,0))</f>
        <v>0</v>
      </c>
      <c r="AQ169" s="15">
        <f>IF(ISNA(VLOOKUP(A169,'Données projet'!$A$61:$I$81,4,0)),0,VLOOKUP(A169,'Données projet'!$A$61:$I$81,4,0))</f>
        <v>0</v>
      </c>
      <c r="AR169" s="16">
        <f>IF(ISNA(VLOOKUP(A169,'Données projet'!$A$61:$I$81,5,0)),0%,VLOOKUP(A169,'Données projet'!$A$61:$I$81,5,0)*VLOOKUP('Données projet'!$B$10,Paramètres!$A$1:$I$89,7,0))</f>
        <v>0</v>
      </c>
      <c r="AS169" s="16">
        <f>IF(ISNA(VLOOKUP(A169,'Données projet'!$A$61:$I$81,6,0)),0%,VLOOKUP(A169,'Données projet'!$A$61:$I$81,6,0)*VLOOKUP('Données projet'!$B$10,Paramètres!$A$1:$I$89,7,0))</f>
        <v>0</v>
      </c>
      <c r="AT169" s="16">
        <f>IF(ISNA(VLOOKUP(A169,'Données projet'!$A$61:$I$81,7,0)),0%,VLOOKUP(A169,'Données projet'!$A$61:$I$81,7,0))</f>
        <v>0</v>
      </c>
      <c r="AU169" s="21">
        <f>EXP(-LN(2)/35)*AU168+(1-EXP(-LN(2)/35))/(LN(2)/35)*AQ169*AR169*VLOOKUP('Données projet'!$B$10,Paramètres!$A$1:$I$89,3,0)*0.475*44/12</f>
        <v>0.56449087201862447</v>
      </c>
      <c r="AV169" s="21">
        <f>EXP(-LN(2)/25)*AV168+(1-EXP(-LN(2)/25))/(LN(2)/25)*Calculateur!AQ169*Calculateur!AS169*VLOOKUP('Données projet'!$B$10,Paramètres!$A$1:$I$89,3,0)*0.475*44/12</f>
        <v>0.64199512585345331</v>
      </c>
      <c r="AW169" s="21">
        <f>EXP(-LN(2)/2)*AW168+(1-EXP(-LN(2)/2))/(LN(2)/2)*AQ169*AT169*VLOOKUP('Données projet'!$B$10,Paramètres!$A$1:$I$89,3,0)*0.475*44/12</f>
        <v>8.2674451380855925E-20</v>
      </c>
      <c r="AX169" s="21">
        <f t="shared" si="166"/>
        <v>1.2064859978720777</v>
      </c>
      <c r="AY169" s="74">
        <f>('Scénario référence'!$F$8+'Scénario référence'!$F$9+'Scénario référence'!$B$17+'Scénario référence'!$B$9+'Scénario référence'!$B$10)*70+IF((45+25*(1-EXP(-0.0175*A169)))&lt;70,'Scénario référence'!$B$16*(45+25*(1-EXP(-0.0175*A169))),70*'Scénario référence'!$B$16)+IF((32+38*(1-EXP(-0.0175*A169)))&lt;70,'Scénario référence'!$B$18*(32+38*(1-EXP(-0.0175*A169))),70*'Scénario référence'!$B$18)</f>
        <v>70</v>
      </c>
      <c r="AZ169" s="12">
        <f>IF(A169&gt;30,10,('Scénario référence'!$B$16+'Scénario référence'!$B$17+'Scénario référence'!$B$18+'Scénario référence'!$B$9+'Scénario référence'!$B$10)*A169*10/30+('Scénario référence'!$F$8+'Scénario référence'!$F$9)*10)</f>
        <v>10</v>
      </c>
      <c r="BA169" s="12" t="e">
        <f>VLOOKUP(A169,'Données projet'!$A$87:$I$107,2,0)</f>
        <v>#N/A</v>
      </c>
      <c r="BB169" s="12" t="e">
        <f>VLOOKUP(A169,'Données projet'!$A$87:$I$107,9,0)</f>
        <v>#N/A</v>
      </c>
      <c r="BC169" s="12">
        <f t="array" ref="BC169">INDEX(BB:BB,MIN(IF(ISNUMBER(BB169:BB365),ROW(BB169:BB365),"")))</f>
        <v>0</v>
      </c>
      <c r="BD169" s="12">
        <f>IF('Données projet'!$A$88&gt;35,BD168+BC169-BL168,IF(A169&lt;'Données projet'!$A$88,$BA$205^A169,IF(A169='Données projet'!$A$88,'Données projet'!$B$88,BD168+BC169-BL168)))</f>
        <v>553.99999999999955</v>
      </c>
      <c r="BE169" s="13">
        <f>BD169*VLOOKUP('Données projet'!$B$11,Paramètres!$A$1:$I$89,3,0)*VLOOKUP('Données projet'!$B$11,Paramètres!$A$1:$I$89,5,0)</f>
        <v>331.29199999999975</v>
      </c>
      <c r="BF169" s="13">
        <f t="shared" si="167"/>
        <v>77.698110787752</v>
      </c>
      <c r="BG169" s="20">
        <f t="shared" si="168"/>
        <v>712.32444295533423</v>
      </c>
      <c r="BH169" s="59">
        <f t="shared" si="116"/>
        <v>1005.6577762886675</v>
      </c>
      <c r="BI169" s="59">
        <f ca="1">AVERAGE(OFFSET($BH$3,0,0,'Données projet'!$E$11+1,1))-AVERAGE(OFFSET($H$3,0,0,'Données projet'!$E$11+1,1))</f>
        <v>316.58509520829671</v>
      </c>
      <c r="BJ169" s="59">
        <f t="shared" si="146"/>
        <v>240.71332110643596</v>
      </c>
      <c r="BK169" s="15">
        <f>IF(ISNA(VLOOKUP(A169,'Données projet'!$A$87:$I$107,3,0)),0,VLOOKUP(A169,'Données projet'!$A$87:$I$107,3,0))</f>
        <v>0</v>
      </c>
      <c r="BL169" s="15">
        <f>IF(ISNA(VLOOKUP(A169,'Données projet'!$A$87:$I$107,4,0)),0,VLOOKUP(A169,'Données projet'!$A$87:$I$107,4,0))</f>
        <v>0</v>
      </c>
      <c r="BM169" s="16">
        <f>IF(ISNA(VLOOKUP(A169,'Données projet'!$A$87:$I$107,5,0)),0%,VLOOKUP(A169,'Données projet'!$A$87:$I$107,5,0)*VLOOKUP('Données projet'!$B$11,Paramètres!$A$1:$I$89,7,0))</f>
        <v>0</v>
      </c>
      <c r="BN169" s="16">
        <f>IF(ISNA(VLOOKUP(A169,'Données projet'!$A$87:$I$107,6,0)),0%,VLOOKUP(A169,'Données projet'!$A$87:$I$107,6,0)*VLOOKUP('Données projet'!$B$11,Paramètres!$A$1:$I$89,7,0))</f>
        <v>0</v>
      </c>
      <c r="BO169" s="16">
        <f>IF(ISNA(VLOOKUP(A169,'Données projet'!$A$87:$I$107,7,0)),0%,VLOOKUP(A169,'Données projet'!$A$87:$I$107,7,0))</f>
        <v>0</v>
      </c>
      <c r="BP169" s="21">
        <f>EXP(-LN(2)/35)*BP168+(1-EXP(-LN(2)/35))/(LN(2)/35)*BL169*BM169*VLOOKUP('Données projet'!$B$11,Paramètres!$A$1:$I$89,3,0)*0.475*44/12</f>
        <v>0.17146830245655037</v>
      </c>
      <c r="BQ169" s="21">
        <f>EXP(-LN(2)/25)*BQ168+(1-EXP(-LN(2)/25))/(LN(2)/25)*Calculateur!BL169*Calculateur!BN169*VLOOKUP('Données projet'!$B$11,Paramètres!$A$1:$I$89,3,0)*0.475*44/12</f>
        <v>0.35170366212547322</v>
      </c>
      <c r="BR169" s="21">
        <f>EXP(-LN(2)/2)*BR168+(1-EXP(-LN(2)/2))/(LN(2)/2)*BL169*BO169*VLOOKUP('Données projet'!$B$11,Paramètres!$A$1:$I$89,3,0)*0.475*44/12</f>
        <v>7.4333385686098736E-20</v>
      </c>
      <c r="BS169" s="22">
        <f t="shared" si="169"/>
        <v>0.52317196458202364</v>
      </c>
      <c r="BT169" s="75">
        <f>('Scénario référence'!$F$8+'Scénario référence'!$F$9+'Scénario référence'!$B$17+'Scénario référence'!$B$9+'Scénario référence'!$B$10)*70+IF((45+25*(1-EXP(-0.0175*A169)))&lt;70,'Scénario référence'!$B$16*(45+25*(1-EXP(-0.0175*A169))),70*'Scénario référence'!$B$16)+IF((32+38*(1-EXP(-0.0175*A169)))&lt;70,'Scénario référence'!$B$18*(32+38*(1-EXP(-0.0175*A169))),70*'Scénario référence'!$B$18)</f>
        <v>70</v>
      </c>
      <c r="BU169" s="12">
        <f>IF(A169&gt;30,10,('Scénario référence'!$B$16+'Scénario référence'!$B$17+'Scénario référence'!$B$18+'Scénario référence'!$B$9+'Scénario référence'!$B$10)*A169*10/30+('Scénario référence'!$F$8+'Scénario référence'!$F$9)*10)</f>
        <v>10</v>
      </c>
      <c r="BV169" s="12" t="e">
        <f>VLOOKUP(A169,'Données projet'!$A$113:$I$133,2,0)</f>
        <v>#N/A</v>
      </c>
      <c r="BW169" s="12" t="e">
        <f>VLOOKUP(A169,'Données projet'!$A$113:$I$133,9,0)</f>
        <v>#N/A</v>
      </c>
      <c r="BX169" s="12">
        <f t="array" ref="BX169">INDEX(BW:BW,MIN(IF(ISNUMBER(BW169:BW365),ROW(BW169:BW365),"")))</f>
        <v>0</v>
      </c>
      <c r="BY169" s="12">
        <f>IF('Données projet'!$A$114&gt;35,BY168+BX169-CG168,IF(A169&lt;'Données projet'!$A$114,$BV$205^A169,IF(A169='Données projet'!$A$114,'Données projet'!$B$114,BY168+BX169-CG168)))</f>
        <v>333.99999999999977</v>
      </c>
      <c r="BZ169" s="13">
        <f>BY169*VLOOKUP('Données projet'!$B$12,Paramètres!$A$1:$I$89,3,0)*VLOOKUP('Données projet'!$B$12,Paramètres!$A$1:$I$89,5,0)</f>
        <v>191.04799999999986</v>
      </c>
      <c r="CA169" s="13">
        <f t="shared" si="170"/>
        <v>47.771576544305155</v>
      </c>
      <c r="CB169" s="20">
        <f t="shared" si="171"/>
        <v>415.94409581466454</v>
      </c>
      <c r="CC169" s="59">
        <f t="shared" si="119"/>
        <v>709.27742914799785</v>
      </c>
      <c r="CD169" s="59">
        <f ca="1">AVERAGE(OFFSET($CC$3,0,0,'Données projet'!$E$12+1,1))-AVERAGE(OFFSET($H$3,0,0,'Données projet'!$E$12+1,1))</f>
        <v>188.64374818906128</v>
      </c>
      <c r="CE169" s="59">
        <f t="shared" si="148"/>
        <v>211.95157880548652</v>
      </c>
      <c r="CF169" s="15">
        <f>IF(ISNA(VLOOKUP(A169,'Données projet'!$A$113:$I$133,3,0)),0,VLOOKUP(A169,'Données projet'!$A$113:$I$133,3,0))</f>
        <v>0</v>
      </c>
      <c r="CG169" s="15">
        <f>IF(ISNA(VLOOKUP(A169,'Données projet'!$A$113:$I$133,4,0)),0,VLOOKUP(A169,'Données projet'!$A$113:$I$133,4,0))</f>
        <v>0</v>
      </c>
      <c r="CH169" s="16">
        <f>IF(ISNA(VLOOKUP(A169,'Données projet'!$A$113:$I$133,5,0)),0%,VLOOKUP(A169,'Données projet'!$A$113:$I$133,5,0)*VLOOKUP('Données projet'!$B$12,Paramètres!$A$1:$I$89,7,0))</f>
        <v>0</v>
      </c>
      <c r="CI169" s="16">
        <f>IF(ISNA(VLOOKUP(A169,'Données projet'!$A$113:$I$133,6,0)),0%,VLOOKUP(A169,'Données projet'!$A$113:$I$133,6,0)*VLOOKUP('Données projet'!$B$12,Paramètres!$A$1:$I$89,7,0))</f>
        <v>0</v>
      </c>
      <c r="CJ169" s="16">
        <f>IF(ISNA(VLOOKUP(A169,'Données projet'!$A$113:$I$133,7,0)),0%,VLOOKUP(A169,'Données projet'!$A$113:$I$133,7,0))</f>
        <v>0</v>
      </c>
      <c r="CK169" s="21">
        <f>EXP(-LN(2)/35)*CK168+(1-EXP(-LN(2)/35))/(LN(2)/35)*CG169*CH169*VLOOKUP('Données projet'!$B$12,Paramètres!$A$1:$I$89,3,0)*0.475*44/12</f>
        <v>0.1663232033626304</v>
      </c>
      <c r="CL169" s="21">
        <f>EXP(-LN(2)/25)*CL168+(1-EXP(-LN(2)/25))/(LN(2)/25)*Calculateur!CG169*Calculateur!CI169*VLOOKUP('Données projet'!$B$12,Paramètres!$A$1:$I$89,3,0)*0.475*44/12</f>
        <v>0.33103144998336304</v>
      </c>
      <c r="CM169" s="21">
        <f>EXP(-LN(2)/2)*CM168+(1-EXP(-LN(2)/2))/(LN(2)/2)*CG169*CJ169*VLOOKUP('Données projet'!$B$12,Paramètres!$A$1:$I$89,3,0)*0.475*44/12</f>
        <v>7.1986068106515449E-20</v>
      </c>
      <c r="CN169" s="22">
        <f t="shared" si="172"/>
        <v>0.49735465334599344</v>
      </c>
      <c r="CO169" s="75">
        <f>('Scénario référence'!$F$8+'Scénario référence'!$F$9+'Scénario référence'!$B$17+'Scénario référence'!$B$9+'Scénario référence'!$B$10)*70+IF((45+25*(1-EXP(-0.0175*A169)))&lt;70,'Scénario référence'!$B$16*(45+25*(1-EXP(-0.0175*A169))),70*'Scénario référence'!$B$16)+IF((32+38*(1-EXP(-0.0175*A169)))&lt;70,'Scénario référence'!$B$18*(32+38*(1-EXP(-0.0175*A169))),70*'Scénario référence'!$B$18)</f>
        <v>70</v>
      </c>
      <c r="CP169" s="12">
        <f>IF(A169&gt;30,10,('Scénario référence'!$B$16+'Scénario référence'!$B$17+'Scénario référence'!$B$18+'Scénario référence'!$B$9+'Scénario référence'!$B$10)*A169*10/30+('Scénario référence'!$F$8+'Scénario référence'!$F$9)*10)</f>
        <v>10</v>
      </c>
      <c r="CQ169" s="12" t="e">
        <f>VLOOKUP(A169,'Données projet'!$A$139:$I$159,2,0)</f>
        <v>#N/A</v>
      </c>
      <c r="CR169" s="12" t="e">
        <f>VLOOKUP(A169,'Données projet'!$A$139:$I$159,9,0)</f>
        <v>#N/A</v>
      </c>
      <c r="CS169" s="12">
        <f t="array" ref="CS169">INDEX(CR:CR,MIN(IF(ISNUMBER(CR169:CR365),ROW(CR169:CR365),"")))</f>
        <v>0</v>
      </c>
      <c r="CT169" s="12">
        <f>IF('Données projet'!$A$140&gt;35,CT168+CS169-DB168,IF(A169&lt;'Données projet'!$A$140,$CQ$205^A169,IF(A169='Données projet'!$A$140,'Données projet'!$B$140,CT168+CS169-DB168)))</f>
        <v>0</v>
      </c>
      <c r="CU169" s="17" t="e">
        <f>CT169*VLOOKUP('Données projet'!$B$13,Paramètres!$A$1:$I$89,3,0)*VLOOKUP('Données projet'!$B$13,Paramètres!$A$1:$I$89,5,0)</f>
        <v>#N/A</v>
      </c>
      <c r="CV169" s="13" t="e">
        <f t="shared" si="173"/>
        <v>#N/A</v>
      </c>
      <c r="CW169" s="20" t="e">
        <f t="shared" si="174"/>
        <v>#N/A</v>
      </c>
      <c r="CX169" s="59" t="e">
        <f t="shared" si="122"/>
        <v>#N/A</v>
      </c>
      <c r="CY169" s="59" t="e">
        <f ca="1">AVERAGE(OFFSET($CX$3,0,0,'Données projet'!$E$13+1,1))-AVERAGE(OFFSET($H$3,0,0,'Données projet'!$E$13+1,1))</f>
        <v>#N/A</v>
      </c>
      <c r="CZ169" s="59" t="e">
        <f t="shared" si="150"/>
        <v>#N/A</v>
      </c>
      <c r="DA169" s="15">
        <f>IF(ISNA(VLOOKUP(A169,'Données projet'!$A$139:$I$159,3,0)),0,VLOOKUP(A169,'Données projet'!$A$139:$I$159,3,0))</f>
        <v>0</v>
      </c>
      <c r="DB169" s="15">
        <f>IF(ISNA(VLOOKUP(A169,'Données projet'!$A$139:$I$159,4,0)),0,VLOOKUP(A169,'Données projet'!$A$139:$I$159,4,0))</f>
        <v>0</v>
      </c>
      <c r="DC169" s="16">
        <f>IF(ISNA(VLOOKUP(A169,'Données projet'!$A$139:$I$159,5,0)),0%,VLOOKUP(A169,'Données projet'!$A$139:$I$159,5,0)*VLOOKUP('Données projet'!$B$13,Paramètres!$A$1:$I$89,7,0))</f>
        <v>0</v>
      </c>
      <c r="DD169" s="16">
        <f>IF(ISNA(VLOOKUP(A169,'Données projet'!$A$139:$I$159,6,0)),0%,VLOOKUP(A169,'Données projet'!$A$139:$I$159,6,0)*VLOOKUP('Données projet'!$B$13,Paramètres!$A$1:$I$89,7,0))</f>
        <v>0</v>
      </c>
      <c r="DE169" s="16">
        <f>IF(ISNA(VLOOKUP(A169,'Données projet'!$A$139:$I$159,7,0)),0%,VLOOKUP(A169,'Données projet'!$A$139:$I$159,7,0))</f>
        <v>0</v>
      </c>
      <c r="DF169" s="21" t="e">
        <f>EXP(-LN(2)/35)*DF168+(1-EXP(-LN(2)/35))/(LN(2)/35)*DB169*DC169*VLOOKUP('Données projet'!$B$13,Paramètres!$A$1:$I$89,3,0)*0.475*44/12</f>
        <v>#N/A</v>
      </c>
      <c r="DG169" s="21" t="e">
        <f>EXP(-LN(2)/25)*DG168+(1-EXP(-LN(2)/25))/(LN(2)/25)*Calculateur!DB169*Calculateur!DD169*VLOOKUP('Données projet'!$B$13,Paramètres!$A$1:$I$89,3,0)*0.475*44/12</f>
        <v>#N/A</v>
      </c>
      <c r="DH169" s="21" t="e">
        <f>EXP(-LN(2)/2)*DH168+(1-EXP(-LN(2)/2))/(LN(2)/2)*DB169*DE169*VLOOKUP('Données projet'!$B$13,Paramètres!$A$1:$I$89,3,0)*0.475*44/12</f>
        <v>#N/A</v>
      </c>
      <c r="DI169" s="22" t="e">
        <f t="shared" si="175"/>
        <v>#N/A</v>
      </c>
      <c r="DJ169" s="75">
        <f>('Scénario référence'!$F$8+'Scénario référence'!$F$9+'Scénario référence'!$B$17+'Scénario référence'!$B$9+'Scénario référence'!$B$10)*70+IF((45+25*(1-EXP(-0.0175*A169)))&lt;70,'Scénario référence'!$B$16*(45+25*(1-EXP(-0.0175*A169))),70*'Scénario référence'!$B$16)+IF((32+38*(1-EXP(-0.0175*A169)))&lt;70,'Scénario référence'!$B$18*(32+38*(1-EXP(-0.0175*A169))),70*'Scénario référence'!$B$18)</f>
        <v>70</v>
      </c>
      <c r="DK169" s="12">
        <f>IF(A169&gt;30,10,('Scénario référence'!$B$16+'Scénario référence'!$B$17+'Scénario référence'!$B$18+'Scénario référence'!$B$9+'Scénario référence'!$B$10)*A169*10/30+('Scénario référence'!$F$8+'Scénario référence'!$F$9)*10)</f>
        <v>10</v>
      </c>
      <c r="DL169" s="12" t="e">
        <f>VLOOKUP(A169,'Données projet'!$A$165:$I$185,2,0)</f>
        <v>#N/A</v>
      </c>
      <c r="DM169" s="12" t="e">
        <f>VLOOKUP(A169,'Données projet'!$A$165:$I$185,9,0)</f>
        <v>#N/A</v>
      </c>
      <c r="DN169" s="12">
        <f t="array" ref="DN169">INDEX(DM:DM,MIN(IF(ISNUMBER(DM169:DM365),ROW(DM169:DM365),"")))</f>
        <v>0</v>
      </c>
      <c r="DO169" s="12">
        <f>IF('Données projet'!$A$166&gt;35,DO168+DN169-DW168,IF(A169&lt;'Données projet'!$A$166,$DL$205^A169,IF(A169='Données projet'!$A$166,'Données projet'!$B$166,DO168+DN169-DW168)))</f>
        <v>268.00000000000017</v>
      </c>
      <c r="DP169" s="17">
        <f>DO169*VLOOKUP('Données projet'!$B$14,Paramètres!$A$1:$I$89,3,0)*VLOOKUP('Données projet'!$B$14,Paramètres!$A$1:$I$89,5,0)</f>
        <v>175.59360000000012</v>
      </c>
      <c r="DQ169" s="13">
        <f t="shared" si="176"/>
        <v>44.340433728638573</v>
      </c>
      <c r="DR169" s="20">
        <f t="shared" si="177"/>
        <v>383.05177541071242</v>
      </c>
      <c r="DS169" s="59">
        <f t="shared" si="125"/>
        <v>676.38510874404574</v>
      </c>
      <c r="DT169" s="59">
        <f ca="1">AVERAGE(OFFSET($DS$3,0,0,'Données projet'!$E$14+1,1))-AVERAGE(OFFSET($H$3,0,0,'Données projet'!$E$14+1,1))</f>
        <v>188.68915783955595</v>
      </c>
      <c r="DU169" s="59">
        <f t="shared" si="152"/>
        <v>240.82467772396944</v>
      </c>
      <c r="DV169" s="15">
        <f>IF(ISNA(VLOOKUP(A169,'Données projet'!$A$165:$I$185,3,0)),0,VLOOKUP(A169,'Données projet'!$A$165:$I$185,3,0))</f>
        <v>0</v>
      </c>
      <c r="DW169" s="15">
        <f>IF(ISNA(VLOOKUP(A169,'Données projet'!$A$165:$I$185,4,0)),0,VLOOKUP(A169,'Données projet'!$A$165:$I$185,4,0))</f>
        <v>0</v>
      </c>
      <c r="DX169" s="16">
        <f>IF(ISNA(VLOOKUP(A169,'Données projet'!$A$165:$I$185,5,0)),0%,VLOOKUP(A169,'Données projet'!$A$165:$I$185,5,0)*VLOOKUP('Données projet'!$B$14,Paramètres!$A$1:$I$89,7,0))</f>
        <v>0</v>
      </c>
      <c r="DY169" s="16">
        <f>IF(ISNA(VLOOKUP(A169,'Données projet'!$A$165:$I$185,6,0)),0%,VLOOKUP(A169,'Données projet'!$A$165:$I$185,6,0)*VLOOKUP('Données projet'!$B$14,Paramètres!$A$1:$I$89,7,0))</f>
        <v>0</v>
      </c>
      <c r="DZ169" s="16">
        <f>IF(ISNA(VLOOKUP(A169,'Données projet'!$A$165:$I$185,7,0)),0%,VLOOKUP(A169,'Données projet'!$A$165:$I$185,7,0))</f>
        <v>0</v>
      </c>
      <c r="EA169" s="21">
        <f>EXP(-LN(2)/35)*EA168+(1-EXP(-LN(2)/35))/(LN(2)/35)*DW169*DX169*VLOOKUP('Données projet'!$B$14,Paramètres!$A$1:$I$89,3,0)*0.475*44/12</f>
        <v>0.10535202906597589</v>
      </c>
      <c r="EB169" s="21">
        <f>EXP(-LN(2)/25)*EB168+(1-EXP(-LN(2)/25))/(LN(2)/25)*Calculateur!DW169*Calculateur!DY169*VLOOKUP('Données projet'!$B$14,Paramètres!$A$1:$I$89,3,0)*0.475*44/12</f>
        <v>0.18515967312937601</v>
      </c>
      <c r="EC169" s="21">
        <f>EXP(-LN(2)/2)*EC168+(1-EXP(-LN(2)/2))/(LN(2)/2)*DW169*DZ169*VLOOKUP('Données projet'!$B$14,Paramètres!$A$1:$I$89,3,0)*0.475*44/12</f>
        <v>4.7421674830122463E-20</v>
      </c>
      <c r="ED169" s="22">
        <f t="shared" si="178"/>
        <v>0.29051170219535188</v>
      </c>
      <c r="EE169" s="75">
        <f>('Scénario référence'!$F$8+'Scénario référence'!$F$9+'Scénario référence'!$B$17+'Scénario référence'!$B$9+'Scénario référence'!$B$10)*70+IF((45+25*(1-EXP(-0.0175*A169)))&lt;70,'Scénario référence'!$B$16*(45+25*(1-EXP(-0.0175*A169))),70*'Scénario référence'!$B$16)+IF((32+38*(1-EXP(-0.0175*A169)))&lt;70,'Scénario référence'!$B$18*(32+38*(1-EXP(-0.0175*A169))),70*'Scénario référence'!$B$18)</f>
        <v>70</v>
      </c>
      <c r="EF169" s="12">
        <f>IF(A169&gt;30,10,('Scénario référence'!$B$16+'Scénario référence'!$B$17+'Scénario référence'!$B$18+'Scénario référence'!$B$9+'Scénario référence'!$B$10)*A169*10/30+('Scénario référence'!$F$8+'Scénario référence'!$F$9)*10)</f>
        <v>10</v>
      </c>
      <c r="EG169" s="12" t="e">
        <f>VLOOKUP(A169,'Données projet'!$A$191:$I$211,2,0)</f>
        <v>#N/A</v>
      </c>
      <c r="EH169" s="12" t="e">
        <f>VLOOKUP(A169,'Données projet'!$A$191:$I$211,9,0)</f>
        <v>#N/A</v>
      </c>
      <c r="EI169" s="12">
        <f t="array" ref="EI169">INDEX(EH:EH,MIN(IF(ISNUMBER(EH169:EH365),ROW(EH169:EH365),"")))</f>
        <v>0</v>
      </c>
      <c r="EJ169" s="12">
        <f>IF('Données projet'!$A$192&gt;35,EJ168+EI169-ER168,IF(A169&lt;'Données projet'!$A$192,$EG$205^A169,IF(A169='Données projet'!$A$192,'Données projet'!$B$192,EJ168+EI169-ER168)))</f>
        <v>275.99999999999972</v>
      </c>
      <c r="EK169" s="17">
        <f>EJ169*VLOOKUP('Données projet'!$B$15,Paramètres!$A$1:$I$89,3,0)*VLOOKUP('Données projet'!$B$15,Paramètres!$A$1:$I$89,5,0)</f>
        <v>223.8911999999998</v>
      </c>
      <c r="EL169" s="13">
        <f t="shared" si="179"/>
        <v>54.95975389514858</v>
      </c>
      <c r="EM169" s="20">
        <f t="shared" si="180"/>
        <v>485.66541136738346</v>
      </c>
      <c r="EN169" s="59">
        <f t="shared" si="128"/>
        <v>778.99874470071677</v>
      </c>
      <c r="EO169" s="59">
        <f ca="1">AVERAGE(OFFSET($EN$3,0,0,'Données projet'!$E$15+1,1))-AVERAGE(OFFSET($H$3,0,0,'Données projet'!$E$15+1,1))</f>
        <v>205.5272583787887</v>
      </c>
      <c r="EP169" s="59">
        <f t="shared" si="154"/>
        <v>180.54762778843178</v>
      </c>
      <c r="EQ169" s="15">
        <f>IF(ISNA(VLOOKUP(A169,'Données projet'!$A$191:$I$211,3,0)),0,VLOOKUP(A169,'Données projet'!$A$191:$I$211,3,0))</f>
        <v>0</v>
      </c>
      <c r="ER169" s="15">
        <f>IF(ISNA(VLOOKUP(A169,'Données projet'!$A$191:$I$211,4,0)),0,VLOOKUP(A169,'Données projet'!$A$191:$I$211,4,0))</f>
        <v>0</v>
      </c>
      <c r="ES169" s="16">
        <f>IF(ISNA(VLOOKUP(A169,'Données projet'!$A$191:$I$211,5,0)),0%,VLOOKUP(A169,'Données projet'!$A$191:$I$211,5,0)*VLOOKUP('Données projet'!$B$15,Paramètres!$A$1:$I$89,7,0))</f>
        <v>0</v>
      </c>
      <c r="ET169" s="16">
        <f>IF(ISNA(VLOOKUP(A169,'Données projet'!$A$191:$I$211,6,0)),0%,VLOOKUP(A169,'Données projet'!$A$191:$I$211,6,0)*VLOOKUP('Données projet'!$B$15,Paramètres!$A$1:$I$89,7,0))</f>
        <v>0</v>
      </c>
      <c r="EU169" s="16">
        <f>IF(ISNA(VLOOKUP(A169,'Données projet'!$A$191:$I$211,7,0)),0%,VLOOKUP(A169,'Données projet'!$A$191:$I$211,7,0))</f>
        <v>0</v>
      </c>
      <c r="EV169" s="21">
        <f>EXP(-LN(2)/35)*EV168+(1-EXP(-LN(2)/35))/(LN(2)/35)*ER169*ES169*VLOOKUP('Données projet'!$B$15,Paramètres!$A$1:$I$89,3,0)*0.475*44/12</f>
        <v>6.7826639665333061E-2</v>
      </c>
      <c r="EW169" s="21">
        <f>EXP(-LN(2)/25)*EW168+(1-EXP(-LN(2)/25))/(LN(2)/25)*Calculateur!ER169*Calculateur!ET169*VLOOKUP('Données projet'!$B$15,Paramètres!$A$1:$I$89,3,0)*0.475*44/12</f>
        <v>0.13369090099675063</v>
      </c>
      <c r="EX169" s="21">
        <f>EXP(-LN(2)/2)*EX168+(1-EXP(-LN(2)/2))/(LN(2)/2)*ER169*EU169*VLOOKUP('Données projet'!$B$15,Paramètres!$A$1:$I$89,3,0)*0.475*44/12</f>
        <v>3.0705569517333393E-20</v>
      </c>
      <c r="EY169" s="22">
        <f t="shared" si="181"/>
        <v>0.20151754066208369</v>
      </c>
      <c r="EZ169" s="75">
        <f>('Scénario référence'!$F$8+'Scénario référence'!$F$9+'Scénario référence'!$B$17+'Scénario référence'!$B$9+'Scénario référence'!$B$10)*70+IF((45+25*(1-EXP(-0.0175*A169)))&lt;70,'Scénario référence'!$B$16*(45+25*(1-EXP(-0.0175*A169))),70*'Scénario référence'!$B$16)+IF((32+38*(1-EXP(-0.0175*A169)))&lt;70,'Scénario référence'!$B$18*(32+38*(1-EXP(-0.0175*A169))),70*'Scénario référence'!$B$18)</f>
        <v>70</v>
      </c>
      <c r="FA169" s="12">
        <f>IF(A169&gt;30,10,('Scénario référence'!$B$16+'Scénario référence'!$B$17+'Scénario référence'!$B$18+'Scénario référence'!$B$9+'Scénario référence'!$B$10)*A169*10/30+('Scénario référence'!$F$8+'Scénario référence'!$F$9)*10)</f>
        <v>10</v>
      </c>
      <c r="FB169" s="12" t="e">
        <f>VLOOKUP(A169,'Données projet'!$A$217:$I$237,2,0)</f>
        <v>#N/A</v>
      </c>
      <c r="FC169" s="12" t="e">
        <f>VLOOKUP(A169,'Données projet'!$A$217:$I$237,9,0)</f>
        <v>#N/A</v>
      </c>
      <c r="FD169" s="12">
        <f t="array" ref="FD169">INDEX(FC:FC,MIN(IF(ISNUMBER(FC169:FC365),ROW(FC169:FC365),"")))</f>
        <v>0</v>
      </c>
      <c r="FE169" s="12">
        <f>IF('Données projet'!$A$218&gt;35,FE168+FD169-FM168,IF(A169&lt;'Données projet'!$A$218,$FB$205^A169,IF(A169='Données projet'!$A$218,'Données projet'!$B$218,FE168+FD169-FM168)))</f>
        <v>418.99999999999983</v>
      </c>
      <c r="FF169" s="17">
        <f>FE169*VLOOKUP('Données projet'!$B$16,Paramètres!$A$1:$I$89,3,0)*VLOOKUP('Données projet'!$B$16,Paramètres!$A$1:$I$89,5,0)</f>
        <v>359.5019999999999</v>
      </c>
      <c r="FG169" s="13">
        <f t="shared" si="182"/>
        <v>83.516011055432813</v>
      </c>
      <c r="FH169" s="20">
        <f t="shared" si="183"/>
        <v>771.58970258821194</v>
      </c>
      <c r="FI169" s="59">
        <f t="shared" si="131"/>
        <v>1064.9230359215453</v>
      </c>
      <c r="FJ169" s="59">
        <f ca="1">AVERAGE(OFFSET($FI$3,0,0,'Données projet'!$E$16+1,1))-AVERAGE(OFFSET($H$3,0,0,'Données projet'!$E$16+1,1))</f>
        <v>383.97627237444709</v>
      </c>
      <c r="FK169" s="59">
        <f t="shared" si="156"/>
        <v>203.35476578922339</v>
      </c>
      <c r="FL169" s="15">
        <f>IF(ISNA(VLOOKUP(A169,'Données projet'!$A$217:$I$237,3,0)),0,VLOOKUP(A169,'Données projet'!$A$217:$I$237,3,0))</f>
        <v>0</v>
      </c>
      <c r="FM169" s="15">
        <f>IF(ISNA(VLOOKUP(A169,'Données projet'!$A$217:$I$237,4,0)),0,VLOOKUP(A169,'Données projet'!$A$217:$I$237,4,0))</f>
        <v>0</v>
      </c>
      <c r="FN169" s="16">
        <f>IF(ISNA(VLOOKUP(A169,'Données projet'!$A$217:$I$237,5,0)),0%,VLOOKUP(A169,'Données projet'!$A$217:$I$237,5,0)*VLOOKUP('Données projet'!$B$16,Paramètres!$A$1:$I$89,7,0))</f>
        <v>0</v>
      </c>
      <c r="FO169" s="16">
        <f>IF(ISNA(VLOOKUP(A169,'Données projet'!$A$217:$I$237,6,0)),0%,VLOOKUP(A169,'Données projet'!$A$217:$I$237,6,0)*VLOOKUP('Données projet'!$B$16,Paramètres!$A$1:$I$89,7,0))</f>
        <v>0</v>
      </c>
      <c r="FP169" s="16">
        <f>IF(ISNA(VLOOKUP(A169,'Données projet'!$A$217:$I$237,7,0)),0%,VLOOKUP(A169,'Données projet'!$A$217:$I$237,7,0))</f>
        <v>0</v>
      </c>
      <c r="FQ169" s="21">
        <f>EXP(-LN(2)/35)*FQ168+(1-EXP(-LN(2)/35))/(LN(2)/35)*FM169*FN169*VLOOKUP('Données projet'!$B$16,Paramètres!$A$1:$I$89,3,0)*0.475*44/12</f>
        <v>0.34859213050443388</v>
      </c>
      <c r="FR169" s="21">
        <f>EXP(-LN(2)/25)*FR168+(1-EXP(-LN(2)/25))/(LN(2)/25)*Calculateur!FM169*Calculateur!FO169*VLOOKUP('Données projet'!$B$16,Paramètres!$A$1:$I$89,3,0)*0.475*44/12</f>
        <v>0.13571008277956784</v>
      </c>
      <c r="FS169" s="21">
        <f>EXP(-LN(2)/2)*FS168+(1-EXP(-LN(2)/2))/(LN(2)/2)*FM169*FP169*VLOOKUP('Données projet'!$B$16,Paramètres!$A$1:$I$89,3,0)*0.475*44/12</f>
        <v>5.6399829508105175E-20</v>
      </c>
      <c r="FT169" s="22">
        <f t="shared" si="184"/>
        <v>0.48430221328400169</v>
      </c>
      <c r="FU169" s="75">
        <f>('Scénario référence'!$F$8+'Scénario référence'!$F$9+'Scénario référence'!$B$17+'Scénario référence'!$B$9+'Scénario référence'!$B$10)*70+IF((45+25*(1-EXP(-0.0175*A169)))&lt;70,'Scénario référence'!$B$16*(45+25*(1-EXP(-0.0175*A169))),70*'Scénario référence'!$B$16)+IF((32+38*(1-EXP(-0.0175*A169)))&lt;70,'Scénario référence'!$B$18*(32+38*(1-EXP(-0.0175*A169))),70*'Scénario référence'!$B$18)</f>
        <v>70</v>
      </c>
      <c r="FV169" s="12">
        <f>IF(A169&gt;30,10,('Scénario référence'!$B$16+'Scénario référence'!$B$17+'Scénario référence'!$B$18+'Scénario référence'!$B$9+'Scénario référence'!$B$10)*A169*10/30+('Scénario référence'!$F$8+'Scénario référence'!$F$9)*10)</f>
        <v>10</v>
      </c>
      <c r="FW169" s="12" t="e">
        <f>VLOOKUP(A169,'Données projet'!$A$243:$I$263,2,0)</f>
        <v>#N/A</v>
      </c>
      <c r="FX169" s="12" t="e">
        <f>VLOOKUP(A169,'Données projet'!$A$243:$I$263,9,0)</f>
        <v>#N/A</v>
      </c>
      <c r="FY169" s="12">
        <f t="array" ref="FY169">INDEX(FX:FX,MIN(IF(ISNUMBER(FX169:FX365),ROW(FX169:FX365),"")))</f>
        <v>0</v>
      </c>
      <c r="FZ169" s="12">
        <f>IF('Données projet'!$A$244&gt;35,FZ168+FY169-GH168,IF(A169&lt;'Données projet'!$A$244,$FW$205^A169,IF(A169='Données projet'!$A$244,'Données projet'!$B$244,FZ168+FY169-GH168)))</f>
        <v>4.5474735088646412E-13</v>
      </c>
      <c r="GA169" s="17">
        <f>FZ169*VLOOKUP('Données projet'!$B$17,Paramètres!$A$1:$I$89,3,0)*VLOOKUP('Données projet'!$B$17,Paramètres!$A$1:$I$89,5,0)</f>
        <v>4.8949004849418999E-13</v>
      </c>
      <c r="GB169" s="13">
        <f t="shared" si="185"/>
        <v>6.1123715499968684E-12</v>
      </c>
      <c r="GC169" s="20">
        <f t="shared" si="186"/>
        <v>1.1498242284038591E-11</v>
      </c>
      <c r="GD169" s="59">
        <f t="shared" si="134"/>
        <v>293.3333333333448</v>
      </c>
      <c r="GE169" s="59">
        <f ca="1">AVERAGE(OFFSET($GD$3,0,0,'Données projet'!$E$17+1,1))-AVERAGE(OFFSET($H$3,0,0,'Données projet'!$E$17+1,1))</f>
        <v>286.77702855541287</v>
      </c>
      <c r="GF169" s="59">
        <f t="shared" si="158"/>
        <v>227.12211541860779</v>
      </c>
      <c r="GG169" s="15">
        <f>IF(ISNA(VLOOKUP(A169,'Données projet'!$A$243:$I$263,3,0)),0,VLOOKUP(A169,'Données projet'!$A$243:$I$263,3,0))</f>
        <v>0</v>
      </c>
      <c r="GH169" s="15">
        <f>IF(ISNA(VLOOKUP(A169,'Données projet'!$A$243:$I$263,4,0)),0,VLOOKUP(A169,'Données projet'!$A$243:$I$263,4,0))</f>
        <v>0</v>
      </c>
      <c r="GI169" s="16">
        <f>IF(ISNA(VLOOKUP(A169,'Données projet'!$A$243:$I$263,5,0)),0%,VLOOKUP(A169,'Données projet'!$A$243:$I$263,5,0)*VLOOKUP('Données projet'!$B$17,Paramètres!$A$1:$I$89,7,0))</f>
        <v>0</v>
      </c>
      <c r="GJ169" s="16">
        <f>IF(ISNA(VLOOKUP(A169,'Données projet'!$A$243:$I$263,6,0)),0%,VLOOKUP(A169,'Données projet'!$A$243:$I$263,6,0)*VLOOKUP('Données projet'!$B$17,Paramètres!$A$1:$I$89,7,0))</f>
        <v>0</v>
      </c>
      <c r="GK169" s="16">
        <f>IF(ISNA(VLOOKUP(A169,'Données projet'!$A$243:$I$263,7,0)),0%,VLOOKUP(A169,'Données projet'!$A$243:$I$263,7,0))</f>
        <v>0</v>
      </c>
      <c r="GL169" s="21">
        <f>EXP(-LN(2)/35)*GL168+(1-EXP(-LN(2)/35))/(LN(2)/35)*GH169*GI169*VLOOKUP('Données projet'!$B$17,Paramètres!$A$1:$I$89,3,0)*0.475*44/12</f>
        <v>0</v>
      </c>
      <c r="GM169" s="21">
        <f>EXP(-LN(2)/25)*GM168+(1-EXP(-LN(2)/25))/(LN(2)/25)*Calculateur!GH169*Calculateur!GJ169*VLOOKUP('Données projet'!$B$17,Paramètres!$A$1:$I$89,3,0)*0.475*44/12</f>
        <v>0</v>
      </c>
      <c r="GN169" s="21">
        <f>EXP(-LN(2)/2)*GN168+(1-EXP(-LN(2)/2))/(LN(2)/2)*GH169*GK169*VLOOKUP('Données projet'!$B$17,Paramètres!$A$1:$I$89,3,0)*0.475*44/12</f>
        <v>0</v>
      </c>
      <c r="GO169" s="21">
        <f t="shared" si="187"/>
        <v>0</v>
      </c>
      <c r="GP169" s="75">
        <f>('Scénario référence'!$F$8+'Scénario référence'!$F$9+'Scénario référence'!$B$17+'Scénario référence'!$B$9+'Scénario référence'!$B$10)*70+IF((45+25*(1-EXP(-0.0175*A169)))&lt;70,'Scénario référence'!$B$16*(45+25*(1-EXP(-0.0175*A169))),70*'Scénario référence'!$B$16)+IF((32+38*(1-EXP(-0.0175*A169)))&lt;70,'Scénario référence'!$B$18*(32+38*(1-EXP(-0.0175*A169))),70*'Scénario référence'!$B$18)</f>
        <v>70</v>
      </c>
      <c r="GQ169" s="12">
        <f>IF(A169&gt;30,10,('Scénario référence'!$B$16+'Scénario référence'!$B$17+'Scénario référence'!$B$18+'Scénario référence'!$B$9+'Scénario référence'!$B$10)*A169*10/30+('Scénario référence'!$F$8+'Scénario référence'!$F$9)*10)</f>
        <v>10</v>
      </c>
      <c r="GR169" s="12" t="e">
        <f>VLOOKUP(A169,'Données projet'!$A$269:$I$289,2,0)</f>
        <v>#N/A</v>
      </c>
      <c r="GS169" s="12" t="e">
        <f>VLOOKUP(A169,'Données projet'!$A$269:$I$289,9,0)</f>
        <v>#N/A</v>
      </c>
      <c r="GT169" s="12">
        <f t="array" ref="GT169">INDEX(GS:GS,MIN(IF(ISNUMBER(GS169:GS365),ROW(GS169:GS365),"")))</f>
        <v>0</v>
      </c>
      <c r="GU169" s="12">
        <f>IF('Données projet'!$A$270&gt;35,GU168+GT169-HC168,IF(A169&lt;'Données projet'!$A$270,$GR$205^A169,IF(A169='Données projet'!$A$270,'Données projet'!$B$270,GU168+GT169-HC168)))</f>
        <v>4.5474735088646412E-13</v>
      </c>
      <c r="GV169" s="17">
        <f>GU169*VLOOKUP('Données projet'!$B$18,Paramètres!$A$1:$I$89,3,0)*VLOOKUP('Données projet'!$B$18,Paramètres!$A$1:$I$89,5,0)</f>
        <v>4.8949004849418999E-13</v>
      </c>
      <c r="GW169" s="13">
        <f t="shared" si="188"/>
        <v>6.1123715499968684E-12</v>
      </c>
      <c r="GX169" s="20">
        <f t="shared" si="189"/>
        <v>1.1498242284038591E-11</v>
      </c>
      <c r="GY169" s="59">
        <f t="shared" si="137"/>
        <v>293.3333333333448</v>
      </c>
      <c r="GZ169" s="59">
        <f ca="1">AVERAGE(OFFSET($GY$3,0,0,'Données projet'!$E$18+1,1))-AVERAGE(OFFSET($H$3,0,0,'Données projet'!$E$18+1,1))</f>
        <v>286.77702855541287</v>
      </c>
      <c r="HA169" s="59">
        <f t="shared" si="160"/>
        <v>227.12211541860779</v>
      </c>
      <c r="HB169" s="15">
        <f>IF(ISNA(VLOOKUP(A169,'Données projet'!$A$269:$I$289,3,0)),0,VLOOKUP(A169,'Données projet'!$A$269:$I$289,3,0))</f>
        <v>0</v>
      </c>
      <c r="HC169" s="15">
        <f>IF(ISNA(VLOOKUP(A169,'Données projet'!$A$269:$I$289,4,0)),0,VLOOKUP(A169,'Données projet'!$A$269:$I$289,4,0))</f>
        <v>0</v>
      </c>
      <c r="HD169" s="16">
        <f>IF(ISNA(VLOOKUP(A169,'Données projet'!$A$269:$I$289,5,0)),0%,VLOOKUP(A169,'Données projet'!$A$269:$I$289,5,0)*VLOOKUP('Données projet'!$B$18,Paramètres!$A$1:$I$89,7,0))</f>
        <v>0</v>
      </c>
      <c r="HE169" s="16">
        <f>IF(ISNA(VLOOKUP(A169,'Données projet'!$A$269:$I$289,6,0)),0%,VLOOKUP(A169,'Données projet'!$A$269:$I$289,6,0)*VLOOKUP('Données projet'!$B$18,Paramètres!$A$1:$I$89,7,0))</f>
        <v>0</v>
      </c>
      <c r="HF169" s="16">
        <f>IF(ISNA(VLOOKUP(A169,'Données projet'!$A$269:$I$289,7,0)),0%,VLOOKUP(A169,'Données projet'!$A$269:$I$289,7,0))</f>
        <v>0</v>
      </c>
      <c r="HG169" s="21">
        <f>EXP(-LN(2)/35)*HG168+(1-EXP(-LN(2)/35))/(LN(2)/35)*HC169*HD169*VLOOKUP('Données projet'!$B$18,Paramètres!$A$1:$I$89,3,0)*0.475*44/12</f>
        <v>0</v>
      </c>
      <c r="HH169" s="21">
        <f>EXP(-LN(2)/25)*HH168+(1-EXP(-LN(2)/25))/(LN(2)/25)*Calculateur!HC169*Calculateur!HE169*VLOOKUP('Données projet'!$B$18,Paramètres!$A$1:$I$89,3,0)*0.475*44/12</f>
        <v>0</v>
      </c>
      <c r="HI169" s="21">
        <f>EXP(-LN(2)/2)*HI168+(1-EXP(-LN(2)/2))/(LN(2)/2)*HC169*HF169*VLOOKUP('Données projet'!$B$18,Paramètres!$A$1:$I$89,3,0)*0.475*44/12</f>
        <v>0</v>
      </c>
      <c r="HJ169" s="22">
        <f t="shared" si="190"/>
        <v>0</v>
      </c>
    </row>
    <row r="170" spans="1:218" x14ac:dyDescent="0.25">
      <c r="A170" s="10">
        <f t="shared" si="161"/>
        <v>167</v>
      </c>
      <c r="B170" s="73">
        <f>'Scénario référence'!$B$16*5+'Scénario référence'!$B$17*0+'Scénario référence'!$B$18*5</f>
        <v>0</v>
      </c>
      <c r="C170" s="19">
        <f>Calculateur!C169+'Scénario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148.49639999999997</v>
      </c>
      <c r="D170" s="11">
        <f t="shared" si="140"/>
        <v>38.23668703199958</v>
      </c>
      <c r="E17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70" s="11">
        <f>IF(OR('Scénario référence'!$F$8&gt;0,'Scénario référence'!$F$9&gt;0),('Scénario référence'!$F$8+'Scénario référence'!$F$9)*10,0)</f>
        <v>10</v>
      </c>
      <c r="G170" s="11">
        <f>'Scénario référence'!$B$8*B170*44/12+'Scénario référence'!$B$9*(C170+D170)/0.475*44/12+'Scénario référence'!$B$10*(C170+D170)/0.475*44/12+'Scénario référence'!$F$8*(C170+D170)/0.475*44/12+'Scénario référence'!$F$9*(C170+D170)/0.475*44/12</f>
        <v>1441.4483911242071</v>
      </c>
      <c r="H170" s="67">
        <f t="shared" si="110"/>
        <v>618.56012658073257</v>
      </c>
      <c r="I170" s="70">
        <f>('Scénario référence'!$F$8+'Scénario référence'!$F$9+'Scénario référence'!$B$17+'Scénario référence'!$B$9+'Scénario référence'!$B$10)*70+IF((45+25*(1-EXP(-0.0175*A170)))&lt;70,'Scénario référence'!$B$16*(45+25*(1-EXP(-0.0175*A170))),70*'Scénario référence'!$B$16)+IF((32+38*(1-EXP(-0.0175*A170)))&lt;70,'Scénario référence'!$B$18*(32+38*(1-EXP(-0.0175*A170))),70*'Scénario référence'!$B$18)</f>
        <v>70</v>
      </c>
      <c r="J170" s="13">
        <f>IF(A170&gt;30,10,('Scénario référence'!$B$16+'Scénario référence'!$B$17+'Scénario référence'!$B$18+'Scénario référence'!$B$9+'Scénario référence'!$B$10)*A170*10/30+('Scénario référence'!$F$8+'Scénario référence'!$F$9)*10)</f>
        <v>10</v>
      </c>
      <c r="K170" s="12" t="e">
        <f>VLOOKUP(A170,'Données projet'!$A$35:$I$55,2,0)</f>
        <v>#N/A</v>
      </c>
      <c r="L170" s="12" t="e">
        <f>VLOOKUP(A170,'Données projet'!$A$35:$I$55,9,0)</f>
        <v>#N/A</v>
      </c>
      <c r="M170" s="12">
        <f t="array" ref="M170">INDEX(L:L,MIN(IF(ISNUMBER(L170:L366),ROW(L170:L366),"")))</f>
        <v>0</v>
      </c>
      <c r="N170" s="13">
        <f>IF('Données projet'!$A$36&gt;35,N169+M170-V169,IF(A170&lt;'Données projet'!$A$36,$K$205^A170,IF(A170='Données projet'!$A$36,'Données projet'!$B$36,N169+M170-V169)))</f>
        <v>-2.2737367544323206E-13</v>
      </c>
      <c r="O170" s="13">
        <f>N170*VLOOKUP('Données projet'!$B$9,Paramètres!$A$1:$I$89,3,0)*VLOOKUP('Données projet'!$B$9,Paramètres!$A$1:$I$89,5,0)</f>
        <v>-1.2710188457276673E-13</v>
      </c>
      <c r="P170" s="13" t="e">
        <f t="shared" si="141"/>
        <v>#NUM!</v>
      </c>
      <c r="Q170" s="20" t="e">
        <f t="shared" si="162"/>
        <v>#NUM!</v>
      </c>
      <c r="R170" s="59" t="e">
        <f t="shared" si="109"/>
        <v>#NUM!</v>
      </c>
      <c r="S170" s="59">
        <f ca="1">AVERAGE(OFFSET($R$3,0,0,'Données projet'!$E$9+1,1))-AVERAGE(OFFSET($H$3,0,0,'Données projet'!$E$9+1,1))</f>
        <v>255.5374979188561</v>
      </c>
      <c r="T170" s="59">
        <f t="shared" si="142"/>
        <v>343.10418468620901</v>
      </c>
      <c r="U170" s="15">
        <f>IF(ISNA(VLOOKUP(A170,'Données projet'!$A$35:$I$55,3,0)),0,VLOOKUP(A170,'Données projet'!$A$35:$I$55,3,0))</f>
        <v>0</v>
      </c>
      <c r="V170" s="15">
        <f>IF(ISNA(VLOOKUP(A170,'Données projet'!$A$35:$I$55,4,0)),0,VLOOKUP(A170,'Données projet'!$A$35:$I$55,4,0))</f>
        <v>0</v>
      </c>
      <c r="W170" s="16">
        <f>IF(ISNA(VLOOKUP(A170,'Données projet'!$A$35:$I$55,5,0)),0%,VLOOKUP(A170,'Données projet'!$A$35:$I$55,5,0)*VLOOKUP('Données projet'!$B$9,Paramètres!$A$1:$I$89,7,0))</f>
        <v>0</v>
      </c>
      <c r="X170" s="16">
        <f>IF(ISNA(VLOOKUP(A170,'Données projet'!$A$35:$I$55,6,0)),0%,VLOOKUP(A170,'Données projet'!$A$35:$I$55,6,0)*VLOOKUP('Données projet'!$B$9,Paramètres!$A$1:$I$89,7,0))</f>
        <v>0</v>
      </c>
      <c r="Y170" s="16">
        <f>IF(ISNA(VLOOKUP(A170,'Données projet'!$A$35:$I$55,7,0)),0%,VLOOKUP(A170,'Données projet'!$A$35:$I$55,7,0))</f>
        <v>0</v>
      </c>
      <c r="Z170" s="21">
        <f>EXP(-LN(2)/35)*Z169+(1-EXP(-LN(2)/35))/(LN(2)/35)*V170*W170*VLOOKUP('Données projet'!$B$9,Paramètres!$A$1:$I$89,3,0)*0.475*44/12</f>
        <v>0.20494947431222565</v>
      </c>
      <c r="AA170" s="21">
        <f>EXP(-LN(2)/25)*AA169+(1-EXP(-LN(2)/25))/(LN(2)/25)*Calculateur!V170*Calculateur!X170*VLOOKUP('Données projet'!$B$9,Paramètres!$A$1:$I$89,3,0)*0.475*44/12</f>
        <v>0.35759839593031856</v>
      </c>
      <c r="AB170" s="21">
        <f>EXP(-LN(2)/2)*AB169+(1-EXP(-LN(2)/2))/(LN(2)/2)*V170*Y170*VLOOKUP('Données projet'!$B$9,Paramètres!$A$1:$I$89,3,0)*0.475*44/12</f>
        <v>4.0552067033786607E-21</v>
      </c>
      <c r="AC170" s="22">
        <f t="shared" si="163"/>
        <v>0.56254787024254416</v>
      </c>
      <c r="AD170" s="13">
        <f>('Scénario référence'!$F$8+'Scénario référence'!$F$9+'Scénario référence'!$B$17+'Scénario référence'!$B$9+'Scénario référence'!$B$10)*70+IF((45+25*(1-EXP(-0.0175*A170)))&lt;70,'Scénario référence'!$B$16*(45+25*(1-EXP(-0.0175*A170))),70*'Scénario référence'!$B$16)+IF((32+38*(1-EXP(-0.0175*A170)))&lt;70,'Scénario référence'!$B$18*(32+38*(1-EXP(-0.0175*A170))),70*'Scénario référence'!$B$18)</f>
        <v>70</v>
      </c>
      <c r="AE170" s="13">
        <f>IF(A170&gt;30,10,('Scénario référence'!$B$16+'Scénario référence'!$B$17+'Scénario référence'!$B$18+'Scénario référence'!$B$9+'Scénario référence'!$B$10)*A170*10/30+('Scénario référence'!$F$8+'Scénario référence'!$F$9)*10)</f>
        <v>10</v>
      </c>
      <c r="AF170" s="12" t="e">
        <f>VLOOKUP(A170,'Données projet'!$A$61:$I$81,2,0)</f>
        <v>#N/A</v>
      </c>
      <c r="AG170" s="12" t="e">
        <f>VLOOKUP(A170,'Données projet'!$A$61:$I$81,9,0)</f>
        <v>#N/A</v>
      </c>
      <c r="AH170" s="12">
        <f t="array" ref="AH170">INDEX(AG:AG,MIN(IF(ISNUMBER(AG170:AG366),ROW(AG170:AG366),"")))</f>
        <v>0</v>
      </c>
      <c r="AI170" s="13">
        <f>IF('Données projet'!$A$62&gt;35,AI169+AH170-AQ169,IF(A170&lt;'Données projet'!$A$62,$AF$205^A170,IF(A170='Données projet'!$A$62,'Données projet'!$B$62,AI169+AH170-AQ169)))</f>
        <v>0</v>
      </c>
      <c r="AJ170" s="13">
        <f>AI170*VLOOKUP('Données projet'!$B$10,Paramètres!$A$1:$I$89,3,0)*VLOOKUP('Données projet'!$B$10,Paramètres!$A$1:$I$89,5,0)</f>
        <v>0</v>
      </c>
      <c r="AK170" s="13" t="e">
        <f t="shared" si="164"/>
        <v>#NUM!</v>
      </c>
      <c r="AL170" s="20" t="e">
        <f t="shared" si="165"/>
        <v>#NUM!</v>
      </c>
      <c r="AM170" s="59" t="e">
        <f t="shared" si="113"/>
        <v>#NUM!</v>
      </c>
      <c r="AN170" s="59">
        <f ca="1">AVERAGE(OFFSET($AM$3,0,0,'Données projet'!$E$10+1,1))-AVERAGE(OFFSET($H$3,0,0,'Données projet'!$E$10+1,1))</f>
        <v>261.78489480911571</v>
      </c>
      <c r="AO170" s="59">
        <f t="shared" si="144"/>
        <v>297.50513563712764</v>
      </c>
      <c r="AP170" s="15">
        <f>IF(ISNA(VLOOKUP(A170,'Données projet'!$A$61:$I$81,3,0)),0,VLOOKUP(A170,'Données projet'!$A$61:$I$81,3,0))</f>
        <v>0</v>
      </c>
      <c r="AQ170" s="15">
        <f>IF(ISNA(VLOOKUP(A170,'Données projet'!$A$61:$I$81,4,0)),0,VLOOKUP(A170,'Données projet'!$A$61:$I$81,4,0))</f>
        <v>0</v>
      </c>
      <c r="AR170" s="16">
        <f>IF(ISNA(VLOOKUP(A170,'Données projet'!$A$61:$I$81,5,0)),0%,VLOOKUP(A170,'Données projet'!$A$61:$I$81,5,0)*VLOOKUP('Données projet'!$B$10,Paramètres!$A$1:$I$89,7,0))</f>
        <v>0</v>
      </c>
      <c r="AS170" s="16">
        <f>IF(ISNA(VLOOKUP(A170,'Données projet'!$A$61:$I$81,6,0)),0%,VLOOKUP(A170,'Données projet'!$A$61:$I$81,6,0)*VLOOKUP('Données projet'!$B$10,Paramètres!$A$1:$I$89,7,0))</f>
        <v>0</v>
      </c>
      <c r="AT170" s="16">
        <f>IF(ISNA(VLOOKUP(A170,'Données projet'!$A$61:$I$81,7,0)),0%,VLOOKUP(A170,'Données projet'!$A$61:$I$81,7,0))</f>
        <v>0</v>
      </c>
      <c r="AU170" s="21">
        <f>EXP(-LN(2)/35)*AU169+(1-EXP(-LN(2)/35))/(LN(2)/35)*AQ170*AR170*VLOOKUP('Données projet'!$B$10,Paramètres!$A$1:$I$89,3,0)*0.475*44/12</f>
        <v>0.55342155032377383</v>
      </c>
      <c r="AV170" s="21">
        <f>EXP(-LN(2)/25)*AV169+(1-EXP(-LN(2)/25))/(LN(2)/25)*Calculateur!AQ170*Calculateur!AS170*VLOOKUP('Données projet'!$B$10,Paramètres!$A$1:$I$89,3,0)*0.475*44/12</f>
        <v>0.62443973537593422</v>
      </c>
      <c r="AW170" s="21">
        <f>EXP(-LN(2)/2)*AW169+(1-EXP(-LN(2)/2))/(LN(2)/2)*AQ170*AT170*VLOOKUP('Données projet'!$B$10,Paramètres!$A$1:$I$89,3,0)*0.475*44/12</f>
        <v>5.8459665202280752E-20</v>
      </c>
      <c r="AX170" s="21">
        <f t="shared" si="166"/>
        <v>1.1778612856997079</v>
      </c>
      <c r="AY170" s="74">
        <f>('Scénario référence'!$F$8+'Scénario référence'!$F$9+'Scénario référence'!$B$17+'Scénario référence'!$B$9+'Scénario référence'!$B$10)*70+IF((45+25*(1-EXP(-0.0175*A170)))&lt;70,'Scénario référence'!$B$16*(45+25*(1-EXP(-0.0175*A170))),70*'Scénario référence'!$B$16)+IF((32+38*(1-EXP(-0.0175*A170)))&lt;70,'Scénario référence'!$B$18*(32+38*(1-EXP(-0.0175*A170))),70*'Scénario référence'!$B$18)</f>
        <v>70</v>
      </c>
      <c r="AZ170" s="12">
        <f>IF(A170&gt;30,10,('Scénario référence'!$B$16+'Scénario référence'!$B$17+'Scénario référence'!$B$18+'Scénario référence'!$B$9+'Scénario référence'!$B$10)*A170*10/30+('Scénario référence'!$F$8+'Scénario référence'!$F$9)*10)</f>
        <v>10</v>
      </c>
      <c r="BA170" s="12" t="e">
        <f>VLOOKUP(A170,'Données projet'!$A$87:$I$107,2,0)</f>
        <v>#N/A</v>
      </c>
      <c r="BB170" s="12" t="e">
        <f>VLOOKUP(A170,'Données projet'!$A$87:$I$107,9,0)</f>
        <v>#N/A</v>
      </c>
      <c r="BC170" s="12">
        <f t="array" ref="BC170">INDEX(BB:BB,MIN(IF(ISNUMBER(BB170:BB366),ROW(BB170:BB366),"")))</f>
        <v>0</v>
      </c>
      <c r="BD170" s="12">
        <f>IF('Données projet'!$A$88&gt;35,BD169+BC170-BL169,IF(A170&lt;'Données projet'!$A$88,$BA$205^A170,IF(A170='Données projet'!$A$88,'Données projet'!$B$88,BD169+BC170-BL169)))</f>
        <v>553.99999999999955</v>
      </c>
      <c r="BE170" s="13">
        <f>BD170*VLOOKUP('Données projet'!$B$11,Paramètres!$A$1:$I$89,3,0)*VLOOKUP('Données projet'!$B$11,Paramètres!$A$1:$I$89,5,0)</f>
        <v>331.29199999999975</v>
      </c>
      <c r="BF170" s="13">
        <f t="shared" si="167"/>
        <v>77.698110787752</v>
      </c>
      <c r="BG170" s="20">
        <f t="shared" si="168"/>
        <v>712.32444295533423</v>
      </c>
      <c r="BH170" s="59">
        <f t="shared" si="116"/>
        <v>1005.6577762886675</v>
      </c>
      <c r="BI170" s="59">
        <f ca="1">AVERAGE(OFFSET($BH$3,0,0,'Données projet'!$E$11+1,1))-AVERAGE(OFFSET($H$3,0,0,'Données projet'!$E$11+1,1))</f>
        <v>316.58509520829671</v>
      </c>
      <c r="BJ170" s="59">
        <f t="shared" si="146"/>
        <v>240.71332110643596</v>
      </c>
      <c r="BK170" s="15">
        <f>IF(ISNA(VLOOKUP(A170,'Données projet'!$A$87:$I$107,3,0)),0,VLOOKUP(A170,'Données projet'!$A$87:$I$107,3,0))</f>
        <v>0</v>
      </c>
      <c r="BL170" s="15">
        <f>IF(ISNA(VLOOKUP(A170,'Données projet'!$A$87:$I$107,4,0)),0,VLOOKUP(A170,'Données projet'!$A$87:$I$107,4,0))</f>
        <v>0</v>
      </c>
      <c r="BM170" s="16">
        <f>IF(ISNA(VLOOKUP(A170,'Données projet'!$A$87:$I$107,5,0)),0%,VLOOKUP(A170,'Données projet'!$A$87:$I$107,5,0)*VLOOKUP('Données projet'!$B$11,Paramètres!$A$1:$I$89,7,0))</f>
        <v>0</v>
      </c>
      <c r="BN170" s="16">
        <f>IF(ISNA(VLOOKUP(A170,'Données projet'!$A$87:$I$107,6,0)),0%,VLOOKUP(A170,'Données projet'!$A$87:$I$107,6,0)*VLOOKUP('Données projet'!$B$11,Paramètres!$A$1:$I$89,7,0))</f>
        <v>0</v>
      </c>
      <c r="BO170" s="16">
        <f>IF(ISNA(VLOOKUP(A170,'Données projet'!$A$87:$I$107,7,0)),0%,VLOOKUP(A170,'Données projet'!$A$87:$I$107,7,0))</f>
        <v>0</v>
      </c>
      <c r="BP170" s="21">
        <f>EXP(-LN(2)/35)*BP169+(1-EXP(-LN(2)/35))/(LN(2)/35)*BL170*BM170*VLOOKUP('Données projet'!$B$11,Paramètres!$A$1:$I$89,3,0)*0.475*44/12</f>
        <v>0.16810591363071498</v>
      </c>
      <c r="BQ170" s="21">
        <f>EXP(-LN(2)/25)*BQ169+(1-EXP(-LN(2)/25))/(LN(2)/25)*Calculateur!BL170*Calculateur!BN170*VLOOKUP('Données projet'!$B$11,Paramètres!$A$1:$I$89,3,0)*0.475*44/12</f>
        <v>0.34208630698936038</v>
      </c>
      <c r="BR170" s="21">
        <f>EXP(-LN(2)/2)*BR169+(1-EXP(-LN(2)/2))/(LN(2)/2)*BL170*BO170*VLOOKUP('Données projet'!$B$11,Paramètres!$A$1:$I$89,3,0)*0.475*44/12</f>
        <v>5.2561641087195463E-20</v>
      </c>
      <c r="BS170" s="22">
        <f t="shared" si="169"/>
        <v>0.5101922206200753</v>
      </c>
      <c r="BT170" s="75">
        <f>('Scénario référence'!$F$8+'Scénario référence'!$F$9+'Scénario référence'!$B$17+'Scénario référence'!$B$9+'Scénario référence'!$B$10)*70+IF((45+25*(1-EXP(-0.0175*A170)))&lt;70,'Scénario référence'!$B$16*(45+25*(1-EXP(-0.0175*A170))),70*'Scénario référence'!$B$16)+IF((32+38*(1-EXP(-0.0175*A170)))&lt;70,'Scénario référence'!$B$18*(32+38*(1-EXP(-0.0175*A170))),70*'Scénario référence'!$B$18)</f>
        <v>70</v>
      </c>
      <c r="BU170" s="12">
        <f>IF(A170&gt;30,10,('Scénario référence'!$B$16+'Scénario référence'!$B$17+'Scénario référence'!$B$18+'Scénario référence'!$B$9+'Scénario référence'!$B$10)*A170*10/30+('Scénario référence'!$F$8+'Scénario référence'!$F$9)*10)</f>
        <v>10</v>
      </c>
      <c r="BV170" s="12" t="e">
        <f>VLOOKUP(A170,'Données projet'!$A$113:$I$133,2,0)</f>
        <v>#N/A</v>
      </c>
      <c r="BW170" s="12" t="e">
        <f>VLOOKUP(A170,'Données projet'!$A$113:$I$133,9,0)</f>
        <v>#N/A</v>
      </c>
      <c r="BX170" s="12">
        <f t="array" ref="BX170">INDEX(BW:BW,MIN(IF(ISNUMBER(BW170:BW366),ROW(BW170:BW366),"")))</f>
        <v>0</v>
      </c>
      <c r="BY170" s="12">
        <f>IF('Données projet'!$A$114&gt;35,BY169+BX170-CG169,IF(A170&lt;'Données projet'!$A$114,$BV$205^A170,IF(A170='Données projet'!$A$114,'Données projet'!$B$114,BY169+BX170-CG169)))</f>
        <v>333.99999999999977</v>
      </c>
      <c r="BZ170" s="13">
        <f>BY170*VLOOKUP('Données projet'!$B$12,Paramètres!$A$1:$I$89,3,0)*VLOOKUP('Données projet'!$B$12,Paramètres!$A$1:$I$89,5,0)</f>
        <v>191.04799999999986</v>
      </c>
      <c r="CA170" s="13">
        <f t="shared" si="170"/>
        <v>47.771576544305155</v>
      </c>
      <c r="CB170" s="20">
        <f t="shared" si="171"/>
        <v>415.94409581466454</v>
      </c>
      <c r="CC170" s="59">
        <f t="shared" si="119"/>
        <v>709.27742914799785</v>
      </c>
      <c r="CD170" s="59">
        <f ca="1">AVERAGE(OFFSET($CC$3,0,0,'Données projet'!$E$12+1,1))-AVERAGE(OFFSET($H$3,0,0,'Données projet'!$E$12+1,1))</f>
        <v>188.64374818906128</v>
      </c>
      <c r="CE170" s="59">
        <f t="shared" si="148"/>
        <v>211.95157880548652</v>
      </c>
      <c r="CF170" s="15">
        <f>IF(ISNA(VLOOKUP(A170,'Données projet'!$A$113:$I$133,3,0)),0,VLOOKUP(A170,'Données projet'!$A$113:$I$133,3,0))</f>
        <v>0</v>
      </c>
      <c r="CG170" s="15">
        <f>IF(ISNA(VLOOKUP(A170,'Données projet'!$A$113:$I$133,4,0)),0,VLOOKUP(A170,'Données projet'!$A$113:$I$133,4,0))</f>
        <v>0</v>
      </c>
      <c r="CH170" s="16">
        <f>IF(ISNA(VLOOKUP(A170,'Données projet'!$A$113:$I$133,5,0)),0%,VLOOKUP(A170,'Données projet'!$A$113:$I$133,5,0)*VLOOKUP('Données projet'!$B$12,Paramètres!$A$1:$I$89,7,0))</f>
        <v>0</v>
      </c>
      <c r="CI170" s="16">
        <f>IF(ISNA(VLOOKUP(A170,'Données projet'!$A$113:$I$133,6,0)),0%,VLOOKUP(A170,'Données projet'!$A$113:$I$133,6,0)*VLOOKUP('Données projet'!$B$12,Paramètres!$A$1:$I$89,7,0))</f>
        <v>0</v>
      </c>
      <c r="CJ170" s="16">
        <f>IF(ISNA(VLOOKUP(A170,'Données projet'!$A$113:$I$133,7,0)),0%,VLOOKUP(A170,'Données projet'!$A$113:$I$133,7,0))</f>
        <v>0</v>
      </c>
      <c r="CK170" s="21">
        <f>EXP(-LN(2)/35)*CK169+(1-EXP(-LN(2)/35))/(LN(2)/35)*CG170*CH170*VLOOKUP('Données projet'!$B$12,Paramètres!$A$1:$I$89,3,0)*0.475*44/12</f>
        <v>0.16306170679182619</v>
      </c>
      <c r="CL170" s="21">
        <f>EXP(-LN(2)/25)*CL169+(1-EXP(-LN(2)/25))/(LN(2)/25)*Calculateur!CG170*Calculateur!CI170*VLOOKUP('Données projet'!$B$12,Paramètres!$A$1:$I$89,3,0)*0.475*44/12</f>
        <v>0.32197937757538059</v>
      </c>
      <c r="CM170" s="21">
        <f>EXP(-LN(2)/2)*CM169+(1-EXP(-LN(2)/2))/(LN(2)/2)*CG170*CJ170*VLOOKUP('Données projet'!$B$12,Paramètres!$A$1:$I$89,3,0)*0.475*44/12</f>
        <v>5.0901836909073728E-20</v>
      </c>
      <c r="CN170" s="22">
        <f t="shared" si="172"/>
        <v>0.48504108436720678</v>
      </c>
      <c r="CO170" s="75">
        <f>('Scénario référence'!$F$8+'Scénario référence'!$F$9+'Scénario référence'!$B$17+'Scénario référence'!$B$9+'Scénario référence'!$B$10)*70+IF((45+25*(1-EXP(-0.0175*A170)))&lt;70,'Scénario référence'!$B$16*(45+25*(1-EXP(-0.0175*A170))),70*'Scénario référence'!$B$16)+IF((32+38*(1-EXP(-0.0175*A170)))&lt;70,'Scénario référence'!$B$18*(32+38*(1-EXP(-0.0175*A170))),70*'Scénario référence'!$B$18)</f>
        <v>70</v>
      </c>
      <c r="CP170" s="12">
        <f>IF(A170&gt;30,10,('Scénario référence'!$B$16+'Scénario référence'!$B$17+'Scénario référence'!$B$18+'Scénario référence'!$B$9+'Scénario référence'!$B$10)*A170*10/30+('Scénario référence'!$F$8+'Scénario référence'!$F$9)*10)</f>
        <v>10</v>
      </c>
      <c r="CQ170" s="12" t="e">
        <f>VLOOKUP(A170,'Données projet'!$A$139:$I$159,2,0)</f>
        <v>#N/A</v>
      </c>
      <c r="CR170" s="12" t="e">
        <f>VLOOKUP(A170,'Données projet'!$A$139:$I$159,9,0)</f>
        <v>#N/A</v>
      </c>
      <c r="CS170" s="12">
        <f t="array" ref="CS170">INDEX(CR:CR,MIN(IF(ISNUMBER(CR170:CR366),ROW(CR170:CR366),"")))</f>
        <v>0</v>
      </c>
      <c r="CT170" s="12">
        <f>IF('Données projet'!$A$140&gt;35,CT169+CS170-DB169,IF(A170&lt;'Données projet'!$A$140,$CQ$205^A170,IF(A170='Données projet'!$A$140,'Données projet'!$B$140,CT169+CS170-DB169)))</f>
        <v>0</v>
      </c>
      <c r="CU170" s="17" t="e">
        <f>CT170*VLOOKUP('Données projet'!$B$13,Paramètres!$A$1:$I$89,3,0)*VLOOKUP('Données projet'!$B$13,Paramètres!$A$1:$I$89,5,0)</f>
        <v>#N/A</v>
      </c>
      <c r="CV170" s="13" t="e">
        <f t="shared" si="173"/>
        <v>#N/A</v>
      </c>
      <c r="CW170" s="20" t="e">
        <f t="shared" si="174"/>
        <v>#N/A</v>
      </c>
      <c r="CX170" s="59" t="e">
        <f t="shared" si="122"/>
        <v>#N/A</v>
      </c>
      <c r="CY170" s="59" t="e">
        <f ca="1">AVERAGE(OFFSET($CX$3,0,0,'Données projet'!$E$13+1,1))-AVERAGE(OFFSET($H$3,0,0,'Données projet'!$E$13+1,1))</f>
        <v>#N/A</v>
      </c>
      <c r="CZ170" s="59" t="e">
        <f t="shared" si="150"/>
        <v>#N/A</v>
      </c>
      <c r="DA170" s="15">
        <f>IF(ISNA(VLOOKUP(A170,'Données projet'!$A$139:$I$159,3,0)),0,VLOOKUP(A170,'Données projet'!$A$139:$I$159,3,0))</f>
        <v>0</v>
      </c>
      <c r="DB170" s="15">
        <f>IF(ISNA(VLOOKUP(A170,'Données projet'!$A$139:$I$159,4,0)),0,VLOOKUP(A170,'Données projet'!$A$139:$I$159,4,0))</f>
        <v>0</v>
      </c>
      <c r="DC170" s="16">
        <f>IF(ISNA(VLOOKUP(A170,'Données projet'!$A$139:$I$159,5,0)),0%,VLOOKUP(A170,'Données projet'!$A$139:$I$159,5,0)*VLOOKUP('Données projet'!$B$13,Paramètres!$A$1:$I$89,7,0))</f>
        <v>0</v>
      </c>
      <c r="DD170" s="16">
        <f>IF(ISNA(VLOOKUP(A170,'Données projet'!$A$139:$I$159,6,0)),0%,VLOOKUP(A170,'Données projet'!$A$139:$I$159,6,0)*VLOOKUP('Données projet'!$B$13,Paramètres!$A$1:$I$89,7,0))</f>
        <v>0</v>
      </c>
      <c r="DE170" s="16">
        <f>IF(ISNA(VLOOKUP(A170,'Données projet'!$A$139:$I$159,7,0)),0%,VLOOKUP(A170,'Données projet'!$A$139:$I$159,7,0))</f>
        <v>0</v>
      </c>
      <c r="DF170" s="21" t="e">
        <f>EXP(-LN(2)/35)*DF169+(1-EXP(-LN(2)/35))/(LN(2)/35)*DB170*DC170*VLOOKUP('Données projet'!$B$13,Paramètres!$A$1:$I$89,3,0)*0.475*44/12</f>
        <v>#N/A</v>
      </c>
      <c r="DG170" s="21" t="e">
        <f>EXP(-LN(2)/25)*DG169+(1-EXP(-LN(2)/25))/(LN(2)/25)*Calculateur!DB170*Calculateur!DD170*VLOOKUP('Données projet'!$B$13,Paramètres!$A$1:$I$89,3,0)*0.475*44/12</f>
        <v>#N/A</v>
      </c>
      <c r="DH170" s="21" t="e">
        <f>EXP(-LN(2)/2)*DH169+(1-EXP(-LN(2)/2))/(LN(2)/2)*DB170*DE170*VLOOKUP('Données projet'!$B$13,Paramètres!$A$1:$I$89,3,0)*0.475*44/12</f>
        <v>#N/A</v>
      </c>
      <c r="DI170" s="22" t="e">
        <f t="shared" si="175"/>
        <v>#N/A</v>
      </c>
      <c r="DJ170" s="75">
        <f>('Scénario référence'!$F$8+'Scénario référence'!$F$9+'Scénario référence'!$B$17+'Scénario référence'!$B$9+'Scénario référence'!$B$10)*70+IF((45+25*(1-EXP(-0.0175*A170)))&lt;70,'Scénario référence'!$B$16*(45+25*(1-EXP(-0.0175*A170))),70*'Scénario référence'!$B$16)+IF((32+38*(1-EXP(-0.0175*A170)))&lt;70,'Scénario référence'!$B$18*(32+38*(1-EXP(-0.0175*A170))),70*'Scénario référence'!$B$18)</f>
        <v>70</v>
      </c>
      <c r="DK170" s="12">
        <f>IF(A170&gt;30,10,('Scénario référence'!$B$16+'Scénario référence'!$B$17+'Scénario référence'!$B$18+'Scénario référence'!$B$9+'Scénario référence'!$B$10)*A170*10/30+('Scénario référence'!$F$8+'Scénario référence'!$F$9)*10)</f>
        <v>10</v>
      </c>
      <c r="DL170" s="12" t="e">
        <f>VLOOKUP(A170,'Données projet'!$A$165:$I$185,2,0)</f>
        <v>#N/A</v>
      </c>
      <c r="DM170" s="12" t="e">
        <f>VLOOKUP(A170,'Données projet'!$A$165:$I$185,9,0)</f>
        <v>#N/A</v>
      </c>
      <c r="DN170" s="12">
        <f t="array" ref="DN170">INDEX(DM:DM,MIN(IF(ISNUMBER(DM170:DM366),ROW(DM170:DM366),"")))</f>
        <v>0</v>
      </c>
      <c r="DO170" s="12">
        <f>IF('Données projet'!$A$166&gt;35,DO169+DN170-DW169,IF(A170&lt;'Données projet'!$A$166,$DL$205^A170,IF(A170='Données projet'!$A$166,'Données projet'!$B$166,DO169+DN170-DW169)))</f>
        <v>268.00000000000017</v>
      </c>
      <c r="DP170" s="17">
        <f>DO170*VLOOKUP('Données projet'!$B$14,Paramètres!$A$1:$I$89,3,0)*VLOOKUP('Données projet'!$B$14,Paramètres!$A$1:$I$89,5,0)</f>
        <v>175.59360000000012</v>
      </c>
      <c r="DQ170" s="13">
        <f t="shared" si="176"/>
        <v>44.340433728638573</v>
      </c>
      <c r="DR170" s="20">
        <f t="shared" si="177"/>
        <v>383.05177541071242</v>
      </c>
      <c r="DS170" s="59">
        <f t="shared" si="125"/>
        <v>676.38510874404574</v>
      </c>
      <c r="DT170" s="59">
        <f ca="1">AVERAGE(OFFSET($DS$3,0,0,'Données projet'!$E$14+1,1))-AVERAGE(OFFSET($H$3,0,0,'Données projet'!$E$14+1,1))</f>
        <v>188.68915783955595</v>
      </c>
      <c r="DU170" s="59">
        <f t="shared" si="152"/>
        <v>240.82467772396944</v>
      </c>
      <c r="DV170" s="15">
        <f>IF(ISNA(VLOOKUP(A170,'Données projet'!$A$165:$I$185,3,0)),0,VLOOKUP(A170,'Données projet'!$A$165:$I$185,3,0))</f>
        <v>0</v>
      </c>
      <c r="DW170" s="15">
        <f>IF(ISNA(VLOOKUP(A170,'Données projet'!$A$165:$I$185,4,0)),0,VLOOKUP(A170,'Données projet'!$A$165:$I$185,4,0))</f>
        <v>0</v>
      </c>
      <c r="DX170" s="16">
        <f>IF(ISNA(VLOOKUP(A170,'Données projet'!$A$165:$I$185,5,0)),0%,VLOOKUP(A170,'Données projet'!$A$165:$I$185,5,0)*VLOOKUP('Données projet'!$B$14,Paramètres!$A$1:$I$89,7,0))</f>
        <v>0</v>
      </c>
      <c r="DY170" s="16">
        <f>IF(ISNA(VLOOKUP(A170,'Données projet'!$A$165:$I$185,6,0)),0%,VLOOKUP(A170,'Données projet'!$A$165:$I$185,6,0)*VLOOKUP('Données projet'!$B$14,Paramètres!$A$1:$I$89,7,0))</f>
        <v>0</v>
      </c>
      <c r="DZ170" s="16">
        <f>IF(ISNA(VLOOKUP(A170,'Données projet'!$A$165:$I$185,7,0)),0%,VLOOKUP(A170,'Données projet'!$A$165:$I$185,7,0))</f>
        <v>0</v>
      </c>
      <c r="EA170" s="21">
        <f>EXP(-LN(2)/35)*EA169+(1-EXP(-LN(2)/35))/(LN(2)/35)*DW170*DX170*VLOOKUP('Données projet'!$B$14,Paramètres!$A$1:$I$89,3,0)*0.475*44/12</f>
        <v>0.10328614003438484</v>
      </c>
      <c r="EB170" s="21">
        <f>EXP(-LN(2)/25)*EB169+(1-EXP(-LN(2)/25))/(LN(2)/25)*Calculateur!DW170*Calculateur!DY170*VLOOKUP('Données projet'!$B$14,Paramètres!$A$1:$I$89,3,0)*0.475*44/12</f>
        <v>0.18009647213052921</v>
      </c>
      <c r="EC170" s="21">
        <f>EXP(-LN(2)/2)*EC169+(1-EXP(-LN(2)/2))/(LN(2)/2)*DW170*DZ170*VLOOKUP('Données projet'!$B$14,Paramètres!$A$1:$I$89,3,0)*0.475*44/12</f>
        <v>3.3532187847603012E-20</v>
      </c>
      <c r="ED170" s="22">
        <f t="shared" si="178"/>
        <v>0.28338261216491406</v>
      </c>
      <c r="EE170" s="75">
        <f>('Scénario référence'!$F$8+'Scénario référence'!$F$9+'Scénario référence'!$B$17+'Scénario référence'!$B$9+'Scénario référence'!$B$10)*70+IF((45+25*(1-EXP(-0.0175*A170)))&lt;70,'Scénario référence'!$B$16*(45+25*(1-EXP(-0.0175*A170))),70*'Scénario référence'!$B$16)+IF((32+38*(1-EXP(-0.0175*A170)))&lt;70,'Scénario référence'!$B$18*(32+38*(1-EXP(-0.0175*A170))),70*'Scénario référence'!$B$18)</f>
        <v>70</v>
      </c>
      <c r="EF170" s="12">
        <f>IF(A170&gt;30,10,('Scénario référence'!$B$16+'Scénario référence'!$B$17+'Scénario référence'!$B$18+'Scénario référence'!$B$9+'Scénario référence'!$B$10)*A170*10/30+('Scénario référence'!$F$8+'Scénario référence'!$F$9)*10)</f>
        <v>10</v>
      </c>
      <c r="EG170" s="12" t="e">
        <f>VLOOKUP(A170,'Données projet'!$A$191:$I$211,2,0)</f>
        <v>#N/A</v>
      </c>
      <c r="EH170" s="12" t="e">
        <f>VLOOKUP(A170,'Données projet'!$A$191:$I$211,9,0)</f>
        <v>#N/A</v>
      </c>
      <c r="EI170" s="12">
        <f t="array" ref="EI170">INDEX(EH:EH,MIN(IF(ISNUMBER(EH170:EH366),ROW(EH170:EH366),"")))</f>
        <v>0</v>
      </c>
      <c r="EJ170" s="12">
        <f>IF('Données projet'!$A$192&gt;35,EJ169+EI170-ER169,IF(A170&lt;'Données projet'!$A$192,$EG$205^A170,IF(A170='Données projet'!$A$192,'Données projet'!$B$192,EJ169+EI170-ER169)))</f>
        <v>275.99999999999972</v>
      </c>
      <c r="EK170" s="17">
        <f>EJ170*VLOOKUP('Données projet'!$B$15,Paramètres!$A$1:$I$89,3,0)*VLOOKUP('Données projet'!$B$15,Paramètres!$A$1:$I$89,5,0)</f>
        <v>223.8911999999998</v>
      </c>
      <c r="EL170" s="13">
        <f t="shared" si="179"/>
        <v>54.95975389514858</v>
      </c>
      <c r="EM170" s="20">
        <f t="shared" si="180"/>
        <v>485.66541136738346</v>
      </c>
      <c r="EN170" s="59">
        <f t="shared" si="128"/>
        <v>778.99874470071677</v>
      </c>
      <c r="EO170" s="59">
        <f ca="1">AVERAGE(OFFSET($EN$3,0,0,'Données projet'!$E$15+1,1))-AVERAGE(OFFSET($H$3,0,0,'Données projet'!$E$15+1,1))</f>
        <v>205.5272583787887</v>
      </c>
      <c r="EP170" s="59">
        <f t="shared" si="154"/>
        <v>180.54762778843178</v>
      </c>
      <c r="EQ170" s="15">
        <f>IF(ISNA(VLOOKUP(A170,'Données projet'!$A$191:$I$211,3,0)),0,VLOOKUP(A170,'Données projet'!$A$191:$I$211,3,0))</f>
        <v>0</v>
      </c>
      <c r="ER170" s="15">
        <f>IF(ISNA(VLOOKUP(A170,'Données projet'!$A$191:$I$211,4,0)),0,VLOOKUP(A170,'Données projet'!$A$191:$I$211,4,0))</f>
        <v>0</v>
      </c>
      <c r="ES170" s="16">
        <f>IF(ISNA(VLOOKUP(A170,'Données projet'!$A$191:$I$211,5,0)),0%,VLOOKUP(A170,'Données projet'!$A$191:$I$211,5,0)*VLOOKUP('Données projet'!$B$15,Paramètres!$A$1:$I$89,7,0))</f>
        <v>0</v>
      </c>
      <c r="ET170" s="16">
        <f>IF(ISNA(VLOOKUP(A170,'Données projet'!$A$191:$I$211,6,0)),0%,VLOOKUP(A170,'Données projet'!$A$191:$I$211,6,0)*VLOOKUP('Données projet'!$B$15,Paramètres!$A$1:$I$89,7,0))</f>
        <v>0</v>
      </c>
      <c r="EU170" s="16">
        <f>IF(ISNA(VLOOKUP(A170,'Données projet'!$A$191:$I$211,7,0)),0%,VLOOKUP(A170,'Données projet'!$A$191:$I$211,7,0))</f>
        <v>0</v>
      </c>
      <c r="EV170" s="21">
        <f>EXP(-LN(2)/35)*EV169+(1-EXP(-LN(2)/35))/(LN(2)/35)*ER170*ES170*VLOOKUP('Données projet'!$B$15,Paramètres!$A$1:$I$89,3,0)*0.475*44/12</f>
        <v>6.6496600631661115E-2</v>
      </c>
      <c r="EW170" s="21">
        <f>EXP(-LN(2)/25)*EW169+(1-EXP(-LN(2)/25))/(LN(2)/25)*Calculateur!ER170*Calculateur!ET170*VLOOKUP('Données projet'!$B$15,Paramètres!$A$1:$I$89,3,0)*0.475*44/12</f>
        <v>0.13003511627849557</v>
      </c>
      <c r="EX170" s="21">
        <f>EXP(-LN(2)/2)*EX169+(1-EXP(-LN(2)/2))/(LN(2)/2)*ER170*EU170*VLOOKUP('Données projet'!$B$15,Paramètres!$A$1:$I$89,3,0)*0.475*44/12</f>
        <v>2.1712116425901387E-20</v>
      </c>
      <c r="EY170" s="22">
        <f t="shared" si="181"/>
        <v>0.1965317169101567</v>
      </c>
      <c r="EZ170" s="75">
        <f>('Scénario référence'!$F$8+'Scénario référence'!$F$9+'Scénario référence'!$B$17+'Scénario référence'!$B$9+'Scénario référence'!$B$10)*70+IF((45+25*(1-EXP(-0.0175*A170)))&lt;70,'Scénario référence'!$B$16*(45+25*(1-EXP(-0.0175*A170))),70*'Scénario référence'!$B$16)+IF((32+38*(1-EXP(-0.0175*A170)))&lt;70,'Scénario référence'!$B$18*(32+38*(1-EXP(-0.0175*A170))),70*'Scénario référence'!$B$18)</f>
        <v>70</v>
      </c>
      <c r="FA170" s="12">
        <f>IF(A170&gt;30,10,('Scénario référence'!$B$16+'Scénario référence'!$B$17+'Scénario référence'!$B$18+'Scénario référence'!$B$9+'Scénario référence'!$B$10)*A170*10/30+('Scénario référence'!$F$8+'Scénario référence'!$F$9)*10)</f>
        <v>10</v>
      </c>
      <c r="FB170" s="12" t="e">
        <f>VLOOKUP(A170,'Données projet'!$A$217:$I$237,2,0)</f>
        <v>#N/A</v>
      </c>
      <c r="FC170" s="12" t="e">
        <f>VLOOKUP(A170,'Données projet'!$A$217:$I$237,9,0)</f>
        <v>#N/A</v>
      </c>
      <c r="FD170" s="12">
        <f t="array" ref="FD170">INDEX(FC:FC,MIN(IF(ISNUMBER(FC170:FC366),ROW(FC170:FC366),"")))</f>
        <v>0</v>
      </c>
      <c r="FE170" s="12">
        <f>IF('Données projet'!$A$218&gt;35,FE169+FD170-FM169,IF(A170&lt;'Données projet'!$A$218,$FB$205^A170,IF(A170='Données projet'!$A$218,'Données projet'!$B$218,FE169+FD170-FM169)))</f>
        <v>418.99999999999983</v>
      </c>
      <c r="FF170" s="17">
        <f>FE170*VLOOKUP('Données projet'!$B$16,Paramètres!$A$1:$I$89,3,0)*VLOOKUP('Données projet'!$B$16,Paramètres!$A$1:$I$89,5,0)</f>
        <v>359.5019999999999</v>
      </c>
      <c r="FG170" s="13">
        <f t="shared" si="182"/>
        <v>83.516011055432813</v>
      </c>
      <c r="FH170" s="20">
        <f t="shared" si="183"/>
        <v>771.58970258821194</v>
      </c>
      <c r="FI170" s="59">
        <f t="shared" si="131"/>
        <v>1064.9230359215453</v>
      </c>
      <c r="FJ170" s="59">
        <f ca="1">AVERAGE(OFFSET($FI$3,0,0,'Données projet'!$E$16+1,1))-AVERAGE(OFFSET($H$3,0,0,'Données projet'!$E$16+1,1))</f>
        <v>383.97627237444709</v>
      </c>
      <c r="FK170" s="59">
        <f t="shared" si="156"/>
        <v>203.35476578922339</v>
      </c>
      <c r="FL170" s="15">
        <f>IF(ISNA(VLOOKUP(A170,'Données projet'!$A$217:$I$237,3,0)),0,VLOOKUP(A170,'Données projet'!$A$217:$I$237,3,0))</f>
        <v>0</v>
      </c>
      <c r="FM170" s="15">
        <f>IF(ISNA(VLOOKUP(A170,'Données projet'!$A$217:$I$237,4,0)),0,VLOOKUP(A170,'Données projet'!$A$217:$I$237,4,0))</f>
        <v>0</v>
      </c>
      <c r="FN170" s="16">
        <f>IF(ISNA(VLOOKUP(A170,'Données projet'!$A$217:$I$237,5,0)),0%,VLOOKUP(A170,'Données projet'!$A$217:$I$237,5,0)*VLOOKUP('Données projet'!$B$16,Paramètres!$A$1:$I$89,7,0))</f>
        <v>0</v>
      </c>
      <c r="FO170" s="16">
        <f>IF(ISNA(VLOOKUP(A170,'Données projet'!$A$217:$I$237,6,0)),0%,VLOOKUP(A170,'Données projet'!$A$217:$I$237,6,0)*VLOOKUP('Données projet'!$B$16,Paramètres!$A$1:$I$89,7,0))</f>
        <v>0</v>
      </c>
      <c r="FP170" s="16">
        <f>IF(ISNA(VLOOKUP(A170,'Données projet'!$A$217:$I$237,7,0)),0%,VLOOKUP(A170,'Données projet'!$A$217:$I$237,7,0))</f>
        <v>0</v>
      </c>
      <c r="FQ170" s="21">
        <f>EXP(-LN(2)/35)*FQ169+(1-EXP(-LN(2)/35))/(LN(2)/35)*FM170*FN170*VLOOKUP('Données projet'!$B$16,Paramètres!$A$1:$I$89,3,0)*0.475*44/12</f>
        <v>0.34175645144544703</v>
      </c>
      <c r="FR170" s="21">
        <f>EXP(-LN(2)/25)*FR169+(1-EXP(-LN(2)/25))/(LN(2)/25)*Calculateur!FM170*Calculateur!FO170*VLOOKUP('Données projet'!$B$16,Paramètres!$A$1:$I$89,3,0)*0.475*44/12</f>
        <v>0.13199908342927746</v>
      </c>
      <c r="FS170" s="21">
        <f>EXP(-LN(2)/2)*FS169+(1-EXP(-LN(2)/2))/(LN(2)/2)*FM170*FP170*VLOOKUP('Données projet'!$B$16,Paramètres!$A$1:$I$89,3,0)*0.475*44/12</f>
        <v>3.9880701902946313E-20</v>
      </c>
      <c r="FT170" s="22">
        <f t="shared" si="184"/>
        <v>0.47375553487472449</v>
      </c>
      <c r="FU170" s="75">
        <f>('Scénario référence'!$F$8+'Scénario référence'!$F$9+'Scénario référence'!$B$17+'Scénario référence'!$B$9+'Scénario référence'!$B$10)*70+IF((45+25*(1-EXP(-0.0175*A170)))&lt;70,'Scénario référence'!$B$16*(45+25*(1-EXP(-0.0175*A170))),70*'Scénario référence'!$B$16)+IF((32+38*(1-EXP(-0.0175*A170)))&lt;70,'Scénario référence'!$B$18*(32+38*(1-EXP(-0.0175*A170))),70*'Scénario référence'!$B$18)</f>
        <v>70</v>
      </c>
      <c r="FV170" s="12">
        <f>IF(A170&gt;30,10,('Scénario référence'!$B$16+'Scénario référence'!$B$17+'Scénario référence'!$B$18+'Scénario référence'!$B$9+'Scénario référence'!$B$10)*A170*10/30+('Scénario référence'!$F$8+'Scénario référence'!$F$9)*10)</f>
        <v>10</v>
      </c>
      <c r="FW170" s="12" t="e">
        <f>VLOOKUP(A170,'Données projet'!$A$243:$I$263,2,0)</f>
        <v>#N/A</v>
      </c>
      <c r="FX170" s="12" t="e">
        <f>VLOOKUP(A170,'Données projet'!$A$243:$I$263,9,0)</f>
        <v>#N/A</v>
      </c>
      <c r="FY170" s="12">
        <f t="array" ref="FY170">INDEX(FX:FX,MIN(IF(ISNUMBER(FX170:FX366),ROW(FX170:FX366),"")))</f>
        <v>0</v>
      </c>
      <c r="FZ170" s="12">
        <f>IF('Données projet'!$A$244&gt;35,FZ169+FY170-GH169,IF(A170&lt;'Données projet'!$A$244,$FW$205^A170,IF(A170='Données projet'!$A$244,'Données projet'!$B$244,FZ169+FY170-GH169)))</f>
        <v>4.5474735088646412E-13</v>
      </c>
      <c r="GA170" s="17">
        <f>FZ170*VLOOKUP('Données projet'!$B$17,Paramètres!$A$1:$I$89,3,0)*VLOOKUP('Données projet'!$B$17,Paramètres!$A$1:$I$89,5,0)</f>
        <v>4.8949004849418999E-13</v>
      </c>
      <c r="GB170" s="13">
        <f t="shared" si="185"/>
        <v>6.1123715499968684E-12</v>
      </c>
      <c r="GC170" s="20">
        <f t="shared" si="186"/>
        <v>1.1498242284038591E-11</v>
      </c>
      <c r="GD170" s="59">
        <f t="shared" si="134"/>
        <v>293.3333333333448</v>
      </c>
      <c r="GE170" s="59">
        <f ca="1">AVERAGE(OFFSET($GD$3,0,0,'Données projet'!$E$17+1,1))-AVERAGE(OFFSET($H$3,0,0,'Données projet'!$E$17+1,1))</f>
        <v>286.77702855541287</v>
      </c>
      <c r="GF170" s="59">
        <f t="shared" si="158"/>
        <v>227.12211541860779</v>
      </c>
      <c r="GG170" s="15">
        <f>IF(ISNA(VLOOKUP(A170,'Données projet'!$A$243:$I$263,3,0)),0,VLOOKUP(A170,'Données projet'!$A$243:$I$263,3,0))</f>
        <v>0</v>
      </c>
      <c r="GH170" s="15">
        <f>IF(ISNA(VLOOKUP(A170,'Données projet'!$A$243:$I$263,4,0)),0,VLOOKUP(A170,'Données projet'!$A$243:$I$263,4,0))</f>
        <v>0</v>
      </c>
      <c r="GI170" s="16">
        <f>IF(ISNA(VLOOKUP(A170,'Données projet'!$A$243:$I$263,5,0)),0%,VLOOKUP(A170,'Données projet'!$A$243:$I$263,5,0)*VLOOKUP('Données projet'!$B$17,Paramètres!$A$1:$I$89,7,0))</f>
        <v>0</v>
      </c>
      <c r="GJ170" s="16">
        <f>IF(ISNA(VLOOKUP(A170,'Données projet'!$A$243:$I$263,6,0)),0%,VLOOKUP(A170,'Données projet'!$A$243:$I$263,6,0)*VLOOKUP('Données projet'!$B$17,Paramètres!$A$1:$I$89,7,0))</f>
        <v>0</v>
      </c>
      <c r="GK170" s="16">
        <f>IF(ISNA(VLOOKUP(A170,'Données projet'!$A$243:$I$263,7,0)),0%,VLOOKUP(A170,'Données projet'!$A$243:$I$263,7,0))</f>
        <v>0</v>
      </c>
      <c r="GL170" s="21">
        <f>EXP(-LN(2)/35)*GL169+(1-EXP(-LN(2)/35))/(LN(2)/35)*GH170*GI170*VLOOKUP('Données projet'!$B$17,Paramètres!$A$1:$I$89,3,0)*0.475*44/12</f>
        <v>0</v>
      </c>
      <c r="GM170" s="21">
        <f>EXP(-LN(2)/25)*GM169+(1-EXP(-LN(2)/25))/(LN(2)/25)*Calculateur!GH170*Calculateur!GJ170*VLOOKUP('Données projet'!$B$17,Paramètres!$A$1:$I$89,3,0)*0.475*44/12</f>
        <v>0</v>
      </c>
      <c r="GN170" s="21">
        <f>EXP(-LN(2)/2)*GN169+(1-EXP(-LN(2)/2))/(LN(2)/2)*GH170*GK170*VLOOKUP('Données projet'!$B$17,Paramètres!$A$1:$I$89,3,0)*0.475*44/12</f>
        <v>0</v>
      </c>
      <c r="GO170" s="21">
        <f t="shared" si="187"/>
        <v>0</v>
      </c>
      <c r="GP170" s="75">
        <f>('Scénario référence'!$F$8+'Scénario référence'!$F$9+'Scénario référence'!$B$17+'Scénario référence'!$B$9+'Scénario référence'!$B$10)*70+IF((45+25*(1-EXP(-0.0175*A170)))&lt;70,'Scénario référence'!$B$16*(45+25*(1-EXP(-0.0175*A170))),70*'Scénario référence'!$B$16)+IF((32+38*(1-EXP(-0.0175*A170)))&lt;70,'Scénario référence'!$B$18*(32+38*(1-EXP(-0.0175*A170))),70*'Scénario référence'!$B$18)</f>
        <v>70</v>
      </c>
      <c r="GQ170" s="12">
        <f>IF(A170&gt;30,10,('Scénario référence'!$B$16+'Scénario référence'!$B$17+'Scénario référence'!$B$18+'Scénario référence'!$B$9+'Scénario référence'!$B$10)*A170*10/30+('Scénario référence'!$F$8+'Scénario référence'!$F$9)*10)</f>
        <v>10</v>
      </c>
      <c r="GR170" s="12" t="e">
        <f>VLOOKUP(A170,'Données projet'!$A$269:$I$289,2,0)</f>
        <v>#N/A</v>
      </c>
      <c r="GS170" s="12" t="e">
        <f>VLOOKUP(A170,'Données projet'!$A$269:$I$289,9,0)</f>
        <v>#N/A</v>
      </c>
      <c r="GT170" s="12">
        <f t="array" ref="GT170">INDEX(GS:GS,MIN(IF(ISNUMBER(GS170:GS366),ROW(GS170:GS366),"")))</f>
        <v>0</v>
      </c>
      <c r="GU170" s="12">
        <f>IF('Données projet'!$A$270&gt;35,GU169+GT170-HC169,IF(A170&lt;'Données projet'!$A$270,$GR$205^A170,IF(A170='Données projet'!$A$270,'Données projet'!$B$270,GU169+GT170-HC169)))</f>
        <v>4.5474735088646412E-13</v>
      </c>
      <c r="GV170" s="17">
        <f>GU170*VLOOKUP('Données projet'!$B$18,Paramètres!$A$1:$I$89,3,0)*VLOOKUP('Données projet'!$B$18,Paramètres!$A$1:$I$89,5,0)</f>
        <v>4.8949004849418999E-13</v>
      </c>
      <c r="GW170" s="13">
        <f t="shared" si="188"/>
        <v>6.1123715499968684E-12</v>
      </c>
      <c r="GX170" s="20">
        <f t="shared" si="189"/>
        <v>1.1498242284038591E-11</v>
      </c>
      <c r="GY170" s="59">
        <f t="shared" si="137"/>
        <v>293.3333333333448</v>
      </c>
      <c r="GZ170" s="59">
        <f ca="1">AVERAGE(OFFSET($GY$3,0,0,'Données projet'!$E$18+1,1))-AVERAGE(OFFSET($H$3,0,0,'Données projet'!$E$18+1,1))</f>
        <v>286.77702855541287</v>
      </c>
      <c r="HA170" s="59">
        <f t="shared" si="160"/>
        <v>227.12211541860779</v>
      </c>
      <c r="HB170" s="15">
        <f>IF(ISNA(VLOOKUP(A170,'Données projet'!$A$269:$I$289,3,0)),0,VLOOKUP(A170,'Données projet'!$A$269:$I$289,3,0))</f>
        <v>0</v>
      </c>
      <c r="HC170" s="15">
        <f>IF(ISNA(VLOOKUP(A170,'Données projet'!$A$269:$I$289,4,0)),0,VLOOKUP(A170,'Données projet'!$A$269:$I$289,4,0))</f>
        <v>0</v>
      </c>
      <c r="HD170" s="16">
        <f>IF(ISNA(VLOOKUP(A170,'Données projet'!$A$269:$I$289,5,0)),0%,VLOOKUP(A170,'Données projet'!$A$269:$I$289,5,0)*VLOOKUP('Données projet'!$B$18,Paramètres!$A$1:$I$89,7,0))</f>
        <v>0</v>
      </c>
      <c r="HE170" s="16">
        <f>IF(ISNA(VLOOKUP(A170,'Données projet'!$A$269:$I$289,6,0)),0%,VLOOKUP(A170,'Données projet'!$A$269:$I$289,6,0)*VLOOKUP('Données projet'!$B$18,Paramètres!$A$1:$I$89,7,0))</f>
        <v>0</v>
      </c>
      <c r="HF170" s="16">
        <f>IF(ISNA(VLOOKUP(A170,'Données projet'!$A$269:$I$289,7,0)),0%,VLOOKUP(A170,'Données projet'!$A$269:$I$289,7,0))</f>
        <v>0</v>
      </c>
      <c r="HG170" s="21">
        <f>EXP(-LN(2)/35)*HG169+(1-EXP(-LN(2)/35))/(LN(2)/35)*HC170*HD170*VLOOKUP('Données projet'!$B$18,Paramètres!$A$1:$I$89,3,0)*0.475*44/12</f>
        <v>0</v>
      </c>
      <c r="HH170" s="21">
        <f>EXP(-LN(2)/25)*HH169+(1-EXP(-LN(2)/25))/(LN(2)/25)*Calculateur!HC170*Calculateur!HE170*VLOOKUP('Données projet'!$B$18,Paramètres!$A$1:$I$89,3,0)*0.475*44/12</f>
        <v>0</v>
      </c>
      <c r="HI170" s="21">
        <f>EXP(-LN(2)/2)*HI169+(1-EXP(-LN(2)/2))/(LN(2)/2)*HC170*HF170*VLOOKUP('Données projet'!$B$18,Paramètres!$A$1:$I$89,3,0)*0.475*44/12</f>
        <v>0</v>
      </c>
      <c r="HJ170" s="22">
        <f t="shared" si="190"/>
        <v>0</v>
      </c>
    </row>
    <row r="171" spans="1:218" x14ac:dyDescent="0.25">
      <c r="A171" s="10">
        <f t="shared" si="161"/>
        <v>168</v>
      </c>
      <c r="B171" s="73">
        <f>'Scénario référence'!$B$16*5+'Scénario référence'!$B$17*0+'Scénario référence'!$B$18*5</f>
        <v>0</v>
      </c>
      <c r="C171" s="19">
        <f>Calculateur!C170+'Scénario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149.38559999999995</v>
      </c>
      <c r="D171" s="11">
        <f t="shared" si="140"/>
        <v>38.438927680599591</v>
      </c>
      <c r="E17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71" s="11">
        <f>IF(OR('Scénario référence'!$F$8&gt;0,'Scénario référence'!$F$9&gt;0),('Scénario référence'!$F$8+'Scénario référence'!$F$9)*10,0)</f>
        <v>10</v>
      </c>
      <c r="G171" s="11">
        <f>'Scénario référence'!$B$8*B171*44/12+'Scénario référence'!$B$9*(C171+D171)/0.475*44/12+'Scénario référence'!$B$10*(C171+D171)/0.475*44/12+'Scénario référence'!$F$8*(C171+D171)/0.475*44/12+'Scénario référence'!$F$9*(C171+D171)/0.475*44/12</f>
        <v>1449.8735470081367</v>
      </c>
      <c r="H171" s="67">
        <f t="shared" si="110"/>
        <v>620.46105237704421</v>
      </c>
      <c r="I171" s="70">
        <f>('Scénario référence'!$F$8+'Scénario référence'!$F$9+'Scénario référence'!$B$17+'Scénario référence'!$B$9+'Scénario référence'!$B$10)*70+IF((45+25*(1-EXP(-0.0175*A171)))&lt;70,'Scénario référence'!$B$16*(45+25*(1-EXP(-0.0175*A171))),70*'Scénario référence'!$B$16)+IF((32+38*(1-EXP(-0.0175*A171)))&lt;70,'Scénario référence'!$B$18*(32+38*(1-EXP(-0.0175*A171))),70*'Scénario référence'!$B$18)</f>
        <v>70</v>
      </c>
      <c r="J171" s="13">
        <f>IF(A171&gt;30,10,('Scénario référence'!$B$16+'Scénario référence'!$B$17+'Scénario référence'!$B$18+'Scénario référence'!$B$9+'Scénario référence'!$B$10)*A171*10/30+('Scénario référence'!$F$8+'Scénario référence'!$F$9)*10)</f>
        <v>10</v>
      </c>
      <c r="K171" s="12" t="e">
        <f>VLOOKUP(A171,'Données projet'!$A$35:$I$55,2,0)</f>
        <v>#N/A</v>
      </c>
      <c r="L171" s="12" t="e">
        <f>VLOOKUP(A171,'Données projet'!$A$35:$I$55,9,0)</f>
        <v>#N/A</v>
      </c>
      <c r="M171" s="12">
        <f t="array" ref="M171">INDEX(L:L,MIN(IF(ISNUMBER(L171:L367),ROW(L171:L367),"")))</f>
        <v>0</v>
      </c>
      <c r="N171" s="13">
        <f>IF('Données projet'!$A$36&gt;35,N170+M171-V170,IF(A171&lt;'Données projet'!$A$36,$K$205^A171,IF(A171='Données projet'!$A$36,'Données projet'!$B$36,N170+M171-V170)))</f>
        <v>-2.2737367544323206E-13</v>
      </c>
      <c r="O171" s="13">
        <f>N171*VLOOKUP('Données projet'!$B$9,Paramètres!$A$1:$I$89,3,0)*VLOOKUP('Données projet'!$B$9,Paramètres!$A$1:$I$89,5,0)</f>
        <v>-1.2710188457276673E-13</v>
      </c>
      <c r="P171" s="13" t="e">
        <f t="shared" si="141"/>
        <v>#NUM!</v>
      </c>
      <c r="Q171" s="20" t="e">
        <f t="shared" si="162"/>
        <v>#NUM!</v>
      </c>
      <c r="R171" s="59" t="e">
        <f t="shared" si="109"/>
        <v>#NUM!</v>
      </c>
      <c r="S171" s="59">
        <f ca="1">AVERAGE(OFFSET($R$3,0,0,'Données projet'!$E$9+1,1))-AVERAGE(OFFSET($H$3,0,0,'Données projet'!$E$9+1,1))</f>
        <v>255.5374979188561</v>
      </c>
      <c r="T171" s="59">
        <f t="shared" si="142"/>
        <v>343.10418468620901</v>
      </c>
      <c r="U171" s="15">
        <f>IF(ISNA(VLOOKUP(A171,'Données projet'!$A$35:$I$55,3,0)),0,VLOOKUP(A171,'Données projet'!$A$35:$I$55,3,0))</f>
        <v>0</v>
      </c>
      <c r="V171" s="15">
        <f>IF(ISNA(VLOOKUP(A171,'Données projet'!$A$35:$I$55,4,0)),0,VLOOKUP(A171,'Données projet'!$A$35:$I$55,4,0))</f>
        <v>0</v>
      </c>
      <c r="W171" s="16">
        <f>IF(ISNA(VLOOKUP(A171,'Données projet'!$A$35:$I$55,5,0)),0%,VLOOKUP(A171,'Données projet'!$A$35:$I$55,5,0)*VLOOKUP('Données projet'!$B$9,Paramètres!$A$1:$I$89,7,0))</f>
        <v>0</v>
      </c>
      <c r="X171" s="16">
        <f>IF(ISNA(VLOOKUP(A171,'Données projet'!$A$35:$I$55,6,0)),0%,VLOOKUP(A171,'Données projet'!$A$35:$I$55,6,0)*VLOOKUP('Données projet'!$B$9,Paramètres!$A$1:$I$89,7,0))</f>
        <v>0</v>
      </c>
      <c r="Y171" s="16">
        <f>IF(ISNA(VLOOKUP(A171,'Données projet'!$A$35:$I$55,7,0)),0%,VLOOKUP(A171,'Données projet'!$A$35:$I$55,7,0))</f>
        <v>0</v>
      </c>
      <c r="Z171" s="21">
        <f>EXP(-LN(2)/35)*Z170+(1-EXP(-LN(2)/35))/(LN(2)/35)*V171*W171*VLOOKUP('Données projet'!$B$9,Paramètres!$A$1:$I$89,3,0)*0.475*44/12</f>
        <v>0.20093054012779885</v>
      </c>
      <c r="AA171" s="21">
        <f>EXP(-LN(2)/25)*AA170+(1-EXP(-LN(2)/25))/(LN(2)/25)*Calculateur!V171*Calculateur!X171*VLOOKUP('Données projet'!$B$9,Paramètres!$A$1:$I$89,3,0)*0.475*44/12</f>
        <v>0.34781984898832163</v>
      </c>
      <c r="AB171" s="21">
        <f>EXP(-LN(2)/2)*AB170+(1-EXP(-LN(2)/2))/(LN(2)/2)*V171*Y171*VLOOKUP('Données projet'!$B$9,Paramètres!$A$1:$I$89,3,0)*0.475*44/12</f>
        <v>2.8674641590721954E-21</v>
      </c>
      <c r="AC171" s="22">
        <f t="shared" si="163"/>
        <v>0.54875038911612051</v>
      </c>
      <c r="AD171" s="13">
        <f>('Scénario référence'!$F$8+'Scénario référence'!$F$9+'Scénario référence'!$B$17+'Scénario référence'!$B$9+'Scénario référence'!$B$10)*70+IF((45+25*(1-EXP(-0.0175*A171)))&lt;70,'Scénario référence'!$B$16*(45+25*(1-EXP(-0.0175*A171))),70*'Scénario référence'!$B$16)+IF((32+38*(1-EXP(-0.0175*A171)))&lt;70,'Scénario référence'!$B$18*(32+38*(1-EXP(-0.0175*A171))),70*'Scénario référence'!$B$18)</f>
        <v>70</v>
      </c>
      <c r="AE171" s="13">
        <f>IF(A171&gt;30,10,('Scénario référence'!$B$16+'Scénario référence'!$B$17+'Scénario référence'!$B$18+'Scénario référence'!$B$9+'Scénario référence'!$B$10)*A171*10/30+('Scénario référence'!$F$8+'Scénario référence'!$F$9)*10)</f>
        <v>10</v>
      </c>
      <c r="AF171" s="12" t="e">
        <f>VLOOKUP(A171,'Données projet'!$A$61:$I$81,2,0)</f>
        <v>#N/A</v>
      </c>
      <c r="AG171" s="12" t="e">
        <f>VLOOKUP(A171,'Données projet'!$A$61:$I$81,9,0)</f>
        <v>#N/A</v>
      </c>
      <c r="AH171" s="12">
        <f t="array" ref="AH171">INDEX(AG:AG,MIN(IF(ISNUMBER(AG171:AG367),ROW(AG171:AG367),"")))</f>
        <v>0</v>
      </c>
      <c r="AI171" s="13">
        <f>IF('Données projet'!$A$62&gt;35,AI170+AH171-AQ170,IF(A171&lt;'Données projet'!$A$62,$AF$205^A171,IF(A171='Données projet'!$A$62,'Données projet'!$B$62,AI170+AH171-AQ170)))</f>
        <v>0</v>
      </c>
      <c r="AJ171" s="13">
        <f>AI171*VLOOKUP('Données projet'!$B$10,Paramètres!$A$1:$I$89,3,0)*VLOOKUP('Données projet'!$B$10,Paramètres!$A$1:$I$89,5,0)</f>
        <v>0</v>
      </c>
      <c r="AK171" s="13" t="e">
        <f t="shared" si="164"/>
        <v>#NUM!</v>
      </c>
      <c r="AL171" s="20" t="e">
        <f t="shared" si="165"/>
        <v>#NUM!</v>
      </c>
      <c r="AM171" s="59" t="e">
        <f t="shared" si="113"/>
        <v>#NUM!</v>
      </c>
      <c r="AN171" s="59">
        <f ca="1">AVERAGE(OFFSET($AM$3,0,0,'Données projet'!$E$10+1,1))-AVERAGE(OFFSET($H$3,0,0,'Données projet'!$E$10+1,1))</f>
        <v>261.78489480911571</v>
      </c>
      <c r="AO171" s="59">
        <f t="shared" si="144"/>
        <v>297.50513563712764</v>
      </c>
      <c r="AP171" s="15">
        <f>IF(ISNA(VLOOKUP(A171,'Données projet'!$A$61:$I$81,3,0)),0,VLOOKUP(A171,'Données projet'!$A$61:$I$81,3,0))</f>
        <v>0</v>
      </c>
      <c r="AQ171" s="15">
        <f>IF(ISNA(VLOOKUP(A171,'Données projet'!$A$61:$I$81,4,0)),0,VLOOKUP(A171,'Données projet'!$A$61:$I$81,4,0))</f>
        <v>0</v>
      </c>
      <c r="AR171" s="16">
        <f>IF(ISNA(VLOOKUP(A171,'Données projet'!$A$61:$I$81,5,0)),0%,VLOOKUP(A171,'Données projet'!$A$61:$I$81,5,0)*VLOOKUP('Données projet'!$B$10,Paramètres!$A$1:$I$89,7,0))</f>
        <v>0</v>
      </c>
      <c r="AS171" s="16">
        <f>IF(ISNA(VLOOKUP(A171,'Données projet'!$A$61:$I$81,6,0)),0%,VLOOKUP(A171,'Données projet'!$A$61:$I$81,6,0)*VLOOKUP('Données projet'!$B$10,Paramètres!$A$1:$I$89,7,0))</f>
        <v>0</v>
      </c>
      <c r="AT171" s="16">
        <f>IF(ISNA(VLOOKUP(A171,'Données projet'!$A$61:$I$81,7,0)),0%,VLOOKUP(A171,'Données projet'!$A$61:$I$81,7,0))</f>
        <v>0</v>
      </c>
      <c r="AU171" s="21">
        <f>EXP(-LN(2)/35)*AU170+(1-EXP(-LN(2)/35))/(LN(2)/35)*AQ171*AR171*VLOOKUP('Données projet'!$B$10,Paramètres!$A$1:$I$89,3,0)*0.475*44/12</f>
        <v>0.54256929127573961</v>
      </c>
      <c r="AV171" s="21">
        <f>EXP(-LN(2)/25)*AV170+(1-EXP(-LN(2)/25))/(LN(2)/25)*Calculateur!AQ171*Calculateur!AS171*VLOOKUP('Données projet'!$B$10,Paramètres!$A$1:$I$89,3,0)*0.475*44/12</f>
        <v>0.60736439797422082</v>
      </c>
      <c r="AW171" s="21">
        <f>EXP(-LN(2)/2)*AW170+(1-EXP(-LN(2)/2))/(LN(2)/2)*AQ171*AT171*VLOOKUP('Données projet'!$B$10,Paramètres!$A$1:$I$89,3,0)*0.475*44/12</f>
        <v>4.1337225690427963E-20</v>
      </c>
      <c r="AX171" s="21">
        <f t="shared" si="166"/>
        <v>1.1499336892499605</v>
      </c>
      <c r="AY171" s="74">
        <f>('Scénario référence'!$F$8+'Scénario référence'!$F$9+'Scénario référence'!$B$17+'Scénario référence'!$B$9+'Scénario référence'!$B$10)*70+IF((45+25*(1-EXP(-0.0175*A171)))&lt;70,'Scénario référence'!$B$16*(45+25*(1-EXP(-0.0175*A171))),70*'Scénario référence'!$B$16)+IF((32+38*(1-EXP(-0.0175*A171)))&lt;70,'Scénario référence'!$B$18*(32+38*(1-EXP(-0.0175*A171))),70*'Scénario référence'!$B$18)</f>
        <v>70</v>
      </c>
      <c r="AZ171" s="12">
        <f>IF(A171&gt;30,10,('Scénario référence'!$B$16+'Scénario référence'!$B$17+'Scénario référence'!$B$18+'Scénario référence'!$B$9+'Scénario référence'!$B$10)*A171*10/30+('Scénario référence'!$F$8+'Scénario référence'!$F$9)*10)</f>
        <v>10</v>
      </c>
      <c r="BA171" s="12" t="e">
        <f>VLOOKUP(A171,'Données projet'!$A$87:$I$107,2,0)</f>
        <v>#N/A</v>
      </c>
      <c r="BB171" s="12" t="e">
        <f>VLOOKUP(A171,'Données projet'!$A$87:$I$107,9,0)</f>
        <v>#N/A</v>
      </c>
      <c r="BC171" s="12">
        <f t="array" ref="BC171">INDEX(BB:BB,MIN(IF(ISNUMBER(BB171:BB367),ROW(BB171:BB367),"")))</f>
        <v>0</v>
      </c>
      <c r="BD171" s="12">
        <f>IF('Données projet'!$A$88&gt;35,BD170+BC171-BL170,IF(A171&lt;'Données projet'!$A$88,$BA$205^A171,IF(A171='Données projet'!$A$88,'Données projet'!$B$88,BD170+BC171-BL170)))</f>
        <v>553.99999999999955</v>
      </c>
      <c r="BE171" s="13">
        <f>BD171*VLOOKUP('Données projet'!$B$11,Paramètres!$A$1:$I$89,3,0)*VLOOKUP('Données projet'!$B$11,Paramètres!$A$1:$I$89,5,0)</f>
        <v>331.29199999999975</v>
      </c>
      <c r="BF171" s="13">
        <f t="shared" si="167"/>
        <v>77.698110787752</v>
      </c>
      <c r="BG171" s="20">
        <f t="shared" si="168"/>
        <v>712.32444295533423</v>
      </c>
      <c r="BH171" s="59">
        <f t="shared" si="116"/>
        <v>1005.6577762886675</v>
      </c>
      <c r="BI171" s="59">
        <f ca="1">AVERAGE(OFFSET($BH$3,0,0,'Données projet'!$E$11+1,1))-AVERAGE(OFFSET($H$3,0,0,'Données projet'!$E$11+1,1))</f>
        <v>316.58509520829671</v>
      </c>
      <c r="BJ171" s="59">
        <f t="shared" si="146"/>
        <v>240.71332110643596</v>
      </c>
      <c r="BK171" s="15">
        <f>IF(ISNA(VLOOKUP(A171,'Données projet'!$A$87:$I$107,3,0)),0,VLOOKUP(A171,'Données projet'!$A$87:$I$107,3,0))</f>
        <v>0</v>
      </c>
      <c r="BL171" s="15">
        <f>IF(ISNA(VLOOKUP(A171,'Données projet'!$A$87:$I$107,4,0)),0,VLOOKUP(A171,'Données projet'!$A$87:$I$107,4,0))</f>
        <v>0</v>
      </c>
      <c r="BM171" s="16">
        <f>IF(ISNA(VLOOKUP(A171,'Données projet'!$A$87:$I$107,5,0)),0%,VLOOKUP(A171,'Données projet'!$A$87:$I$107,5,0)*VLOOKUP('Données projet'!$B$11,Paramètres!$A$1:$I$89,7,0))</f>
        <v>0</v>
      </c>
      <c r="BN171" s="16">
        <f>IF(ISNA(VLOOKUP(A171,'Données projet'!$A$87:$I$107,6,0)),0%,VLOOKUP(A171,'Données projet'!$A$87:$I$107,6,0)*VLOOKUP('Données projet'!$B$11,Paramètres!$A$1:$I$89,7,0))</f>
        <v>0</v>
      </c>
      <c r="BO171" s="16">
        <f>IF(ISNA(VLOOKUP(A171,'Données projet'!$A$87:$I$107,7,0)),0%,VLOOKUP(A171,'Données projet'!$A$87:$I$107,7,0))</f>
        <v>0</v>
      </c>
      <c r="BP171" s="21">
        <f>EXP(-LN(2)/35)*BP170+(1-EXP(-LN(2)/35))/(LN(2)/35)*BL171*BM171*VLOOKUP('Données projet'!$B$11,Paramètres!$A$1:$I$89,3,0)*0.475*44/12</f>
        <v>0.16480945919889953</v>
      </c>
      <c r="BQ171" s="21">
        <f>EXP(-LN(2)/25)*BQ170+(1-EXP(-LN(2)/25))/(LN(2)/25)*Calculateur!BL171*Calculateur!BN171*VLOOKUP('Données projet'!$B$11,Paramètres!$A$1:$I$89,3,0)*0.475*44/12</f>
        <v>0.33273193893519926</v>
      </c>
      <c r="BR171" s="21">
        <f>EXP(-LN(2)/2)*BR170+(1-EXP(-LN(2)/2))/(LN(2)/2)*BL171*BO171*VLOOKUP('Données projet'!$B$11,Paramètres!$A$1:$I$89,3,0)*0.475*44/12</f>
        <v>3.7166692843049368E-20</v>
      </c>
      <c r="BS171" s="22">
        <f t="shared" si="169"/>
        <v>0.49754139813409881</v>
      </c>
      <c r="BT171" s="75">
        <f>('Scénario référence'!$F$8+'Scénario référence'!$F$9+'Scénario référence'!$B$17+'Scénario référence'!$B$9+'Scénario référence'!$B$10)*70+IF((45+25*(1-EXP(-0.0175*A171)))&lt;70,'Scénario référence'!$B$16*(45+25*(1-EXP(-0.0175*A171))),70*'Scénario référence'!$B$16)+IF((32+38*(1-EXP(-0.0175*A171)))&lt;70,'Scénario référence'!$B$18*(32+38*(1-EXP(-0.0175*A171))),70*'Scénario référence'!$B$18)</f>
        <v>70</v>
      </c>
      <c r="BU171" s="12">
        <f>IF(A171&gt;30,10,('Scénario référence'!$B$16+'Scénario référence'!$B$17+'Scénario référence'!$B$18+'Scénario référence'!$B$9+'Scénario référence'!$B$10)*A171*10/30+('Scénario référence'!$F$8+'Scénario référence'!$F$9)*10)</f>
        <v>10</v>
      </c>
      <c r="BV171" s="12" t="e">
        <f>VLOOKUP(A171,'Données projet'!$A$113:$I$133,2,0)</f>
        <v>#N/A</v>
      </c>
      <c r="BW171" s="12" t="e">
        <f>VLOOKUP(A171,'Données projet'!$A$113:$I$133,9,0)</f>
        <v>#N/A</v>
      </c>
      <c r="BX171" s="12">
        <f t="array" ref="BX171">INDEX(BW:BW,MIN(IF(ISNUMBER(BW171:BW367),ROW(BW171:BW367),"")))</f>
        <v>0</v>
      </c>
      <c r="BY171" s="12">
        <f>IF('Données projet'!$A$114&gt;35,BY170+BX171-CG170,IF(A171&lt;'Données projet'!$A$114,$BV$205^A171,IF(A171='Données projet'!$A$114,'Données projet'!$B$114,BY170+BX171-CG170)))</f>
        <v>333.99999999999977</v>
      </c>
      <c r="BZ171" s="13">
        <f>BY171*VLOOKUP('Données projet'!$B$12,Paramètres!$A$1:$I$89,3,0)*VLOOKUP('Données projet'!$B$12,Paramètres!$A$1:$I$89,5,0)</f>
        <v>191.04799999999986</v>
      </c>
      <c r="CA171" s="13">
        <f t="shared" si="170"/>
        <v>47.771576544305155</v>
      </c>
      <c r="CB171" s="20">
        <f t="shared" si="171"/>
        <v>415.94409581466454</v>
      </c>
      <c r="CC171" s="59">
        <f t="shared" si="119"/>
        <v>709.27742914799785</v>
      </c>
      <c r="CD171" s="59">
        <f ca="1">AVERAGE(OFFSET($CC$3,0,0,'Données projet'!$E$12+1,1))-AVERAGE(OFFSET($H$3,0,0,'Données projet'!$E$12+1,1))</f>
        <v>188.64374818906128</v>
      </c>
      <c r="CE171" s="59">
        <f t="shared" si="148"/>
        <v>211.95157880548652</v>
      </c>
      <c r="CF171" s="15">
        <f>IF(ISNA(VLOOKUP(A171,'Données projet'!$A$113:$I$133,3,0)),0,VLOOKUP(A171,'Données projet'!$A$113:$I$133,3,0))</f>
        <v>0</v>
      </c>
      <c r="CG171" s="15">
        <f>IF(ISNA(VLOOKUP(A171,'Données projet'!$A$113:$I$133,4,0)),0,VLOOKUP(A171,'Données projet'!$A$113:$I$133,4,0))</f>
        <v>0</v>
      </c>
      <c r="CH171" s="16">
        <f>IF(ISNA(VLOOKUP(A171,'Données projet'!$A$113:$I$133,5,0)),0%,VLOOKUP(A171,'Données projet'!$A$113:$I$133,5,0)*VLOOKUP('Données projet'!$B$12,Paramètres!$A$1:$I$89,7,0))</f>
        <v>0</v>
      </c>
      <c r="CI171" s="16">
        <f>IF(ISNA(VLOOKUP(A171,'Données projet'!$A$113:$I$133,6,0)),0%,VLOOKUP(A171,'Données projet'!$A$113:$I$133,6,0)*VLOOKUP('Données projet'!$B$12,Paramètres!$A$1:$I$89,7,0))</f>
        <v>0</v>
      </c>
      <c r="CJ171" s="16">
        <f>IF(ISNA(VLOOKUP(A171,'Données projet'!$A$113:$I$133,7,0)),0%,VLOOKUP(A171,'Données projet'!$A$113:$I$133,7,0))</f>
        <v>0</v>
      </c>
      <c r="CK171" s="21">
        <f>EXP(-LN(2)/35)*CK170+(1-EXP(-LN(2)/35))/(LN(2)/35)*CG171*CH171*VLOOKUP('Données projet'!$B$12,Paramètres!$A$1:$I$89,3,0)*0.475*44/12</f>
        <v>0.15986416617945898</v>
      </c>
      <c r="CL171" s="21">
        <f>EXP(-LN(2)/25)*CL170+(1-EXP(-LN(2)/25))/(LN(2)/25)*Calculateur!CG171*Calculateur!CI171*VLOOKUP('Données projet'!$B$12,Paramètres!$A$1:$I$89,3,0)*0.475*44/12</f>
        <v>0.31317483456342221</v>
      </c>
      <c r="CM171" s="21">
        <f>EXP(-LN(2)/2)*CM170+(1-EXP(-LN(2)/2))/(LN(2)/2)*CG171*CJ171*VLOOKUP('Données projet'!$B$12,Paramètres!$A$1:$I$89,3,0)*0.475*44/12</f>
        <v>3.5993034053257724E-20</v>
      </c>
      <c r="CN171" s="22">
        <f t="shared" si="172"/>
        <v>0.47303900074288119</v>
      </c>
      <c r="CO171" s="75">
        <f>('Scénario référence'!$F$8+'Scénario référence'!$F$9+'Scénario référence'!$B$17+'Scénario référence'!$B$9+'Scénario référence'!$B$10)*70+IF((45+25*(1-EXP(-0.0175*A171)))&lt;70,'Scénario référence'!$B$16*(45+25*(1-EXP(-0.0175*A171))),70*'Scénario référence'!$B$16)+IF((32+38*(1-EXP(-0.0175*A171)))&lt;70,'Scénario référence'!$B$18*(32+38*(1-EXP(-0.0175*A171))),70*'Scénario référence'!$B$18)</f>
        <v>70</v>
      </c>
      <c r="CP171" s="12">
        <f>IF(A171&gt;30,10,('Scénario référence'!$B$16+'Scénario référence'!$B$17+'Scénario référence'!$B$18+'Scénario référence'!$B$9+'Scénario référence'!$B$10)*A171*10/30+('Scénario référence'!$F$8+'Scénario référence'!$F$9)*10)</f>
        <v>10</v>
      </c>
      <c r="CQ171" s="12" t="e">
        <f>VLOOKUP(A171,'Données projet'!$A$139:$I$159,2,0)</f>
        <v>#N/A</v>
      </c>
      <c r="CR171" s="12" t="e">
        <f>VLOOKUP(A171,'Données projet'!$A$139:$I$159,9,0)</f>
        <v>#N/A</v>
      </c>
      <c r="CS171" s="12">
        <f t="array" ref="CS171">INDEX(CR:CR,MIN(IF(ISNUMBER(CR171:CR367),ROW(CR171:CR367),"")))</f>
        <v>0</v>
      </c>
      <c r="CT171" s="12">
        <f>IF('Données projet'!$A$140&gt;35,CT170+CS171-DB170,IF(A171&lt;'Données projet'!$A$140,$CQ$205^A171,IF(A171='Données projet'!$A$140,'Données projet'!$B$140,CT170+CS171-DB170)))</f>
        <v>0</v>
      </c>
      <c r="CU171" s="17" t="e">
        <f>CT171*VLOOKUP('Données projet'!$B$13,Paramètres!$A$1:$I$89,3,0)*VLOOKUP('Données projet'!$B$13,Paramètres!$A$1:$I$89,5,0)</f>
        <v>#N/A</v>
      </c>
      <c r="CV171" s="13" t="e">
        <f t="shared" si="173"/>
        <v>#N/A</v>
      </c>
      <c r="CW171" s="20" t="e">
        <f t="shared" si="174"/>
        <v>#N/A</v>
      </c>
      <c r="CX171" s="59" t="e">
        <f t="shared" si="122"/>
        <v>#N/A</v>
      </c>
      <c r="CY171" s="59" t="e">
        <f ca="1">AVERAGE(OFFSET($CX$3,0,0,'Données projet'!$E$13+1,1))-AVERAGE(OFFSET($H$3,0,0,'Données projet'!$E$13+1,1))</f>
        <v>#N/A</v>
      </c>
      <c r="CZ171" s="59" t="e">
        <f t="shared" si="150"/>
        <v>#N/A</v>
      </c>
      <c r="DA171" s="15">
        <f>IF(ISNA(VLOOKUP(A171,'Données projet'!$A$139:$I$159,3,0)),0,VLOOKUP(A171,'Données projet'!$A$139:$I$159,3,0))</f>
        <v>0</v>
      </c>
      <c r="DB171" s="15">
        <f>IF(ISNA(VLOOKUP(A171,'Données projet'!$A$139:$I$159,4,0)),0,VLOOKUP(A171,'Données projet'!$A$139:$I$159,4,0))</f>
        <v>0</v>
      </c>
      <c r="DC171" s="16">
        <f>IF(ISNA(VLOOKUP(A171,'Données projet'!$A$139:$I$159,5,0)),0%,VLOOKUP(A171,'Données projet'!$A$139:$I$159,5,0)*VLOOKUP('Données projet'!$B$13,Paramètres!$A$1:$I$89,7,0))</f>
        <v>0</v>
      </c>
      <c r="DD171" s="16">
        <f>IF(ISNA(VLOOKUP(A171,'Données projet'!$A$139:$I$159,6,0)),0%,VLOOKUP(A171,'Données projet'!$A$139:$I$159,6,0)*VLOOKUP('Données projet'!$B$13,Paramètres!$A$1:$I$89,7,0))</f>
        <v>0</v>
      </c>
      <c r="DE171" s="16">
        <f>IF(ISNA(VLOOKUP(A171,'Données projet'!$A$139:$I$159,7,0)),0%,VLOOKUP(A171,'Données projet'!$A$139:$I$159,7,0))</f>
        <v>0</v>
      </c>
      <c r="DF171" s="21" t="e">
        <f>EXP(-LN(2)/35)*DF170+(1-EXP(-LN(2)/35))/(LN(2)/35)*DB171*DC171*VLOOKUP('Données projet'!$B$13,Paramètres!$A$1:$I$89,3,0)*0.475*44/12</f>
        <v>#N/A</v>
      </c>
      <c r="DG171" s="21" t="e">
        <f>EXP(-LN(2)/25)*DG170+(1-EXP(-LN(2)/25))/(LN(2)/25)*Calculateur!DB171*Calculateur!DD171*VLOOKUP('Données projet'!$B$13,Paramètres!$A$1:$I$89,3,0)*0.475*44/12</f>
        <v>#N/A</v>
      </c>
      <c r="DH171" s="21" t="e">
        <f>EXP(-LN(2)/2)*DH170+(1-EXP(-LN(2)/2))/(LN(2)/2)*DB171*DE171*VLOOKUP('Données projet'!$B$13,Paramètres!$A$1:$I$89,3,0)*0.475*44/12</f>
        <v>#N/A</v>
      </c>
      <c r="DI171" s="22" t="e">
        <f t="shared" si="175"/>
        <v>#N/A</v>
      </c>
      <c r="DJ171" s="75">
        <f>('Scénario référence'!$F$8+'Scénario référence'!$F$9+'Scénario référence'!$B$17+'Scénario référence'!$B$9+'Scénario référence'!$B$10)*70+IF((45+25*(1-EXP(-0.0175*A171)))&lt;70,'Scénario référence'!$B$16*(45+25*(1-EXP(-0.0175*A171))),70*'Scénario référence'!$B$16)+IF((32+38*(1-EXP(-0.0175*A171)))&lt;70,'Scénario référence'!$B$18*(32+38*(1-EXP(-0.0175*A171))),70*'Scénario référence'!$B$18)</f>
        <v>70</v>
      </c>
      <c r="DK171" s="12">
        <f>IF(A171&gt;30,10,('Scénario référence'!$B$16+'Scénario référence'!$B$17+'Scénario référence'!$B$18+'Scénario référence'!$B$9+'Scénario référence'!$B$10)*A171*10/30+('Scénario référence'!$F$8+'Scénario référence'!$F$9)*10)</f>
        <v>10</v>
      </c>
      <c r="DL171" s="12" t="e">
        <f>VLOOKUP(A171,'Données projet'!$A$165:$I$185,2,0)</f>
        <v>#N/A</v>
      </c>
      <c r="DM171" s="12" t="e">
        <f>VLOOKUP(A171,'Données projet'!$A$165:$I$185,9,0)</f>
        <v>#N/A</v>
      </c>
      <c r="DN171" s="12">
        <f t="array" ref="DN171">INDEX(DM:DM,MIN(IF(ISNUMBER(DM171:DM367),ROW(DM171:DM367),"")))</f>
        <v>0</v>
      </c>
      <c r="DO171" s="12">
        <f>IF('Données projet'!$A$166&gt;35,DO170+DN171-DW170,IF(A171&lt;'Données projet'!$A$166,$DL$205^A171,IF(A171='Données projet'!$A$166,'Données projet'!$B$166,DO170+DN171-DW170)))</f>
        <v>268.00000000000017</v>
      </c>
      <c r="DP171" s="17">
        <f>DO171*VLOOKUP('Données projet'!$B$14,Paramètres!$A$1:$I$89,3,0)*VLOOKUP('Données projet'!$B$14,Paramètres!$A$1:$I$89,5,0)</f>
        <v>175.59360000000012</v>
      </c>
      <c r="DQ171" s="13">
        <f t="shared" si="176"/>
        <v>44.340433728638573</v>
      </c>
      <c r="DR171" s="20">
        <f t="shared" si="177"/>
        <v>383.05177541071242</v>
      </c>
      <c r="DS171" s="59">
        <f t="shared" si="125"/>
        <v>676.38510874404574</v>
      </c>
      <c r="DT171" s="59">
        <f ca="1">AVERAGE(OFFSET($DS$3,0,0,'Données projet'!$E$14+1,1))-AVERAGE(OFFSET($H$3,0,0,'Données projet'!$E$14+1,1))</f>
        <v>188.68915783955595</v>
      </c>
      <c r="DU171" s="59">
        <f t="shared" si="152"/>
        <v>240.82467772396944</v>
      </c>
      <c r="DV171" s="15">
        <f>IF(ISNA(VLOOKUP(A171,'Données projet'!$A$165:$I$185,3,0)),0,VLOOKUP(A171,'Données projet'!$A$165:$I$185,3,0))</f>
        <v>0</v>
      </c>
      <c r="DW171" s="15">
        <f>IF(ISNA(VLOOKUP(A171,'Données projet'!$A$165:$I$185,4,0)),0,VLOOKUP(A171,'Données projet'!$A$165:$I$185,4,0))</f>
        <v>0</v>
      </c>
      <c r="DX171" s="16">
        <f>IF(ISNA(VLOOKUP(A171,'Données projet'!$A$165:$I$185,5,0)),0%,VLOOKUP(A171,'Données projet'!$A$165:$I$185,5,0)*VLOOKUP('Données projet'!$B$14,Paramètres!$A$1:$I$89,7,0))</f>
        <v>0</v>
      </c>
      <c r="DY171" s="16">
        <f>IF(ISNA(VLOOKUP(A171,'Données projet'!$A$165:$I$185,6,0)),0%,VLOOKUP(A171,'Données projet'!$A$165:$I$185,6,0)*VLOOKUP('Données projet'!$B$14,Paramètres!$A$1:$I$89,7,0))</f>
        <v>0</v>
      </c>
      <c r="DZ171" s="16">
        <f>IF(ISNA(VLOOKUP(A171,'Données projet'!$A$165:$I$185,7,0)),0%,VLOOKUP(A171,'Données projet'!$A$165:$I$185,7,0))</f>
        <v>0</v>
      </c>
      <c r="EA171" s="21">
        <f>EXP(-LN(2)/35)*EA170+(1-EXP(-LN(2)/35))/(LN(2)/35)*DW171*DX171*VLOOKUP('Données projet'!$B$14,Paramètres!$A$1:$I$89,3,0)*0.475*44/12</f>
        <v>0.1012607618266354</v>
      </c>
      <c r="EB171" s="21">
        <f>EXP(-LN(2)/25)*EB170+(1-EXP(-LN(2)/25))/(LN(2)/25)*Calculateur!DW171*Calculateur!DY171*VLOOKUP('Données projet'!$B$14,Paramètres!$A$1:$I$89,3,0)*0.475*44/12</f>
        <v>0.17517172462925804</v>
      </c>
      <c r="EC171" s="21">
        <f>EXP(-LN(2)/2)*EC170+(1-EXP(-LN(2)/2))/(LN(2)/2)*DW171*DZ171*VLOOKUP('Données projet'!$B$14,Paramètres!$A$1:$I$89,3,0)*0.475*44/12</f>
        <v>2.3710837415061231E-20</v>
      </c>
      <c r="ED171" s="22">
        <f t="shared" si="178"/>
        <v>0.27643248645589347</v>
      </c>
      <c r="EE171" s="75">
        <f>('Scénario référence'!$F$8+'Scénario référence'!$F$9+'Scénario référence'!$B$17+'Scénario référence'!$B$9+'Scénario référence'!$B$10)*70+IF((45+25*(1-EXP(-0.0175*A171)))&lt;70,'Scénario référence'!$B$16*(45+25*(1-EXP(-0.0175*A171))),70*'Scénario référence'!$B$16)+IF((32+38*(1-EXP(-0.0175*A171)))&lt;70,'Scénario référence'!$B$18*(32+38*(1-EXP(-0.0175*A171))),70*'Scénario référence'!$B$18)</f>
        <v>70</v>
      </c>
      <c r="EF171" s="12">
        <f>IF(A171&gt;30,10,('Scénario référence'!$B$16+'Scénario référence'!$B$17+'Scénario référence'!$B$18+'Scénario référence'!$B$9+'Scénario référence'!$B$10)*A171*10/30+('Scénario référence'!$F$8+'Scénario référence'!$F$9)*10)</f>
        <v>10</v>
      </c>
      <c r="EG171" s="12" t="e">
        <f>VLOOKUP(A171,'Données projet'!$A$191:$I$211,2,0)</f>
        <v>#N/A</v>
      </c>
      <c r="EH171" s="12" t="e">
        <f>VLOOKUP(A171,'Données projet'!$A$191:$I$211,9,0)</f>
        <v>#N/A</v>
      </c>
      <c r="EI171" s="12">
        <f t="array" ref="EI171">INDEX(EH:EH,MIN(IF(ISNUMBER(EH171:EH367),ROW(EH171:EH367),"")))</f>
        <v>0</v>
      </c>
      <c r="EJ171" s="12">
        <f>IF('Données projet'!$A$192&gt;35,EJ170+EI171-ER170,IF(A171&lt;'Données projet'!$A$192,$EG$205^A171,IF(A171='Données projet'!$A$192,'Données projet'!$B$192,EJ170+EI171-ER170)))</f>
        <v>275.99999999999972</v>
      </c>
      <c r="EK171" s="17">
        <f>EJ171*VLOOKUP('Données projet'!$B$15,Paramètres!$A$1:$I$89,3,0)*VLOOKUP('Données projet'!$B$15,Paramètres!$A$1:$I$89,5,0)</f>
        <v>223.8911999999998</v>
      </c>
      <c r="EL171" s="13">
        <f t="shared" si="179"/>
        <v>54.95975389514858</v>
      </c>
      <c r="EM171" s="20">
        <f t="shared" si="180"/>
        <v>485.66541136738346</v>
      </c>
      <c r="EN171" s="59">
        <f t="shared" si="128"/>
        <v>778.99874470071677</v>
      </c>
      <c r="EO171" s="59">
        <f ca="1">AVERAGE(OFFSET($EN$3,0,0,'Données projet'!$E$15+1,1))-AVERAGE(OFFSET($H$3,0,0,'Données projet'!$E$15+1,1))</f>
        <v>205.5272583787887</v>
      </c>
      <c r="EP171" s="59">
        <f t="shared" si="154"/>
        <v>180.54762778843178</v>
      </c>
      <c r="EQ171" s="15">
        <f>IF(ISNA(VLOOKUP(A171,'Données projet'!$A$191:$I$211,3,0)),0,VLOOKUP(A171,'Données projet'!$A$191:$I$211,3,0))</f>
        <v>0</v>
      </c>
      <c r="ER171" s="15">
        <f>IF(ISNA(VLOOKUP(A171,'Données projet'!$A$191:$I$211,4,0)),0,VLOOKUP(A171,'Données projet'!$A$191:$I$211,4,0))</f>
        <v>0</v>
      </c>
      <c r="ES171" s="16">
        <f>IF(ISNA(VLOOKUP(A171,'Données projet'!$A$191:$I$211,5,0)),0%,VLOOKUP(A171,'Données projet'!$A$191:$I$211,5,0)*VLOOKUP('Données projet'!$B$15,Paramètres!$A$1:$I$89,7,0))</f>
        <v>0</v>
      </c>
      <c r="ET171" s="16">
        <f>IF(ISNA(VLOOKUP(A171,'Données projet'!$A$191:$I$211,6,0)),0%,VLOOKUP(A171,'Données projet'!$A$191:$I$211,6,0)*VLOOKUP('Données projet'!$B$15,Paramètres!$A$1:$I$89,7,0))</f>
        <v>0</v>
      </c>
      <c r="EU171" s="16">
        <f>IF(ISNA(VLOOKUP(A171,'Données projet'!$A$191:$I$211,7,0)),0%,VLOOKUP(A171,'Données projet'!$A$191:$I$211,7,0))</f>
        <v>0</v>
      </c>
      <c r="EV171" s="21">
        <f>EXP(-LN(2)/35)*EV170+(1-EXP(-LN(2)/35))/(LN(2)/35)*ER171*ES171*VLOOKUP('Données projet'!$B$15,Paramètres!$A$1:$I$89,3,0)*0.475*44/12</f>
        <v>6.5192642852195767E-2</v>
      </c>
      <c r="EW171" s="21">
        <f>EXP(-LN(2)/25)*EW170+(1-EXP(-LN(2)/25))/(LN(2)/25)*Calculateur!ER171*Calculateur!ET171*VLOOKUP('Données projet'!$B$15,Paramètres!$A$1:$I$89,3,0)*0.475*44/12</f>
        <v>0.12647929918561054</v>
      </c>
      <c r="EX171" s="21">
        <f>EXP(-LN(2)/2)*EX170+(1-EXP(-LN(2)/2))/(LN(2)/2)*ER171*EU171*VLOOKUP('Données projet'!$B$15,Paramètres!$A$1:$I$89,3,0)*0.475*44/12</f>
        <v>1.5352784758666696E-20</v>
      </c>
      <c r="EY171" s="22">
        <f t="shared" si="181"/>
        <v>0.1916719420378063</v>
      </c>
      <c r="EZ171" s="75">
        <f>('Scénario référence'!$F$8+'Scénario référence'!$F$9+'Scénario référence'!$B$17+'Scénario référence'!$B$9+'Scénario référence'!$B$10)*70+IF((45+25*(1-EXP(-0.0175*A171)))&lt;70,'Scénario référence'!$B$16*(45+25*(1-EXP(-0.0175*A171))),70*'Scénario référence'!$B$16)+IF((32+38*(1-EXP(-0.0175*A171)))&lt;70,'Scénario référence'!$B$18*(32+38*(1-EXP(-0.0175*A171))),70*'Scénario référence'!$B$18)</f>
        <v>70</v>
      </c>
      <c r="FA171" s="12">
        <f>IF(A171&gt;30,10,('Scénario référence'!$B$16+'Scénario référence'!$B$17+'Scénario référence'!$B$18+'Scénario référence'!$B$9+'Scénario référence'!$B$10)*A171*10/30+('Scénario référence'!$F$8+'Scénario référence'!$F$9)*10)</f>
        <v>10</v>
      </c>
      <c r="FB171" s="12" t="e">
        <f>VLOOKUP(A171,'Données projet'!$A$217:$I$237,2,0)</f>
        <v>#N/A</v>
      </c>
      <c r="FC171" s="12" t="e">
        <f>VLOOKUP(A171,'Données projet'!$A$217:$I$237,9,0)</f>
        <v>#N/A</v>
      </c>
      <c r="FD171" s="12">
        <f t="array" ref="FD171">INDEX(FC:FC,MIN(IF(ISNUMBER(FC171:FC367),ROW(FC171:FC367),"")))</f>
        <v>0</v>
      </c>
      <c r="FE171" s="12">
        <f>IF('Données projet'!$A$218&gt;35,FE170+FD171-FM170,IF(A171&lt;'Données projet'!$A$218,$FB$205^A171,IF(A171='Données projet'!$A$218,'Données projet'!$B$218,FE170+FD171-FM170)))</f>
        <v>418.99999999999983</v>
      </c>
      <c r="FF171" s="17">
        <f>FE171*VLOOKUP('Données projet'!$B$16,Paramètres!$A$1:$I$89,3,0)*VLOOKUP('Données projet'!$B$16,Paramètres!$A$1:$I$89,5,0)</f>
        <v>359.5019999999999</v>
      </c>
      <c r="FG171" s="13">
        <f t="shared" si="182"/>
        <v>83.516011055432813</v>
      </c>
      <c r="FH171" s="20">
        <f t="shared" si="183"/>
        <v>771.58970258821194</v>
      </c>
      <c r="FI171" s="59">
        <f t="shared" si="131"/>
        <v>1064.9230359215453</v>
      </c>
      <c r="FJ171" s="59">
        <f ca="1">AVERAGE(OFFSET($FI$3,0,0,'Données projet'!$E$16+1,1))-AVERAGE(OFFSET($H$3,0,0,'Données projet'!$E$16+1,1))</f>
        <v>383.97627237444709</v>
      </c>
      <c r="FK171" s="59">
        <f t="shared" si="156"/>
        <v>203.35476578922339</v>
      </c>
      <c r="FL171" s="15">
        <f>IF(ISNA(VLOOKUP(A171,'Données projet'!$A$217:$I$237,3,0)),0,VLOOKUP(A171,'Données projet'!$A$217:$I$237,3,0))</f>
        <v>0</v>
      </c>
      <c r="FM171" s="15">
        <f>IF(ISNA(VLOOKUP(A171,'Données projet'!$A$217:$I$237,4,0)),0,VLOOKUP(A171,'Données projet'!$A$217:$I$237,4,0))</f>
        <v>0</v>
      </c>
      <c r="FN171" s="16">
        <f>IF(ISNA(VLOOKUP(A171,'Données projet'!$A$217:$I$237,5,0)),0%,VLOOKUP(A171,'Données projet'!$A$217:$I$237,5,0)*VLOOKUP('Données projet'!$B$16,Paramètres!$A$1:$I$89,7,0))</f>
        <v>0</v>
      </c>
      <c r="FO171" s="16">
        <f>IF(ISNA(VLOOKUP(A171,'Données projet'!$A$217:$I$237,6,0)),0%,VLOOKUP(A171,'Données projet'!$A$217:$I$237,6,0)*VLOOKUP('Données projet'!$B$16,Paramètres!$A$1:$I$89,7,0))</f>
        <v>0</v>
      </c>
      <c r="FP171" s="16">
        <f>IF(ISNA(VLOOKUP(A171,'Données projet'!$A$217:$I$237,7,0)),0%,VLOOKUP(A171,'Données projet'!$A$217:$I$237,7,0))</f>
        <v>0</v>
      </c>
      <c r="FQ171" s="21">
        <f>EXP(-LN(2)/35)*FQ170+(1-EXP(-LN(2)/35))/(LN(2)/35)*FM171*FN171*VLOOKUP('Données projet'!$B$16,Paramètres!$A$1:$I$89,3,0)*0.475*44/12</f>
        <v>0.33505481588345437</v>
      </c>
      <c r="FR171" s="21">
        <f>EXP(-LN(2)/25)*FR170+(1-EXP(-LN(2)/25))/(LN(2)/25)*Calculateur!FM171*Calculateur!FO171*VLOOKUP('Données projet'!$B$16,Paramètres!$A$1:$I$89,3,0)*0.475*44/12</f>
        <v>0.12838956155137377</v>
      </c>
      <c r="FS171" s="21">
        <f>EXP(-LN(2)/2)*FS170+(1-EXP(-LN(2)/2))/(LN(2)/2)*FM171*FP171*VLOOKUP('Données projet'!$B$16,Paramètres!$A$1:$I$89,3,0)*0.475*44/12</f>
        <v>2.8199914754052588E-20</v>
      </c>
      <c r="FT171" s="22">
        <f t="shared" si="184"/>
        <v>0.46344437743482814</v>
      </c>
      <c r="FU171" s="75">
        <f>('Scénario référence'!$F$8+'Scénario référence'!$F$9+'Scénario référence'!$B$17+'Scénario référence'!$B$9+'Scénario référence'!$B$10)*70+IF((45+25*(1-EXP(-0.0175*A171)))&lt;70,'Scénario référence'!$B$16*(45+25*(1-EXP(-0.0175*A171))),70*'Scénario référence'!$B$16)+IF((32+38*(1-EXP(-0.0175*A171)))&lt;70,'Scénario référence'!$B$18*(32+38*(1-EXP(-0.0175*A171))),70*'Scénario référence'!$B$18)</f>
        <v>70</v>
      </c>
      <c r="FV171" s="12">
        <f>IF(A171&gt;30,10,('Scénario référence'!$B$16+'Scénario référence'!$B$17+'Scénario référence'!$B$18+'Scénario référence'!$B$9+'Scénario référence'!$B$10)*A171*10/30+('Scénario référence'!$F$8+'Scénario référence'!$F$9)*10)</f>
        <v>10</v>
      </c>
      <c r="FW171" s="12" t="e">
        <f>VLOOKUP(A171,'Données projet'!$A$243:$I$263,2,0)</f>
        <v>#N/A</v>
      </c>
      <c r="FX171" s="12" t="e">
        <f>VLOOKUP(A171,'Données projet'!$A$243:$I$263,9,0)</f>
        <v>#N/A</v>
      </c>
      <c r="FY171" s="12">
        <f t="array" ref="FY171">INDEX(FX:FX,MIN(IF(ISNUMBER(FX171:FX367),ROW(FX171:FX367),"")))</f>
        <v>0</v>
      </c>
      <c r="FZ171" s="12">
        <f>IF('Données projet'!$A$244&gt;35,FZ170+FY171-GH170,IF(A171&lt;'Données projet'!$A$244,$FW$205^A171,IF(A171='Données projet'!$A$244,'Données projet'!$B$244,FZ170+FY171-GH170)))</f>
        <v>4.5474735088646412E-13</v>
      </c>
      <c r="GA171" s="17">
        <f>FZ171*VLOOKUP('Données projet'!$B$17,Paramètres!$A$1:$I$89,3,0)*VLOOKUP('Données projet'!$B$17,Paramètres!$A$1:$I$89,5,0)</f>
        <v>4.8949004849418999E-13</v>
      </c>
      <c r="GB171" s="13">
        <f t="shared" si="185"/>
        <v>6.1123715499968684E-12</v>
      </c>
      <c r="GC171" s="20">
        <f t="shared" si="186"/>
        <v>1.1498242284038591E-11</v>
      </c>
      <c r="GD171" s="59">
        <f t="shared" si="134"/>
        <v>293.3333333333448</v>
      </c>
      <c r="GE171" s="59">
        <f ca="1">AVERAGE(OFFSET($GD$3,0,0,'Données projet'!$E$17+1,1))-AVERAGE(OFFSET($H$3,0,0,'Données projet'!$E$17+1,1))</f>
        <v>286.77702855541287</v>
      </c>
      <c r="GF171" s="59">
        <f t="shared" si="158"/>
        <v>227.12211541860779</v>
      </c>
      <c r="GG171" s="15">
        <f>IF(ISNA(VLOOKUP(A171,'Données projet'!$A$243:$I$263,3,0)),0,VLOOKUP(A171,'Données projet'!$A$243:$I$263,3,0))</f>
        <v>0</v>
      </c>
      <c r="GH171" s="15">
        <f>IF(ISNA(VLOOKUP(A171,'Données projet'!$A$243:$I$263,4,0)),0,VLOOKUP(A171,'Données projet'!$A$243:$I$263,4,0))</f>
        <v>0</v>
      </c>
      <c r="GI171" s="16">
        <f>IF(ISNA(VLOOKUP(A171,'Données projet'!$A$243:$I$263,5,0)),0%,VLOOKUP(A171,'Données projet'!$A$243:$I$263,5,0)*VLOOKUP('Données projet'!$B$17,Paramètres!$A$1:$I$89,7,0))</f>
        <v>0</v>
      </c>
      <c r="GJ171" s="16">
        <f>IF(ISNA(VLOOKUP(A171,'Données projet'!$A$243:$I$263,6,0)),0%,VLOOKUP(A171,'Données projet'!$A$243:$I$263,6,0)*VLOOKUP('Données projet'!$B$17,Paramètres!$A$1:$I$89,7,0))</f>
        <v>0</v>
      </c>
      <c r="GK171" s="16">
        <f>IF(ISNA(VLOOKUP(A171,'Données projet'!$A$243:$I$263,7,0)),0%,VLOOKUP(A171,'Données projet'!$A$243:$I$263,7,0))</f>
        <v>0</v>
      </c>
      <c r="GL171" s="21">
        <f>EXP(-LN(2)/35)*GL170+(1-EXP(-LN(2)/35))/(LN(2)/35)*GH171*GI171*VLOOKUP('Données projet'!$B$17,Paramètres!$A$1:$I$89,3,0)*0.475*44/12</f>
        <v>0</v>
      </c>
      <c r="GM171" s="21">
        <f>EXP(-LN(2)/25)*GM170+(1-EXP(-LN(2)/25))/(LN(2)/25)*Calculateur!GH171*Calculateur!GJ171*VLOOKUP('Données projet'!$B$17,Paramètres!$A$1:$I$89,3,0)*0.475*44/12</f>
        <v>0</v>
      </c>
      <c r="GN171" s="21">
        <f>EXP(-LN(2)/2)*GN170+(1-EXP(-LN(2)/2))/(LN(2)/2)*GH171*GK171*VLOOKUP('Données projet'!$B$17,Paramètres!$A$1:$I$89,3,0)*0.475*44/12</f>
        <v>0</v>
      </c>
      <c r="GO171" s="21">
        <f t="shared" si="187"/>
        <v>0</v>
      </c>
      <c r="GP171" s="75">
        <f>('Scénario référence'!$F$8+'Scénario référence'!$F$9+'Scénario référence'!$B$17+'Scénario référence'!$B$9+'Scénario référence'!$B$10)*70+IF((45+25*(1-EXP(-0.0175*A171)))&lt;70,'Scénario référence'!$B$16*(45+25*(1-EXP(-0.0175*A171))),70*'Scénario référence'!$B$16)+IF((32+38*(1-EXP(-0.0175*A171)))&lt;70,'Scénario référence'!$B$18*(32+38*(1-EXP(-0.0175*A171))),70*'Scénario référence'!$B$18)</f>
        <v>70</v>
      </c>
      <c r="GQ171" s="12">
        <f>IF(A171&gt;30,10,('Scénario référence'!$B$16+'Scénario référence'!$B$17+'Scénario référence'!$B$18+'Scénario référence'!$B$9+'Scénario référence'!$B$10)*A171*10/30+('Scénario référence'!$F$8+'Scénario référence'!$F$9)*10)</f>
        <v>10</v>
      </c>
      <c r="GR171" s="12" t="e">
        <f>VLOOKUP(A171,'Données projet'!$A$269:$I$289,2,0)</f>
        <v>#N/A</v>
      </c>
      <c r="GS171" s="12" t="e">
        <f>VLOOKUP(A171,'Données projet'!$A$269:$I$289,9,0)</f>
        <v>#N/A</v>
      </c>
      <c r="GT171" s="12">
        <f t="array" ref="GT171">INDEX(GS:GS,MIN(IF(ISNUMBER(GS171:GS367),ROW(GS171:GS367),"")))</f>
        <v>0</v>
      </c>
      <c r="GU171" s="12">
        <f>IF('Données projet'!$A$270&gt;35,GU170+GT171-HC170,IF(A171&lt;'Données projet'!$A$270,$GR$205^A171,IF(A171='Données projet'!$A$270,'Données projet'!$B$270,GU170+GT171-HC170)))</f>
        <v>4.5474735088646412E-13</v>
      </c>
      <c r="GV171" s="17">
        <f>GU171*VLOOKUP('Données projet'!$B$18,Paramètres!$A$1:$I$89,3,0)*VLOOKUP('Données projet'!$B$18,Paramètres!$A$1:$I$89,5,0)</f>
        <v>4.8949004849418999E-13</v>
      </c>
      <c r="GW171" s="13">
        <f t="shared" si="188"/>
        <v>6.1123715499968684E-12</v>
      </c>
      <c r="GX171" s="20">
        <f t="shared" si="189"/>
        <v>1.1498242284038591E-11</v>
      </c>
      <c r="GY171" s="59">
        <f t="shared" si="137"/>
        <v>293.3333333333448</v>
      </c>
      <c r="GZ171" s="59">
        <f ca="1">AVERAGE(OFFSET($GY$3,0,0,'Données projet'!$E$18+1,1))-AVERAGE(OFFSET($H$3,0,0,'Données projet'!$E$18+1,1))</f>
        <v>286.77702855541287</v>
      </c>
      <c r="HA171" s="59">
        <f t="shared" si="160"/>
        <v>227.12211541860779</v>
      </c>
      <c r="HB171" s="15">
        <f>IF(ISNA(VLOOKUP(A171,'Données projet'!$A$269:$I$289,3,0)),0,VLOOKUP(A171,'Données projet'!$A$269:$I$289,3,0))</f>
        <v>0</v>
      </c>
      <c r="HC171" s="15">
        <f>IF(ISNA(VLOOKUP(A171,'Données projet'!$A$269:$I$289,4,0)),0,VLOOKUP(A171,'Données projet'!$A$269:$I$289,4,0))</f>
        <v>0</v>
      </c>
      <c r="HD171" s="16">
        <f>IF(ISNA(VLOOKUP(A171,'Données projet'!$A$269:$I$289,5,0)),0%,VLOOKUP(A171,'Données projet'!$A$269:$I$289,5,0)*VLOOKUP('Données projet'!$B$18,Paramètres!$A$1:$I$89,7,0))</f>
        <v>0</v>
      </c>
      <c r="HE171" s="16">
        <f>IF(ISNA(VLOOKUP(A171,'Données projet'!$A$269:$I$289,6,0)),0%,VLOOKUP(A171,'Données projet'!$A$269:$I$289,6,0)*VLOOKUP('Données projet'!$B$18,Paramètres!$A$1:$I$89,7,0))</f>
        <v>0</v>
      </c>
      <c r="HF171" s="16">
        <f>IF(ISNA(VLOOKUP(A171,'Données projet'!$A$269:$I$289,7,0)),0%,VLOOKUP(A171,'Données projet'!$A$269:$I$289,7,0))</f>
        <v>0</v>
      </c>
      <c r="HG171" s="21">
        <f>EXP(-LN(2)/35)*HG170+(1-EXP(-LN(2)/35))/(LN(2)/35)*HC171*HD171*VLOOKUP('Données projet'!$B$18,Paramètres!$A$1:$I$89,3,0)*0.475*44/12</f>
        <v>0</v>
      </c>
      <c r="HH171" s="21">
        <f>EXP(-LN(2)/25)*HH170+(1-EXP(-LN(2)/25))/(LN(2)/25)*Calculateur!HC171*Calculateur!HE171*VLOOKUP('Données projet'!$B$18,Paramètres!$A$1:$I$89,3,0)*0.475*44/12</f>
        <v>0</v>
      </c>
      <c r="HI171" s="21">
        <f>EXP(-LN(2)/2)*HI170+(1-EXP(-LN(2)/2))/(LN(2)/2)*HC171*HF171*VLOOKUP('Données projet'!$B$18,Paramètres!$A$1:$I$89,3,0)*0.475*44/12</f>
        <v>0</v>
      </c>
      <c r="HJ171" s="22">
        <f t="shared" si="190"/>
        <v>0</v>
      </c>
    </row>
    <row r="172" spans="1:218" x14ac:dyDescent="0.25">
      <c r="A172" s="10">
        <f t="shared" si="161"/>
        <v>169</v>
      </c>
      <c r="B172" s="73">
        <f>'Scénario référence'!$B$16*5+'Scénario référence'!$B$17*0+'Scénario référence'!$B$18*5</f>
        <v>0</v>
      </c>
      <c r="C172" s="19">
        <f>Calculateur!C171+'Scénario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150.27479999999994</v>
      </c>
      <c r="D172" s="11">
        <f t="shared" si="140"/>
        <v>38.641028252978323</v>
      </c>
      <c r="E17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72" s="11">
        <f>IF(OR('Scénario référence'!$F$8&gt;0,'Scénario référence'!$F$9&gt;0),('Scénario référence'!$F$8+'Scénario référence'!$F$9)*10,0)</f>
        <v>10</v>
      </c>
      <c r="G172" s="11">
        <f>'Scénario référence'!$B$8*B172*44/12+'Scénario référence'!$B$9*(C172+D172)/0.475*44/12+'Scénario référence'!$B$10*(C172+D172)/0.475*44/12+'Scénario référence'!$F$8*(C172+D172)/0.475*44/12+'Scénario référence'!$F$9*(C172+D172)/0.475*44/12</f>
        <v>1458.2976216019376</v>
      </c>
      <c r="H172" s="67">
        <f t="shared" si="110"/>
        <v>622.36173420727039</v>
      </c>
      <c r="I172" s="70">
        <f>('Scénario référence'!$F$8+'Scénario référence'!$F$9+'Scénario référence'!$B$17+'Scénario référence'!$B$9+'Scénario référence'!$B$10)*70+IF((45+25*(1-EXP(-0.0175*A172)))&lt;70,'Scénario référence'!$B$16*(45+25*(1-EXP(-0.0175*A172))),70*'Scénario référence'!$B$16)+IF((32+38*(1-EXP(-0.0175*A172)))&lt;70,'Scénario référence'!$B$18*(32+38*(1-EXP(-0.0175*A172))),70*'Scénario référence'!$B$18)</f>
        <v>70</v>
      </c>
      <c r="J172" s="13">
        <f>IF(A172&gt;30,10,('Scénario référence'!$B$16+'Scénario référence'!$B$17+'Scénario référence'!$B$18+'Scénario référence'!$B$9+'Scénario référence'!$B$10)*A172*10/30+('Scénario référence'!$F$8+'Scénario référence'!$F$9)*10)</f>
        <v>10</v>
      </c>
      <c r="K172" s="12" t="e">
        <f>VLOOKUP(A172,'Données projet'!$A$35:$I$55,2,0)</f>
        <v>#N/A</v>
      </c>
      <c r="L172" s="12" t="e">
        <f>VLOOKUP(A172,'Données projet'!$A$35:$I$55,9,0)</f>
        <v>#N/A</v>
      </c>
      <c r="M172" s="12">
        <f t="array" ref="M172">INDEX(L:L,MIN(IF(ISNUMBER(L172:L368),ROW(L172:L368),"")))</f>
        <v>0</v>
      </c>
      <c r="N172" s="13">
        <f>IF('Données projet'!$A$36&gt;35,N171+M172-V171,IF(A172&lt;'Données projet'!$A$36,$K$205^A172,IF(A172='Données projet'!$A$36,'Données projet'!$B$36,N171+M172-V171)))</f>
        <v>-2.2737367544323206E-13</v>
      </c>
      <c r="O172" s="13">
        <f>N172*VLOOKUP('Données projet'!$B$9,Paramètres!$A$1:$I$89,3,0)*VLOOKUP('Données projet'!$B$9,Paramètres!$A$1:$I$89,5,0)</f>
        <v>-1.2710188457276673E-13</v>
      </c>
      <c r="P172" s="13" t="e">
        <f t="shared" si="141"/>
        <v>#NUM!</v>
      </c>
      <c r="Q172" s="20" t="e">
        <f t="shared" si="162"/>
        <v>#NUM!</v>
      </c>
      <c r="R172" s="59" t="e">
        <f t="shared" si="109"/>
        <v>#NUM!</v>
      </c>
      <c r="S172" s="59">
        <f ca="1">AVERAGE(OFFSET($R$3,0,0,'Données projet'!$E$9+1,1))-AVERAGE(OFFSET($H$3,0,0,'Données projet'!$E$9+1,1))</f>
        <v>255.5374979188561</v>
      </c>
      <c r="T172" s="59">
        <f t="shared" si="142"/>
        <v>343.10418468620901</v>
      </c>
      <c r="U172" s="15">
        <f>IF(ISNA(VLOOKUP(A172,'Données projet'!$A$35:$I$55,3,0)),0,VLOOKUP(A172,'Données projet'!$A$35:$I$55,3,0))</f>
        <v>0</v>
      </c>
      <c r="V172" s="15">
        <f>IF(ISNA(VLOOKUP(A172,'Données projet'!$A$35:$I$55,4,0)),0,VLOOKUP(A172,'Données projet'!$A$35:$I$55,4,0))</f>
        <v>0</v>
      </c>
      <c r="W172" s="16">
        <f>IF(ISNA(VLOOKUP(A172,'Données projet'!$A$35:$I$55,5,0)),0%,VLOOKUP(A172,'Données projet'!$A$35:$I$55,5,0)*VLOOKUP('Données projet'!$B$9,Paramètres!$A$1:$I$89,7,0))</f>
        <v>0</v>
      </c>
      <c r="X172" s="16">
        <f>IF(ISNA(VLOOKUP(A172,'Données projet'!$A$35:$I$55,6,0)),0%,VLOOKUP(A172,'Données projet'!$A$35:$I$55,6,0)*VLOOKUP('Données projet'!$B$9,Paramètres!$A$1:$I$89,7,0))</f>
        <v>0</v>
      </c>
      <c r="Y172" s="16">
        <f>IF(ISNA(VLOOKUP(A172,'Données projet'!$A$35:$I$55,7,0)),0%,VLOOKUP(A172,'Données projet'!$A$35:$I$55,7,0))</f>
        <v>0</v>
      </c>
      <c r="Z172" s="21">
        <f>EXP(-LN(2)/35)*Z171+(1-EXP(-LN(2)/35))/(LN(2)/35)*V172*W172*VLOOKUP('Données projet'!$B$9,Paramètres!$A$1:$I$89,3,0)*0.475*44/12</f>
        <v>0.19699041479142085</v>
      </c>
      <c r="AA172" s="21">
        <f>EXP(-LN(2)/25)*AA171+(1-EXP(-LN(2)/25))/(LN(2)/25)*Calculateur!V172*Calculateur!X172*VLOOKUP('Données projet'!$B$9,Paramètres!$A$1:$I$89,3,0)*0.475*44/12</f>
        <v>0.33830869692668508</v>
      </c>
      <c r="AB172" s="21">
        <f>EXP(-LN(2)/2)*AB171+(1-EXP(-LN(2)/2))/(LN(2)/2)*V172*Y172*VLOOKUP('Données projet'!$B$9,Paramètres!$A$1:$I$89,3,0)*0.475*44/12</f>
        <v>2.0276033516893304E-21</v>
      </c>
      <c r="AC172" s="22">
        <f t="shared" si="163"/>
        <v>0.53529911171810596</v>
      </c>
      <c r="AD172" s="13">
        <f>('Scénario référence'!$F$8+'Scénario référence'!$F$9+'Scénario référence'!$B$17+'Scénario référence'!$B$9+'Scénario référence'!$B$10)*70+IF((45+25*(1-EXP(-0.0175*A172)))&lt;70,'Scénario référence'!$B$16*(45+25*(1-EXP(-0.0175*A172))),70*'Scénario référence'!$B$16)+IF((32+38*(1-EXP(-0.0175*A172)))&lt;70,'Scénario référence'!$B$18*(32+38*(1-EXP(-0.0175*A172))),70*'Scénario référence'!$B$18)</f>
        <v>70</v>
      </c>
      <c r="AE172" s="13">
        <f>IF(A172&gt;30,10,('Scénario référence'!$B$16+'Scénario référence'!$B$17+'Scénario référence'!$B$18+'Scénario référence'!$B$9+'Scénario référence'!$B$10)*A172*10/30+('Scénario référence'!$F$8+'Scénario référence'!$F$9)*10)</f>
        <v>10</v>
      </c>
      <c r="AF172" s="12" t="e">
        <f>VLOOKUP(A172,'Données projet'!$A$61:$I$81,2,0)</f>
        <v>#N/A</v>
      </c>
      <c r="AG172" s="12" t="e">
        <f>VLOOKUP(A172,'Données projet'!$A$61:$I$81,9,0)</f>
        <v>#N/A</v>
      </c>
      <c r="AH172" s="12">
        <f t="array" ref="AH172">INDEX(AG:AG,MIN(IF(ISNUMBER(AG172:AG368),ROW(AG172:AG368),"")))</f>
        <v>0</v>
      </c>
      <c r="AI172" s="13">
        <f>IF('Données projet'!$A$62&gt;35,AI171+AH172-AQ171,IF(A172&lt;'Données projet'!$A$62,$AF$205^A172,IF(A172='Données projet'!$A$62,'Données projet'!$B$62,AI171+AH172-AQ171)))</f>
        <v>0</v>
      </c>
      <c r="AJ172" s="13">
        <f>AI172*VLOOKUP('Données projet'!$B$10,Paramètres!$A$1:$I$89,3,0)*VLOOKUP('Données projet'!$B$10,Paramètres!$A$1:$I$89,5,0)</f>
        <v>0</v>
      </c>
      <c r="AK172" s="13" t="e">
        <f t="shared" si="164"/>
        <v>#NUM!</v>
      </c>
      <c r="AL172" s="20" t="e">
        <f t="shared" si="165"/>
        <v>#NUM!</v>
      </c>
      <c r="AM172" s="59" t="e">
        <f t="shared" si="113"/>
        <v>#NUM!</v>
      </c>
      <c r="AN172" s="59">
        <f ca="1">AVERAGE(OFFSET($AM$3,0,0,'Données projet'!$E$10+1,1))-AVERAGE(OFFSET($H$3,0,0,'Données projet'!$E$10+1,1))</f>
        <v>261.78489480911571</v>
      </c>
      <c r="AO172" s="59">
        <f t="shared" si="144"/>
        <v>297.50513563712764</v>
      </c>
      <c r="AP172" s="15">
        <f>IF(ISNA(VLOOKUP(A172,'Données projet'!$A$61:$I$81,3,0)),0,VLOOKUP(A172,'Données projet'!$A$61:$I$81,3,0))</f>
        <v>0</v>
      </c>
      <c r="AQ172" s="15">
        <f>IF(ISNA(VLOOKUP(A172,'Données projet'!$A$61:$I$81,4,0)),0,VLOOKUP(A172,'Données projet'!$A$61:$I$81,4,0))</f>
        <v>0</v>
      </c>
      <c r="AR172" s="16">
        <f>IF(ISNA(VLOOKUP(A172,'Données projet'!$A$61:$I$81,5,0)),0%,VLOOKUP(A172,'Données projet'!$A$61:$I$81,5,0)*VLOOKUP('Données projet'!$B$10,Paramètres!$A$1:$I$89,7,0))</f>
        <v>0</v>
      </c>
      <c r="AS172" s="16">
        <f>IF(ISNA(VLOOKUP(A172,'Données projet'!$A$61:$I$81,6,0)),0%,VLOOKUP(A172,'Données projet'!$A$61:$I$81,6,0)*VLOOKUP('Données projet'!$B$10,Paramètres!$A$1:$I$89,7,0))</f>
        <v>0</v>
      </c>
      <c r="AT172" s="16">
        <f>IF(ISNA(VLOOKUP(A172,'Données projet'!$A$61:$I$81,7,0)),0%,VLOOKUP(A172,'Données projet'!$A$61:$I$81,7,0))</f>
        <v>0</v>
      </c>
      <c r="AU172" s="21">
        <f>EXP(-LN(2)/35)*AU171+(1-EXP(-LN(2)/35))/(LN(2)/35)*AQ172*AR172*VLOOKUP('Données projet'!$B$10,Paramètres!$A$1:$I$89,3,0)*0.475*44/12</f>
        <v>0.5319298384084129</v>
      </c>
      <c r="AV172" s="21">
        <f>EXP(-LN(2)/25)*AV171+(1-EXP(-LN(2)/25))/(LN(2)/25)*Calculateur!AQ172*Calculateur!AS172*VLOOKUP('Données projet'!$B$10,Paramètres!$A$1:$I$89,3,0)*0.475*44/12</f>
        <v>0.59075598657171025</v>
      </c>
      <c r="AW172" s="21">
        <f>EXP(-LN(2)/2)*AW171+(1-EXP(-LN(2)/2))/(LN(2)/2)*AQ172*AT172*VLOOKUP('Données projet'!$B$10,Paramètres!$A$1:$I$89,3,0)*0.475*44/12</f>
        <v>2.9229832601140376E-20</v>
      </c>
      <c r="AX172" s="21">
        <f t="shared" si="166"/>
        <v>1.122685824980123</v>
      </c>
      <c r="AY172" s="74">
        <f>('Scénario référence'!$F$8+'Scénario référence'!$F$9+'Scénario référence'!$B$17+'Scénario référence'!$B$9+'Scénario référence'!$B$10)*70+IF((45+25*(1-EXP(-0.0175*A172)))&lt;70,'Scénario référence'!$B$16*(45+25*(1-EXP(-0.0175*A172))),70*'Scénario référence'!$B$16)+IF((32+38*(1-EXP(-0.0175*A172)))&lt;70,'Scénario référence'!$B$18*(32+38*(1-EXP(-0.0175*A172))),70*'Scénario référence'!$B$18)</f>
        <v>70</v>
      </c>
      <c r="AZ172" s="12">
        <f>IF(A172&gt;30,10,('Scénario référence'!$B$16+'Scénario référence'!$B$17+'Scénario référence'!$B$18+'Scénario référence'!$B$9+'Scénario référence'!$B$10)*A172*10/30+('Scénario référence'!$F$8+'Scénario référence'!$F$9)*10)</f>
        <v>10</v>
      </c>
      <c r="BA172" s="12" t="e">
        <f>VLOOKUP(A172,'Données projet'!$A$87:$I$107,2,0)</f>
        <v>#N/A</v>
      </c>
      <c r="BB172" s="12" t="e">
        <f>VLOOKUP(A172,'Données projet'!$A$87:$I$107,9,0)</f>
        <v>#N/A</v>
      </c>
      <c r="BC172" s="12">
        <f t="array" ref="BC172">INDEX(BB:BB,MIN(IF(ISNUMBER(BB172:BB368),ROW(BB172:BB368),"")))</f>
        <v>0</v>
      </c>
      <c r="BD172" s="12">
        <f>IF('Données projet'!$A$88&gt;35,BD171+BC172-BL171,IF(A172&lt;'Données projet'!$A$88,$BA$205^A172,IF(A172='Données projet'!$A$88,'Données projet'!$B$88,BD171+BC172-BL171)))</f>
        <v>553.99999999999955</v>
      </c>
      <c r="BE172" s="13">
        <f>BD172*VLOOKUP('Données projet'!$B$11,Paramètres!$A$1:$I$89,3,0)*VLOOKUP('Données projet'!$B$11,Paramètres!$A$1:$I$89,5,0)</f>
        <v>331.29199999999975</v>
      </c>
      <c r="BF172" s="13">
        <f t="shared" si="167"/>
        <v>77.698110787752</v>
      </c>
      <c r="BG172" s="20">
        <f t="shared" si="168"/>
        <v>712.32444295533423</v>
      </c>
      <c r="BH172" s="59">
        <f t="shared" si="116"/>
        <v>1005.6577762886675</v>
      </c>
      <c r="BI172" s="59">
        <f ca="1">AVERAGE(OFFSET($BH$3,0,0,'Données projet'!$E$11+1,1))-AVERAGE(OFFSET($H$3,0,0,'Données projet'!$E$11+1,1))</f>
        <v>316.58509520829671</v>
      </c>
      <c r="BJ172" s="59">
        <f t="shared" si="146"/>
        <v>240.71332110643596</v>
      </c>
      <c r="BK172" s="15">
        <f>IF(ISNA(VLOOKUP(A172,'Données projet'!$A$87:$I$107,3,0)),0,VLOOKUP(A172,'Données projet'!$A$87:$I$107,3,0))</f>
        <v>0</v>
      </c>
      <c r="BL172" s="15">
        <f>IF(ISNA(VLOOKUP(A172,'Données projet'!$A$87:$I$107,4,0)),0,VLOOKUP(A172,'Données projet'!$A$87:$I$107,4,0))</f>
        <v>0</v>
      </c>
      <c r="BM172" s="16">
        <f>IF(ISNA(VLOOKUP(A172,'Données projet'!$A$87:$I$107,5,0)),0%,VLOOKUP(A172,'Données projet'!$A$87:$I$107,5,0)*VLOOKUP('Données projet'!$B$11,Paramètres!$A$1:$I$89,7,0))</f>
        <v>0</v>
      </c>
      <c r="BN172" s="16">
        <f>IF(ISNA(VLOOKUP(A172,'Données projet'!$A$87:$I$107,6,0)),0%,VLOOKUP(A172,'Données projet'!$A$87:$I$107,6,0)*VLOOKUP('Données projet'!$B$11,Paramètres!$A$1:$I$89,7,0))</f>
        <v>0</v>
      </c>
      <c r="BO172" s="16">
        <f>IF(ISNA(VLOOKUP(A172,'Données projet'!$A$87:$I$107,7,0)),0%,VLOOKUP(A172,'Données projet'!$A$87:$I$107,7,0))</f>
        <v>0</v>
      </c>
      <c r="BP172" s="21">
        <f>EXP(-LN(2)/35)*BP171+(1-EXP(-LN(2)/35))/(LN(2)/35)*BL172*BM172*VLOOKUP('Données projet'!$B$11,Paramètres!$A$1:$I$89,3,0)*0.475*44/12</f>
        <v>0.16157764622785331</v>
      </c>
      <c r="BQ172" s="21">
        <f>EXP(-LN(2)/25)*BQ171+(1-EXP(-LN(2)/25))/(LN(2)/25)*Calculateur!BL172*Calculateur!BN172*VLOOKUP('Données projet'!$B$11,Paramètres!$A$1:$I$89,3,0)*0.475*44/12</f>
        <v>0.32363336656740405</v>
      </c>
      <c r="BR172" s="21">
        <f>EXP(-LN(2)/2)*BR171+(1-EXP(-LN(2)/2))/(LN(2)/2)*BL172*BO172*VLOOKUP('Données projet'!$B$11,Paramètres!$A$1:$I$89,3,0)*0.475*44/12</f>
        <v>2.6280820543597732E-20</v>
      </c>
      <c r="BS172" s="22">
        <f t="shared" si="169"/>
        <v>0.48521101279525736</v>
      </c>
      <c r="BT172" s="75">
        <f>('Scénario référence'!$F$8+'Scénario référence'!$F$9+'Scénario référence'!$B$17+'Scénario référence'!$B$9+'Scénario référence'!$B$10)*70+IF((45+25*(1-EXP(-0.0175*A172)))&lt;70,'Scénario référence'!$B$16*(45+25*(1-EXP(-0.0175*A172))),70*'Scénario référence'!$B$16)+IF((32+38*(1-EXP(-0.0175*A172)))&lt;70,'Scénario référence'!$B$18*(32+38*(1-EXP(-0.0175*A172))),70*'Scénario référence'!$B$18)</f>
        <v>70</v>
      </c>
      <c r="BU172" s="12">
        <f>IF(A172&gt;30,10,('Scénario référence'!$B$16+'Scénario référence'!$B$17+'Scénario référence'!$B$18+'Scénario référence'!$B$9+'Scénario référence'!$B$10)*A172*10/30+('Scénario référence'!$F$8+'Scénario référence'!$F$9)*10)</f>
        <v>10</v>
      </c>
      <c r="BV172" s="12" t="e">
        <f>VLOOKUP(A172,'Données projet'!$A$113:$I$133,2,0)</f>
        <v>#N/A</v>
      </c>
      <c r="BW172" s="12" t="e">
        <f>VLOOKUP(A172,'Données projet'!$A$113:$I$133,9,0)</f>
        <v>#N/A</v>
      </c>
      <c r="BX172" s="12">
        <f t="array" ref="BX172">INDEX(BW:BW,MIN(IF(ISNUMBER(BW172:BW368),ROW(BW172:BW368),"")))</f>
        <v>0</v>
      </c>
      <c r="BY172" s="12">
        <f>IF('Données projet'!$A$114&gt;35,BY171+BX172-CG171,IF(A172&lt;'Données projet'!$A$114,$BV$205^A172,IF(A172='Données projet'!$A$114,'Données projet'!$B$114,BY171+BX172-CG171)))</f>
        <v>333.99999999999977</v>
      </c>
      <c r="BZ172" s="13">
        <f>BY172*VLOOKUP('Données projet'!$B$12,Paramètres!$A$1:$I$89,3,0)*VLOOKUP('Données projet'!$B$12,Paramètres!$A$1:$I$89,5,0)</f>
        <v>191.04799999999986</v>
      </c>
      <c r="CA172" s="13">
        <f t="shared" si="170"/>
        <v>47.771576544305155</v>
      </c>
      <c r="CB172" s="20">
        <f t="shared" si="171"/>
        <v>415.94409581466454</v>
      </c>
      <c r="CC172" s="59">
        <f t="shared" si="119"/>
        <v>709.27742914799785</v>
      </c>
      <c r="CD172" s="59">
        <f ca="1">AVERAGE(OFFSET($CC$3,0,0,'Données projet'!$E$12+1,1))-AVERAGE(OFFSET($H$3,0,0,'Données projet'!$E$12+1,1))</f>
        <v>188.64374818906128</v>
      </c>
      <c r="CE172" s="59">
        <f t="shared" si="148"/>
        <v>211.95157880548652</v>
      </c>
      <c r="CF172" s="15">
        <f>IF(ISNA(VLOOKUP(A172,'Données projet'!$A$113:$I$133,3,0)),0,VLOOKUP(A172,'Données projet'!$A$113:$I$133,3,0))</f>
        <v>0</v>
      </c>
      <c r="CG172" s="15">
        <f>IF(ISNA(VLOOKUP(A172,'Données projet'!$A$113:$I$133,4,0)),0,VLOOKUP(A172,'Données projet'!$A$113:$I$133,4,0))</f>
        <v>0</v>
      </c>
      <c r="CH172" s="16">
        <f>IF(ISNA(VLOOKUP(A172,'Données projet'!$A$113:$I$133,5,0)),0%,VLOOKUP(A172,'Données projet'!$A$113:$I$133,5,0)*VLOOKUP('Données projet'!$B$12,Paramètres!$A$1:$I$89,7,0))</f>
        <v>0</v>
      </c>
      <c r="CI172" s="16">
        <f>IF(ISNA(VLOOKUP(A172,'Données projet'!$A$113:$I$133,6,0)),0%,VLOOKUP(A172,'Données projet'!$A$113:$I$133,6,0)*VLOOKUP('Données projet'!$B$12,Paramètres!$A$1:$I$89,7,0))</f>
        <v>0</v>
      </c>
      <c r="CJ172" s="16">
        <f>IF(ISNA(VLOOKUP(A172,'Données projet'!$A$113:$I$133,7,0)),0%,VLOOKUP(A172,'Données projet'!$A$113:$I$133,7,0))</f>
        <v>0</v>
      </c>
      <c r="CK172" s="21">
        <f>EXP(-LN(2)/35)*CK171+(1-EXP(-LN(2)/35))/(LN(2)/35)*CG172*CH172*VLOOKUP('Données projet'!$B$12,Paramètres!$A$1:$I$89,3,0)*0.475*44/12</f>
        <v>0.15672932738819309</v>
      </c>
      <c r="CL172" s="21">
        <f>EXP(-LN(2)/25)*CL171+(1-EXP(-LN(2)/25))/(LN(2)/25)*Calculateur!CG172*Calculateur!CI172*VLOOKUP('Données projet'!$B$12,Paramètres!$A$1:$I$89,3,0)*0.475*44/12</f>
        <v>0.30461105224313667</v>
      </c>
      <c r="CM172" s="21">
        <f>EXP(-LN(2)/2)*CM171+(1-EXP(-LN(2)/2))/(LN(2)/2)*CG172*CJ172*VLOOKUP('Données projet'!$B$12,Paramètres!$A$1:$I$89,3,0)*0.475*44/12</f>
        <v>2.5450918454536864E-20</v>
      </c>
      <c r="CN172" s="22">
        <f t="shared" si="172"/>
        <v>0.46134037963132979</v>
      </c>
      <c r="CO172" s="75">
        <f>('Scénario référence'!$F$8+'Scénario référence'!$F$9+'Scénario référence'!$B$17+'Scénario référence'!$B$9+'Scénario référence'!$B$10)*70+IF((45+25*(1-EXP(-0.0175*A172)))&lt;70,'Scénario référence'!$B$16*(45+25*(1-EXP(-0.0175*A172))),70*'Scénario référence'!$B$16)+IF((32+38*(1-EXP(-0.0175*A172)))&lt;70,'Scénario référence'!$B$18*(32+38*(1-EXP(-0.0175*A172))),70*'Scénario référence'!$B$18)</f>
        <v>70</v>
      </c>
      <c r="CP172" s="12">
        <f>IF(A172&gt;30,10,('Scénario référence'!$B$16+'Scénario référence'!$B$17+'Scénario référence'!$B$18+'Scénario référence'!$B$9+'Scénario référence'!$B$10)*A172*10/30+('Scénario référence'!$F$8+'Scénario référence'!$F$9)*10)</f>
        <v>10</v>
      </c>
      <c r="CQ172" s="12" t="e">
        <f>VLOOKUP(A172,'Données projet'!$A$139:$I$159,2,0)</f>
        <v>#N/A</v>
      </c>
      <c r="CR172" s="12" t="e">
        <f>VLOOKUP(A172,'Données projet'!$A$139:$I$159,9,0)</f>
        <v>#N/A</v>
      </c>
      <c r="CS172" s="12">
        <f t="array" ref="CS172">INDEX(CR:CR,MIN(IF(ISNUMBER(CR172:CR368),ROW(CR172:CR368),"")))</f>
        <v>0</v>
      </c>
      <c r="CT172" s="12">
        <f>IF('Données projet'!$A$140&gt;35,CT171+CS172-DB171,IF(A172&lt;'Données projet'!$A$140,$CQ$205^A172,IF(A172='Données projet'!$A$140,'Données projet'!$B$140,CT171+CS172-DB171)))</f>
        <v>0</v>
      </c>
      <c r="CU172" s="17" t="e">
        <f>CT172*VLOOKUP('Données projet'!$B$13,Paramètres!$A$1:$I$89,3,0)*VLOOKUP('Données projet'!$B$13,Paramètres!$A$1:$I$89,5,0)</f>
        <v>#N/A</v>
      </c>
      <c r="CV172" s="13" t="e">
        <f t="shared" si="173"/>
        <v>#N/A</v>
      </c>
      <c r="CW172" s="20" t="e">
        <f t="shared" si="174"/>
        <v>#N/A</v>
      </c>
      <c r="CX172" s="59" t="e">
        <f t="shared" si="122"/>
        <v>#N/A</v>
      </c>
      <c r="CY172" s="59" t="e">
        <f ca="1">AVERAGE(OFFSET($CX$3,0,0,'Données projet'!$E$13+1,1))-AVERAGE(OFFSET($H$3,0,0,'Données projet'!$E$13+1,1))</f>
        <v>#N/A</v>
      </c>
      <c r="CZ172" s="59" t="e">
        <f t="shared" si="150"/>
        <v>#N/A</v>
      </c>
      <c r="DA172" s="15">
        <f>IF(ISNA(VLOOKUP(A172,'Données projet'!$A$139:$I$159,3,0)),0,VLOOKUP(A172,'Données projet'!$A$139:$I$159,3,0))</f>
        <v>0</v>
      </c>
      <c r="DB172" s="15">
        <f>IF(ISNA(VLOOKUP(A172,'Données projet'!$A$139:$I$159,4,0)),0,VLOOKUP(A172,'Données projet'!$A$139:$I$159,4,0))</f>
        <v>0</v>
      </c>
      <c r="DC172" s="16">
        <f>IF(ISNA(VLOOKUP(A172,'Données projet'!$A$139:$I$159,5,0)),0%,VLOOKUP(A172,'Données projet'!$A$139:$I$159,5,0)*VLOOKUP('Données projet'!$B$13,Paramètres!$A$1:$I$89,7,0))</f>
        <v>0</v>
      </c>
      <c r="DD172" s="16">
        <f>IF(ISNA(VLOOKUP(A172,'Données projet'!$A$139:$I$159,6,0)),0%,VLOOKUP(A172,'Données projet'!$A$139:$I$159,6,0)*VLOOKUP('Données projet'!$B$13,Paramètres!$A$1:$I$89,7,0))</f>
        <v>0</v>
      </c>
      <c r="DE172" s="16">
        <f>IF(ISNA(VLOOKUP(A172,'Données projet'!$A$139:$I$159,7,0)),0%,VLOOKUP(A172,'Données projet'!$A$139:$I$159,7,0))</f>
        <v>0</v>
      </c>
      <c r="DF172" s="21" t="e">
        <f>EXP(-LN(2)/35)*DF171+(1-EXP(-LN(2)/35))/(LN(2)/35)*DB172*DC172*VLOOKUP('Données projet'!$B$13,Paramètres!$A$1:$I$89,3,0)*0.475*44/12</f>
        <v>#N/A</v>
      </c>
      <c r="DG172" s="21" t="e">
        <f>EXP(-LN(2)/25)*DG171+(1-EXP(-LN(2)/25))/(LN(2)/25)*Calculateur!DB172*Calculateur!DD172*VLOOKUP('Données projet'!$B$13,Paramètres!$A$1:$I$89,3,0)*0.475*44/12</f>
        <v>#N/A</v>
      </c>
      <c r="DH172" s="21" t="e">
        <f>EXP(-LN(2)/2)*DH171+(1-EXP(-LN(2)/2))/(LN(2)/2)*DB172*DE172*VLOOKUP('Données projet'!$B$13,Paramètres!$A$1:$I$89,3,0)*0.475*44/12</f>
        <v>#N/A</v>
      </c>
      <c r="DI172" s="22" t="e">
        <f t="shared" si="175"/>
        <v>#N/A</v>
      </c>
      <c r="DJ172" s="75">
        <f>('Scénario référence'!$F$8+'Scénario référence'!$F$9+'Scénario référence'!$B$17+'Scénario référence'!$B$9+'Scénario référence'!$B$10)*70+IF((45+25*(1-EXP(-0.0175*A172)))&lt;70,'Scénario référence'!$B$16*(45+25*(1-EXP(-0.0175*A172))),70*'Scénario référence'!$B$16)+IF((32+38*(1-EXP(-0.0175*A172)))&lt;70,'Scénario référence'!$B$18*(32+38*(1-EXP(-0.0175*A172))),70*'Scénario référence'!$B$18)</f>
        <v>70</v>
      </c>
      <c r="DK172" s="12">
        <f>IF(A172&gt;30,10,('Scénario référence'!$B$16+'Scénario référence'!$B$17+'Scénario référence'!$B$18+'Scénario référence'!$B$9+'Scénario référence'!$B$10)*A172*10/30+('Scénario référence'!$F$8+'Scénario référence'!$F$9)*10)</f>
        <v>10</v>
      </c>
      <c r="DL172" s="12" t="e">
        <f>VLOOKUP(A172,'Données projet'!$A$165:$I$185,2,0)</f>
        <v>#N/A</v>
      </c>
      <c r="DM172" s="12" t="e">
        <f>VLOOKUP(A172,'Données projet'!$A$165:$I$185,9,0)</f>
        <v>#N/A</v>
      </c>
      <c r="DN172" s="12">
        <f t="array" ref="DN172">INDEX(DM:DM,MIN(IF(ISNUMBER(DM172:DM368),ROW(DM172:DM368),"")))</f>
        <v>0</v>
      </c>
      <c r="DO172" s="12">
        <f>IF('Données projet'!$A$166&gt;35,DO171+DN172-DW171,IF(A172&lt;'Données projet'!$A$166,$DL$205^A172,IF(A172='Données projet'!$A$166,'Données projet'!$B$166,DO171+DN172-DW171)))</f>
        <v>268.00000000000017</v>
      </c>
      <c r="DP172" s="17">
        <f>DO172*VLOOKUP('Données projet'!$B$14,Paramètres!$A$1:$I$89,3,0)*VLOOKUP('Données projet'!$B$14,Paramètres!$A$1:$I$89,5,0)</f>
        <v>175.59360000000012</v>
      </c>
      <c r="DQ172" s="13">
        <f t="shared" si="176"/>
        <v>44.340433728638573</v>
      </c>
      <c r="DR172" s="20">
        <f t="shared" si="177"/>
        <v>383.05177541071242</v>
      </c>
      <c r="DS172" s="59">
        <f t="shared" si="125"/>
        <v>676.38510874404574</v>
      </c>
      <c r="DT172" s="59">
        <f ca="1">AVERAGE(OFFSET($DS$3,0,0,'Données projet'!$E$14+1,1))-AVERAGE(OFFSET($H$3,0,0,'Données projet'!$E$14+1,1))</f>
        <v>188.68915783955595</v>
      </c>
      <c r="DU172" s="59">
        <f t="shared" si="152"/>
        <v>240.82467772396944</v>
      </c>
      <c r="DV172" s="15">
        <f>IF(ISNA(VLOOKUP(A172,'Données projet'!$A$165:$I$185,3,0)),0,VLOOKUP(A172,'Données projet'!$A$165:$I$185,3,0))</f>
        <v>0</v>
      </c>
      <c r="DW172" s="15">
        <f>IF(ISNA(VLOOKUP(A172,'Données projet'!$A$165:$I$185,4,0)),0,VLOOKUP(A172,'Données projet'!$A$165:$I$185,4,0))</f>
        <v>0</v>
      </c>
      <c r="DX172" s="16">
        <f>IF(ISNA(VLOOKUP(A172,'Données projet'!$A$165:$I$185,5,0)),0%,VLOOKUP(A172,'Données projet'!$A$165:$I$185,5,0)*VLOOKUP('Données projet'!$B$14,Paramètres!$A$1:$I$89,7,0))</f>
        <v>0</v>
      </c>
      <c r="DY172" s="16">
        <f>IF(ISNA(VLOOKUP(A172,'Données projet'!$A$165:$I$185,6,0)),0%,VLOOKUP(A172,'Données projet'!$A$165:$I$185,6,0)*VLOOKUP('Données projet'!$B$14,Paramètres!$A$1:$I$89,7,0))</f>
        <v>0</v>
      </c>
      <c r="DZ172" s="16">
        <f>IF(ISNA(VLOOKUP(A172,'Données projet'!$A$165:$I$185,7,0)),0%,VLOOKUP(A172,'Données projet'!$A$165:$I$185,7,0))</f>
        <v>0</v>
      </c>
      <c r="EA172" s="21">
        <f>EXP(-LN(2)/35)*EA171+(1-EXP(-LN(2)/35))/(LN(2)/35)*DW172*DX172*VLOOKUP('Données projet'!$B$14,Paramètres!$A$1:$I$89,3,0)*0.475*44/12</f>
        <v>9.9275100050181211E-2</v>
      </c>
      <c r="EB172" s="21">
        <f>EXP(-LN(2)/25)*EB171+(1-EXP(-LN(2)/25))/(LN(2)/25)*Calculateur!DW172*Calculateur!DY172*VLOOKUP('Données projet'!$B$14,Paramètres!$A$1:$I$89,3,0)*0.475*44/12</f>
        <v>0.17038164460739033</v>
      </c>
      <c r="EC172" s="21">
        <f>EXP(-LN(2)/2)*EC171+(1-EXP(-LN(2)/2))/(LN(2)/2)*DW172*DZ172*VLOOKUP('Données projet'!$B$14,Paramètres!$A$1:$I$89,3,0)*0.475*44/12</f>
        <v>1.6766093923801506E-20</v>
      </c>
      <c r="ED172" s="22">
        <f t="shared" si="178"/>
        <v>0.26965674465757156</v>
      </c>
      <c r="EE172" s="75">
        <f>('Scénario référence'!$F$8+'Scénario référence'!$F$9+'Scénario référence'!$B$17+'Scénario référence'!$B$9+'Scénario référence'!$B$10)*70+IF((45+25*(1-EXP(-0.0175*A172)))&lt;70,'Scénario référence'!$B$16*(45+25*(1-EXP(-0.0175*A172))),70*'Scénario référence'!$B$16)+IF((32+38*(1-EXP(-0.0175*A172)))&lt;70,'Scénario référence'!$B$18*(32+38*(1-EXP(-0.0175*A172))),70*'Scénario référence'!$B$18)</f>
        <v>70</v>
      </c>
      <c r="EF172" s="12">
        <f>IF(A172&gt;30,10,('Scénario référence'!$B$16+'Scénario référence'!$B$17+'Scénario référence'!$B$18+'Scénario référence'!$B$9+'Scénario référence'!$B$10)*A172*10/30+('Scénario référence'!$F$8+'Scénario référence'!$F$9)*10)</f>
        <v>10</v>
      </c>
      <c r="EG172" s="12" t="e">
        <f>VLOOKUP(A172,'Données projet'!$A$191:$I$211,2,0)</f>
        <v>#N/A</v>
      </c>
      <c r="EH172" s="12" t="e">
        <f>VLOOKUP(A172,'Données projet'!$A$191:$I$211,9,0)</f>
        <v>#N/A</v>
      </c>
      <c r="EI172" s="12">
        <f t="array" ref="EI172">INDEX(EH:EH,MIN(IF(ISNUMBER(EH172:EH368),ROW(EH172:EH368),"")))</f>
        <v>0</v>
      </c>
      <c r="EJ172" s="12">
        <f>IF('Données projet'!$A$192&gt;35,EJ171+EI172-ER171,IF(A172&lt;'Données projet'!$A$192,$EG$205^A172,IF(A172='Données projet'!$A$192,'Données projet'!$B$192,EJ171+EI172-ER171)))</f>
        <v>275.99999999999972</v>
      </c>
      <c r="EK172" s="17">
        <f>EJ172*VLOOKUP('Données projet'!$B$15,Paramètres!$A$1:$I$89,3,0)*VLOOKUP('Données projet'!$B$15,Paramètres!$A$1:$I$89,5,0)</f>
        <v>223.8911999999998</v>
      </c>
      <c r="EL172" s="13">
        <f t="shared" si="179"/>
        <v>54.95975389514858</v>
      </c>
      <c r="EM172" s="20">
        <f t="shared" si="180"/>
        <v>485.66541136738346</v>
      </c>
      <c r="EN172" s="59">
        <f t="shared" si="128"/>
        <v>778.99874470071677</v>
      </c>
      <c r="EO172" s="59">
        <f ca="1">AVERAGE(OFFSET($EN$3,0,0,'Données projet'!$E$15+1,1))-AVERAGE(OFFSET($H$3,0,0,'Données projet'!$E$15+1,1))</f>
        <v>205.5272583787887</v>
      </c>
      <c r="EP172" s="59">
        <f t="shared" si="154"/>
        <v>180.54762778843178</v>
      </c>
      <c r="EQ172" s="15">
        <f>IF(ISNA(VLOOKUP(A172,'Données projet'!$A$191:$I$211,3,0)),0,VLOOKUP(A172,'Données projet'!$A$191:$I$211,3,0))</f>
        <v>0</v>
      </c>
      <c r="ER172" s="15">
        <f>IF(ISNA(VLOOKUP(A172,'Données projet'!$A$191:$I$211,4,0)),0,VLOOKUP(A172,'Données projet'!$A$191:$I$211,4,0))</f>
        <v>0</v>
      </c>
      <c r="ES172" s="16">
        <f>IF(ISNA(VLOOKUP(A172,'Données projet'!$A$191:$I$211,5,0)),0%,VLOOKUP(A172,'Données projet'!$A$191:$I$211,5,0)*VLOOKUP('Données projet'!$B$15,Paramètres!$A$1:$I$89,7,0))</f>
        <v>0</v>
      </c>
      <c r="ET172" s="16">
        <f>IF(ISNA(VLOOKUP(A172,'Données projet'!$A$191:$I$211,6,0)),0%,VLOOKUP(A172,'Données projet'!$A$191:$I$211,6,0)*VLOOKUP('Données projet'!$B$15,Paramètres!$A$1:$I$89,7,0))</f>
        <v>0</v>
      </c>
      <c r="EU172" s="16">
        <f>IF(ISNA(VLOOKUP(A172,'Données projet'!$A$191:$I$211,7,0)),0%,VLOOKUP(A172,'Données projet'!$A$191:$I$211,7,0))</f>
        <v>0</v>
      </c>
      <c r="EV172" s="21">
        <f>EXP(-LN(2)/35)*EV171+(1-EXP(-LN(2)/35))/(LN(2)/35)*ER172*ES172*VLOOKUP('Données projet'!$B$15,Paramètres!$A$1:$I$89,3,0)*0.475*44/12</f>
        <v>6.3914254889450017E-2</v>
      </c>
      <c r="EW172" s="21">
        <f>EXP(-LN(2)/25)*EW171+(1-EXP(-LN(2)/25))/(LN(2)/25)*Calculateur!ER172*Calculateur!ET172*VLOOKUP('Données projet'!$B$15,Paramètres!$A$1:$I$89,3,0)*0.475*44/12</f>
        <v>0.12302071609812275</v>
      </c>
      <c r="EX172" s="21">
        <f>EXP(-LN(2)/2)*EX171+(1-EXP(-LN(2)/2))/(LN(2)/2)*ER172*EU172*VLOOKUP('Données projet'!$B$15,Paramètres!$A$1:$I$89,3,0)*0.475*44/12</f>
        <v>1.0856058212950694E-20</v>
      </c>
      <c r="EY172" s="22">
        <f t="shared" si="181"/>
        <v>0.18693497098757278</v>
      </c>
      <c r="EZ172" s="75">
        <f>('Scénario référence'!$F$8+'Scénario référence'!$F$9+'Scénario référence'!$B$17+'Scénario référence'!$B$9+'Scénario référence'!$B$10)*70+IF((45+25*(1-EXP(-0.0175*A172)))&lt;70,'Scénario référence'!$B$16*(45+25*(1-EXP(-0.0175*A172))),70*'Scénario référence'!$B$16)+IF((32+38*(1-EXP(-0.0175*A172)))&lt;70,'Scénario référence'!$B$18*(32+38*(1-EXP(-0.0175*A172))),70*'Scénario référence'!$B$18)</f>
        <v>70</v>
      </c>
      <c r="FA172" s="12">
        <f>IF(A172&gt;30,10,('Scénario référence'!$B$16+'Scénario référence'!$B$17+'Scénario référence'!$B$18+'Scénario référence'!$B$9+'Scénario référence'!$B$10)*A172*10/30+('Scénario référence'!$F$8+'Scénario référence'!$F$9)*10)</f>
        <v>10</v>
      </c>
      <c r="FB172" s="12" t="e">
        <f>VLOOKUP(A172,'Données projet'!$A$217:$I$237,2,0)</f>
        <v>#N/A</v>
      </c>
      <c r="FC172" s="12" t="e">
        <f>VLOOKUP(A172,'Données projet'!$A$217:$I$237,9,0)</f>
        <v>#N/A</v>
      </c>
      <c r="FD172" s="12">
        <f t="array" ref="FD172">INDEX(FC:FC,MIN(IF(ISNUMBER(FC172:FC368),ROW(FC172:FC368),"")))</f>
        <v>0</v>
      </c>
      <c r="FE172" s="12">
        <f>IF('Données projet'!$A$218&gt;35,FE171+FD172-FM171,IF(A172&lt;'Données projet'!$A$218,$FB$205^A172,IF(A172='Données projet'!$A$218,'Données projet'!$B$218,FE171+FD172-FM171)))</f>
        <v>418.99999999999983</v>
      </c>
      <c r="FF172" s="17">
        <f>FE172*VLOOKUP('Données projet'!$B$16,Paramètres!$A$1:$I$89,3,0)*VLOOKUP('Données projet'!$B$16,Paramètres!$A$1:$I$89,5,0)</f>
        <v>359.5019999999999</v>
      </c>
      <c r="FG172" s="13">
        <f t="shared" si="182"/>
        <v>83.516011055432813</v>
      </c>
      <c r="FH172" s="20">
        <f t="shared" si="183"/>
        <v>771.58970258821194</v>
      </c>
      <c r="FI172" s="59">
        <f t="shared" si="131"/>
        <v>1064.9230359215453</v>
      </c>
      <c r="FJ172" s="59">
        <f ca="1">AVERAGE(OFFSET($FI$3,0,0,'Données projet'!$E$16+1,1))-AVERAGE(OFFSET($H$3,0,0,'Données projet'!$E$16+1,1))</f>
        <v>383.97627237444709</v>
      </c>
      <c r="FK172" s="59">
        <f t="shared" si="156"/>
        <v>203.35476578922339</v>
      </c>
      <c r="FL172" s="15">
        <f>IF(ISNA(VLOOKUP(A172,'Données projet'!$A$217:$I$237,3,0)),0,VLOOKUP(A172,'Données projet'!$A$217:$I$237,3,0))</f>
        <v>0</v>
      </c>
      <c r="FM172" s="15">
        <f>IF(ISNA(VLOOKUP(A172,'Données projet'!$A$217:$I$237,4,0)),0,VLOOKUP(A172,'Données projet'!$A$217:$I$237,4,0))</f>
        <v>0</v>
      </c>
      <c r="FN172" s="16">
        <f>IF(ISNA(VLOOKUP(A172,'Données projet'!$A$217:$I$237,5,0)),0%,VLOOKUP(A172,'Données projet'!$A$217:$I$237,5,0)*VLOOKUP('Données projet'!$B$16,Paramètres!$A$1:$I$89,7,0))</f>
        <v>0</v>
      </c>
      <c r="FO172" s="16">
        <f>IF(ISNA(VLOOKUP(A172,'Données projet'!$A$217:$I$237,6,0)),0%,VLOOKUP(A172,'Données projet'!$A$217:$I$237,6,0)*VLOOKUP('Données projet'!$B$16,Paramètres!$A$1:$I$89,7,0))</f>
        <v>0</v>
      </c>
      <c r="FP172" s="16">
        <f>IF(ISNA(VLOOKUP(A172,'Données projet'!$A$217:$I$237,7,0)),0%,VLOOKUP(A172,'Données projet'!$A$217:$I$237,7,0))</f>
        <v>0</v>
      </c>
      <c r="FQ172" s="21">
        <f>EXP(-LN(2)/35)*FQ171+(1-EXP(-LN(2)/35))/(LN(2)/35)*FM172*FN172*VLOOKUP('Données projet'!$B$16,Paramètres!$A$1:$I$89,3,0)*0.475*44/12</f>
        <v>0.32848459530723834</v>
      </c>
      <c r="FR172" s="21">
        <f>EXP(-LN(2)/25)*FR171+(1-EXP(-LN(2)/25))/(LN(2)/25)*Calculateur!FM172*Calculateur!FO172*VLOOKUP('Données projet'!$B$16,Paramètres!$A$1:$I$89,3,0)*0.475*44/12</f>
        <v>0.12487874223903785</v>
      </c>
      <c r="FS172" s="21">
        <f>EXP(-LN(2)/2)*FS171+(1-EXP(-LN(2)/2))/(LN(2)/2)*FM172*FP172*VLOOKUP('Données projet'!$B$16,Paramètres!$A$1:$I$89,3,0)*0.475*44/12</f>
        <v>1.9940350951473156E-20</v>
      </c>
      <c r="FT172" s="22">
        <f t="shared" si="184"/>
        <v>0.45336333754627617</v>
      </c>
      <c r="FU172" s="75">
        <f>('Scénario référence'!$F$8+'Scénario référence'!$F$9+'Scénario référence'!$B$17+'Scénario référence'!$B$9+'Scénario référence'!$B$10)*70+IF((45+25*(1-EXP(-0.0175*A172)))&lt;70,'Scénario référence'!$B$16*(45+25*(1-EXP(-0.0175*A172))),70*'Scénario référence'!$B$16)+IF((32+38*(1-EXP(-0.0175*A172)))&lt;70,'Scénario référence'!$B$18*(32+38*(1-EXP(-0.0175*A172))),70*'Scénario référence'!$B$18)</f>
        <v>70</v>
      </c>
      <c r="FV172" s="12">
        <f>IF(A172&gt;30,10,('Scénario référence'!$B$16+'Scénario référence'!$B$17+'Scénario référence'!$B$18+'Scénario référence'!$B$9+'Scénario référence'!$B$10)*A172*10/30+('Scénario référence'!$F$8+'Scénario référence'!$F$9)*10)</f>
        <v>10</v>
      </c>
      <c r="FW172" s="12" t="e">
        <f>VLOOKUP(A172,'Données projet'!$A$243:$I$263,2,0)</f>
        <v>#N/A</v>
      </c>
      <c r="FX172" s="12" t="e">
        <f>VLOOKUP(A172,'Données projet'!$A$243:$I$263,9,0)</f>
        <v>#N/A</v>
      </c>
      <c r="FY172" s="12">
        <f t="array" ref="FY172">INDEX(FX:FX,MIN(IF(ISNUMBER(FX172:FX368),ROW(FX172:FX368),"")))</f>
        <v>0</v>
      </c>
      <c r="FZ172" s="12">
        <f>IF('Données projet'!$A$244&gt;35,FZ171+FY172-GH171,IF(A172&lt;'Données projet'!$A$244,$FW$205^A172,IF(A172='Données projet'!$A$244,'Données projet'!$B$244,FZ171+FY172-GH171)))</f>
        <v>4.5474735088646412E-13</v>
      </c>
      <c r="GA172" s="17">
        <f>FZ172*VLOOKUP('Données projet'!$B$17,Paramètres!$A$1:$I$89,3,0)*VLOOKUP('Données projet'!$B$17,Paramètres!$A$1:$I$89,5,0)</f>
        <v>4.8949004849418999E-13</v>
      </c>
      <c r="GB172" s="13">
        <f t="shared" si="185"/>
        <v>6.1123715499968684E-12</v>
      </c>
      <c r="GC172" s="20">
        <f t="shared" si="186"/>
        <v>1.1498242284038591E-11</v>
      </c>
      <c r="GD172" s="59">
        <f t="shared" si="134"/>
        <v>293.3333333333448</v>
      </c>
      <c r="GE172" s="59">
        <f ca="1">AVERAGE(OFFSET($GD$3,0,0,'Données projet'!$E$17+1,1))-AVERAGE(OFFSET($H$3,0,0,'Données projet'!$E$17+1,1))</f>
        <v>286.77702855541287</v>
      </c>
      <c r="GF172" s="59">
        <f t="shared" si="158"/>
        <v>227.12211541860779</v>
      </c>
      <c r="GG172" s="15">
        <f>IF(ISNA(VLOOKUP(A172,'Données projet'!$A$243:$I$263,3,0)),0,VLOOKUP(A172,'Données projet'!$A$243:$I$263,3,0))</f>
        <v>0</v>
      </c>
      <c r="GH172" s="15">
        <f>IF(ISNA(VLOOKUP(A172,'Données projet'!$A$243:$I$263,4,0)),0,VLOOKUP(A172,'Données projet'!$A$243:$I$263,4,0))</f>
        <v>0</v>
      </c>
      <c r="GI172" s="16">
        <f>IF(ISNA(VLOOKUP(A172,'Données projet'!$A$243:$I$263,5,0)),0%,VLOOKUP(A172,'Données projet'!$A$243:$I$263,5,0)*VLOOKUP('Données projet'!$B$17,Paramètres!$A$1:$I$89,7,0))</f>
        <v>0</v>
      </c>
      <c r="GJ172" s="16">
        <f>IF(ISNA(VLOOKUP(A172,'Données projet'!$A$243:$I$263,6,0)),0%,VLOOKUP(A172,'Données projet'!$A$243:$I$263,6,0)*VLOOKUP('Données projet'!$B$17,Paramètres!$A$1:$I$89,7,0))</f>
        <v>0</v>
      </c>
      <c r="GK172" s="16">
        <f>IF(ISNA(VLOOKUP(A172,'Données projet'!$A$243:$I$263,7,0)),0%,VLOOKUP(A172,'Données projet'!$A$243:$I$263,7,0))</f>
        <v>0</v>
      </c>
      <c r="GL172" s="21">
        <f>EXP(-LN(2)/35)*GL171+(1-EXP(-LN(2)/35))/(LN(2)/35)*GH172*GI172*VLOOKUP('Données projet'!$B$17,Paramètres!$A$1:$I$89,3,0)*0.475*44/12</f>
        <v>0</v>
      </c>
      <c r="GM172" s="21">
        <f>EXP(-LN(2)/25)*GM171+(1-EXP(-LN(2)/25))/(LN(2)/25)*Calculateur!GH172*Calculateur!GJ172*VLOOKUP('Données projet'!$B$17,Paramètres!$A$1:$I$89,3,0)*0.475*44/12</f>
        <v>0</v>
      </c>
      <c r="GN172" s="21">
        <f>EXP(-LN(2)/2)*GN171+(1-EXP(-LN(2)/2))/(LN(2)/2)*GH172*GK172*VLOOKUP('Données projet'!$B$17,Paramètres!$A$1:$I$89,3,0)*0.475*44/12</f>
        <v>0</v>
      </c>
      <c r="GO172" s="21">
        <f t="shared" si="187"/>
        <v>0</v>
      </c>
      <c r="GP172" s="75">
        <f>('Scénario référence'!$F$8+'Scénario référence'!$F$9+'Scénario référence'!$B$17+'Scénario référence'!$B$9+'Scénario référence'!$B$10)*70+IF((45+25*(1-EXP(-0.0175*A172)))&lt;70,'Scénario référence'!$B$16*(45+25*(1-EXP(-0.0175*A172))),70*'Scénario référence'!$B$16)+IF((32+38*(1-EXP(-0.0175*A172)))&lt;70,'Scénario référence'!$B$18*(32+38*(1-EXP(-0.0175*A172))),70*'Scénario référence'!$B$18)</f>
        <v>70</v>
      </c>
      <c r="GQ172" s="12">
        <f>IF(A172&gt;30,10,('Scénario référence'!$B$16+'Scénario référence'!$B$17+'Scénario référence'!$B$18+'Scénario référence'!$B$9+'Scénario référence'!$B$10)*A172*10/30+('Scénario référence'!$F$8+'Scénario référence'!$F$9)*10)</f>
        <v>10</v>
      </c>
      <c r="GR172" s="12" t="e">
        <f>VLOOKUP(A172,'Données projet'!$A$269:$I$289,2,0)</f>
        <v>#N/A</v>
      </c>
      <c r="GS172" s="12" t="e">
        <f>VLOOKUP(A172,'Données projet'!$A$269:$I$289,9,0)</f>
        <v>#N/A</v>
      </c>
      <c r="GT172" s="12">
        <f t="array" ref="GT172">INDEX(GS:GS,MIN(IF(ISNUMBER(GS172:GS368),ROW(GS172:GS368),"")))</f>
        <v>0</v>
      </c>
      <c r="GU172" s="12">
        <f>IF('Données projet'!$A$270&gt;35,GU171+GT172-HC171,IF(A172&lt;'Données projet'!$A$270,$GR$205^A172,IF(A172='Données projet'!$A$270,'Données projet'!$B$270,GU171+GT172-HC171)))</f>
        <v>4.5474735088646412E-13</v>
      </c>
      <c r="GV172" s="17">
        <f>GU172*VLOOKUP('Données projet'!$B$18,Paramètres!$A$1:$I$89,3,0)*VLOOKUP('Données projet'!$B$18,Paramètres!$A$1:$I$89,5,0)</f>
        <v>4.8949004849418999E-13</v>
      </c>
      <c r="GW172" s="13">
        <f t="shared" si="188"/>
        <v>6.1123715499968684E-12</v>
      </c>
      <c r="GX172" s="20">
        <f t="shared" si="189"/>
        <v>1.1498242284038591E-11</v>
      </c>
      <c r="GY172" s="59">
        <f t="shared" si="137"/>
        <v>293.3333333333448</v>
      </c>
      <c r="GZ172" s="59">
        <f ca="1">AVERAGE(OFFSET($GY$3,0,0,'Données projet'!$E$18+1,1))-AVERAGE(OFFSET($H$3,0,0,'Données projet'!$E$18+1,1))</f>
        <v>286.77702855541287</v>
      </c>
      <c r="HA172" s="59">
        <f t="shared" si="160"/>
        <v>227.12211541860779</v>
      </c>
      <c r="HB172" s="15">
        <f>IF(ISNA(VLOOKUP(A172,'Données projet'!$A$269:$I$289,3,0)),0,VLOOKUP(A172,'Données projet'!$A$269:$I$289,3,0))</f>
        <v>0</v>
      </c>
      <c r="HC172" s="15">
        <f>IF(ISNA(VLOOKUP(A172,'Données projet'!$A$269:$I$289,4,0)),0,VLOOKUP(A172,'Données projet'!$A$269:$I$289,4,0))</f>
        <v>0</v>
      </c>
      <c r="HD172" s="16">
        <f>IF(ISNA(VLOOKUP(A172,'Données projet'!$A$269:$I$289,5,0)),0%,VLOOKUP(A172,'Données projet'!$A$269:$I$289,5,0)*VLOOKUP('Données projet'!$B$18,Paramètres!$A$1:$I$89,7,0))</f>
        <v>0</v>
      </c>
      <c r="HE172" s="16">
        <f>IF(ISNA(VLOOKUP(A172,'Données projet'!$A$269:$I$289,6,0)),0%,VLOOKUP(A172,'Données projet'!$A$269:$I$289,6,0)*VLOOKUP('Données projet'!$B$18,Paramètres!$A$1:$I$89,7,0))</f>
        <v>0</v>
      </c>
      <c r="HF172" s="16">
        <f>IF(ISNA(VLOOKUP(A172,'Données projet'!$A$269:$I$289,7,0)),0%,VLOOKUP(A172,'Données projet'!$A$269:$I$289,7,0))</f>
        <v>0</v>
      </c>
      <c r="HG172" s="21">
        <f>EXP(-LN(2)/35)*HG171+(1-EXP(-LN(2)/35))/(LN(2)/35)*HC172*HD172*VLOOKUP('Données projet'!$B$18,Paramètres!$A$1:$I$89,3,0)*0.475*44/12</f>
        <v>0</v>
      </c>
      <c r="HH172" s="21">
        <f>EXP(-LN(2)/25)*HH171+(1-EXP(-LN(2)/25))/(LN(2)/25)*Calculateur!HC172*Calculateur!HE172*VLOOKUP('Données projet'!$B$18,Paramètres!$A$1:$I$89,3,0)*0.475*44/12</f>
        <v>0</v>
      </c>
      <c r="HI172" s="21">
        <f>EXP(-LN(2)/2)*HI171+(1-EXP(-LN(2)/2))/(LN(2)/2)*HC172*HF172*VLOOKUP('Données projet'!$B$18,Paramètres!$A$1:$I$89,3,0)*0.475*44/12</f>
        <v>0</v>
      </c>
      <c r="HJ172" s="22">
        <f t="shared" si="190"/>
        <v>0</v>
      </c>
    </row>
    <row r="173" spans="1:218" x14ac:dyDescent="0.25">
      <c r="A173" s="10">
        <f t="shared" si="161"/>
        <v>170</v>
      </c>
      <c r="B173" s="73">
        <f>'Scénario référence'!$B$16*5+'Scénario référence'!$B$17*0+'Scénario référence'!$B$18*5</f>
        <v>0</v>
      </c>
      <c r="C173" s="19">
        <f>Calculateur!C172+'Scénario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151.16399999999993</v>
      </c>
      <c r="D173" s="11">
        <f t="shared" si="140"/>
        <v>38.842989674159945</v>
      </c>
      <c r="E17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73" s="11">
        <f>IF(OR('Scénario référence'!$F$8&gt;0,'Scénario référence'!$F$9&gt;0),('Scénario référence'!$F$8+'Scénario référence'!$F$9)*10,0)</f>
        <v>10</v>
      </c>
      <c r="G173" s="11">
        <f>'Scénario référence'!$B$8*B173*44/12+'Scénario référence'!$B$9*(C173+D173)/0.475*44/12+'Scénario référence'!$B$10*(C173+D173)/0.475*44/12+'Scénario référence'!$F$8*(C173+D173)/0.475*44/12+'Scénario référence'!$F$9*(C173+D173)/0.475*44/12</f>
        <v>1466.7206220461464</v>
      </c>
      <c r="H173" s="67">
        <f t="shared" si="110"/>
        <v>624.26217368249513</v>
      </c>
      <c r="I173" s="70">
        <f>('Scénario référence'!$F$8+'Scénario référence'!$F$9+'Scénario référence'!$B$17+'Scénario référence'!$B$9+'Scénario référence'!$B$10)*70+IF((45+25*(1-EXP(-0.0175*A173)))&lt;70,'Scénario référence'!$B$16*(45+25*(1-EXP(-0.0175*A173))),70*'Scénario référence'!$B$16)+IF((32+38*(1-EXP(-0.0175*A173)))&lt;70,'Scénario référence'!$B$18*(32+38*(1-EXP(-0.0175*A173))),70*'Scénario référence'!$B$18)</f>
        <v>70</v>
      </c>
      <c r="J173" s="13">
        <f>IF(A173&gt;30,10,('Scénario référence'!$B$16+'Scénario référence'!$B$17+'Scénario référence'!$B$18+'Scénario référence'!$B$9+'Scénario référence'!$B$10)*A173*10/30+('Scénario référence'!$F$8+'Scénario référence'!$F$9)*10)</f>
        <v>10</v>
      </c>
      <c r="K173" s="12" t="e">
        <f>VLOOKUP(A173,'Données projet'!$A$35:$I$55,2,0)</f>
        <v>#N/A</v>
      </c>
      <c r="L173" s="12" t="e">
        <f>VLOOKUP(A173,'Données projet'!$A$35:$I$55,9,0)</f>
        <v>#N/A</v>
      </c>
      <c r="M173" s="12">
        <f t="array" ref="M173">INDEX(L:L,MIN(IF(ISNUMBER(L173:L369),ROW(L173:L369),"")))</f>
        <v>0</v>
      </c>
      <c r="N173" s="13">
        <f>IF('Données projet'!$A$36&gt;35,N172+M173-V172,IF(A173&lt;'Données projet'!$A$36,$K$205^A173,IF(A173='Données projet'!$A$36,'Données projet'!$B$36,N172+M173-V172)))</f>
        <v>-2.2737367544323206E-13</v>
      </c>
      <c r="O173" s="13">
        <f>N173*VLOOKUP('Données projet'!$B$9,Paramètres!$A$1:$I$89,3,0)*VLOOKUP('Données projet'!$B$9,Paramètres!$A$1:$I$89,5,0)</f>
        <v>-1.2710188457276673E-13</v>
      </c>
      <c r="P173" s="13" t="e">
        <f t="shared" si="141"/>
        <v>#NUM!</v>
      </c>
      <c r="Q173" s="20" t="e">
        <f t="shared" si="162"/>
        <v>#NUM!</v>
      </c>
      <c r="R173" s="59" t="e">
        <f t="shared" si="109"/>
        <v>#NUM!</v>
      </c>
      <c r="S173" s="59">
        <f ca="1">AVERAGE(OFFSET($R$3,0,0,'Données projet'!$E$9+1,1))-AVERAGE(OFFSET($H$3,0,0,'Données projet'!$E$9+1,1))</f>
        <v>255.5374979188561</v>
      </c>
      <c r="T173" s="59">
        <f t="shared" si="142"/>
        <v>343.10418468620901</v>
      </c>
      <c r="U173" s="15">
        <f>IF(ISNA(VLOOKUP(A173,'Données projet'!$A$35:$I$55,3,0)),0,VLOOKUP(A173,'Données projet'!$A$35:$I$55,3,0))</f>
        <v>0</v>
      </c>
      <c r="V173" s="15">
        <f>IF(ISNA(VLOOKUP(A173,'Données projet'!$A$35:$I$55,4,0)),0,VLOOKUP(A173,'Données projet'!$A$35:$I$55,4,0))</f>
        <v>0</v>
      </c>
      <c r="W173" s="16">
        <f>IF(ISNA(VLOOKUP(A173,'Données projet'!$A$35:$I$55,5,0)),0%,VLOOKUP(A173,'Données projet'!$A$35:$I$55,5,0)*VLOOKUP('Données projet'!$B$9,Paramètres!$A$1:$I$89,7,0))</f>
        <v>0</v>
      </c>
      <c r="X173" s="16">
        <f>IF(ISNA(VLOOKUP(A173,'Données projet'!$A$35:$I$55,6,0)),0%,VLOOKUP(A173,'Données projet'!$A$35:$I$55,6,0)*VLOOKUP('Données projet'!$B$9,Paramètres!$A$1:$I$89,7,0))</f>
        <v>0</v>
      </c>
      <c r="Y173" s="16">
        <f>IF(ISNA(VLOOKUP(A173,'Données projet'!$A$35:$I$55,7,0)),0%,VLOOKUP(A173,'Données projet'!$A$35:$I$55,7,0))</f>
        <v>0</v>
      </c>
      <c r="Z173" s="21">
        <f>EXP(-LN(2)/35)*Z172+(1-EXP(-LN(2)/35))/(LN(2)/35)*V173*W173*VLOOKUP('Données projet'!$B$9,Paramètres!$A$1:$I$89,3,0)*0.475*44/12</f>
        <v>0.19312755290965006</v>
      </c>
      <c r="AA173" s="21">
        <f>EXP(-LN(2)/25)*AA172+(1-EXP(-LN(2)/25))/(LN(2)/25)*Calculateur!V173*Calculateur!X173*VLOOKUP('Données projet'!$B$9,Paramètres!$A$1:$I$89,3,0)*0.475*44/12</f>
        <v>0.32905762781834375</v>
      </c>
      <c r="AB173" s="21">
        <f>EXP(-LN(2)/2)*AB172+(1-EXP(-LN(2)/2))/(LN(2)/2)*V173*Y173*VLOOKUP('Données projet'!$B$9,Paramètres!$A$1:$I$89,3,0)*0.475*44/12</f>
        <v>1.4337320795360977E-21</v>
      </c>
      <c r="AC173" s="22">
        <f t="shared" si="163"/>
        <v>0.5221851807279938</v>
      </c>
      <c r="AD173" s="13">
        <f>('Scénario référence'!$F$8+'Scénario référence'!$F$9+'Scénario référence'!$B$17+'Scénario référence'!$B$9+'Scénario référence'!$B$10)*70+IF((45+25*(1-EXP(-0.0175*A173)))&lt;70,'Scénario référence'!$B$16*(45+25*(1-EXP(-0.0175*A173))),70*'Scénario référence'!$B$16)+IF((32+38*(1-EXP(-0.0175*A173)))&lt;70,'Scénario référence'!$B$18*(32+38*(1-EXP(-0.0175*A173))),70*'Scénario référence'!$B$18)</f>
        <v>70</v>
      </c>
      <c r="AE173" s="13">
        <f>IF(A173&gt;30,10,('Scénario référence'!$B$16+'Scénario référence'!$B$17+'Scénario référence'!$B$18+'Scénario référence'!$B$9+'Scénario référence'!$B$10)*A173*10/30+('Scénario référence'!$F$8+'Scénario référence'!$F$9)*10)</f>
        <v>10</v>
      </c>
      <c r="AF173" s="12" t="e">
        <f>VLOOKUP(A173,'Données projet'!$A$61:$I$81,2,0)</f>
        <v>#N/A</v>
      </c>
      <c r="AG173" s="12" t="e">
        <f>VLOOKUP(A173,'Données projet'!$A$61:$I$81,9,0)</f>
        <v>#N/A</v>
      </c>
      <c r="AH173" s="12">
        <f t="array" ref="AH173">INDEX(AG:AG,MIN(IF(ISNUMBER(AG173:AG369),ROW(AG173:AG369),"")))</f>
        <v>0</v>
      </c>
      <c r="AI173" s="13">
        <f>IF('Données projet'!$A$62&gt;35,AI172+AH173-AQ172,IF(A173&lt;'Données projet'!$A$62,$AF$205^A173,IF(A173='Données projet'!$A$62,'Données projet'!$B$62,AI172+AH173-AQ172)))</f>
        <v>0</v>
      </c>
      <c r="AJ173" s="13">
        <f>AI173*VLOOKUP('Données projet'!$B$10,Paramètres!$A$1:$I$89,3,0)*VLOOKUP('Données projet'!$B$10,Paramètres!$A$1:$I$89,5,0)</f>
        <v>0</v>
      </c>
      <c r="AK173" s="13" t="e">
        <f t="shared" si="164"/>
        <v>#NUM!</v>
      </c>
      <c r="AL173" s="20" t="e">
        <f t="shared" si="165"/>
        <v>#NUM!</v>
      </c>
      <c r="AM173" s="59" t="e">
        <f t="shared" si="113"/>
        <v>#NUM!</v>
      </c>
      <c r="AN173" s="59">
        <f ca="1">AVERAGE(OFFSET($AM$3,0,0,'Données projet'!$E$10+1,1))-AVERAGE(OFFSET($H$3,0,0,'Données projet'!$E$10+1,1))</f>
        <v>261.78489480911571</v>
      </c>
      <c r="AO173" s="59">
        <f t="shared" si="144"/>
        <v>297.50513563712764</v>
      </c>
      <c r="AP173" s="15">
        <f>IF(ISNA(VLOOKUP(A173,'Données projet'!$A$61:$I$81,3,0)),0,VLOOKUP(A173,'Données projet'!$A$61:$I$81,3,0))</f>
        <v>0</v>
      </c>
      <c r="AQ173" s="15">
        <f>IF(ISNA(VLOOKUP(A173,'Données projet'!$A$61:$I$81,4,0)),0,VLOOKUP(A173,'Données projet'!$A$61:$I$81,4,0))</f>
        <v>0</v>
      </c>
      <c r="AR173" s="16">
        <f>IF(ISNA(VLOOKUP(A173,'Données projet'!$A$61:$I$81,5,0)),0%,VLOOKUP(A173,'Données projet'!$A$61:$I$81,5,0)*VLOOKUP('Données projet'!$B$10,Paramètres!$A$1:$I$89,7,0))</f>
        <v>0</v>
      </c>
      <c r="AS173" s="16">
        <f>IF(ISNA(VLOOKUP(A173,'Données projet'!$A$61:$I$81,6,0)),0%,VLOOKUP(A173,'Données projet'!$A$61:$I$81,6,0)*VLOOKUP('Données projet'!$B$10,Paramètres!$A$1:$I$89,7,0))</f>
        <v>0</v>
      </c>
      <c r="AT173" s="16">
        <f>IF(ISNA(VLOOKUP(A173,'Données projet'!$A$61:$I$81,7,0)),0%,VLOOKUP(A173,'Données projet'!$A$61:$I$81,7,0))</f>
        <v>0</v>
      </c>
      <c r="AU173" s="21">
        <f>EXP(-LN(2)/35)*AU172+(1-EXP(-LN(2)/35))/(LN(2)/35)*AQ173*AR173*VLOOKUP('Données projet'!$B$10,Paramètres!$A$1:$I$89,3,0)*0.475*44/12</f>
        <v>0.52149901872238902</v>
      </c>
      <c r="AV173" s="21">
        <f>EXP(-LN(2)/25)*AV172+(1-EXP(-LN(2)/25))/(LN(2)/25)*Calculateur!AQ173*Calculateur!AS173*VLOOKUP('Données projet'!$B$10,Paramètres!$A$1:$I$89,3,0)*0.475*44/12</f>
        <v>0.5746017330523997</v>
      </c>
      <c r="AW173" s="21">
        <f>EXP(-LN(2)/2)*AW172+(1-EXP(-LN(2)/2))/(LN(2)/2)*AQ173*AT173*VLOOKUP('Données projet'!$B$10,Paramètres!$A$1:$I$89,3,0)*0.475*44/12</f>
        <v>2.0668612845213981E-20</v>
      </c>
      <c r="AX173" s="21">
        <f t="shared" si="166"/>
        <v>1.0961007517747887</v>
      </c>
      <c r="AY173" s="74">
        <f>('Scénario référence'!$F$8+'Scénario référence'!$F$9+'Scénario référence'!$B$17+'Scénario référence'!$B$9+'Scénario référence'!$B$10)*70+IF((45+25*(1-EXP(-0.0175*A173)))&lt;70,'Scénario référence'!$B$16*(45+25*(1-EXP(-0.0175*A173))),70*'Scénario référence'!$B$16)+IF((32+38*(1-EXP(-0.0175*A173)))&lt;70,'Scénario référence'!$B$18*(32+38*(1-EXP(-0.0175*A173))),70*'Scénario référence'!$B$18)</f>
        <v>70</v>
      </c>
      <c r="AZ173" s="12">
        <f>IF(A173&gt;30,10,('Scénario référence'!$B$16+'Scénario référence'!$B$17+'Scénario référence'!$B$18+'Scénario référence'!$B$9+'Scénario référence'!$B$10)*A173*10/30+('Scénario référence'!$F$8+'Scénario référence'!$F$9)*10)</f>
        <v>10</v>
      </c>
      <c r="BA173" s="12" t="e">
        <f>VLOOKUP(A173,'Données projet'!$A$87:$I$107,2,0)</f>
        <v>#N/A</v>
      </c>
      <c r="BB173" s="12" t="e">
        <f>VLOOKUP(A173,'Données projet'!$A$87:$I$107,9,0)</f>
        <v>#N/A</v>
      </c>
      <c r="BC173" s="12">
        <f t="array" ref="BC173">INDEX(BB:BB,MIN(IF(ISNUMBER(BB173:BB369),ROW(BB173:BB369),"")))</f>
        <v>0</v>
      </c>
      <c r="BD173" s="12">
        <f>IF('Données projet'!$A$88&gt;35,BD172+BC173-BL172,IF(A173&lt;'Données projet'!$A$88,$BA$205^A173,IF(A173='Données projet'!$A$88,'Données projet'!$B$88,BD172+BC173-BL172)))</f>
        <v>553.99999999999955</v>
      </c>
      <c r="BE173" s="13">
        <f>BD173*VLOOKUP('Données projet'!$B$11,Paramètres!$A$1:$I$89,3,0)*VLOOKUP('Données projet'!$B$11,Paramètres!$A$1:$I$89,5,0)</f>
        <v>331.29199999999975</v>
      </c>
      <c r="BF173" s="13">
        <f t="shared" si="167"/>
        <v>77.698110787752</v>
      </c>
      <c r="BG173" s="20">
        <f t="shared" si="168"/>
        <v>712.32444295533423</v>
      </c>
      <c r="BH173" s="59">
        <f t="shared" si="116"/>
        <v>1005.6577762886675</v>
      </c>
      <c r="BI173" s="59">
        <f ca="1">AVERAGE(OFFSET($BH$3,0,0,'Données projet'!$E$11+1,1))-AVERAGE(OFFSET($H$3,0,0,'Données projet'!$E$11+1,1))</f>
        <v>316.58509520829671</v>
      </c>
      <c r="BJ173" s="59">
        <f t="shared" si="146"/>
        <v>240.71332110643596</v>
      </c>
      <c r="BK173" s="15">
        <f>IF(ISNA(VLOOKUP(A173,'Données projet'!$A$87:$I$107,3,0)),0,VLOOKUP(A173,'Données projet'!$A$87:$I$107,3,0))</f>
        <v>0</v>
      </c>
      <c r="BL173" s="15">
        <f>IF(ISNA(VLOOKUP(A173,'Données projet'!$A$87:$I$107,4,0)),0,VLOOKUP(A173,'Données projet'!$A$87:$I$107,4,0))</f>
        <v>0</v>
      </c>
      <c r="BM173" s="16">
        <f>IF(ISNA(VLOOKUP(A173,'Données projet'!$A$87:$I$107,5,0)),0%,VLOOKUP(A173,'Données projet'!$A$87:$I$107,5,0)*VLOOKUP('Données projet'!$B$11,Paramètres!$A$1:$I$89,7,0))</f>
        <v>0</v>
      </c>
      <c r="BN173" s="16">
        <f>IF(ISNA(VLOOKUP(A173,'Données projet'!$A$87:$I$107,6,0)),0%,VLOOKUP(A173,'Données projet'!$A$87:$I$107,6,0)*VLOOKUP('Données projet'!$B$11,Paramètres!$A$1:$I$89,7,0))</f>
        <v>0</v>
      </c>
      <c r="BO173" s="16">
        <f>IF(ISNA(VLOOKUP(A173,'Données projet'!$A$87:$I$107,7,0)),0%,VLOOKUP(A173,'Données projet'!$A$87:$I$107,7,0))</f>
        <v>0</v>
      </c>
      <c r="BP173" s="21">
        <f>EXP(-LN(2)/35)*BP172+(1-EXP(-LN(2)/35))/(LN(2)/35)*BL173*BM173*VLOOKUP('Données projet'!$B$11,Paramètres!$A$1:$I$89,3,0)*0.475*44/12</f>
        <v>0.15840920713795803</v>
      </c>
      <c r="BQ173" s="21">
        <f>EXP(-LN(2)/25)*BQ172+(1-EXP(-LN(2)/25))/(LN(2)/25)*Calculateur!BL173*Calculateur!BN173*VLOOKUP('Données projet'!$B$11,Paramètres!$A$1:$I$89,3,0)*0.475*44/12</f>
        <v>0.31478359513947929</v>
      </c>
      <c r="BR173" s="21">
        <f>EXP(-LN(2)/2)*BR172+(1-EXP(-LN(2)/2))/(LN(2)/2)*BL173*BO173*VLOOKUP('Données projet'!$B$11,Paramètres!$A$1:$I$89,3,0)*0.475*44/12</f>
        <v>1.8583346421524684E-20</v>
      </c>
      <c r="BS173" s="22">
        <f t="shared" si="169"/>
        <v>0.47319280227743732</v>
      </c>
      <c r="BT173" s="75">
        <f>('Scénario référence'!$F$8+'Scénario référence'!$F$9+'Scénario référence'!$B$17+'Scénario référence'!$B$9+'Scénario référence'!$B$10)*70+IF((45+25*(1-EXP(-0.0175*A173)))&lt;70,'Scénario référence'!$B$16*(45+25*(1-EXP(-0.0175*A173))),70*'Scénario référence'!$B$16)+IF((32+38*(1-EXP(-0.0175*A173)))&lt;70,'Scénario référence'!$B$18*(32+38*(1-EXP(-0.0175*A173))),70*'Scénario référence'!$B$18)</f>
        <v>70</v>
      </c>
      <c r="BU173" s="12">
        <f>IF(A173&gt;30,10,('Scénario référence'!$B$16+'Scénario référence'!$B$17+'Scénario référence'!$B$18+'Scénario référence'!$B$9+'Scénario référence'!$B$10)*A173*10/30+('Scénario référence'!$F$8+'Scénario référence'!$F$9)*10)</f>
        <v>10</v>
      </c>
      <c r="BV173" s="12" t="e">
        <f>VLOOKUP(A173,'Données projet'!$A$113:$I$133,2,0)</f>
        <v>#N/A</v>
      </c>
      <c r="BW173" s="12" t="e">
        <f>VLOOKUP(A173,'Données projet'!$A$113:$I$133,9,0)</f>
        <v>#N/A</v>
      </c>
      <c r="BX173" s="12">
        <f t="array" ref="BX173">INDEX(BW:BW,MIN(IF(ISNUMBER(BW173:BW369),ROW(BW173:BW369),"")))</f>
        <v>0</v>
      </c>
      <c r="BY173" s="12">
        <f>IF('Données projet'!$A$114&gt;35,BY172+BX173-CG172,IF(A173&lt;'Données projet'!$A$114,$BV$205^A173,IF(A173='Données projet'!$A$114,'Données projet'!$B$114,BY172+BX173-CG172)))</f>
        <v>333.99999999999977</v>
      </c>
      <c r="BZ173" s="13">
        <f>BY173*VLOOKUP('Données projet'!$B$12,Paramètres!$A$1:$I$89,3,0)*VLOOKUP('Données projet'!$B$12,Paramètres!$A$1:$I$89,5,0)</f>
        <v>191.04799999999986</v>
      </c>
      <c r="CA173" s="13">
        <f t="shared" si="170"/>
        <v>47.771576544305155</v>
      </c>
      <c r="CB173" s="20">
        <f t="shared" si="171"/>
        <v>415.94409581466454</v>
      </c>
      <c r="CC173" s="59">
        <f t="shared" si="119"/>
        <v>709.27742914799785</v>
      </c>
      <c r="CD173" s="59">
        <f ca="1">AVERAGE(OFFSET($CC$3,0,0,'Données projet'!$E$12+1,1))-AVERAGE(OFFSET($H$3,0,0,'Données projet'!$E$12+1,1))</f>
        <v>188.64374818906128</v>
      </c>
      <c r="CE173" s="59">
        <f t="shared" si="148"/>
        <v>211.95157880548652</v>
      </c>
      <c r="CF173" s="15">
        <f>IF(ISNA(VLOOKUP(A173,'Données projet'!$A$113:$I$133,3,0)),0,VLOOKUP(A173,'Données projet'!$A$113:$I$133,3,0))</f>
        <v>0</v>
      </c>
      <c r="CG173" s="15">
        <f>IF(ISNA(VLOOKUP(A173,'Données projet'!$A$113:$I$133,4,0)),0,VLOOKUP(A173,'Données projet'!$A$113:$I$133,4,0))</f>
        <v>0</v>
      </c>
      <c r="CH173" s="16">
        <f>IF(ISNA(VLOOKUP(A173,'Données projet'!$A$113:$I$133,5,0)),0%,VLOOKUP(A173,'Données projet'!$A$113:$I$133,5,0)*VLOOKUP('Données projet'!$B$12,Paramètres!$A$1:$I$89,7,0))</f>
        <v>0</v>
      </c>
      <c r="CI173" s="16">
        <f>IF(ISNA(VLOOKUP(A173,'Données projet'!$A$113:$I$133,6,0)),0%,VLOOKUP(A173,'Données projet'!$A$113:$I$133,6,0)*VLOOKUP('Données projet'!$B$12,Paramètres!$A$1:$I$89,7,0))</f>
        <v>0</v>
      </c>
      <c r="CJ173" s="16">
        <f>IF(ISNA(VLOOKUP(A173,'Données projet'!$A$113:$I$133,7,0)),0%,VLOOKUP(A173,'Données projet'!$A$113:$I$133,7,0))</f>
        <v>0</v>
      </c>
      <c r="CK173" s="21">
        <f>EXP(-LN(2)/35)*CK172+(1-EXP(-LN(2)/35))/(LN(2)/35)*CG173*CH173*VLOOKUP('Données projet'!$B$12,Paramètres!$A$1:$I$89,3,0)*0.475*44/12</f>
        <v>0.15365596087356106</v>
      </c>
      <c r="CL173" s="21">
        <f>EXP(-LN(2)/25)*CL172+(1-EXP(-LN(2)/25))/(LN(2)/25)*Calculateur!CG173*Calculateur!CI173*VLOOKUP('Données projet'!$B$12,Paramètres!$A$1:$I$89,3,0)*0.475*44/12</f>
        <v>0.29628144700074904</v>
      </c>
      <c r="CM173" s="21">
        <f>EXP(-LN(2)/2)*CM172+(1-EXP(-LN(2)/2))/(LN(2)/2)*CG173*CJ173*VLOOKUP('Données projet'!$B$12,Paramètres!$A$1:$I$89,3,0)*0.475*44/12</f>
        <v>1.7996517026628862E-20</v>
      </c>
      <c r="CN173" s="22">
        <f t="shared" si="172"/>
        <v>0.44993740787431014</v>
      </c>
      <c r="CO173" s="75">
        <f>('Scénario référence'!$F$8+'Scénario référence'!$F$9+'Scénario référence'!$B$17+'Scénario référence'!$B$9+'Scénario référence'!$B$10)*70+IF((45+25*(1-EXP(-0.0175*A173)))&lt;70,'Scénario référence'!$B$16*(45+25*(1-EXP(-0.0175*A173))),70*'Scénario référence'!$B$16)+IF((32+38*(1-EXP(-0.0175*A173)))&lt;70,'Scénario référence'!$B$18*(32+38*(1-EXP(-0.0175*A173))),70*'Scénario référence'!$B$18)</f>
        <v>70</v>
      </c>
      <c r="CP173" s="12">
        <f>IF(A173&gt;30,10,('Scénario référence'!$B$16+'Scénario référence'!$B$17+'Scénario référence'!$B$18+'Scénario référence'!$B$9+'Scénario référence'!$B$10)*A173*10/30+('Scénario référence'!$F$8+'Scénario référence'!$F$9)*10)</f>
        <v>10</v>
      </c>
      <c r="CQ173" s="12" t="e">
        <f>VLOOKUP(A173,'Données projet'!$A$139:$I$159,2,0)</f>
        <v>#N/A</v>
      </c>
      <c r="CR173" s="12" t="e">
        <f>VLOOKUP(A173,'Données projet'!$A$139:$I$159,9,0)</f>
        <v>#N/A</v>
      </c>
      <c r="CS173" s="12">
        <f t="array" ref="CS173">INDEX(CR:CR,MIN(IF(ISNUMBER(CR173:CR369),ROW(CR173:CR369),"")))</f>
        <v>0</v>
      </c>
      <c r="CT173" s="12">
        <f>IF('Données projet'!$A$140&gt;35,CT172+CS173-DB172,IF(A173&lt;'Données projet'!$A$140,$CQ$205^A173,IF(A173='Données projet'!$A$140,'Données projet'!$B$140,CT172+CS173-DB172)))</f>
        <v>0</v>
      </c>
      <c r="CU173" s="17" t="e">
        <f>CT173*VLOOKUP('Données projet'!$B$13,Paramètres!$A$1:$I$89,3,0)*VLOOKUP('Données projet'!$B$13,Paramètres!$A$1:$I$89,5,0)</f>
        <v>#N/A</v>
      </c>
      <c r="CV173" s="13" t="e">
        <f t="shared" si="173"/>
        <v>#N/A</v>
      </c>
      <c r="CW173" s="20" t="e">
        <f t="shared" si="174"/>
        <v>#N/A</v>
      </c>
      <c r="CX173" s="59" t="e">
        <f t="shared" si="122"/>
        <v>#N/A</v>
      </c>
      <c r="CY173" s="59" t="e">
        <f ca="1">AVERAGE(OFFSET($CX$3,0,0,'Données projet'!$E$13+1,1))-AVERAGE(OFFSET($H$3,0,0,'Données projet'!$E$13+1,1))</f>
        <v>#N/A</v>
      </c>
      <c r="CZ173" s="59" t="e">
        <f t="shared" si="150"/>
        <v>#N/A</v>
      </c>
      <c r="DA173" s="15">
        <f>IF(ISNA(VLOOKUP(A173,'Données projet'!$A$139:$I$159,3,0)),0,VLOOKUP(A173,'Données projet'!$A$139:$I$159,3,0))</f>
        <v>0</v>
      </c>
      <c r="DB173" s="15">
        <f>IF(ISNA(VLOOKUP(A173,'Données projet'!$A$139:$I$159,4,0)),0,VLOOKUP(A173,'Données projet'!$A$139:$I$159,4,0))</f>
        <v>0</v>
      </c>
      <c r="DC173" s="16">
        <f>IF(ISNA(VLOOKUP(A173,'Données projet'!$A$139:$I$159,5,0)),0%,VLOOKUP(A173,'Données projet'!$A$139:$I$159,5,0)*VLOOKUP('Données projet'!$B$13,Paramètres!$A$1:$I$89,7,0))</f>
        <v>0</v>
      </c>
      <c r="DD173" s="16">
        <f>IF(ISNA(VLOOKUP(A173,'Données projet'!$A$139:$I$159,6,0)),0%,VLOOKUP(A173,'Données projet'!$A$139:$I$159,6,0)*VLOOKUP('Données projet'!$B$13,Paramètres!$A$1:$I$89,7,0))</f>
        <v>0</v>
      </c>
      <c r="DE173" s="16">
        <f>IF(ISNA(VLOOKUP(A173,'Données projet'!$A$139:$I$159,7,0)),0%,VLOOKUP(A173,'Données projet'!$A$139:$I$159,7,0))</f>
        <v>0</v>
      </c>
      <c r="DF173" s="21" t="e">
        <f>EXP(-LN(2)/35)*DF172+(1-EXP(-LN(2)/35))/(LN(2)/35)*DB173*DC173*VLOOKUP('Données projet'!$B$13,Paramètres!$A$1:$I$89,3,0)*0.475*44/12</f>
        <v>#N/A</v>
      </c>
      <c r="DG173" s="21" t="e">
        <f>EXP(-LN(2)/25)*DG172+(1-EXP(-LN(2)/25))/(LN(2)/25)*Calculateur!DB173*Calculateur!DD173*VLOOKUP('Données projet'!$B$13,Paramètres!$A$1:$I$89,3,0)*0.475*44/12</f>
        <v>#N/A</v>
      </c>
      <c r="DH173" s="21" t="e">
        <f>EXP(-LN(2)/2)*DH172+(1-EXP(-LN(2)/2))/(LN(2)/2)*DB173*DE173*VLOOKUP('Données projet'!$B$13,Paramètres!$A$1:$I$89,3,0)*0.475*44/12</f>
        <v>#N/A</v>
      </c>
      <c r="DI173" s="22" t="e">
        <f t="shared" si="175"/>
        <v>#N/A</v>
      </c>
      <c r="DJ173" s="75">
        <f>('Scénario référence'!$F$8+'Scénario référence'!$F$9+'Scénario référence'!$B$17+'Scénario référence'!$B$9+'Scénario référence'!$B$10)*70+IF((45+25*(1-EXP(-0.0175*A173)))&lt;70,'Scénario référence'!$B$16*(45+25*(1-EXP(-0.0175*A173))),70*'Scénario référence'!$B$16)+IF((32+38*(1-EXP(-0.0175*A173)))&lt;70,'Scénario référence'!$B$18*(32+38*(1-EXP(-0.0175*A173))),70*'Scénario référence'!$B$18)</f>
        <v>70</v>
      </c>
      <c r="DK173" s="12">
        <f>IF(A173&gt;30,10,('Scénario référence'!$B$16+'Scénario référence'!$B$17+'Scénario référence'!$B$18+'Scénario référence'!$B$9+'Scénario référence'!$B$10)*A173*10/30+('Scénario référence'!$F$8+'Scénario référence'!$F$9)*10)</f>
        <v>10</v>
      </c>
      <c r="DL173" s="12" t="e">
        <f>VLOOKUP(A173,'Données projet'!$A$165:$I$185,2,0)</f>
        <v>#N/A</v>
      </c>
      <c r="DM173" s="12" t="e">
        <f>VLOOKUP(A173,'Données projet'!$A$165:$I$185,9,0)</f>
        <v>#N/A</v>
      </c>
      <c r="DN173" s="12">
        <f t="array" ref="DN173">INDEX(DM:DM,MIN(IF(ISNUMBER(DM173:DM369),ROW(DM173:DM369),"")))</f>
        <v>0</v>
      </c>
      <c r="DO173" s="12">
        <f>IF('Données projet'!$A$166&gt;35,DO172+DN173-DW172,IF(A173&lt;'Données projet'!$A$166,$DL$205^A173,IF(A173='Données projet'!$A$166,'Données projet'!$B$166,DO172+DN173-DW172)))</f>
        <v>268.00000000000017</v>
      </c>
      <c r="DP173" s="17">
        <f>DO173*VLOOKUP('Données projet'!$B$14,Paramètres!$A$1:$I$89,3,0)*VLOOKUP('Données projet'!$B$14,Paramètres!$A$1:$I$89,5,0)</f>
        <v>175.59360000000012</v>
      </c>
      <c r="DQ173" s="13">
        <f t="shared" si="176"/>
        <v>44.340433728638573</v>
      </c>
      <c r="DR173" s="20">
        <f t="shared" si="177"/>
        <v>383.05177541071242</v>
      </c>
      <c r="DS173" s="59">
        <f t="shared" si="125"/>
        <v>676.38510874404574</v>
      </c>
      <c r="DT173" s="59">
        <f ca="1">AVERAGE(OFFSET($DS$3,0,0,'Données projet'!$E$14+1,1))-AVERAGE(OFFSET($H$3,0,0,'Données projet'!$E$14+1,1))</f>
        <v>188.68915783955595</v>
      </c>
      <c r="DU173" s="59">
        <f t="shared" si="152"/>
        <v>240.82467772396944</v>
      </c>
      <c r="DV173" s="15">
        <f>IF(ISNA(VLOOKUP(A173,'Données projet'!$A$165:$I$185,3,0)),0,VLOOKUP(A173,'Données projet'!$A$165:$I$185,3,0))</f>
        <v>0</v>
      </c>
      <c r="DW173" s="15">
        <f>IF(ISNA(VLOOKUP(A173,'Données projet'!$A$165:$I$185,4,0)),0,VLOOKUP(A173,'Données projet'!$A$165:$I$185,4,0))</f>
        <v>0</v>
      </c>
      <c r="DX173" s="16">
        <f>IF(ISNA(VLOOKUP(A173,'Données projet'!$A$165:$I$185,5,0)),0%,VLOOKUP(A173,'Données projet'!$A$165:$I$185,5,0)*VLOOKUP('Données projet'!$B$14,Paramètres!$A$1:$I$89,7,0))</f>
        <v>0</v>
      </c>
      <c r="DY173" s="16">
        <f>IF(ISNA(VLOOKUP(A173,'Données projet'!$A$165:$I$185,6,0)),0%,VLOOKUP(A173,'Données projet'!$A$165:$I$185,6,0)*VLOOKUP('Données projet'!$B$14,Paramètres!$A$1:$I$89,7,0))</f>
        <v>0</v>
      </c>
      <c r="DZ173" s="16">
        <f>IF(ISNA(VLOOKUP(A173,'Données projet'!$A$165:$I$185,7,0)),0%,VLOOKUP(A173,'Données projet'!$A$165:$I$185,7,0))</f>
        <v>0</v>
      </c>
      <c r="EA173" s="21">
        <f>EXP(-LN(2)/35)*EA172+(1-EXP(-LN(2)/35))/(LN(2)/35)*DW173*DX173*VLOOKUP('Données projet'!$B$14,Paramètres!$A$1:$I$89,3,0)*0.475*44/12</f>
        <v>9.7328375890029198E-2</v>
      </c>
      <c r="EB173" s="21">
        <f>EXP(-LN(2)/25)*EB172+(1-EXP(-LN(2)/25))/(LN(2)/25)*Calculateur!DW173*Calculateur!DY173*VLOOKUP('Données projet'!$B$14,Paramètres!$A$1:$I$89,3,0)*0.475*44/12</f>
        <v>0.16572254957561997</v>
      </c>
      <c r="EC173" s="21">
        <f>EXP(-LN(2)/2)*EC172+(1-EXP(-LN(2)/2))/(LN(2)/2)*DW173*DZ173*VLOOKUP('Données projet'!$B$14,Paramètres!$A$1:$I$89,3,0)*0.475*44/12</f>
        <v>1.1855418707530616E-20</v>
      </c>
      <c r="ED173" s="22">
        <f t="shared" si="178"/>
        <v>0.26305092546564918</v>
      </c>
      <c r="EE173" s="75">
        <f>('Scénario référence'!$F$8+'Scénario référence'!$F$9+'Scénario référence'!$B$17+'Scénario référence'!$B$9+'Scénario référence'!$B$10)*70+IF((45+25*(1-EXP(-0.0175*A173)))&lt;70,'Scénario référence'!$B$16*(45+25*(1-EXP(-0.0175*A173))),70*'Scénario référence'!$B$16)+IF((32+38*(1-EXP(-0.0175*A173)))&lt;70,'Scénario référence'!$B$18*(32+38*(1-EXP(-0.0175*A173))),70*'Scénario référence'!$B$18)</f>
        <v>70</v>
      </c>
      <c r="EF173" s="12">
        <f>IF(A173&gt;30,10,('Scénario référence'!$B$16+'Scénario référence'!$B$17+'Scénario référence'!$B$18+'Scénario référence'!$B$9+'Scénario référence'!$B$10)*A173*10/30+('Scénario référence'!$F$8+'Scénario référence'!$F$9)*10)</f>
        <v>10</v>
      </c>
      <c r="EG173" s="12" t="e">
        <f>VLOOKUP(A173,'Données projet'!$A$191:$I$211,2,0)</f>
        <v>#N/A</v>
      </c>
      <c r="EH173" s="12" t="e">
        <f>VLOOKUP(A173,'Données projet'!$A$191:$I$211,9,0)</f>
        <v>#N/A</v>
      </c>
      <c r="EI173" s="12">
        <f t="array" ref="EI173">INDEX(EH:EH,MIN(IF(ISNUMBER(EH173:EH369),ROW(EH173:EH369),"")))</f>
        <v>0</v>
      </c>
      <c r="EJ173" s="12">
        <f>IF('Données projet'!$A$192&gt;35,EJ172+EI173-ER172,IF(A173&lt;'Données projet'!$A$192,$EG$205^A173,IF(A173='Données projet'!$A$192,'Données projet'!$B$192,EJ172+EI173-ER172)))</f>
        <v>275.99999999999972</v>
      </c>
      <c r="EK173" s="17">
        <f>EJ173*VLOOKUP('Données projet'!$B$15,Paramètres!$A$1:$I$89,3,0)*VLOOKUP('Données projet'!$B$15,Paramètres!$A$1:$I$89,5,0)</f>
        <v>223.8911999999998</v>
      </c>
      <c r="EL173" s="13">
        <f t="shared" si="179"/>
        <v>54.95975389514858</v>
      </c>
      <c r="EM173" s="20">
        <f t="shared" si="180"/>
        <v>485.66541136738346</v>
      </c>
      <c r="EN173" s="59">
        <f t="shared" si="128"/>
        <v>778.99874470071677</v>
      </c>
      <c r="EO173" s="59">
        <f ca="1">AVERAGE(OFFSET($EN$3,0,0,'Données projet'!$E$15+1,1))-AVERAGE(OFFSET($H$3,0,0,'Données projet'!$E$15+1,1))</f>
        <v>205.5272583787887</v>
      </c>
      <c r="EP173" s="59">
        <f t="shared" si="154"/>
        <v>180.54762778843178</v>
      </c>
      <c r="EQ173" s="15">
        <f>IF(ISNA(VLOOKUP(A173,'Données projet'!$A$191:$I$211,3,0)),0,VLOOKUP(A173,'Données projet'!$A$191:$I$211,3,0))</f>
        <v>0</v>
      </c>
      <c r="ER173" s="15">
        <f>IF(ISNA(VLOOKUP(A173,'Données projet'!$A$191:$I$211,4,0)),0,VLOOKUP(A173,'Données projet'!$A$191:$I$211,4,0))</f>
        <v>0</v>
      </c>
      <c r="ES173" s="16">
        <f>IF(ISNA(VLOOKUP(A173,'Données projet'!$A$191:$I$211,5,0)),0%,VLOOKUP(A173,'Données projet'!$A$191:$I$211,5,0)*VLOOKUP('Données projet'!$B$15,Paramètres!$A$1:$I$89,7,0))</f>
        <v>0</v>
      </c>
      <c r="ET173" s="16">
        <f>IF(ISNA(VLOOKUP(A173,'Données projet'!$A$191:$I$211,6,0)),0%,VLOOKUP(A173,'Données projet'!$A$191:$I$211,6,0)*VLOOKUP('Données projet'!$B$15,Paramètres!$A$1:$I$89,7,0))</f>
        <v>0</v>
      </c>
      <c r="EU173" s="16">
        <f>IF(ISNA(VLOOKUP(A173,'Données projet'!$A$191:$I$211,7,0)),0%,VLOOKUP(A173,'Données projet'!$A$191:$I$211,7,0))</f>
        <v>0</v>
      </c>
      <c r="EV173" s="21">
        <f>EXP(-LN(2)/35)*EV172+(1-EXP(-LN(2)/35))/(LN(2)/35)*ER173*ES173*VLOOKUP('Données projet'!$B$15,Paramètres!$A$1:$I$89,3,0)*0.475*44/12</f>
        <v>6.2660935334914056E-2</v>
      </c>
      <c r="EW173" s="21">
        <f>EXP(-LN(2)/25)*EW172+(1-EXP(-LN(2)/25))/(LN(2)/25)*Calculateur!ER173*Calculateur!ET173*VLOOKUP('Données projet'!$B$15,Paramètres!$A$1:$I$89,3,0)*0.475*44/12</f>
        <v>0.1196567081470413</v>
      </c>
      <c r="EX173" s="21">
        <f>EXP(-LN(2)/2)*EX172+(1-EXP(-LN(2)/2))/(LN(2)/2)*ER173*EU173*VLOOKUP('Données projet'!$B$15,Paramètres!$A$1:$I$89,3,0)*0.475*44/12</f>
        <v>7.6763923793333481E-21</v>
      </c>
      <c r="EY173" s="22">
        <f t="shared" si="181"/>
        <v>0.18231764348195534</v>
      </c>
      <c r="EZ173" s="75">
        <f>('Scénario référence'!$F$8+'Scénario référence'!$F$9+'Scénario référence'!$B$17+'Scénario référence'!$B$9+'Scénario référence'!$B$10)*70+IF((45+25*(1-EXP(-0.0175*A173)))&lt;70,'Scénario référence'!$B$16*(45+25*(1-EXP(-0.0175*A173))),70*'Scénario référence'!$B$16)+IF((32+38*(1-EXP(-0.0175*A173)))&lt;70,'Scénario référence'!$B$18*(32+38*(1-EXP(-0.0175*A173))),70*'Scénario référence'!$B$18)</f>
        <v>70</v>
      </c>
      <c r="FA173" s="12">
        <f>IF(A173&gt;30,10,('Scénario référence'!$B$16+'Scénario référence'!$B$17+'Scénario référence'!$B$18+'Scénario référence'!$B$9+'Scénario référence'!$B$10)*A173*10/30+('Scénario référence'!$F$8+'Scénario référence'!$F$9)*10)</f>
        <v>10</v>
      </c>
      <c r="FB173" s="12" t="e">
        <f>VLOOKUP(A173,'Données projet'!$A$217:$I$237,2,0)</f>
        <v>#N/A</v>
      </c>
      <c r="FC173" s="12" t="e">
        <f>VLOOKUP(A173,'Données projet'!$A$217:$I$237,9,0)</f>
        <v>#N/A</v>
      </c>
      <c r="FD173" s="12">
        <f t="array" ref="FD173">INDEX(FC:FC,MIN(IF(ISNUMBER(FC173:FC369),ROW(FC173:FC369),"")))</f>
        <v>0</v>
      </c>
      <c r="FE173" s="12">
        <f>IF('Données projet'!$A$218&gt;35,FE172+FD173-FM172,IF(A173&lt;'Données projet'!$A$218,$FB$205^A173,IF(A173='Données projet'!$A$218,'Données projet'!$B$218,FE172+FD173-FM172)))</f>
        <v>418.99999999999983</v>
      </c>
      <c r="FF173" s="17">
        <f>FE173*VLOOKUP('Données projet'!$B$16,Paramètres!$A$1:$I$89,3,0)*VLOOKUP('Données projet'!$B$16,Paramètres!$A$1:$I$89,5,0)</f>
        <v>359.5019999999999</v>
      </c>
      <c r="FG173" s="13">
        <f t="shared" si="182"/>
        <v>83.516011055432813</v>
      </c>
      <c r="FH173" s="20">
        <f t="shared" si="183"/>
        <v>771.58970258821194</v>
      </c>
      <c r="FI173" s="59">
        <f t="shared" si="131"/>
        <v>1064.9230359215453</v>
      </c>
      <c r="FJ173" s="59">
        <f ca="1">AVERAGE(OFFSET($FI$3,0,0,'Données projet'!$E$16+1,1))-AVERAGE(OFFSET($H$3,0,0,'Données projet'!$E$16+1,1))</f>
        <v>383.97627237444709</v>
      </c>
      <c r="FK173" s="59">
        <f t="shared" si="156"/>
        <v>203.35476578922339</v>
      </c>
      <c r="FL173" s="15">
        <f>IF(ISNA(VLOOKUP(A173,'Données projet'!$A$217:$I$237,3,0)),0,VLOOKUP(A173,'Données projet'!$A$217:$I$237,3,0))</f>
        <v>0</v>
      </c>
      <c r="FM173" s="15">
        <f>IF(ISNA(VLOOKUP(A173,'Données projet'!$A$217:$I$237,4,0)),0,VLOOKUP(A173,'Données projet'!$A$217:$I$237,4,0))</f>
        <v>0</v>
      </c>
      <c r="FN173" s="16">
        <f>IF(ISNA(VLOOKUP(A173,'Données projet'!$A$217:$I$237,5,0)),0%,VLOOKUP(A173,'Données projet'!$A$217:$I$237,5,0)*VLOOKUP('Données projet'!$B$16,Paramètres!$A$1:$I$89,7,0))</f>
        <v>0</v>
      </c>
      <c r="FO173" s="16">
        <f>IF(ISNA(VLOOKUP(A173,'Données projet'!$A$217:$I$237,6,0)),0%,VLOOKUP(A173,'Données projet'!$A$217:$I$237,6,0)*VLOOKUP('Données projet'!$B$16,Paramètres!$A$1:$I$89,7,0))</f>
        <v>0</v>
      </c>
      <c r="FP173" s="16">
        <f>IF(ISNA(VLOOKUP(A173,'Données projet'!$A$217:$I$237,7,0)),0%,VLOOKUP(A173,'Données projet'!$A$217:$I$237,7,0))</f>
        <v>0</v>
      </c>
      <c r="FQ173" s="21">
        <f>EXP(-LN(2)/35)*FQ172+(1-EXP(-LN(2)/35))/(LN(2)/35)*FM173*FN173*VLOOKUP('Données projet'!$B$16,Paramètres!$A$1:$I$89,3,0)*0.475*44/12</f>
        <v>0.32204321274908304</v>
      </c>
      <c r="FR173" s="21">
        <f>EXP(-LN(2)/25)*FR172+(1-EXP(-LN(2)/25))/(LN(2)/25)*Calculateur!FM173*Calculateur!FO173*VLOOKUP('Données projet'!$B$16,Paramètres!$A$1:$I$89,3,0)*0.475*44/12</f>
        <v>0.12146392646542371</v>
      </c>
      <c r="FS173" s="21">
        <f>EXP(-LN(2)/2)*FS172+(1-EXP(-LN(2)/2))/(LN(2)/2)*FM173*FP173*VLOOKUP('Données projet'!$B$16,Paramètres!$A$1:$I$89,3,0)*0.475*44/12</f>
        <v>1.4099957377026294E-20</v>
      </c>
      <c r="FT173" s="22">
        <f t="shared" si="184"/>
        <v>0.44350713921450674</v>
      </c>
      <c r="FU173" s="75">
        <f>('Scénario référence'!$F$8+'Scénario référence'!$F$9+'Scénario référence'!$B$17+'Scénario référence'!$B$9+'Scénario référence'!$B$10)*70+IF((45+25*(1-EXP(-0.0175*A173)))&lt;70,'Scénario référence'!$B$16*(45+25*(1-EXP(-0.0175*A173))),70*'Scénario référence'!$B$16)+IF((32+38*(1-EXP(-0.0175*A173)))&lt;70,'Scénario référence'!$B$18*(32+38*(1-EXP(-0.0175*A173))),70*'Scénario référence'!$B$18)</f>
        <v>70</v>
      </c>
      <c r="FV173" s="12">
        <f>IF(A173&gt;30,10,('Scénario référence'!$B$16+'Scénario référence'!$B$17+'Scénario référence'!$B$18+'Scénario référence'!$B$9+'Scénario référence'!$B$10)*A173*10/30+('Scénario référence'!$F$8+'Scénario référence'!$F$9)*10)</f>
        <v>10</v>
      </c>
      <c r="FW173" s="12" t="e">
        <f>VLOOKUP(A173,'Données projet'!$A$243:$I$263,2,0)</f>
        <v>#N/A</v>
      </c>
      <c r="FX173" s="12" t="e">
        <f>VLOOKUP(A173,'Données projet'!$A$243:$I$263,9,0)</f>
        <v>#N/A</v>
      </c>
      <c r="FY173" s="12">
        <f t="array" ref="FY173">INDEX(FX:FX,MIN(IF(ISNUMBER(FX173:FX369),ROW(FX173:FX369),"")))</f>
        <v>0</v>
      </c>
      <c r="FZ173" s="12">
        <f>IF('Données projet'!$A$244&gt;35,FZ172+FY173-GH172,IF(A173&lt;'Données projet'!$A$244,$FW$205^A173,IF(A173='Données projet'!$A$244,'Données projet'!$B$244,FZ172+FY173-GH172)))</f>
        <v>4.5474735088646412E-13</v>
      </c>
      <c r="GA173" s="17">
        <f>FZ173*VLOOKUP('Données projet'!$B$17,Paramètres!$A$1:$I$89,3,0)*VLOOKUP('Données projet'!$B$17,Paramètres!$A$1:$I$89,5,0)</f>
        <v>4.8949004849418999E-13</v>
      </c>
      <c r="GB173" s="13">
        <f t="shared" si="185"/>
        <v>6.1123715499968684E-12</v>
      </c>
      <c r="GC173" s="20">
        <f t="shared" si="186"/>
        <v>1.1498242284038591E-11</v>
      </c>
      <c r="GD173" s="59">
        <f t="shared" si="134"/>
        <v>293.3333333333448</v>
      </c>
      <c r="GE173" s="59">
        <f ca="1">AVERAGE(OFFSET($GD$3,0,0,'Données projet'!$E$17+1,1))-AVERAGE(OFFSET($H$3,0,0,'Données projet'!$E$17+1,1))</f>
        <v>286.77702855541287</v>
      </c>
      <c r="GF173" s="59">
        <f t="shared" si="158"/>
        <v>227.12211541860779</v>
      </c>
      <c r="GG173" s="15">
        <f>IF(ISNA(VLOOKUP(A173,'Données projet'!$A$243:$I$263,3,0)),0,VLOOKUP(A173,'Données projet'!$A$243:$I$263,3,0))</f>
        <v>0</v>
      </c>
      <c r="GH173" s="15">
        <f>IF(ISNA(VLOOKUP(A173,'Données projet'!$A$243:$I$263,4,0)),0,VLOOKUP(A173,'Données projet'!$A$243:$I$263,4,0))</f>
        <v>0</v>
      </c>
      <c r="GI173" s="16">
        <f>IF(ISNA(VLOOKUP(A173,'Données projet'!$A$243:$I$263,5,0)),0%,VLOOKUP(A173,'Données projet'!$A$243:$I$263,5,0)*VLOOKUP('Données projet'!$B$17,Paramètres!$A$1:$I$89,7,0))</f>
        <v>0</v>
      </c>
      <c r="GJ173" s="16">
        <f>IF(ISNA(VLOOKUP(A173,'Données projet'!$A$243:$I$263,6,0)),0%,VLOOKUP(A173,'Données projet'!$A$243:$I$263,6,0)*VLOOKUP('Données projet'!$B$17,Paramètres!$A$1:$I$89,7,0))</f>
        <v>0</v>
      </c>
      <c r="GK173" s="16">
        <f>IF(ISNA(VLOOKUP(A173,'Données projet'!$A$243:$I$263,7,0)),0%,VLOOKUP(A173,'Données projet'!$A$243:$I$263,7,0))</f>
        <v>0</v>
      </c>
      <c r="GL173" s="21">
        <f>EXP(-LN(2)/35)*GL172+(1-EXP(-LN(2)/35))/(LN(2)/35)*GH173*GI173*VLOOKUP('Données projet'!$B$17,Paramètres!$A$1:$I$89,3,0)*0.475*44/12</f>
        <v>0</v>
      </c>
      <c r="GM173" s="21">
        <f>EXP(-LN(2)/25)*GM172+(1-EXP(-LN(2)/25))/(LN(2)/25)*Calculateur!GH173*Calculateur!GJ173*VLOOKUP('Données projet'!$B$17,Paramètres!$A$1:$I$89,3,0)*0.475*44/12</f>
        <v>0</v>
      </c>
      <c r="GN173" s="21">
        <f>EXP(-LN(2)/2)*GN172+(1-EXP(-LN(2)/2))/(LN(2)/2)*GH173*GK173*VLOOKUP('Données projet'!$B$17,Paramètres!$A$1:$I$89,3,0)*0.475*44/12</f>
        <v>0</v>
      </c>
      <c r="GO173" s="21">
        <f t="shared" si="187"/>
        <v>0</v>
      </c>
      <c r="GP173" s="75">
        <f>('Scénario référence'!$F$8+'Scénario référence'!$F$9+'Scénario référence'!$B$17+'Scénario référence'!$B$9+'Scénario référence'!$B$10)*70+IF((45+25*(1-EXP(-0.0175*A173)))&lt;70,'Scénario référence'!$B$16*(45+25*(1-EXP(-0.0175*A173))),70*'Scénario référence'!$B$16)+IF((32+38*(1-EXP(-0.0175*A173)))&lt;70,'Scénario référence'!$B$18*(32+38*(1-EXP(-0.0175*A173))),70*'Scénario référence'!$B$18)</f>
        <v>70</v>
      </c>
      <c r="GQ173" s="12">
        <f>IF(A173&gt;30,10,('Scénario référence'!$B$16+'Scénario référence'!$B$17+'Scénario référence'!$B$18+'Scénario référence'!$B$9+'Scénario référence'!$B$10)*A173*10/30+('Scénario référence'!$F$8+'Scénario référence'!$F$9)*10)</f>
        <v>10</v>
      </c>
      <c r="GR173" s="12" t="e">
        <f>VLOOKUP(A173,'Données projet'!$A$269:$I$289,2,0)</f>
        <v>#N/A</v>
      </c>
      <c r="GS173" s="12" t="e">
        <f>VLOOKUP(A173,'Données projet'!$A$269:$I$289,9,0)</f>
        <v>#N/A</v>
      </c>
      <c r="GT173" s="12">
        <f t="array" ref="GT173">INDEX(GS:GS,MIN(IF(ISNUMBER(GS173:GS369),ROW(GS173:GS369),"")))</f>
        <v>0</v>
      </c>
      <c r="GU173" s="12">
        <f>IF('Données projet'!$A$270&gt;35,GU172+GT173-HC172,IF(A173&lt;'Données projet'!$A$270,$GR$205^A173,IF(A173='Données projet'!$A$270,'Données projet'!$B$270,GU172+GT173-HC172)))</f>
        <v>4.5474735088646412E-13</v>
      </c>
      <c r="GV173" s="17">
        <f>GU173*VLOOKUP('Données projet'!$B$18,Paramètres!$A$1:$I$89,3,0)*VLOOKUP('Données projet'!$B$18,Paramètres!$A$1:$I$89,5,0)</f>
        <v>4.8949004849418999E-13</v>
      </c>
      <c r="GW173" s="13">
        <f t="shared" si="188"/>
        <v>6.1123715499968684E-12</v>
      </c>
      <c r="GX173" s="20">
        <f t="shared" si="189"/>
        <v>1.1498242284038591E-11</v>
      </c>
      <c r="GY173" s="59">
        <f t="shared" si="137"/>
        <v>293.3333333333448</v>
      </c>
      <c r="GZ173" s="59">
        <f ca="1">AVERAGE(OFFSET($GY$3,0,0,'Données projet'!$E$18+1,1))-AVERAGE(OFFSET($H$3,0,0,'Données projet'!$E$18+1,1))</f>
        <v>286.77702855541287</v>
      </c>
      <c r="HA173" s="59">
        <f t="shared" si="160"/>
        <v>227.12211541860779</v>
      </c>
      <c r="HB173" s="15">
        <f>IF(ISNA(VLOOKUP(A173,'Données projet'!$A$269:$I$289,3,0)),0,VLOOKUP(A173,'Données projet'!$A$269:$I$289,3,0))</f>
        <v>0</v>
      </c>
      <c r="HC173" s="15">
        <f>IF(ISNA(VLOOKUP(A173,'Données projet'!$A$269:$I$289,4,0)),0,VLOOKUP(A173,'Données projet'!$A$269:$I$289,4,0))</f>
        <v>0</v>
      </c>
      <c r="HD173" s="16">
        <f>IF(ISNA(VLOOKUP(A173,'Données projet'!$A$269:$I$289,5,0)),0%,VLOOKUP(A173,'Données projet'!$A$269:$I$289,5,0)*VLOOKUP('Données projet'!$B$18,Paramètres!$A$1:$I$89,7,0))</f>
        <v>0</v>
      </c>
      <c r="HE173" s="16">
        <f>IF(ISNA(VLOOKUP(A173,'Données projet'!$A$269:$I$289,6,0)),0%,VLOOKUP(A173,'Données projet'!$A$269:$I$289,6,0)*VLOOKUP('Données projet'!$B$18,Paramètres!$A$1:$I$89,7,0))</f>
        <v>0</v>
      </c>
      <c r="HF173" s="16">
        <f>IF(ISNA(VLOOKUP(A173,'Données projet'!$A$269:$I$289,7,0)),0%,VLOOKUP(A173,'Données projet'!$A$269:$I$289,7,0))</f>
        <v>0</v>
      </c>
      <c r="HG173" s="21">
        <f>EXP(-LN(2)/35)*HG172+(1-EXP(-LN(2)/35))/(LN(2)/35)*HC173*HD173*VLOOKUP('Données projet'!$B$18,Paramètres!$A$1:$I$89,3,0)*0.475*44/12</f>
        <v>0</v>
      </c>
      <c r="HH173" s="21">
        <f>EXP(-LN(2)/25)*HH172+(1-EXP(-LN(2)/25))/(LN(2)/25)*Calculateur!HC173*Calculateur!HE173*VLOOKUP('Données projet'!$B$18,Paramètres!$A$1:$I$89,3,0)*0.475*44/12</f>
        <v>0</v>
      </c>
      <c r="HI173" s="21">
        <f>EXP(-LN(2)/2)*HI172+(1-EXP(-LN(2)/2))/(LN(2)/2)*HC173*HF173*VLOOKUP('Données projet'!$B$18,Paramètres!$A$1:$I$89,3,0)*0.475*44/12</f>
        <v>0</v>
      </c>
      <c r="HJ173" s="22">
        <f t="shared" si="190"/>
        <v>0</v>
      </c>
    </row>
    <row r="174" spans="1:218" x14ac:dyDescent="0.25">
      <c r="A174" s="10">
        <f t="shared" si="161"/>
        <v>171</v>
      </c>
      <c r="B174" s="73">
        <f>'Scénario référence'!$B$16*5+'Scénario référence'!$B$17*0+'Scénario référence'!$B$18*5</f>
        <v>0</v>
      </c>
      <c r="C174" s="19">
        <f>Calculateur!C173+'Scénario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152.05319999999992</v>
      </c>
      <c r="D174" s="11">
        <f t="shared" si="140"/>
        <v>39.044812857656339</v>
      </c>
      <c r="E17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74" s="11">
        <f>IF(OR('Scénario référence'!$F$8&gt;0,'Scénario référence'!$F$9&gt;0),('Scénario référence'!$F$8+'Scénario référence'!$F$9)*10,0)</f>
        <v>10</v>
      </c>
      <c r="G174" s="11">
        <f>'Scénario référence'!$B$8*B174*44/12+'Scénario référence'!$B$9*(C174+D174)/0.475*44/12+'Scénario référence'!$B$10*(C174+D174)/0.475*44/12+'Scénario référence'!$F$8*(C174+D174)/0.475*44/12+'Scénario référence'!$F$9*(C174+D174)/0.475*44/12</f>
        <v>1475.1425553924346</v>
      </c>
      <c r="H174" s="67">
        <f t="shared" si="110"/>
        <v>626.1623723937513</v>
      </c>
      <c r="I174" s="70">
        <f>('Scénario référence'!$F$8+'Scénario référence'!$F$9+'Scénario référence'!$B$17+'Scénario référence'!$B$9+'Scénario référence'!$B$10)*70+IF((45+25*(1-EXP(-0.0175*A174)))&lt;70,'Scénario référence'!$B$16*(45+25*(1-EXP(-0.0175*A174))),70*'Scénario référence'!$B$16)+IF((32+38*(1-EXP(-0.0175*A174)))&lt;70,'Scénario référence'!$B$18*(32+38*(1-EXP(-0.0175*A174))),70*'Scénario référence'!$B$18)</f>
        <v>70</v>
      </c>
      <c r="J174" s="13">
        <f>IF(A174&gt;30,10,('Scénario référence'!$B$16+'Scénario référence'!$B$17+'Scénario référence'!$B$18+'Scénario référence'!$B$9+'Scénario référence'!$B$10)*A174*10/30+('Scénario référence'!$F$8+'Scénario référence'!$F$9)*10)</f>
        <v>10</v>
      </c>
      <c r="K174" s="12" t="e">
        <f>VLOOKUP(A174,'Données projet'!$A$35:$I$55,2,0)</f>
        <v>#N/A</v>
      </c>
      <c r="L174" s="12" t="e">
        <f>VLOOKUP(A174,'Données projet'!$A$35:$I$55,9,0)</f>
        <v>#N/A</v>
      </c>
      <c r="M174" s="12">
        <f t="array" ref="M174">INDEX(L:L,MIN(IF(ISNUMBER(L174:L370),ROW(L174:L370),"")))</f>
        <v>0</v>
      </c>
      <c r="N174" s="13">
        <f>IF('Données projet'!$A$36&gt;35,N173+M174-V173,IF(A174&lt;'Données projet'!$A$36,$K$205^A174,IF(A174='Données projet'!$A$36,'Données projet'!$B$36,N173+M174-V173)))</f>
        <v>-2.2737367544323206E-13</v>
      </c>
      <c r="O174" s="13">
        <f>N174*VLOOKUP('Données projet'!$B$9,Paramètres!$A$1:$I$89,3,0)*VLOOKUP('Données projet'!$B$9,Paramètres!$A$1:$I$89,5,0)</f>
        <v>-1.2710188457276673E-13</v>
      </c>
      <c r="P174" s="13" t="e">
        <f t="shared" si="141"/>
        <v>#NUM!</v>
      </c>
      <c r="Q174" s="20" t="e">
        <f t="shared" si="162"/>
        <v>#NUM!</v>
      </c>
      <c r="R174" s="59" t="e">
        <f t="shared" si="109"/>
        <v>#NUM!</v>
      </c>
      <c r="S174" s="59">
        <f ca="1">AVERAGE(OFFSET($R$3,0,0,'Données projet'!$E$9+1,1))-AVERAGE(OFFSET($H$3,0,0,'Données projet'!$E$9+1,1))</f>
        <v>255.5374979188561</v>
      </c>
      <c r="T174" s="59">
        <f t="shared" si="142"/>
        <v>343.10418468620901</v>
      </c>
      <c r="U174" s="15">
        <f>IF(ISNA(VLOOKUP(A174,'Données projet'!$A$35:$I$55,3,0)),0,VLOOKUP(A174,'Données projet'!$A$35:$I$55,3,0))</f>
        <v>0</v>
      </c>
      <c r="V174" s="15">
        <f>IF(ISNA(VLOOKUP(A174,'Données projet'!$A$35:$I$55,4,0)),0,VLOOKUP(A174,'Données projet'!$A$35:$I$55,4,0))</f>
        <v>0</v>
      </c>
      <c r="W174" s="16">
        <f>IF(ISNA(VLOOKUP(A174,'Données projet'!$A$35:$I$55,5,0)),0%,VLOOKUP(A174,'Données projet'!$A$35:$I$55,5,0)*VLOOKUP('Données projet'!$B$9,Paramètres!$A$1:$I$89,7,0))</f>
        <v>0</v>
      </c>
      <c r="X174" s="16">
        <f>IF(ISNA(VLOOKUP(A174,'Données projet'!$A$35:$I$55,6,0)),0%,VLOOKUP(A174,'Données projet'!$A$35:$I$55,6,0)*VLOOKUP('Données projet'!$B$9,Paramètres!$A$1:$I$89,7,0))</f>
        <v>0</v>
      </c>
      <c r="Y174" s="16">
        <f>IF(ISNA(VLOOKUP(A174,'Données projet'!$A$35:$I$55,7,0)),0%,VLOOKUP(A174,'Données projet'!$A$35:$I$55,7,0))</f>
        <v>0</v>
      </c>
      <c r="Z174" s="21">
        <f>EXP(-LN(2)/35)*Z173+(1-EXP(-LN(2)/35))/(LN(2)/35)*V174*W174*VLOOKUP('Données projet'!$B$9,Paramètres!$A$1:$I$89,3,0)*0.475*44/12</f>
        <v>0.1893404393932677</v>
      </c>
      <c r="AA174" s="21">
        <f>EXP(-LN(2)/25)*AA173+(1-EXP(-LN(2)/25))/(LN(2)/25)*Calculateur!V174*Calculateur!X174*VLOOKUP('Données projet'!$B$9,Paramètres!$A$1:$I$89,3,0)*0.475*44/12</f>
        <v>0.32005952968126256</v>
      </c>
      <c r="AB174" s="21">
        <f>EXP(-LN(2)/2)*AB173+(1-EXP(-LN(2)/2))/(LN(2)/2)*V174*Y174*VLOOKUP('Données projet'!$B$9,Paramètres!$A$1:$I$89,3,0)*0.475*44/12</f>
        <v>1.0138016758446652E-21</v>
      </c>
      <c r="AC174" s="22">
        <f t="shared" si="163"/>
        <v>0.50939996907453022</v>
      </c>
      <c r="AD174" s="13">
        <f>('Scénario référence'!$F$8+'Scénario référence'!$F$9+'Scénario référence'!$B$17+'Scénario référence'!$B$9+'Scénario référence'!$B$10)*70+IF((45+25*(1-EXP(-0.0175*A174)))&lt;70,'Scénario référence'!$B$16*(45+25*(1-EXP(-0.0175*A174))),70*'Scénario référence'!$B$16)+IF((32+38*(1-EXP(-0.0175*A174)))&lt;70,'Scénario référence'!$B$18*(32+38*(1-EXP(-0.0175*A174))),70*'Scénario référence'!$B$18)</f>
        <v>70</v>
      </c>
      <c r="AE174" s="13">
        <f>IF(A174&gt;30,10,('Scénario référence'!$B$16+'Scénario référence'!$B$17+'Scénario référence'!$B$18+'Scénario référence'!$B$9+'Scénario référence'!$B$10)*A174*10/30+('Scénario référence'!$F$8+'Scénario référence'!$F$9)*10)</f>
        <v>10</v>
      </c>
      <c r="AF174" s="12" t="e">
        <f>VLOOKUP(A174,'Données projet'!$A$61:$I$81,2,0)</f>
        <v>#N/A</v>
      </c>
      <c r="AG174" s="12" t="e">
        <f>VLOOKUP(A174,'Données projet'!$A$61:$I$81,9,0)</f>
        <v>#N/A</v>
      </c>
      <c r="AH174" s="12">
        <f t="array" ref="AH174">INDEX(AG:AG,MIN(IF(ISNUMBER(AG174:AG370),ROW(AG174:AG370),"")))</f>
        <v>0</v>
      </c>
      <c r="AI174" s="13">
        <f>IF('Données projet'!$A$62&gt;35,AI173+AH174-AQ173,IF(A174&lt;'Données projet'!$A$62,$AF$205^A174,IF(A174='Données projet'!$A$62,'Données projet'!$B$62,AI173+AH174-AQ173)))</f>
        <v>0</v>
      </c>
      <c r="AJ174" s="13">
        <f>AI174*VLOOKUP('Données projet'!$B$10,Paramètres!$A$1:$I$89,3,0)*VLOOKUP('Données projet'!$B$10,Paramètres!$A$1:$I$89,5,0)</f>
        <v>0</v>
      </c>
      <c r="AK174" s="13" t="e">
        <f t="shared" si="164"/>
        <v>#NUM!</v>
      </c>
      <c r="AL174" s="20" t="e">
        <f t="shared" si="165"/>
        <v>#NUM!</v>
      </c>
      <c r="AM174" s="59" t="e">
        <f t="shared" si="113"/>
        <v>#NUM!</v>
      </c>
      <c r="AN174" s="59">
        <f ca="1">AVERAGE(OFFSET($AM$3,0,0,'Données projet'!$E$10+1,1))-AVERAGE(OFFSET($H$3,0,0,'Données projet'!$E$10+1,1))</f>
        <v>261.78489480911571</v>
      </c>
      <c r="AO174" s="59">
        <f t="shared" si="144"/>
        <v>297.50513563712764</v>
      </c>
      <c r="AP174" s="15">
        <f>IF(ISNA(VLOOKUP(A174,'Données projet'!$A$61:$I$81,3,0)),0,VLOOKUP(A174,'Données projet'!$A$61:$I$81,3,0))</f>
        <v>0</v>
      </c>
      <c r="AQ174" s="15">
        <f>IF(ISNA(VLOOKUP(A174,'Données projet'!$A$61:$I$81,4,0)),0,VLOOKUP(A174,'Données projet'!$A$61:$I$81,4,0))</f>
        <v>0</v>
      </c>
      <c r="AR174" s="16">
        <f>IF(ISNA(VLOOKUP(A174,'Données projet'!$A$61:$I$81,5,0)),0%,VLOOKUP(A174,'Données projet'!$A$61:$I$81,5,0)*VLOOKUP('Données projet'!$B$10,Paramètres!$A$1:$I$89,7,0))</f>
        <v>0</v>
      </c>
      <c r="AS174" s="16">
        <f>IF(ISNA(VLOOKUP(A174,'Données projet'!$A$61:$I$81,6,0)),0%,VLOOKUP(A174,'Données projet'!$A$61:$I$81,6,0)*VLOOKUP('Données projet'!$B$10,Paramètres!$A$1:$I$89,7,0))</f>
        <v>0</v>
      </c>
      <c r="AT174" s="16">
        <f>IF(ISNA(VLOOKUP(A174,'Données projet'!$A$61:$I$81,7,0)),0%,VLOOKUP(A174,'Données projet'!$A$61:$I$81,7,0))</f>
        <v>0</v>
      </c>
      <c r="AU174" s="21">
        <f>EXP(-LN(2)/35)*AU173+(1-EXP(-LN(2)/35))/(LN(2)/35)*AQ174*AR174*VLOOKUP('Données projet'!$B$10,Paramètres!$A$1:$I$89,3,0)*0.475*44/12</f>
        <v>0.51127274104823628</v>
      </c>
      <c r="AV174" s="21">
        <f>EXP(-LN(2)/25)*AV173+(1-EXP(-LN(2)/25))/(LN(2)/25)*Calculateur!AQ174*Calculateur!AS174*VLOOKUP('Données projet'!$B$10,Paramètres!$A$1:$I$89,3,0)*0.475*44/12</f>
        <v>0.55888921844508999</v>
      </c>
      <c r="AW174" s="21">
        <f>EXP(-LN(2)/2)*AW173+(1-EXP(-LN(2)/2))/(LN(2)/2)*AQ174*AT174*VLOOKUP('Données projet'!$B$10,Paramètres!$A$1:$I$89,3,0)*0.475*44/12</f>
        <v>1.4614916300570188E-20</v>
      </c>
      <c r="AX174" s="21">
        <f t="shared" si="166"/>
        <v>1.0701619594933263</v>
      </c>
      <c r="AY174" s="74">
        <f>('Scénario référence'!$F$8+'Scénario référence'!$F$9+'Scénario référence'!$B$17+'Scénario référence'!$B$9+'Scénario référence'!$B$10)*70+IF((45+25*(1-EXP(-0.0175*A174)))&lt;70,'Scénario référence'!$B$16*(45+25*(1-EXP(-0.0175*A174))),70*'Scénario référence'!$B$16)+IF((32+38*(1-EXP(-0.0175*A174)))&lt;70,'Scénario référence'!$B$18*(32+38*(1-EXP(-0.0175*A174))),70*'Scénario référence'!$B$18)</f>
        <v>70</v>
      </c>
      <c r="AZ174" s="12">
        <f>IF(A174&gt;30,10,('Scénario référence'!$B$16+'Scénario référence'!$B$17+'Scénario référence'!$B$18+'Scénario référence'!$B$9+'Scénario référence'!$B$10)*A174*10/30+('Scénario référence'!$F$8+'Scénario référence'!$F$9)*10)</f>
        <v>10</v>
      </c>
      <c r="BA174" s="12" t="e">
        <f>VLOOKUP(A174,'Données projet'!$A$87:$I$107,2,0)</f>
        <v>#N/A</v>
      </c>
      <c r="BB174" s="12" t="e">
        <f>VLOOKUP(A174,'Données projet'!$A$87:$I$107,9,0)</f>
        <v>#N/A</v>
      </c>
      <c r="BC174" s="12">
        <f t="array" ref="BC174">INDEX(BB:BB,MIN(IF(ISNUMBER(BB174:BB370),ROW(BB174:BB370),"")))</f>
        <v>0</v>
      </c>
      <c r="BD174" s="12">
        <f>IF('Données projet'!$A$88&gt;35,BD173+BC174-BL173,IF(A174&lt;'Données projet'!$A$88,$BA$205^A174,IF(A174='Données projet'!$A$88,'Données projet'!$B$88,BD173+BC174-BL173)))</f>
        <v>553.99999999999955</v>
      </c>
      <c r="BE174" s="13">
        <f>BD174*VLOOKUP('Données projet'!$B$11,Paramètres!$A$1:$I$89,3,0)*VLOOKUP('Données projet'!$B$11,Paramètres!$A$1:$I$89,5,0)</f>
        <v>331.29199999999975</v>
      </c>
      <c r="BF174" s="13">
        <f t="shared" si="167"/>
        <v>77.698110787752</v>
      </c>
      <c r="BG174" s="20">
        <f t="shared" si="168"/>
        <v>712.32444295533423</v>
      </c>
      <c r="BH174" s="59">
        <f t="shared" si="116"/>
        <v>1005.6577762886675</v>
      </c>
      <c r="BI174" s="59">
        <f ca="1">AVERAGE(OFFSET($BH$3,0,0,'Données projet'!$E$11+1,1))-AVERAGE(OFFSET($H$3,0,0,'Données projet'!$E$11+1,1))</f>
        <v>316.58509520829671</v>
      </c>
      <c r="BJ174" s="59">
        <f t="shared" si="146"/>
        <v>240.71332110643596</v>
      </c>
      <c r="BK174" s="15">
        <f>IF(ISNA(VLOOKUP(A174,'Données projet'!$A$87:$I$107,3,0)),0,VLOOKUP(A174,'Données projet'!$A$87:$I$107,3,0))</f>
        <v>0</v>
      </c>
      <c r="BL174" s="15">
        <f>IF(ISNA(VLOOKUP(A174,'Données projet'!$A$87:$I$107,4,0)),0,VLOOKUP(A174,'Données projet'!$A$87:$I$107,4,0))</f>
        <v>0</v>
      </c>
      <c r="BM174" s="16">
        <f>IF(ISNA(VLOOKUP(A174,'Données projet'!$A$87:$I$107,5,0)),0%,VLOOKUP(A174,'Données projet'!$A$87:$I$107,5,0)*VLOOKUP('Données projet'!$B$11,Paramètres!$A$1:$I$89,7,0))</f>
        <v>0</v>
      </c>
      <c r="BN174" s="16">
        <f>IF(ISNA(VLOOKUP(A174,'Données projet'!$A$87:$I$107,6,0)),0%,VLOOKUP(A174,'Données projet'!$A$87:$I$107,6,0)*VLOOKUP('Données projet'!$B$11,Paramètres!$A$1:$I$89,7,0))</f>
        <v>0</v>
      </c>
      <c r="BO174" s="16">
        <f>IF(ISNA(VLOOKUP(A174,'Données projet'!$A$87:$I$107,7,0)),0%,VLOOKUP(A174,'Données projet'!$A$87:$I$107,7,0))</f>
        <v>0</v>
      </c>
      <c r="BP174" s="21">
        <f>EXP(-LN(2)/35)*BP173+(1-EXP(-LN(2)/35))/(LN(2)/35)*BL174*BM174*VLOOKUP('Données projet'!$B$11,Paramètres!$A$1:$I$89,3,0)*0.475*44/12</f>
        <v>0.15530289920605858</v>
      </c>
      <c r="BQ174" s="21">
        <f>EXP(-LN(2)/25)*BQ173+(1-EXP(-LN(2)/25))/(LN(2)/25)*Calculateur!BL174*Calculateur!BN174*VLOOKUP('Données projet'!$B$11,Paramètres!$A$1:$I$89,3,0)*0.475*44/12</f>
        <v>0.30617582117664038</v>
      </c>
      <c r="BR174" s="21">
        <f>EXP(-LN(2)/2)*BR173+(1-EXP(-LN(2)/2))/(LN(2)/2)*BL174*BO174*VLOOKUP('Données projet'!$B$11,Paramètres!$A$1:$I$89,3,0)*0.475*44/12</f>
        <v>1.3140410271798866E-20</v>
      </c>
      <c r="BS174" s="22">
        <f t="shared" si="169"/>
        <v>0.46147872038269899</v>
      </c>
      <c r="BT174" s="75">
        <f>('Scénario référence'!$F$8+'Scénario référence'!$F$9+'Scénario référence'!$B$17+'Scénario référence'!$B$9+'Scénario référence'!$B$10)*70+IF((45+25*(1-EXP(-0.0175*A174)))&lt;70,'Scénario référence'!$B$16*(45+25*(1-EXP(-0.0175*A174))),70*'Scénario référence'!$B$16)+IF((32+38*(1-EXP(-0.0175*A174)))&lt;70,'Scénario référence'!$B$18*(32+38*(1-EXP(-0.0175*A174))),70*'Scénario référence'!$B$18)</f>
        <v>70</v>
      </c>
      <c r="BU174" s="12">
        <f>IF(A174&gt;30,10,('Scénario référence'!$B$16+'Scénario référence'!$B$17+'Scénario référence'!$B$18+'Scénario référence'!$B$9+'Scénario référence'!$B$10)*A174*10/30+('Scénario référence'!$F$8+'Scénario référence'!$F$9)*10)</f>
        <v>10</v>
      </c>
      <c r="BV174" s="12" t="e">
        <f>VLOOKUP(A174,'Données projet'!$A$113:$I$133,2,0)</f>
        <v>#N/A</v>
      </c>
      <c r="BW174" s="12" t="e">
        <f>VLOOKUP(A174,'Données projet'!$A$113:$I$133,9,0)</f>
        <v>#N/A</v>
      </c>
      <c r="BX174" s="12">
        <f t="array" ref="BX174">INDEX(BW:BW,MIN(IF(ISNUMBER(BW174:BW370),ROW(BW174:BW370),"")))</f>
        <v>0</v>
      </c>
      <c r="BY174" s="12">
        <f>IF('Données projet'!$A$114&gt;35,BY173+BX174-CG173,IF(A174&lt;'Données projet'!$A$114,$BV$205^A174,IF(A174='Données projet'!$A$114,'Données projet'!$B$114,BY173+BX174-CG173)))</f>
        <v>333.99999999999977</v>
      </c>
      <c r="BZ174" s="13">
        <f>BY174*VLOOKUP('Données projet'!$B$12,Paramètres!$A$1:$I$89,3,0)*VLOOKUP('Données projet'!$B$12,Paramètres!$A$1:$I$89,5,0)</f>
        <v>191.04799999999986</v>
      </c>
      <c r="CA174" s="13">
        <f t="shared" si="170"/>
        <v>47.771576544305155</v>
      </c>
      <c r="CB174" s="20">
        <f t="shared" si="171"/>
        <v>415.94409581466454</v>
      </c>
      <c r="CC174" s="59">
        <f t="shared" si="119"/>
        <v>709.27742914799785</v>
      </c>
      <c r="CD174" s="59">
        <f ca="1">AVERAGE(OFFSET($CC$3,0,0,'Données projet'!$E$12+1,1))-AVERAGE(OFFSET($H$3,0,0,'Données projet'!$E$12+1,1))</f>
        <v>188.64374818906128</v>
      </c>
      <c r="CE174" s="59">
        <f t="shared" si="148"/>
        <v>211.95157880548652</v>
      </c>
      <c r="CF174" s="15">
        <f>IF(ISNA(VLOOKUP(A174,'Données projet'!$A$113:$I$133,3,0)),0,VLOOKUP(A174,'Données projet'!$A$113:$I$133,3,0))</f>
        <v>0</v>
      </c>
      <c r="CG174" s="15">
        <f>IF(ISNA(VLOOKUP(A174,'Données projet'!$A$113:$I$133,4,0)),0,VLOOKUP(A174,'Données projet'!$A$113:$I$133,4,0))</f>
        <v>0</v>
      </c>
      <c r="CH174" s="16">
        <f>IF(ISNA(VLOOKUP(A174,'Données projet'!$A$113:$I$133,5,0)),0%,VLOOKUP(A174,'Données projet'!$A$113:$I$133,5,0)*VLOOKUP('Données projet'!$B$12,Paramètres!$A$1:$I$89,7,0))</f>
        <v>0</v>
      </c>
      <c r="CI174" s="16">
        <f>IF(ISNA(VLOOKUP(A174,'Données projet'!$A$113:$I$133,6,0)),0%,VLOOKUP(A174,'Données projet'!$A$113:$I$133,6,0)*VLOOKUP('Données projet'!$B$12,Paramètres!$A$1:$I$89,7,0))</f>
        <v>0</v>
      </c>
      <c r="CJ174" s="16">
        <f>IF(ISNA(VLOOKUP(A174,'Données projet'!$A$113:$I$133,7,0)),0%,VLOOKUP(A174,'Données projet'!$A$113:$I$133,7,0))</f>
        <v>0</v>
      </c>
      <c r="CK174" s="21">
        <f>EXP(-LN(2)/35)*CK173+(1-EXP(-LN(2)/35))/(LN(2)/35)*CG174*CH174*VLOOKUP('Données projet'!$B$12,Paramètres!$A$1:$I$89,3,0)*0.475*44/12</f>
        <v>0.1506428612017125</v>
      </c>
      <c r="CL174" s="21">
        <f>EXP(-LN(2)/25)*CL173+(1-EXP(-LN(2)/25))/(LN(2)/25)*Calculateur!CG174*Calculateur!CI174*VLOOKUP('Données projet'!$B$12,Paramètres!$A$1:$I$89,3,0)*0.475*44/12</f>
        <v>0.2881796152517494</v>
      </c>
      <c r="CM174" s="21">
        <f>EXP(-LN(2)/2)*CM173+(1-EXP(-LN(2)/2))/(LN(2)/2)*CG174*CJ174*VLOOKUP('Données projet'!$B$12,Paramètres!$A$1:$I$89,3,0)*0.475*44/12</f>
        <v>1.2725459227268432E-20</v>
      </c>
      <c r="CN174" s="22">
        <f t="shared" si="172"/>
        <v>0.4388224764534619</v>
      </c>
      <c r="CO174" s="75">
        <f>('Scénario référence'!$F$8+'Scénario référence'!$F$9+'Scénario référence'!$B$17+'Scénario référence'!$B$9+'Scénario référence'!$B$10)*70+IF((45+25*(1-EXP(-0.0175*A174)))&lt;70,'Scénario référence'!$B$16*(45+25*(1-EXP(-0.0175*A174))),70*'Scénario référence'!$B$16)+IF((32+38*(1-EXP(-0.0175*A174)))&lt;70,'Scénario référence'!$B$18*(32+38*(1-EXP(-0.0175*A174))),70*'Scénario référence'!$B$18)</f>
        <v>70</v>
      </c>
      <c r="CP174" s="12">
        <f>IF(A174&gt;30,10,('Scénario référence'!$B$16+'Scénario référence'!$B$17+'Scénario référence'!$B$18+'Scénario référence'!$B$9+'Scénario référence'!$B$10)*A174*10/30+('Scénario référence'!$F$8+'Scénario référence'!$F$9)*10)</f>
        <v>10</v>
      </c>
      <c r="CQ174" s="12" t="e">
        <f>VLOOKUP(A174,'Données projet'!$A$139:$I$159,2,0)</f>
        <v>#N/A</v>
      </c>
      <c r="CR174" s="12" t="e">
        <f>VLOOKUP(A174,'Données projet'!$A$139:$I$159,9,0)</f>
        <v>#N/A</v>
      </c>
      <c r="CS174" s="12">
        <f t="array" ref="CS174">INDEX(CR:CR,MIN(IF(ISNUMBER(CR174:CR370),ROW(CR174:CR370),"")))</f>
        <v>0</v>
      </c>
      <c r="CT174" s="12">
        <f>IF('Données projet'!$A$140&gt;35,CT173+CS174-DB173,IF(A174&lt;'Données projet'!$A$140,$CQ$205^A174,IF(A174='Données projet'!$A$140,'Données projet'!$B$140,CT173+CS174-DB173)))</f>
        <v>0</v>
      </c>
      <c r="CU174" s="17" t="e">
        <f>CT174*VLOOKUP('Données projet'!$B$13,Paramètres!$A$1:$I$89,3,0)*VLOOKUP('Données projet'!$B$13,Paramètres!$A$1:$I$89,5,0)</f>
        <v>#N/A</v>
      </c>
      <c r="CV174" s="13" t="e">
        <f t="shared" si="173"/>
        <v>#N/A</v>
      </c>
      <c r="CW174" s="20" t="e">
        <f t="shared" si="174"/>
        <v>#N/A</v>
      </c>
      <c r="CX174" s="59" t="e">
        <f t="shared" si="122"/>
        <v>#N/A</v>
      </c>
      <c r="CY174" s="59" t="e">
        <f ca="1">AVERAGE(OFFSET($CX$3,0,0,'Données projet'!$E$13+1,1))-AVERAGE(OFFSET($H$3,0,0,'Données projet'!$E$13+1,1))</f>
        <v>#N/A</v>
      </c>
      <c r="CZ174" s="59" t="e">
        <f t="shared" si="150"/>
        <v>#N/A</v>
      </c>
      <c r="DA174" s="15">
        <f>IF(ISNA(VLOOKUP(A174,'Données projet'!$A$139:$I$159,3,0)),0,VLOOKUP(A174,'Données projet'!$A$139:$I$159,3,0))</f>
        <v>0</v>
      </c>
      <c r="DB174" s="15">
        <f>IF(ISNA(VLOOKUP(A174,'Données projet'!$A$139:$I$159,4,0)),0,VLOOKUP(A174,'Données projet'!$A$139:$I$159,4,0))</f>
        <v>0</v>
      </c>
      <c r="DC174" s="16">
        <f>IF(ISNA(VLOOKUP(A174,'Données projet'!$A$139:$I$159,5,0)),0%,VLOOKUP(A174,'Données projet'!$A$139:$I$159,5,0)*VLOOKUP('Données projet'!$B$13,Paramètres!$A$1:$I$89,7,0))</f>
        <v>0</v>
      </c>
      <c r="DD174" s="16">
        <f>IF(ISNA(VLOOKUP(A174,'Données projet'!$A$139:$I$159,6,0)),0%,VLOOKUP(A174,'Données projet'!$A$139:$I$159,6,0)*VLOOKUP('Données projet'!$B$13,Paramètres!$A$1:$I$89,7,0))</f>
        <v>0</v>
      </c>
      <c r="DE174" s="16">
        <f>IF(ISNA(VLOOKUP(A174,'Données projet'!$A$139:$I$159,7,0)),0%,VLOOKUP(A174,'Données projet'!$A$139:$I$159,7,0))</f>
        <v>0</v>
      </c>
      <c r="DF174" s="21" t="e">
        <f>EXP(-LN(2)/35)*DF173+(1-EXP(-LN(2)/35))/(LN(2)/35)*DB174*DC174*VLOOKUP('Données projet'!$B$13,Paramètres!$A$1:$I$89,3,0)*0.475*44/12</f>
        <v>#N/A</v>
      </c>
      <c r="DG174" s="21" t="e">
        <f>EXP(-LN(2)/25)*DG173+(1-EXP(-LN(2)/25))/(LN(2)/25)*Calculateur!DB174*Calculateur!DD174*VLOOKUP('Données projet'!$B$13,Paramètres!$A$1:$I$89,3,0)*0.475*44/12</f>
        <v>#N/A</v>
      </c>
      <c r="DH174" s="21" t="e">
        <f>EXP(-LN(2)/2)*DH173+(1-EXP(-LN(2)/2))/(LN(2)/2)*DB174*DE174*VLOOKUP('Données projet'!$B$13,Paramètres!$A$1:$I$89,3,0)*0.475*44/12</f>
        <v>#N/A</v>
      </c>
      <c r="DI174" s="22" t="e">
        <f t="shared" si="175"/>
        <v>#N/A</v>
      </c>
      <c r="DJ174" s="75">
        <f>('Scénario référence'!$F$8+'Scénario référence'!$F$9+'Scénario référence'!$B$17+'Scénario référence'!$B$9+'Scénario référence'!$B$10)*70+IF((45+25*(1-EXP(-0.0175*A174)))&lt;70,'Scénario référence'!$B$16*(45+25*(1-EXP(-0.0175*A174))),70*'Scénario référence'!$B$16)+IF((32+38*(1-EXP(-0.0175*A174)))&lt;70,'Scénario référence'!$B$18*(32+38*(1-EXP(-0.0175*A174))),70*'Scénario référence'!$B$18)</f>
        <v>70</v>
      </c>
      <c r="DK174" s="12">
        <f>IF(A174&gt;30,10,('Scénario référence'!$B$16+'Scénario référence'!$B$17+'Scénario référence'!$B$18+'Scénario référence'!$B$9+'Scénario référence'!$B$10)*A174*10/30+('Scénario référence'!$F$8+'Scénario référence'!$F$9)*10)</f>
        <v>10</v>
      </c>
      <c r="DL174" s="12" t="e">
        <f>VLOOKUP(A174,'Données projet'!$A$165:$I$185,2,0)</f>
        <v>#N/A</v>
      </c>
      <c r="DM174" s="12" t="e">
        <f>VLOOKUP(A174,'Données projet'!$A$165:$I$185,9,0)</f>
        <v>#N/A</v>
      </c>
      <c r="DN174" s="12">
        <f t="array" ref="DN174">INDEX(DM:DM,MIN(IF(ISNUMBER(DM174:DM370),ROW(DM174:DM370),"")))</f>
        <v>0</v>
      </c>
      <c r="DO174" s="12">
        <f>IF('Données projet'!$A$166&gt;35,DO173+DN174-DW173,IF(A174&lt;'Données projet'!$A$166,$DL$205^A174,IF(A174='Données projet'!$A$166,'Données projet'!$B$166,DO173+DN174-DW173)))</f>
        <v>268.00000000000017</v>
      </c>
      <c r="DP174" s="17">
        <f>DO174*VLOOKUP('Données projet'!$B$14,Paramètres!$A$1:$I$89,3,0)*VLOOKUP('Données projet'!$B$14,Paramètres!$A$1:$I$89,5,0)</f>
        <v>175.59360000000012</v>
      </c>
      <c r="DQ174" s="13">
        <f t="shared" si="176"/>
        <v>44.340433728638573</v>
      </c>
      <c r="DR174" s="20">
        <f t="shared" si="177"/>
        <v>383.05177541071242</v>
      </c>
      <c r="DS174" s="59">
        <f t="shared" si="125"/>
        <v>676.38510874404574</v>
      </c>
      <c r="DT174" s="59">
        <f ca="1">AVERAGE(OFFSET($DS$3,0,0,'Données projet'!$E$14+1,1))-AVERAGE(OFFSET($H$3,0,0,'Données projet'!$E$14+1,1))</f>
        <v>188.68915783955595</v>
      </c>
      <c r="DU174" s="59">
        <f t="shared" si="152"/>
        <v>240.82467772396944</v>
      </c>
      <c r="DV174" s="15">
        <f>IF(ISNA(VLOOKUP(A174,'Données projet'!$A$165:$I$185,3,0)),0,VLOOKUP(A174,'Données projet'!$A$165:$I$185,3,0))</f>
        <v>0</v>
      </c>
      <c r="DW174" s="15">
        <f>IF(ISNA(VLOOKUP(A174,'Données projet'!$A$165:$I$185,4,0)),0,VLOOKUP(A174,'Données projet'!$A$165:$I$185,4,0))</f>
        <v>0</v>
      </c>
      <c r="DX174" s="16">
        <f>IF(ISNA(VLOOKUP(A174,'Données projet'!$A$165:$I$185,5,0)),0%,VLOOKUP(A174,'Données projet'!$A$165:$I$185,5,0)*VLOOKUP('Données projet'!$B$14,Paramètres!$A$1:$I$89,7,0))</f>
        <v>0</v>
      </c>
      <c r="DY174" s="16">
        <f>IF(ISNA(VLOOKUP(A174,'Données projet'!$A$165:$I$185,6,0)),0%,VLOOKUP(A174,'Données projet'!$A$165:$I$185,6,0)*VLOOKUP('Données projet'!$B$14,Paramètres!$A$1:$I$89,7,0))</f>
        <v>0</v>
      </c>
      <c r="DZ174" s="16">
        <f>IF(ISNA(VLOOKUP(A174,'Données projet'!$A$165:$I$185,7,0)),0%,VLOOKUP(A174,'Données projet'!$A$165:$I$185,7,0))</f>
        <v>0</v>
      </c>
      <c r="EA174" s="21">
        <f>EXP(-LN(2)/35)*EA173+(1-EXP(-LN(2)/35))/(LN(2)/35)*DW174*DX174*VLOOKUP('Données projet'!$B$14,Paramètres!$A$1:$I$89,3,0)*0.475*44/12</f>
        <v>9.5419825803273267E-2</v>
      </c>
      <c r="EB174" s="21">
        <f>EXP(-LN(2)/25)*EB173+(1-EXP(-LN(2)/25))/(LN(2)/25)*Calculateur!DW174*Calculateur!DY174*VLOOKUP('Données projet'!$B$14,Paramètres!$A$1:$I$89,3,0)*0.475*44/12</f>
        <v>0.16119085774250452</v>
      </c>
      <c r="EC174" s="21">
        <f>EXP(-LN(2)/2)*EC173+(1-EXP(-LN(2)/2))/(LN(2)/2)*DW174*DZ174*VLOOKUP('Données projet'!$B$14,Paramètres!$A$1:$I$89,3,0)*0.475*44/12</f>
        <v>8.3830469619007531E-21</v>
      </c>
      <c r="ED174" s="22">
        <f t="shared" si="178"/>
        <v>0.25661068354577776</v>
      </c>
      <c r="EE174" s="75">
        <f>('Scénario référence'!$F$8+'Scénario référence'!$F$9+'Scénario référence'!$B$17+'Scénario référence'!$B$9+'Scénario référence'!$B$10)*70+IF((45+25*(1-EXP(-0.0175*A174)))&lt;70,'Scénario référence'!$B$16*(45+25*(1-EXP(-0.0175*A174))),70*'Scénario référence'!$B$16)+IF((32+38*(1-EXP(-0.0175*A174)))&lt;70,'Scénario référence'!$B$18*(32+38*(1-EXP(-0.0175*A174))),70*'Scénario référence'!$B$18)</f>
        <v>70</v>
      </c>
      <c r="EF174" s="12">
        <f>IF(A174&gt;30,10,('Scénario référence'!$B$16+'Scénario référence'!$B$17+'Scénario référence'!$B$18+'Scénario référence'!$B$9+'Scénario référence'!$B$10)*A174*10/30+('Scénario référence'!$F$8+'Scénario référence'!$F$9)*10)</f>
        <v>10</v>
      </c>
      <c r="EG174" s="12" t="e">
        <f>VLOOKUP(A174,'Données projet'!$A$191:$I$211,2,0)</f>
        <v>#N/A</v>
      </c>
      <c r="EH174" s="12" t="e">
        <f>VLOOKUP(A174,'Données projet'!$A$191:$I$211,9,0)</f>
        <v>#N/A</v>
      </c>
      <c r="EI174" s="12">
        <f t="array" ref="EI174">INDEX(EH:EH,MIN(IF(ISNUMBER(EH174:EH370),ROW(EH174:EH370),"")))</f>
        <v>0</v>
      </c>
      <c r="EJ174" s="12">
        <f>IF('Données projet'!$A$192&gt;35,EJ173+EI174-ER173,IF(A174&lt;'Données projet'!$A$192,$EG$205^A174,IF(A174='Données projet'!$A$192,'Données projet'!$B$192,EJ173+EI174-ER173)))</f>
        <v>275.99999999999972</v>
      </c>
      <c r="EK174" s="17">
        <f>EJ174*VLOOKUP('Données projet'!$B$15,Paramètres!$A$1:$I$89,3,0)*VLOOKUP('Données projet'!$B$15,Paramètres!$A$1:$I$89,5,0)</f>
        <v>223.8911999999998</v>
      </c>
      <c r="EL174" s="13">
        <f t="shared" si="179"/>
        <v>54.95975389514858</v>
      </c>
      <c r="EM174" s="20">
        <f t="shared" si="180"/>
        <v>485.66541136738346</v>
      </c>
      <c r="EN174" s="59">
        <f t="shared" si="128"/>
        <v>778.99874470071677</v>
      </c>
      <c r="EO174" s="59">
        <f ca="1">AVERAGE(OFFSET($EN$3,0,0,'Données projet'!$E$15+1,1))-AVERAGE(OFFSET($H$3,0,0,'Données projet'!$E$15+1,1))</f>
        <v>205.5272583787887</v>
      </c>
      <c r="EP174" s="59">
        <f t="shared" si="154"/>
        <v>180.54762778843178</v>
      </c>
      <c r="EQ174" s="15">
        <f>IF(ISNA(VLOOKUP(A174,'Données projet'!$A$191:$I$211,3,0)),0,VLOOKUP(A174,'Données projet'!$A$191:$I$211,3,0))</f>
        <v>0</v>
      </c>
      <c r="ER174" s="15">
        <f>IF(ISNA(VLOOKUP(A174,'Données projet'!$A$191:$I$211,4,0)),0,VLOOKUP(A174,'Données projet'!$A$191:$I$211,4,0))</f>
        <v>0</v>
      </c>
      <c r="ES174" s="16">
        <f>IF(ISNA(VLOOKUP(A174,'Données projet'!$A$191:$I$211,5,0)),0%,VLOOKUP(A174,'Données projet'!$A$191:$I$211,5,0)*VLOOKUP('Données projet'!$B$15,Paramètres!$A$1:$I$89,7,0))</f>
        <v>0</v>
      </c>
      <c r="ET174" s="16">
        <f>IF(ISNA(VLOOKUP(A174,'Données projet'!$A$191:$I$211,6,0)),0%,VLOOKUP(A174,'Données projet'!$A$191:$I$211,6,0)*VLOOKUP('Données projet'!$B$15,Paramètres!$A$1:$I$89,7,0))</f>
        <v>0</v>
      </c>
      <c r="EU174" s="16">
        <f>IF(ISNA(VLOOKUP(A174,'Données projet'!$A$191:$I$211,7,0)),0%,VLOOKUP(A174,'Données projet'!$A$191:$I$211,7,0))</f>
        <v>0</v>
      </c>
      <c r="EV174" s="21">
        <f>EXP(-LN(2)/35)*EV173+(1-EXP(-LN(2)/35))/(LN(2)/35)*ER174*ES174*VLOOKUP('Données projet'!$B$15,Paramètres!$A$1:$I$89,3,0)*0.475*44/12</f>
        <v>6.1432192612393091E-2</v>
      </c>
      <c r="EW174" s="21">
        <f>EXP(-LN(2)/25)*EW173+(1-EXP(-LN(2)/25))/(LN(2)/25)*Calculateur!ER174*Calculateur!ET174*VLOOKUP('Données projet'!$B$15,Paramètres!$A$1:$I$89,3,0)*0.475*44/12</f>
        <v>0.11638468917028764</v>
      </c>
      <c r="EX174" s="21">
        <f>EXP(-LN(2)/2)*EX173+(1-EXP(-LN(2)/2))/(LN(2)/2)*ER174*EU174*VLOOKUP('Données projet'!$B$15,Paramètres!$A$1:$I$89,3,0)*0.475*44/12</f>
        <v>5.4280291064753468E-21</v>
      </c>
      <c r="EY174" s="22">
        <f t="shared" si="181"/>
        <v>0.17781688178268074</v>
      </c>
      <c r="EZ174" s="75">
        <f>('Scénario référence'!$F$8+'Scénario référence'!$F$9+'Scénario référence'!$B$17+'Scénario référence'!$B$9+'Scénario référence'!$B$10)*70+IF((45+25*(1-EXP(-0.0175*A174)))&lt;70,'Scénario référence'!$B$16*(45+25*(1-EXP(-0.0175*A174))),70*'Scénario référence'!$B$16)+IF((32+38*(1-EXP(-0.0175*A174)))&lt;70,'Scénario référence'!$B$18*(32+38*(1-EXP(-0.0175*A174))),70*'Scénario référence'!$B$18)</f>
        <v>70</v>
      </c>
      <c r="FA174" s="12">
        <f>IF(A174&gt;30,10,('Scénario référence'!$B$16+'Scénario référence'!$B$17+'Scénario référence'!$B$18+'Scénario référence'!$B$9+'Scénario référence'!$B$10)*A174*10/30+('Scénario référence'!$F$8+'Scénario référence'!$F$9)*10)</f>
        <v>10</v>
      </c>
      <c r="FB174" s="12" t="e">
        <f>VLOOKUP(A174,'Données projet'!$A$217:$I$237,2,0)</f>
        <v>#N/A</v>
      </c>
      <c r="FC174" s="12" t="e">
        <f>VLOOKUP(A174,'Données projet'!$A$217:$I$237,9,0)</f>
        <v>#N/A</v>
      </c>
      <c r="FD174" s="12">
        <f t="array" ref="FD174">INDEX(FC:FC,MIN(IF(ISNUMBER(FC174:FC370),ROW(FC174:FC370),"")))</f>
        <v>0</v>
      </c>
      <c r="FE174" s="12">
        <f>IF('Données projet'!$A$218&gt;35,FE173+FD174-FM173,IF(A174&lt;'Données projet'!$A$218,$FB$205^A174,IF(A174='Données projet'!$A$218,'Données projet'!$B$218,FE173+FD174-FM173)))</f>
        <v>418.99999999999983</v>
      </c>
      <c r="FF174" s="17">
        <f>FE174*VLOOKUP('Données projet'!$B$16,Paramètres!$A$1:$I$89,3,0)*VLOOKUP('Données projet'!$B$16,Paramètres!$A$1:$I$89,5,0)</f>
        <v>359.5019999999999</v>
      </c>
      <c r="FG174" s="13">
        <f t="shared" si="182"/>
        <v>83.516011055432813</v>
      </c>
      <c r="FH174" s="20">
        <f t="shared" si="183"/>
        <v>771.58970258821194</v>
      </c>
      <c r="FI174" s="59">
        <f t="shared" si="131"/>
        <v>1064.9230359215453</v>
      </c>
      <c r="FJ174" s="59">
        <f ca="1">AVERAGE(OFFSET($FI$3,0,0,'Données projet'!$E$16+1,1))-AVERAGE(OFFSET($H$3,0,0,'Données projet'!$E$16+1,1))</f>
        <v>383.97627237444709</v>
      </c>
      <c r="FK174" s="59">
        <f t="shared" si="156"/>
        <v>203.35476578922339</v>
      </c>
      <c r="FL174" s="15">
        <f>IF(ISNA(VLOOKUP(A174,'Données projet'!$A$217:$I$237,3,0)),0,VLOOKUP(A174,'Données projet'!$A$217:$I$237,3,0))</f>
        <v>0</v>
      </c>
      <c r="FM174" s="15">
        <f>IF(ISNA(VLOOKUP(A174,'Données projet'!$A$217:$I$237,4,0)),0,VLOOKUP(A174,'Données projet'!$A$217:$I$237,4,0))</f>
        <v>0</v>
      </c>
      <c r="FN174" s="16">
        <f>IF(ISNA(VLOOKUP(A174,'Données projet'!$A$217:$I$237,5,0)),0%,VLOOKUP(A174,'Données projet'!$A$217:$I$237,5,0)*VLOOKUP('Données projet'!$B$16,Paramètres!$A$1:$I$89,7,0))</f>
        <v>0</v>
      </c>
      <c r="FO174" s="16">
        <f>IF(ISNA(VLOOKUP(A174,'Données projet'!$A$217:$I$237,6,0)),0%,VLOOKUP(A174,'Données projet'!$A$217:$I$237,6,0)*VLOOKUP('Données projet'!$B$16,Paramètres!$A$1:$I$89,7,0))</f>
        <v>0</v>
      </c>
      <c r="FP174" s="16">
        <f>IF(ISNA(VLOOKUP(A174,'Données projet'!$A$217:$I$237,7,0)),0%,VLOOKUP(A174,'Données projet'!$A$217:$I$237,7,0))</f>
        <v>0</v>
      </c>
      <c r="FQ174" s="21">
        <f>EXP(-LN(2)/35)*FQ173+(1-EXP(-LN(2)/35))/(LN(2)/35)*FM174*FN174*VLOOKUP('Données projet'!$B$16,Paramètres!$A$1:$I$89,3,0)*0.475*44/12</f>
        <v>0.31572814177403774</v>
      </c>
      <c r="FR174" s="21">
        <f>EXP(-LN(2)/25)*FR173+(1-EXP(-LN(2)/25))/(LN(2)/25)*Calculateur!FM174*Calculateur!FO174*VLOOKUP('Données projet'!$B$16,Paramètres!$A$1:$I$89,3,0)*0.475*44/12</f>
        <v>0.11814248900871642</v>
      </c>
      <c r="FS174" s="21">
        <f>EXP(-LN(2)/2)*FS173+(1-EXP(-LN(2)/2))/(LN(2)/2)*FM174*FP174*VLOOKUP('Données projet'!$B$16,Paramètres!$A$1:$I$89,3,0)*0.475*44/12</f>
        <v>9.9701754757365782E-21</v>
      </c>
      <c r="FT174" s="22">
        <f t="shared" si="184"/>
        <v>0.43387063078275417</v>
      </c>
      <c r="FU174" s="75">
        <f>('Scénario référence'!$F$8+'Scénario référence'!$F$9+'Scénario référence'!$B$17+'Scénario référence'!$B$9+'Scénario référence'!$B$10)*70+IF((45+25*(1-EXP(-0.0175*A174)))&lt;70,'Scénario référence'!$B$16*(45+25*(1-EXP(-0.0175*A174))),70*'Scénario référence'!$B$16)+IF((32+38*(1-EXP(-0.0175*A174)))&lt;70,'Scénario référence'!$B$18*(32+38*(1-EXP(-0.0175*A174))),70*'Scénario référence'!$B$18)</f>
        <v>70</v>
      </c>
      <c r="FV174" s="12">
        <f>IF(A174&gt;30,10,('Scénario référence'!$B$16+'Scénario référence'!$B$17+'Scénario référence'!$B$18+'Scénario référence'!$B$9+'Scénario référence'!$B$10)*A174*10/30+('Scénario référence'!$F$8+'Scénario référence'!$F$9)*10)</f>
        <v>10</v>
      </c>
      <c r="FW174" s="12" t="e">
        <f>VLOOKUP(A174,'Données projet'!$A$243:$I$263,2,0)</f>
        <v>#N/A</v>
      </c>
      <c r="FX174" s="12" t="e">
        <f>VLOOKUP(A174,'Données projet'!$A$243:$I$263,9,0)</f>
        <v>#N/A</v>
      </c>
      <c r="FY174" s="12">
        <f t="array" ref="FY174">INDEX(FX:FX,MIN(IF(ISNUMBER(FX174:FX370),ROW(FX174:FX370),"")))</f>
        <v>0</v>
      </c>
      <c r="FZ174" s="12">
        <f>IF('Données projet'!$A$244&gt;35,FZ173+FY174-GH173,IF(A174&lt;'Données projet'!$A$244,$FW$205^A174,IF(A174='Données projet'!$A$244,'Données projet'!$B$244,FZ173+FY174-GH173)))</f>
        <v>4.5474735088646412E-13</v>
      </c>
      <c r="GA174" s="17">
        <f>FZ174*VLOOKUP('Données projet'!$B$17,Paramètres!$A$1:$I$89,3,0)*VLOOKUP('Données projet'!$B$17,Paramètres!$A$1:$I$89,5,0)</f>
        <v>4.8949004849418999E-13</v>
      </c>
      <c r="GB174" s="13">
        <f t="shared" si="185"/>
        <v>6.1123715499968684E-12</v>
      </c>
      <c r="GC174" s="20">
        <f t="shared" si="186"/>
        <v>1.1498242284038591E-11</v>
      </c>
      <c r="GD174" s="59">
        <f t="shared" si="134"/>
        <v>293.3333333333448</v>
      </c>
      <c r="GE174" s="59">
        <f ca="1">AVERAGE(OFFSET($GD$3,0,0,'Données projet'!$E$17+1,1))-AVERAGE(OFFSET($H$3,0,0,'Données projet'!$E$17+1,1))</f>
        <v>286.77702855541287</v>
      </c>
      <c r="GF174" s="59">
        <f t="shared" si="158"/>
        <v>227.12211541860779</v>
      </c>
      <c r="GG174" s="15">
        <f>IF(ISNA(VLOOKUP(A174,'Données projet'!$A$243:$I$263,3,0)),0,VLOOKUP(A174,'Données projet'!$A$243:$I$263,3,0))</f>
        <v>0</v>
      </c>
      <c r="GH174" s="15">
        <f>IF(ISNA(VLOOKUP(A174,'Données projet'!$A$243:$I$263,4,0)),0,VLOOKUP(A174,'Données projet'!$A$243:$I$263,4,0))</f>
        <v>0</v>
      </c>
      <c r="GI174" s="16">
        <f>IF(ISNA(VLOOKUP(A174,'Données projet'!$A$243:$I$263,5,0)),0%,VLOOKUP(A174,'Données projet'!$A$243:$I$263,5,0)*VLOOKUP('Données projet'!$B$17,Paramètres!$A$1:$I$89,7,0))</f>
        <v>0</v>
      </c>
      <c r="GJ174" s="16">
        <f>IF(ISNA(VLOOKUP(A174,'Données projet'!$A$243:$I$263,6,0)),0%,VLOOKUP(A174,'Données projet'!$A$243:$I$263,6,0)*VLOOKUP('Données projet'!$B$17,Paramètres!$A$1:$I$89,7,0))</f>
        <v>0</v>
      </c>
      <c r="GK174" s="16">
        <f>IF(ISNA(VLOOKUP(A174,'Données projet'!$A$243:$I$263,7,0)),0%,VLOOKUP(A174,'Données projet'!$A$243:$I$263,7,0))</f>
        <v>0</v>
      </c>
      <c r="GL174" s="21">
        <f>EXP(-LN(2)/35)*GL173+(1-EXP(-LN(2)/35))/(LN(2)/35)*GH174*GI174*VLOOKUP('Données projet'!$B$17,Paramètres!$A$1:$I$89,3,0)*0.475*44/12</f>
        <v>0</v>
      </c>
      <c r="GM174" s="21">
        <f>EXP(-LN(2)/25)*GM173+(1-EXP(-LN(2)/25))/(LN(2)/25)*Calculateur!GH174*Calculateur!GJ174*VLOOKUP('Données projet'!$B$17,Paramètres!$A$1:$I$89,3,0)*0.475*44/12</f>
        <v>0</v>
      </c>
      <c r="GN174" s="21">
        <f>EXP(-LN(2)/2)*GN173+(1-EXP(-LN(2)/2))/(LN(2)/2)*GH174*GK174*VLOOKUP('Données projet'!$B$17,Paramètres!$A$1:$I$89,3,0)*0.475*44/12</f>
        <v>0</v>
      </c>
      <c r="GO174" s="21">
        <f t="shared" si="187"/>
        <v>0</v>
      </c>
      <c r="GP174" s="75">
        <f>('Scénario référence'!$F$8+'Scénario référence'!$F$9+'Scénario référence'!$B$17+'Scénario référence'!$B$9+'Scénario référence'!$B$10)*70+IF((45+25*(1-EXP(-0.0175*A174)))&lt;70,'Scénario référence'!$B$16*(45+25*(1-EXP(-0.0175*A174))),70*'Scénario référence'!$B$16)+IF((32+38*(1-EXP(-0.0175*A174)))&lt;70,'Scénario référence'!$B$18*(32+38*(1-EXP(-0.0175*A174))),70*'Scénario référence'!$B$18)</f>
        <v>70</v>
      </c>
      <c r="GQ174" s="12">
        <f>IF(A174&gt;30,10,('Scénario référence'!$B$16+'Scénario référence'!$B$17+'Scénario référence'!$B$18+'Scénario référence'!$B$9+'Scénario référence'!$B$10)*A174*10/30+('Scénario référence'!$F$8+'Scénario référence'!$F$9)*10)</f>
        <v>10</v>
      </c>
      <c r="GR174" s="12" t="e">
        <f>VLOOKUP(A174,'Données projet'!$A$269:$I$289,2,0)</f>
        <v>#N/A</v>
      </c>
      <c r="GS174" s="12" t="e">
        <f>VLOOKUP(A174,'Données projet'!$A$269:$I$289,9,0)</f>
        <v>#N/A</v>
      </c>
      <c r="GT174" s="12">
        <f t="array" ref="GT174">INDEX(GS:GS,MIN(IF(ISNUMBER(GS174:GS370),ROW(GS174:GS370),"")))</f>
        <v>0</v>
      </c>
      <c r="GU174" s="12">
        <f>IF('Données projet'!$A$270&gt;35,GU173+GT174-HC173,IF(A174&lt;'Données projet'!$A$270,$GR$205^A174,IF(A174='Données projet'!$A$270,'Données projet'!$B$270,GU173+GT174-HC173)))</f>
        <v>4.5474735088646412E-13</v>
      </c>
      <c r="GV174" s="17">
        <f>GU174*VLOOKUP('Données projet'!$B$18,Paramètres!$A$1:$I$89,3,0)*VLOOKUP('Données projet'!$B$18,Paramètres!$A$1:$I$89,5,0)</f>
        <v>4.8949004849418999E-13</v>
      </c>
      <c r="GW174" s="13">
        <f t="shared" si="188"/>
        <v>6.1123715499968684E-12</v>
      </c>
      <c r="GX174" s="20">
        <f t="shared" si="189"/>
        <v>1.1498242284038591E-11</v>
      </c>
      <c r="GY174" s="59">
        <f t="shared" si="137"/>
        <v>293.3333333333448</v>
      </c>
      <c r="GZ174" s="59">
        <f ca="1">AVERAGE(OFFSET($GY$3,0,0,'Données projet'!$E$18+1,1))-AVERAGE(OFFSET($H$3,0,0,'Données projet'!$E$18+1,1))</f>
        <v>286.77702855541287</v>
      </c>
      <c r="HA174" s="59">
        <f t="shared" si="160"/>
        <v>227.12211541860779</v>
      </c>
      <c r="HB174" s="15">
        <f>IF(ISNA(VLOOKUP(A174,'Données projet'!$A$269:$I$289,3,0)),0,VLOOKUP(A174,'Données projet'!$A$269:$I$289,3,0))</f>
        <v>0</v>
      </c>
      <c r="HC174" s="15">
        <f>IF(ISNA(VLOOKUP(A174,'Données projet'!$A$269:$I$289,4,0)),0,VLOOKUP(A174,'Données projet'!$A$269:$I$289,4,0))</f>
        <v>0</v>
      </c>
      <c r="HD174" s="16">
        <f>IF(ISNA(VLOOKUP(A174,'Données projet'!$A$269:$I$289,5,0)),0%,VLOOKUP(A174,'Données projet'!$A$269:$I$289,5,0)*VLOOKUP('Données projet'!$B$18,Paramètres!$A$1:$I$89,7,0))</f>
        <v>0</v>
      </c>
      <c r="HE174" s="16">
        <f>IF(ISNA(VLOOKUP(A174,'Données projet'!$A$269:$I$289,6,0)),0%,VLOOKUP(A174,'Données projet'!$A$269:$I$289,6,0)*VLOOKUP('Données projet'!$B$18,Paramètres!$A$1:$I$89,7,0))</f>
        <v>0</v>
      </c>
      <c r="HF174" s="16">
        <f>IF(ISNA(VLOOKUP(A174,'Données projet'!$A$269:$I$289,7,0)),0%,VLOOKUP(A174,'Données projet'!$A$269:$I$289,7,0))</f>
        <v>0</v>
      </c>
      <c r="HG174" s="21">
        <f>EXP(-LN(2)/35)*HG173+(1-EXP(-LN(2)/35))/(LN(2)/35)*HC174*HD174*VLOOKUP('Données projet'!$B$18,Paramètres!$A$1:$I$89,3,0)*0.475*44/12</f>
        <v>0</v>
      </c>
      <c r="HH174" s="21">
        <f>EXP(-LN(2)/25)*HH173+(1-EXP(-LN(2)/25))/(LN(2)/25)*Calculateur!HC174*Calculateur!HE174*VLOOKUP('Données projet'!$B$18,Paramètres!$A$1:$I$89,3,0)*0.475*44/12</f>
        <v>0</v>
      </c>
      <c r="HI174" s="21">
        <f>EXP(-LN(2)/2)*HI173+(1-EXP(-LN(2)/2))/(LN(2)/2)*HC174*HF174*VLOOKUP('Données projet'!$B$18,Paramètres!$A$1:$I$89,3,0)*0.475*44/12</f>
        <v>0</v>
      </c>
      <c r="HJ174" s="22">
        <f t="shared" si="190"/>
        <v>0</v>
      </c>
    </row>
    <row r="175" spans="1:218" x14ac:dyDescent="0.25">
      <c r="A175" s="10">
        <f t="shared" si="161"/>
        <v>172</v>
      </c>
      <c r="B175" s="73">
        <f>'Scénario référence'!$B$16*5+'Scénario référence'!$B$17*0+'Scénario référence'!$B$18*5</f>
        <v>0</v>
      </c>
      <c r="C175" s="19">
        <f>Calculateur!C174+'Scénario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152.94239999999991</v>
      </c>
      <c r="D175" s="11">
        <f t="shared" si="140"/>
        <v>39.246498705676842</v>
      </c>
      <c r="E17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75" s="11">
        <f>IF(OR('Scénario référence'!$F$8&gt;0,'Scénario référence'!$F$9&gt;0),('Scénario référence'!$F$8+'Scénario référence'!$F$9)*10,0)</f>
        <v>10</v>
      </c>
      <c r="G175" s="11">
        <f>'Scénario référence'!$B$8*B175*44/12+'Scénario référence'!$B$9*(C175+D175)/0.475*44/12+'Scénario référence'!$B$10*(C175+D175)/0.475*44/12+'Scénario référence'!$F$8*(C175+D175)/0.475*44/12+'Scénario référence'!$F$9*(C175+D175)/0.475*44/12</f>
        <v>1483.5634286052243</v>
      </c>
      <c r="H175" s="67">
        <f t="shared" si="110"/>
        <v>628.06233191238698</v>
      </c>
      <c r="I175" s="70">
        <f>('Scénario référence'!$F$8+'Scénario référence'!$F$9+'Scénario référence'!$B$17+'Scénario référence'!$B$9+'Scénario référence'!$B$10)*70+IF((45+25*(1-EXP(-0.0175*A175)))&lt;70,'Scénario référence'!$B$16*(45+25*(1-EXP(-0.0175*A175))),70*'Scénario référence'!$B$16)+IF((32+38*(1-EXP(-0.0175*A175)))&lt;70,'Scénario référence'!$B$18*(32+38*(1-EXP(-0.0175*A175))),70*'Scénario référence'!$B$18)</f>
        <v>70</v>
      </c>
      <c r="J175" s="13">
        <f>IF(A175&gt;30,10,('Scénario référence'!$B$16+'Scénario référence'!$B$17+'Scénario référence'!$B$18+'Scénario référence'!$B$9+'Scénario référence'!$B$10)*A175*10/30+('Scénario référence'!$F$8+'Scénario référence'!$F$9)*10)</f>
        <v>10</v>
      </c>
      <c r="K175" s="12" t="e">
        <f>VLOOKUP(A175,'Données projet'!$A$35:$I$55,2,0)</f>
        <v>#N/A</v>
      </c>
      <c r="L175" s="12" t="e">
        <f>VLOOKUP(A175,'Données projet'!$A$35:$I$55,9,0)</f>
        <v>#N/A</v>
      </c>
      <c r="M175" s="12">
        <f t="array" ref="M175">INDEX(L:L,MIN(IF(ISNUMBER(L175:L371),ROW(L175:L371),"")))</f>
        <v>0</v>
      </c>
      <c r="N175" s="13">
        <f>IF('Données projet'!$A$36&gt;35,N174+M175-V174,IF(A175&lt;'Données projet'!$A$36,$K$205^A175,IF(A175='Données projet'!$A$36,'Données projet'!$B$36,N174+M175-V174)))</f>
        <v>-2.2737367544323206E-13</v>
      </c>
      <c r="O175" s="13">
        <f>N175*VLOOKUP('Données projet'!$B$9,Paramètres!$A$1:$I$89,3,0)*VLOOKUP('Données projet'!$B$9,Paramètres!$A$1:$I$89,5,0)</f>
        <v>-1.2710188457276673E-13</v>
      </c>
      <c r="P175" s="13" t="e">
        <f t="shared" si="141"/>
        <v>#NUM!</v>
      </c>
      <c r="Q175" s="20" t="e">
        <f t="shared" si="162"/>
        <v>#NUM!</v>
      </c>
      <c r="R175" s="59" t="e">
        <f t="shared" si="109"/>
        <v>#NUM!</v>
      </c>
      <c r="S175" s="59">
        <f ca="1">AVERAGE(OFFSET($R$3,0,0,'Données projet'!$E$9+1,1))-AVERAGE(OFFSET($H$3,0,0,'Données projet'!$E$9+1,1))</f>
        <v>255.5374979188561</v>
      </c>
      <c r="T175" s="59">
        <f t="shared" si="142"/>
        <v>343.10418468620901</v>
      </c>
      <c r="U175" s="15">
        <f>IF(ISNA(VLOOKUP(A175,'Données projet'!$A$35:$I$55,3,0)),0,VLOOKUP(A175,'Données projet'!$A$35:$I$55,3,0))</f>
        <v>0</v>
      </c>
      <c r="V175" s="15">
        <f>IF(ISNA(VLOOKUP(A175,'Données projet'!$A$35:$I$55,4,0)),0,VLOOKUP(A175,'Données projet'!$A$35:$I$55,4,0))</f>
        <v>0</v>
      </c>
      <c r="W175" s="16">
        <f>IF(ISNA(VLOOKUP(A175,'Données projet'!$A$35:$I$55,5,0)),0%,VLOOKUP(A175,'Données projet'!$A$35:$I$55,5,0)*VLOOKUP('Données projet'!$B$9,Paramètres!$A$1:$I$89,7,0))</f>
        <v>0</v>
      </c>
      <c r="X175" s="16">
        <f>IF(ISNA(VLOOKUP(A175,'Données projet'!$A$35:$I$55,6,0)),0%,VLOOKUP(A175,'Données projet'!$A$35:$I$55,6,0)*VLOOKUP('Données projet'!$B$9,Paramètres!$A$1:$I$89,7,0))</f>
        <v>0</v>
      </c>
      <c r="Y175" s="16">
        <f>IF(ISNA(VLOOKUP(A175,'Données projet'!$A$35:$I$55,7,0)),0%,VLOOKUP(A175,'Données projet'!$A$35:$I$55,7,0))</f>
        <v>0</v>
      </c>
      <c r="Z175" s="21">
        <f>EXP(-LN(2)/35)*Z174+(1-EXP(-LN(2)/35))/(LN(2)/35)*V175*W175*VLOOKUP('Données projet'!$B$9,Paramètres!$A$1:$I$89,3,0)*0.475*44/12</f>
        <v>0.18562758886303043</v>
      </c>
      <c r="AA175" s="21">
        <f>EXP(-LN(2)/25)*AA174+(1-EXP(-LN(2)/25))/(LN(2)/25)*Calculateur!V175*Calculateur!X175*VLOOKUP('Données projet'!$B$9,Paramètres!$A$1:$I$89,3,0)*0.475*44/12</f>
        <v>0.31130748501092925</v>
      </c>
      <c r="AB175" s="21">
        <f>EXP(-LN(2)/2)*AB174+(1-EXP(-LN(2)/2))/(LN(2)/2)*V175*Y175*VLOOKUP('Données projet'!$B$9,Paramètres!$A$1:$I$89,3,0)*0.475*44/12</f>
        <v>7.1686603976804885E-22</v>
      </c>
      <c r="AC175" s="22">
        <f t="shared" si="163"/>
        <v>0.49693507387395969</v>
      </c>
      <c r="AD175" s="13">
        <f>('Scénario référence'!$F$8+'Scénario référence'!$F$9+'Scénario référence'!$B$17+'Scénario référence'!$B$9+'Scénario référence'!$B$10)*70+IF((45+25*(1-EXP(-0.0175*A175)))&lt;70,'Scénario référence'!$B$16*(45+25*(1-EXP(-0.0175*A175))),70*'Scénario référence'!$B$16)+IF((32+38*(1-EXP(-0.0175*A175)))&lt;70,'Scénario référence'!$B$18*(32+38*(1-EXP(-0.0175*A175))),70*'Scénario référence'!$B$18)</f>
        <v>70</v>
      </c>
      <c r="AE175" s="13">
        <f>IF(A175&gt;30,10,('Scénario référence'!$B$16+'Scénario référence'!$B$17+'Scénario référence'!$B$18+'Scénario référence'!$B$9+'Scénario référence'!$B$10)*A175*10/30+('Scénario référence'!$F$8+'Scénario référence'!$F$9)*10)</f>
        <v>10</v>
      </c>
      <c r="AF175" s="12" t="e">
        <f>VLOOKUP(A175,'Données projet'!$A$61:$I$81,2,0)</f>
        <v>#N/A</v>
      </c>
      <c r="AG175" s="12" t="e">
        <f>VLOOKUP(A175,'Données projet'!$A$61:$I$81,9,0)</f>
        <v>#N/A</v>
      </c>
      <c r="AH175" s="12">
        <f t="array" ref="AH175">INDEX(AG:AG,MIN(IF(ISNUMBER(AG175:AG371),ROW(AG175:AG371),"")))</f>
        <v>0</v>
      </c>
      <c r="AI175" s="13">
        <f>IF('Données projet'!$A$62&gt;35,AI174+AH175-AQ174,IF(A175&lt;'Données projet'!$A$62,$AF$205^A175,IF(A175='Données projet'!$A$62,'Données projet'!$B$62,AI174+AH175-AQ174)))</f>
        <v>0</v>
      </c>
      <c r="AJ175" s="13">
        <f>AI175*VLOOKUP('Données projet'!$B$10,Paramètres!$A$1:$I$89,3,0)*VLOOKUP('Données projet'!$B$10,Paramètres!$A$1:$I$89,5,0)</f>
        <v>0</v>
      </c>
      <c r="AK175" s="13" t="e">
        <f t="shared" si="164"/>
        <v>#NUM!</v>
      </c>
      <c r="AL175" s="20" t="e">
        <f t="shared" si="165"/>
        <v>#NUM!</v>
      </c>
      <c r="AM175" s="59" t="e">
        <f t="shared" si="113"/>
        <v>#NUM!</v>
      </c>
      <c r="AN175" s="59">
        <f ca="1">AVERAGE(OFFSET($AM$3,0,0,'Données projet'!$E$10+1,1))-AVERAGE(OFFSET($H$3,0,0,'Données projet'!$E$10+1,1))</f>
        <v>261.78489480911571</v>
      </c>
      <c r="AO175" s="59">
        <f t="shared" si="144"/>
        <v>297.50513563712764</v>
      </c>
      <c r="AP175" s="15">
        <f>IF(ISNA(VLOOKUP(A175,'Données projet'!$A$61:$I$81,3,0)),0,VLOOKUP(A175,'Données projet'!$A$61:$I$81,3,0))</f>
        <v>0</v>
      </c>
      <c r="AQ175" s="15">
        <f>IF(ISNA(VLOOKUP(A175,'Données projet'!$A$61:$I$81,4,0)),0,VLOOKUP(A175,'Données projet'!$A$61:$I$81,4,0))</f>
        <v>0</v>
      </c>
      <c r="AR175" s="16">
        <f>IF(ISNA(VLOOKUP(A175,'Données projet'!$A$61:$I$81,5,0)),0%,VLOOKUP(A175,'Données projet'!$A$61:$I$81,5,0)*VLOOKUP('Données projet'!$B$10,Paramètres!$A$1:$I$89,7,0))</f>
        <v>0</v>
      </c>
      <c r="AS175" s="16">
        <f>IF(ISNA(VLOOKUP(A175,'Données projet'!$A$61:$I$81,6,0)),0%,VLOOKUP(A175,'Données projet'!$A$61:$I$81,6,0)*VLOOKUP('Données projet'!$B$10,Paramètres!$A$1:$I$89,7,0))</f>
        <v>0</v>
      </c>
      <c r="AT175" s="16">
        <f>IF(ISNA(VLOOKUP(A175,'Données projet'!$A$61:$I$81,7,0)),0%,VLOOKUP(A175,'Données projet'!$A$61:$I$81,7,0))</f>
        <v>0</v>
      </c>
      <c r="AU175" s="21">
        <f>EXP(-LN(2)/35)*AU174+(1-EXP(-LN(2)/35))/(LN(2)/35)*AQ175*AR175*VLOOKUP('Données projet'!$B$10,Paramètres!$A$1:$I$89,3,0)*0.475*44/12</f>
        <v>0.50124699444186016</v>
      </c>
      <c r="AV175" s="21">
        <f>EXP(-LN(2)/25)*AV174+(1-EXP(-LN(2)/25))/(LN(2)/25)*Calculateur!AQ175*Calculateur!AS175*VLOOKUP('Données projet'!$B$10,Paramètres!$A$1:$I$89,3,0)*0.475*44/12</f>
        <v>0.54360636337600232</v>
      </c>
      <c r="AW175" s="21">
        <f>EXP(-LN(2)/2)*AW174+(1-EXP(-LN(2)/2))/(LN(2)/2)*AQ175*AT175*VLOOKUP('Données projet'!$B$10,Paramètres!$A$1:$I$89,3,0)*0.475*44/12</f>
        <v>1.0334306422606991E-20</v>
      </c>
      <c r="AX175" s="21">
        <f t="shared" si="166"/>
        <v>1.0448533578178625</v>
      </c>
      <c r="AY175" s="74">
        <f>('Scénario référence'!$F$8+'Scénario référence'!$F$9+'Scénario référence'!$B$17+'Scénario référence'!$B$9+'Scénario référence'!$B$10)*70+IF((45+25*(1-EXP(-0.0175*A175)))&lt;70,'Scénario référence'!$B$16*(45+25*(1-EXP(-0.0175*A175))),70*'Scénario référence'!$B$16)+IF((32+38*(1-EXP(-0.0175*A175)))&lt;70,'Scénario référence'!$B$18*(32+38*(1-EXP(-0.0175*A175))),70*'Scénario référence'!$B$18)</f>
        <v>70</v>
      </c>
      <c r="AZ175" s="12">
        <f>IF(A175&gt;30,10,('Scénario référence'!$B$16+'Scénario référence'!$B$17+'Scénario référence'!$B$18+'Scénario référence'!$B$9+'Scénario référence'!$B$10)*A175*10/30+('Scénario référence'!$F$8+'Scénario référence'!$F$9)*10)</f>
        <v>10</v>
      </c>
      <c r="BA175" s="12" t="e">
        <f>VLOOKUP(A175,'Données projet'!$A$87:$I$107,2,0)</f>
        <v>#N/A</v>
      </c>
      <c r="BB175" s="12" t="e">
        <f>VLOOKUP(A175,'Données projet'!$A$87:$I$107,9,0)</f>
        <v>#N/A</v>
      </c>
      <c r="BC175" s="12">
        <f t="array" ref="BC175">INDEX(BB:BB,MIN(IF(ISNUMBER(BB175:BB371),ROW(BB175:BB371),"")))</f>
        <v>0</v>
      </c>
      <c r="BD175" s="12">
        <f>IF('Données projet'!$A$88&gt;35,BD174+BC175-BL174,IF(A175&lt;'Données projet'!$A$88,$BA$205^A175,IF(A175='Données projet'!$A$88,'Données projet'!$B$88,BD174+BC175-BL174)))</f>
        <v>553.99999999999955</v>
      </c>
      <c r="BE175" s="13">
        <f>BD175*VLOOKUP('Données projet'!$B$11,Paramètres!$A$1:$I$89,3,0)*VLOOKUP('Données projet'!$B$11,Paramètres!$A$1:$I$89,5,0)</f>
        <v>331.29199999999975</v>
      </c>
      <c r="BF175" s="13">
        <f t="shared" si="167"/>
        <v>77.698110787752</v>
      </c>
      <c r="BG175" s="20">
        <f t="shared" si="168"/>
        <v>712.32444295533423</v>
      </c>
      <c r="BH175" s="59">
        <f t="shared" si="116"/>
        <v>1005.6577762886675</v>
      </c>
      <c r="BI175" s="59">
        <f ca="1">AVERAGE(OFFSET($BH$3,0,0,'Données projet'!$E$11+1,1))-AVERAGE(OFFSET($H$3,0,0,'Données projet'!$E$11+1,1))</f>
        <v>316.58509520829671</v>
      </c>
      <c r="BJ175" s="59">
        <f t="shared" si="146"/>
        <v>240.71332110643596</v>
      </c>
      <c r="BK175" s="15">
        <f>IF(ISNA(VLOOKUP(A175,'Données projet'!$A$87:$I$107,3,0)),0,VLOOKUP(A175,'Données projet'!$A$87:$I$107,3,0))</f>
        <v>0</v>
      </c>
      <c r="BL175" s="15">
        <f>IF(ISNA(VLOOKUP(A175,'Données projet'!$A$87:$I$107,4,0)),0,VLOOKUP(A175,'Données projet'!$A$87:$I$107,4,0))</f>
        <v>0</v>
      </c>
      <c r="BM175" s="16">
        <f>IF(ISNA(VLOOKUP(A175,'Données projet'!$A$87:$I$107,5,0)),0%,VLOOKUP(A175,'Données projet'!$A$87:$I$107,5,0)*VLOOKUP('Données projet'!$B$11,Paramètres!$A$1:$I$89,7,0))</f>
        <v>0</v>
      </c>
      <c r="BN175" s="16">
        <f>IF(ISNA(VLOOKUP(A175,'Données projet'!$A$87:$I$107,6,0)),0%,VLOOKUP(A175,'Données projet'!$A$87:$I$107,6,0)*VLOOKUP('Données projet'!$B$11,Paramètres!$A$1:$I$89,7,0))</f>
        <v>0</v>
      </c>
      <c r="BO175" s="16">
        <f>IF(ISNA(VLOOKUP(A175,'Données projet'!$A$87:$I$107,7,0)),0%,VLOOKUP(A175,'Données projet'!$A$87:$I$107,7,0))</f>
        <v>0</v>
      </c>
      <c r="BP175" s="21">
        <f>EXP(-LN(2)/35)*BP174+(1-EXP(-LN(2)/35))/(LN(2)/35)*BL175*BM175*VLOOKUP('Données projet'!$B$11,Paramètres!$A$1:$I$89,3,0)*0.475*44/12</f>
        <v>0.15225750407804292</v>
      </c>
      <c r="BQ175" s="21">
        <f>EXP(-LN(2)/25)*BQ174+(1-EXP(-LN(2)/25))/(LN(2)/25)*Calculateur!BL175*Calculateur!BN175*VLOOKUP('Données projet'!$B$11,Paramètres!$A$1:$I$89,3,0)*0.475*44/12</f>
        <v>0.29780342724547848</v>
      </c>
      <c r="BR175" s="21">
        <f>EXP(-LN(2)/2)*BR174+(1-EXP(-LN(2)/2))/(LN(2)/2)*BL175*BO175*VLOOKUP('Données projet'!$B$11,Paramètres!$A$1:$I$89,3,0)*0.475*44/12</f>
        <v>9.2916732107623419E-21</v>
      </c>
      <c r="BS175" s="22">
        <f t="shared" si="169"/>
        <v>0.45006093132352143</v>
      </c>
      <c r="BT175" s="75">
        <f>('Scénario référence'!$F$8+'Scénario référence'!$F$9+'Scénario référence'!$B$17+'Scénario référence'!$B$9+'Scénario référence'!$B$10)*70+IF((45+25*(1-EXP(-0.0175*A175)))&lt;70,'Scénario référence'!$B$16*(45+25*(1-EXP(-0.0175*A175))),70*'Scénario référence'!$B$16)+IF((32+38*(1-EXP(-0.0175*A175)))&lt;70,'Scénario référence'!$B$18*(32+38*(1-EXP(-0.0175*A175))),70*'Scénario référence'!$B$18)</f>
        <v>70</v>
      </c>
      <c r="BU175" s="12">
        <f>IF(A175&gt;30,10,('Scénario référence'!$B$16+'Scénario référence'!$B$17+'Scénario référence'!$B$18+'Scénario référence'!$B$9+'Scénario référence'!$B$10)*A175*10/30+('Scénario référence'!$F$8+'Scénario référence'!$F$9)*10)</f>
        <v>10</v>
      </c>
      <c r="BV175" s="12" t="e">
        <f>VLOOKUP(A175,'Données projet'!$A$113:$I$133,2,0)</f>
        <v>#N/A</v>
      </c>
      <c r="BW175" s="12" t="e">
        <f>VLOOKUP(A175,'Données projet'!$A$113:$I$133,9,0)</f>
        <v>#N/A</v>
      </c>
      <c r="BX175" s="12">
        <f t="array" ref="BX175">INDEX(BW:BW,MIN(IF(ISNUMBER(BW175:BW371),ROW(BW175:BW371),"")))</f>
        <v>0</v>
      </c>
      <c r="BY175" s="12">
        <f>IF('Données projet'!$A$114&gt;35,BY174+BX175-CG174,IF(A175&lt;'Données projet'!$A$114,$BV$205^A175,IF(A175='Données projet'!$A$114,'Données projet'!$B$114,BY174+BX175-CG174)))</f>
        <v>333.99999999999977</v>
      </c>
      <c r="BZ175" s="13">
        <f>BY175*VLOOKUP('Données projet'!$B$12,Paramètres!$A$1:$I$89,3,0)*VLOOKUP('Données projet'!$B$12,Paramètres!$A$1:$I$89,5,0)</f>
        <v>191.04799999999986</v>
      </c>
      <c r="CA175" s="13">
        <f t="shared" si="170"/>
        <v>47.771576544305155</v>
      </c>
      <c r="CB175" s="20">
        <f t="shared" si="171"/>
        <v>415.94409581466454</v>
      </c>
      <c r="CC175" s="59">
        <f t="shared" si="119"/>
        <v>709.27742914799785</v>
      </c>
      <c r="CD175" s="59">
        <f ca="1">AVERAGE(OFFSET($CC$3,0,0,'Données projet'!$E$12+1,1))-AVERAGE(OFFSET($H$3,0,0,'Données projet'!$E$12+1,1))</f>
        <v>188.64374818906128</v>
      </c>
      <c r="CE175" s="59">
        <f t="shared" si="148"/>
        <v>211.95157880548652</v>
      </c>
      <c r="CF175" s="15">
        <f>IF(ISNA(VLOOKUP(A175,'Données projet'!$A$113:$I$133,3,0)),0,VLOOKUP(A175,'Données projet'!$A$113:$I$133,3,0))</f>
        <v>0</v>
      </c>
      <c r="CG175" s="15">
        <f>IF(ISNA(VLOOKUP(A175,'Données projet'!$A$113:$I$133,4,0)),0,VLOOKUP(A175,'Données projet'!$A$113:$I$133,4,0))</f>
        <v>0</v>
      </c>
      <c r="CH175" s="16">
        <f>IF(ISNA(VLOOKUP(A175,'Données projet'!$A$113:$I$133,5,0)),0%,VLOOKUP(A175,'Données projet'!$A$113:$I$133,5,0)*VLOOKUP('Données projet'!$B$12,Paramètres!$A$1:$I$89,7,0))</f>
        <v>0</v>
      </c>
      <c r="CI175" s="16">
        <f>IF(ISNA(VLOOKUP(A175,'Données projet'!$A$113:$I$133,6,0)),0%,VLOOKUP(A175,'Données projet'!$A$113:$I$133,6,0)*VLOOKUP('Données projet'!$B$12,Paramètres!$A$1:$I$89,7,0))</f>
        <v>0</v>
      </c>
      <c r="CJ175" s="16">
        <f>IF(ISNA(VLOOKUP(A175,'Données projet'!$A$113:$I$133,7,0)),0%,VLOOKUP(A175,'Données projet'!$A$113:$I$133,7,0))</f>
        <v>0</v>
      </c>
      <c r="CK175" s="21">
        <f>EXP(-LN(2)/35)*CK174+(1-EXP(-LN(2)/35))/(LN(2)/35)*CG175*CH175*VLOOKUP('Données projet'!$B$12,Paramètres!$A$1:$I$89,3,0)*0.475*44/12</f>
        <v>0.14768884657661954</v>
      </c>
      <c r="CL175" s="21">
        <f>EXP(-LN(2)/25)*CL174+(1-EXP(-LN(2)/25))/(LN(2)/25)*Calculateur!CG175*Calculateur!CI175*VLOOKUP('Données projet'!$B$12,Paramètres!$A$1:$I$89,3,0)*0.475*44/12</f>
        <v>0.280299328517983</v>
      </c>
      <c r="CM175" s="21">
        <f>EXP(-LN(2)/2)*CM174+(1-EXP(-LN(2)/2))/(LN(2)/2)*CG175*CJ175*VLOOKUP('Données projet'!$B$12,Paramètres!$A$1:$I$89,3,0)*0.475*44/12</f>
        <v>8.9982585133144311E-21</v>
      </c>
      <c r="CN175" s="22">
        <f t="shared" si="172"/>
        <v>0.42798817509460252</v>
      </c>
      <c r="CO175" s="75">
        <f>('Scénario référence'!$F$8+'Scénario référence'!$F$9+'Scénario référence'!$B$17+'Scénario référence'!$B$9+'Scénario référence'!$B$10)*70+IF((45+25*(1-EXP(-0.0175*A175)))&lt;70,'Scénario référence'!$B$16*(45+25*(1-EXP(-0.0175*A175))),70*'Scénario référence'!$B$16)+IF((32+38*(1-EXP(-0.0175*A175)))&lt;70,'Scénario référence'!$B$18*(32+38*(1-EXP(-0.0175*A175))),70*'Scénario référence'!$B$18)</f>
        <v>70</v>
      </c>
      <c r="CP175" s="12">
        <f>IF(A175&gt;30,10,('Scénario référence'!$B$16+'Scénario référence'!$B$17+'Scénario référence'!$B$18+'Scénario référence'!$B$9+'Scénario référence'!$B$10)*A175*10/30+('Scénario référence'!$F$8+'Scénario référence'!$F$9)*10)</f>
        <v>10</v>
      </c>
      <c r="CQ175" s="12" t="e">
        <f>VLOOKUP(A175,'Données projet'!$A$139:$I$159,2,0)</f>
        <v>#N/A</v>
      </c>
      <c r="CR175" s="12" t="e">
        <f>VLOOKUP(A175,'Données projet'!$A$139:$I$159,9,0)</f>
        <v>#N/A</v>
      </c>
      <c r="CS175" s="12">
        <f t="array" ref="CS175">INDEX(CR:CR,MIN(IF(ISNUMBER(CR175:CR371),ROW(CR175:CR371),"")))</f>
        <v>0</v>
      </c>
      <c r="CT175" s="12">
        <f>IF('Données projet'!$A$140&gt;35,CT174+CS175-DB174,IF(A175&lt;'Données projet'!$A$140,$CQ$205^A175,IF(A175='Données projet'!$A$140,'Données projet'!$B$140,CT174+CS175-DB174)))</f>
        <v>0</v>
      </c>
      <c r="CU175" s="17" t="e">
        <f>CT175*VLOOKUP('Données projet'!$B$13,Paramètres!$A$1:$I$89,3,0)*VLOOKUP('Données projet'!$B$13,Paramètres!$A$1:$I$89,5,0)</f>
        <v>#N/A</v>
      </c>
      <c r="CV175" s="13" t="e">
        <f t="shared" si="173"/>
        <v>#N/A</v>
      </c>
      <c r="CW175" s="20" t="e">
        <f t="shared" si="174"/>
        <v>#N/A</v>
      </c>
      <c r="CX175" s="59" t="e">
        <f t="shared" si="122"/>
        <v>#N/A</v>
      </c>
      <c r="CY175" s="59" t="e">
        <f ca="1">AVERAGE(OFFSET($CX$3,0,0,'Données projet'!$E$13+1,1))-AVERAGE(OFFSET($H$3,0,0,'Données projet'!$E$13+1,1))</f>
        <v>#N/A</v>
      </c>
      <c r="CZ175" s="59" t="e">
        <f t="shared" si="150"/>
        <v>#N/A</v>
      </c>
      <c r="DA175" s="15">
        <f>IF(ISNA(VLOOKUP(A175,'Données projet'!$A$139:$I$159,3,0)),0,VLOOKUP(A175,'Données projet'!$A$139:$I$159,3,0))</f>
        <v>0</v>
      </c>
      <c r="DB175" s="15">
        <f>IF(ISNA(VLOOKUP(A175,'Données projet'!$A$139:$I$159,4,0)),0,VLOOKUP(A175,'Données projet'!$A$139:$I$159,4,0))</f>
        <v>0</v>
      </c>
      <c r="DC175" s="16">
        <f>IF(ISNA(VLOOKUP(A175,'Données projet'!$A$139:$I$159,5,0)),0%,VLOOKUP(A175,'Données projet'!$A$139:$I$159,5,0)*VLOOKUP('Données projet'!$B$13,Paramètres!$A$1:$I$89,7,0))</f>
        <v>0</v>
      </c>
      <c r="DD175" s="16">
        <f>IF(ISNA(VLOOKUP(A175,'Données projet'!$A$139:$I$159,6,0)),0%,VLOOKUP(A175,'Données projet'!$A$139:$I$159,6,0)*VLOOKUP('Données projet'!$B$13,Paramètres!$A$1:$I$89,7,0))</f>
        <v>0</v>
      </c>
      <c r="DE175" s="16">
        <f>IF(ISNA(VLOOKUP(A175,'Données projet'!$A$139:$I$159,7,0)),0%,VLOOKUP(A175,'Données projet'!$A$139:$I$159,7,0))</f>
        <v>0</v>
      </c>
      <c r="DF175" s="21" t="e">
        <f>EXP(-LN(2)/35)*DF174+(1-EXP(-LN(2)/35))/(LN(2)/35)*DB175*DC175*VLOOKUP('Données projet'!$B$13,Paramètres!$A$1:$I$89,3,0)*0.475*44/12</f>
        <v>#N/A</v>
      </c>
      <c r="DG175" s="21" t="e">
        <f>EXP(-LN(2)/25)*DG174+(1-EXP(-LN(2)/25))/(LN(2)/25)*Calculateur!DB175*Calculateur!DD175*VLOOKUP('Données projet'!$B$13,Paramètres!$A$1:$I$89,3,0)*0.475*44/12</f>
        <v>#N/A</v>
      </c>
      <c r="DH175" s="21" t="e">
        <f>EXP(-LN(2)/2)*DH174+(1-EXP(-LN(2)/2))/(LN(2)/2)*DB175*DE175*VLOOKUP('Données projet'!$B$13,Paramètres!$A$1:$I$89,3,0)*0.475*44/12</f>
        <v>#N/A</v>
      </c>
      <c r="DI175" s="22" t="e">
        <f t="shared" si="175"/>
        <v>#N/A</v>
      </c>
      <c r="DJ175" s="75">
        <f>('Scénario référence'!$F$8+'Scénario référence'!$F$9+'Scénario référence'!$B$17+'Scénario référence'!$B$9+'Scénario référence'!$B$10)*70+IF((45+25*(1-EXP(-0.0175*A175)))&lt;70,'Scénario référence'!$B$16*(45+25*(1-EXP(-0.0175*A175))),70*'Scénario référence'!$B$16)+IF((32+38*(1-EXP(-0.0175*A175)))&lt;70,'Scénario référence'!$B$18*(32+38*(1-EXP(-0.0175*A175))),70*'Scénario référence'!$B$18)</f>
        <v>70</v>
      </c>
      <c r="DK175" s="12">
        <f>IF(A175&gt;30,10,('Scénario référence'!$B$16+'Scénario référence'!$B$17+'Scénario référence'!$B$18+'Scénario référence'!$B$9+'Scénario référence'!$B$10)*A175*10/30+('Scénario référence'!$F$8+'Scénario référence'!$F$9)*10)</f>
        <v>10</v>
      </c>
      <c r="DL175" s="12" t="e">
        <f>VLOOKUP(A175,'Données projet'!$A$165:$I$185,2,0)</f>
        <v>#N/A</v>
      </c>
      <c r="DM175" s="12" t="e">
        <f>VLOOKUP(A175,'Données projet'!$A$165:$I$185,9,0)</f>
        <v>#N/A</v>
      </c>
      <c r="DN175" s="12">
        <f t="array" ref="DN175">INDEX(DM:DM,MIN(IF(ISNUMBER(DM175:DM371),ROW(DM175:DM371),"")))</f>
        <v>0</v>
      </c>
      <c r="DO175" s="12">
        <f>IF('Données projet'!$A$166&gt;35,DO174+DN175-DW174,IF(A175&lt;'Données projet'!$A$166,$DL$205^A175,IF(A175='Données projet'!$A$166,'Données projet'!$B$166,DO174+DN175-DW174)))</f>
        <v>268.00000000000017</v>
      </c>
      <c r="DP175" s="17">
        <f>DO175*VLOOKUP('Données projet'!$B$14,Paramètres!$A$1:$I$89,3,0)*VLOOKUP('Données projet'!$B$14,Paramètres!$A$1:$I$89,5,0)</f>
        <v>175.59360000000012</v>
      </c>
      <c r="DQ175" s="13">
        <f t="shared" si="176"/>
        <v>44.340433728638573</v>
      </c>
      <c r="DR175" s="20">
        <f t="shared" si="177"/>
        <v>383.05177541071242</v>
      </c>
      <c r="DS175" s="59">
        <f t="shared" si="125"/>
        <v>676.38510874404574</v>
      </c>
      <c r="DT175" s="59">
        <f ca="1">AVERAGE(OFFSET($DS$3,0,0,'Données projet'!$E$14+1,1))-AVERAGE(OFFSET($H$3,0,0,'Données projet'!$E$14+1,1))</f>
        <v>188.68915783955595</v>
      </c>
      <c r="DU175" s="59">
        <f t="shared" si="152"/>
        <v>240.82467772396944</v>
      </c>
      <c r="DV175" s="15">
        <f>IF(ISNA(VLOOKUP(A175,'Données projet'!$A$165:$I$185,3,0)),0,VLOOKUP(A175,'Données projet'!$A$165:$I$185,3,0))</f>
        <v>0</v>
      </c>
      <c r="DW175" s="15">
        <f>IF(ISNA(VLOOKUP(A175,'Données projet'!$A$165:$I$185,4,0)),0,VLOOKUP(A175,'Données projet'!$A$165:$I$185,4,0))</f>
        <v>0</v>
      </c>
      <c r="DX175" s="16">
        <f>IF(ISNA(VLOOKUP(A175,'Données projet'!$A$165:$I$185,5,0)),0%,VLOOKUP(A175,'Données projet'!$A$165:$I$185,5,0)*VLOOKUP('Données projet'!$B$14,Paramètres!$A$1:$I$89,7,0))</f>
        <v>0</v>
      </c>
      <c r="DY175" s="16">
        <f>IF(ISNA(VLOOKUP(A175,'Données projet'!$A$165:$I$185,6,0)),0%,VLOOKUP(A175,'Données projet'!$A$165:$I$185,6,0)*VLOOKUP('Données projet'!$B$14,Paramètres!$A$1:$I$89,7,0))</f>
        <v>0</v>
      </c>
      <c r="DZ175" s="16">
        <f>IF(ISNA(VLOOKUP(A175,'Données projet'!$A$165:$I$185,7,0)),0%,VLOOKUP(A175,'Données projet'!$A$165:$I$185,7,0))</f>
        <v>0</v>
      </c>
      <c r="EA175" s="21">
        <f>EXP(-LN(2)/35)*EA174+(1-EXP(-LN(2)/35))/(LN(2)/35)*DW175*DX175*VLOOKUP('Données projet'!$B$14,Paramètres!$A$1:$I$89,3,0)*0.475*44/12</f>
        <v>9.3548701219618016E-2</v>
      </c>
      <c r="EB175" s="21">
        <f>EXP(-LN(2)/25)*EB174+(1-EXP(-LN(2)/25))/(LN(2)/25)*Calculateur!DW175*Calculateur!DY175*VLOOKUP('Données projet'!$B$14,Paramètres!$A$1:$I$89,3,0)*0.475*44/12</f>
        <v>0.15678308526087695</v>
      </c>
      <c r="EC175" s="21">
        <f>EXP(-LN(2)/2)*EC174+(1-EXP(-LN(2)/2))/(LN(2)/2)*DW175*DZ175*VLOOKUP('Données projet'!$B$14,Paramètres!$A$1:$I$89,3,0)*0.475*44/12</f>
        <v>5.9277093537653078E-21</v>
      </c>
      <c r="ED175" s="22">
        <f t="shared" si="178"/>
        <v>0.25033178648049498</v>
      </c>
      <c r="EE175" s="75">
        <f>('Scénario référence'!$F$8+'Scénario référence'!$F$9+'Scénario référence'!$B$17+'Scénario référence'!$B$9+'Scénario référence'!$B$10)*70+IF((45+25*(1-EXP(-0.0175*A175)))&lt;70,'Scénario référence'!$B$16*(45+25*(1-EXP(-0.0175*A175))),70*'Scénario référence'!$B$16)+IF((32+38*(1-EXP(-0.0175*A175)))&lt;70,'Scénario référence'!$B$18*(32+38*(1-EXP(-0.0175*A175))),70*'Scénario référence'!$B$18)</f>
        <v>70</v>
      </c>
      <c r="EF175" s="12">
        <f>IF(A175&gt;30,10,('Scénario référence'!$B$16+'Scénario référence'!$B$17+'Scénario référence'!$B$18+'Scénario référence'!$B$9+'Scénario référence'!$B$10)*A175*10/30+('Scénario référence'!$F$8+'Scénario référence'!$F$9)*10)</f>
        <v>10</v>
      </c>
      <c r="EG175" s="12" t="e">
        <f>VLOOKUP(A175,'Données projet'!$A$191:$I$211,2,0)</f>
        <v>#N/A</v>
      </c>
      <c r="EH175" s="12" t="e">
        <f>VLOOKUP(A175,'Données projet'!$A$191:$I$211,9,0)</f>
        <v>#N/A</v>
      </c>
      <c r="EI175" s="12">
        <f t="array" ref="EI175">INDEX(EH:EH,MIN(IF(ISNUMBER(EH175:EH371),ROW(EH175:EH371),"")))</f>
        <v>0</v>
      </c>
      <c r="EJ175" s="12">
        <f>IF('Données projet'!$A$192&gt;35,EJ174+EI175-ER174,IF(A175&lt;'Données projet'!$A$192,$EG$205^A175,IF(A175='Données projet'!$A$192,'Données projet'!$B$192,EJ174+EI175-ER174)))</f>
        <v>275.99999999999972</v>
      </c>
      <c r="EK175" s="17">
        <f>EJ175*VLOOKUP('Données projet'!$B$15,Paramètres!$A$1:$I$89,3,0)*VLOOKUP('Données projet'!$B$15,Paramètres!$A$1:$I$89,5,0)</f>
        <v>223.8911999999998</v>
      </c>
      <c r="EL175" s="13">
        <f t="shared" si="179"/>
        <v>54.95975389514858</v>
      </c>
      <c r="EM175" s="20">
        <f t="shared" si="180"/>
        <v>485.66541136738346</v>
      </c>
      <c r="EN175" s="59">
        <f t="shared" si="128"/>
        <v>778.99874470071677</v>
      </c>
      <c r="EO175" s="59">
        <f ca="1">AVERAGE(OFFSET($EN$3,0,0,'Données projet'!$E$15+1,1))-AVERAGE(OFFSET($H$3,0,0,'Données projet'!$E$15+1,1))</f>
        <v>205.5272583787887</v>
      </c>
      <c r="EP175" s="59">
        <f t="shared" si="154"/>
        <v>180.54762778843178</v>
      </c>
      <c r="EQ175" s="15">
        <f>IF(ISNA(VLOOKUP(A175,'Données projet'!$A$191:$I$211,3,0)),0,VLOOKUP(A175,'Données projet'!$A$191:$I$211,3,0))</f>
        <v>0</v>
      </c>
      <c r="ER175" s="15">
        <f>IF(ISNA(VLOOKUP(A175,'Données projet'!$A$191:$I$211,4,0)),0,VLOOKUP(A175,'Données projet'!$A$191:$I$211,4,0))</f>
        <v>0</v>
      </c>
      <c r="ES175" s="16">
        <f>IF(ISNA(VLOOKUP(A175,'Données projet'!$A$191:$I$211,5,0)),0%,VLOOKUP(A175,'Données projet'!$A$191:$I$211,5,0)*VLOOKUP('Données projet'!$B$15,Paramètres!$A$1:$I$89,7,0))</f>
        <v>0</v>
      </c>
      <c r="ET175" s="16">
        <f>IF(ISNA(VLOOKUP(A175,'Données projet'!$A$191:$I$211,6,0)),0%,VLOOKUP(A175,'Données projet'!$A$191:$I$211,6,0)*VLOOKUP('Données projet'!$B$15,Paramètres!$A$1:$I$89,7,0))</f>
        <v>0</v>
      </c>
      <c r="EU175" s="16">
        <f>IF(ISNA(VLOOKUP(A175,'Données projet'!$A$191:$I$211,7,0)),0%,VLOOKUP(A175,'Données projet'!$A$191:$I$211,7,0))</f>
        <v>0</v>
      </c>
      <c r="EV175" s="21">
        <f>EXP(-LN(2)/35)*EV174+(1-EXP(-LN(2)/35))/(LN(2)/35)*ER175*ES175*VLOOKUP('Données projet'!$B$15,Paramètres!$A$1:$I$89,3,0)*0.475*44/12</f>
        <v>6.022754478520171E-2</v>
      </c>
      <c r="EW175" s="21">
        <f>EXP(-LN(2)/25)*EW174+(1-EXP(-LN(2)/25))/(LN(2)/25)*Calculateur!ER175*Calculateur!ET175*VLOOKUP('Données projet'!$B$15,Paramètres!$A$1:$I$89,3,0)*0.475*44/12</f>
        <v>0.11320214372452132</v>
      </c>
      <c r="EX175" s="21">
        <f>EXP(-LN(2)/2)*EX174+(1-EXP(-LN(2)/2))/(LN(2)/2)*ER175*EU175*VLOOKUP('Données projet'!$B$15,Paramètres!$A$1:$I$89,3,0)*0.475*44/12</f>
        <v>3.8381961896666741E-21</v>
      </c>
      <c r="EY175" s="22">
        <f t="shared" si="181"/>
        <v>0.17342968850972304</v>
      </c>
      <c r="EZ175" s="75">
        <f>('Scénario référence'!$F$8+'Scénario référence'!$F$9+'Scénario référence'!$B$17+'Scénario référence'!$B$9+'Scénario référence'!$B$10)*70+IF((45+25*(1-EXP(-0.0175*A175)))&lt;70,'Scénario référence'!$B$16*(45+25*(1-EXP(-0.0175*A175))),70*'Scénario référence'!$B$16)+IF((32+38*(1-EXP(-0.0175*A175)))&lt;70,'Scénario référence'!$B$18*(32+38*(1-EXP(-0.0175*A175))),70*'Scénario référence'!$B$18)</f>
        <v>70</v>
      </c>
      <c r="FA175" s="12">
        <f>IF(A175&gt;30,10,('Scénario référence'!$B$16+'Scénario référence'!$B$17+'Scénario référence'!$B$18+'Scénario référence'!$B$9+'Scénario référence'!$B$10)*A175*10/30+('Scénario référence'!$F$8+'Scénario référence'!$F$9)*10)</f>
        <v>10</v>
      </c>
      <c r="FB175" s="12" t="e">
        <f>VLOOKUP(A175,'Données projet'!$A$217:$I$237,2,0)</f>
        <v>#N/A</v>
      </c>
      <c r="FC175" s="12" t="e">
        <f>VLOOKUP(A175,'Données projet'!$A$217:$I$237,9,0)</f>
        <v>#N/A</v>
      </c>
      <c r="FD175" s="12">
        <f t="array" ref="FD175">INDEX(FC:FC,MIN(IF(ISNUMBER(FC175:FC371),ROW(FC175:FC371),"")))</f>
        <v>0</v>
      </c>
      <c r="FE175" s="12">
        <f>IF('Données projet'!$A$218&gt;35,FE174+FD175-FM174,IF(A175&lt;'Données projet'!$A$218,$FB$205^A175,IF(A175='Données projet'!$A$218,'Données projet'!$B$218,FE174+FD175-FM174)))</f>
        <v>418.99999999999983</v>
      </c>
      <c r="FF175" s="17">
        <f>FE175*VLOOKUP('Données projet'!$B$16,Paramètres!$A$1:$I$89,3,0)*VLOOKUP('Données projet'!$B$16,Paramètres!$A$1:$I$89,5,0)</f>
        <v>359.5019999999999</v>
      </c>
      <c r="FG175" s="13">
        <f t="shared" si="182"/>
        <v>83.516011055432813</v>
      </c>
      <c r="FH175" s="20">
        <f t="shared" si="183"/>
        <v>771.58970258821194</v>
      </c>
      <c r="FI175" s="59">
        <f t="shared" si="131"/>
        <v>1064.9230359215453</v>
      </c>
      <c r="FJ175" s="59">
        <f ca="1">AVERAGE(OFFSET($FI$3,0,0,'Données projet'!$E$16+1,1))-AVERAGE(OFFSET($H$3,0,0,'Données projet'!$E$16+1,1))</f>
        <v>383.97627237444709</v>
      </c>
      <c r="FK175" s="59">
        <f t="shared" si="156"/>
        <v>203.35476578922339</v>
      </c>
      <c r="FL175" s="15">
        <f>IF(ISNA(VLOOKUP(A175,'Données projet'!$A$217:$I$237,3,0)),0,VLOOKUP(A175,'Données projet'!$A$217:$I$237,3,0))</f>
        <v>0</v>
      </c>
      <c r="FM175" s="15">
        <f>IF(ISNA(VLOOKUP(A175,'Données projet'!$A$217:$I$237,4,0)),0,VLOOKUP(A175,'Données projet'!$A$217:$I$237,4,0))</f>
        <v>0</v>
      </c>
      <c r="FN175" s="16">
        <f>IF(ISNA(VLOOKUP(A175,'Données projet'!$A$217:$I$237,5,0)),0%,VLOOKUP(A175,'Données projet'!$A$217:$I$237,5,0)*VLOOKUP('Données projet'!$B$16,Paramètres!$A$1:$I$89,7,0))</f>
        <v>0</v>
      </c>
      <c r="FO175" s="16">
        <f>IF(ISNA(VLOOKUP(A175,'Données projet'!$A$217:$I$237,6,0)),0%,VLOOKUP(A175,'Données projet'!$A$217:$I$237,6,0)*VLOOKUP('Données projet'!$B$16,Paramètres!$A$1:$I$89,7,0))</f>
        <v>0</v>
      </c>
      <c r="FP175" s="16">
        <f>IF(ISNA(VLOOKUP(A175,'Données projet'!$A$217:$I$237,7,0)),0%,VLOOKUP(A175,'Données projet'!$A$217:$I$237,7,0))</f>
        <v>0</v>
      </c>
      <c r="FQ175" s="21">
        <f>EXP(-LN(2)/35)*FQ174+(1-EXP(-LN(2)/35))/(LN(2)/35)*FM175*FN175*VLOOKUP('Données projet'!$B$16,Paramètres!$A$1:$I$89,3,0)*0.475*44/12</f>
        <v>0.30953690548900015</v>
      </c>
      <c r="FR175" s="21">
        <f>EXP(-LN(2)/25)*FR174+(1-EXP(-LN(2)/25))/(LN(2)/25)*Calculateur!FM175*Calculateur!FO175*VLOOKUP('Données projet'!$B$16,Paramètres!$A$1:$I$89,3,0)*0.475*44/12</f>
        <v>0.1149118764339296</v>
      </c>
      <c r="FS175" s="21">
        <f>EXP(-LN(2)/2)*FS174+(1-EXP(-LN(2)/2))/(LN(2)/2)*FM175*FP175*VLOOKUP('Données projet'!$B$16,Paramètres!$A$1:$I$89,3,0)*0.475*44/12</f>
        <v>7.0499786885131469E-21</v>
      </c>
      <c r="FT175" s="22">
        <f t="shared" si="184"/>
        <v>0.42444878192292973</v>
      </c>
      <c r="FU175" s="75">
        <f>('Scénario référence'!$F$8+'Scénario référence'!$F$9+'Scénario référence'!$B$17+'Scénario référence'!$B$9+'Scénario référence'!$B$10)*70+IF((45+25*(1-EXP(-0.0175*A175)))&lt;70,'Scénario référence'!$B$16*(45+25*(1-EXP(-0.0175*A175))),70*'Scénario référence'!$B$16)+IF((32+38*(1-EXP(-0.0175*A175)))&lt;70,'Scénario référence'!$B$18*(32+38*(1-EXP(-0.0175*A175))),70*'Scénario référence'!$B$18)</f>
        <v>70</v>
      </c>
      <c r="FV175" s="12">
        <f>IF(A175&gt;30,10,('Scénario référence'!$B$16+'Scénario référence'!$B$17+'Scénario référence'!$B$18+'Scénario référence'!$B$9+'Scénario référence'!$B$10)*A175*10/30+('Scénario référence'!$F$8+'Scénario référence'!$F$9)*10)</f>
        <v>10</v>
      </c>
      <c r="FW175" s="12" t="e">
        <f>VLOOKUP(A175,'Données projet'!$A$243:$I$263,2,0)</f>
        <v>#N/A</v>
      </c>
      <c r="FX175" s="12" t="e">
        <f>VLOOKUP(A175,'Données projet'!$A$243:$I$263,9,0)</f>
        <v>#N/A</v>
      </c>
      <c r="FY175" s="12">
        <f t="array" ref="FY175">INDEX(FX:FX,MIN(IF(ISNUMBER(FX175:FX371),ROW(FX175:FX371),"")))</f>
        <v>0</v>
      </c>
      <c r="FZ175" s="12">
        <f>IF('Données projet'!$A$244&gt;35,FZ174+FY175-GH174,IF(A175&lt;'Données projet'!$A$244,$FW$205^A175,IF(A175='Données projet'!$A$244,'Données projet'!$B$244,FZ174+FY175-GH174)))</f>
        <v>4.5474735088646412E-13</v>
      </c>
      <c r="GA175" s="17">
        <f>FZ175*VLOOKUP('Données projet'!$B$17,Paramètres!$A$1:$I$89,3,0)*VLOOKUP('Données projet'!$B$17,Paramètres!$A$1:$I$89,5,0)</f>
        <v>4.8949004849418999E-13</v>
      </c>
      <c r="GB175" s="13">
        <f t="shared" si="185"/>
        <v>6.1123715499968684E-12</v>
      </c>
      <c r="GC175" s="20">
        <f t="shared" si="186"/>
        <v>1.1498242284038591E-11</v>
      </c>
      <c r="GD175" s="59">
        <f t="shared" si="134"/>
        <v>293.3333333333448</v>
      </c>
      <c r="GE175" s="59">
        <f ca="1">AVERAGE(OFFSET($GD$3,0,0,'Données projet'!$E$17+1,1))-AVERAGE(OFFSET($H$3,0,0,'Données projet'!$E$17+1,1))</f>
        <v>286.77702855541287</v>
      </c>
      <c r="GF175" s="59">
        <f t="shared" si="158"/>
        <v>227.12211541860779</v>
      </c>
      <c r="GG175" s="15">
        <f>IF(ISNA(VLOOKUP(A175,'Données projet'!$A$243:$I$263,3,0)),0,VLOOKUP(A175,'Données projet'!$A$243:$I$263,3,0))</f>
        <v>0</v>
      </c>
      <c r="GH175" s="15">
        <f>IF(ISNA(VLOOKUP(A175,'Données projet'!$A$243:$I$263,4,0)),0,VLOOKUP(A175,'Données projet'!$A$243:$I$263,4,0))</f>
        <v>0</v>
      </c>
      <c r="GI175" s="16">
        <f>IF(ISNA(VLOOKUP(A175,'Données projet'!$A$243:$I$263,5,0)),0%,VLOOKUP(A175,'Données projet'!$A$243:$I$263,5,0)*VLOOKUP('Données projet'!$B$17,Paramètres!$A$1:$I$89,7,0))</f>
        <v>0</v>
      </c>
      <c r="GJ175" s="16">
        <f>IF(ISNA(VLOOKUP(A175,'Données projet'!$A$243:$I$263,6,0)),0%,VLOOKUP(A175,'Données projet'!$A$243:$I$263,6,0)*VLOOKUP('Données projet'!$B$17,Paramètres!$A$1:$I$89,7,0))</f>
        <v>0</v>
      </c>
      <c r="GK175" s="16">
        <f>IF(ISNA(VLOOKUP(A175,'Données projet'!$A$243:$I$263,7,0)),0%,VLOOKUP(A175,'Données projet'!$A$243:$I$263,7,0))</f>
        <v>0</v>
      </c>
      <c r="GL175" s="21">
        <f>EXP(-LN(2)/35)*GL174+(1-EXP(-LN(2)/35))/(LN(2)/35)*GH175*GI175*VLOOKUP('Données projet'!$B$17,Paramètres!$A$1:$I$89,3,0)*0.475*44/12</f>
        <v>0</v>
      </c>
      <c r="GM175" s="21">
        <f>EXP(-LN(2)/25)*GM174+(1-EXP(-LN(2)/25))/(LN(2)/25)*Calculateur!GH175*Calculateur!GJ175*VLOOKUP('Données projet'!$B$17,Paramètres!$A$1:$I$89,3,0)*0.475*44/12</f>
        <v>0</v>
      </c>
      <c r="GN175" s="21">
        <f>EXP(-LN(2)/2)*GN174+(1-EXP(-LN(2)/2))/(LN(2)/2)*GH175*GK175*VLOOKUP('Données projet'!$B$17,Paramètres!$A$1:$I$89,3,0)*0.475*44/12</f>
        <v>0</v>
      </c>
      <c r="GO175" s="21">
        <f t="shared" si="187"/>
        <v>0</v>
      </c>
      <c r="GP175" s="75">
        <f>('Scénario référence'!$F$8+'Scénario référence'!$F$9+'Scénario référence'!$B$17+'Scénario référence'!$B$9+'Scénario référence'!$B$10)*70+IF((45+25*(1-EXP(-0.0175*A175)))&lt;70,'Scénario référence'!$B$16*(45+25*(1-EXP(-0.0175*A175))),70*'Scénario référence'!$B$16)+IF((32+38*(1-EXP(-0.0175*A175)))&lt;70,'Scénario référence'!$B$18*(32+38*(1-EXP(-0.0175*A175))),70*'Scénario référence'!$B$18)</f>
        <v>70</v>
      </c>
      <c r="GQ175" s="12">
        <f>IF(A175&gt;30,10,('Scénario référence'!$B$16+'Scénario référence'!$B$17+'Scénario référence'!$B$18+'Scénario référence'!$B$9+'Scénario référence'!$B$10)*A175*10/30+('Scénario référence'!$F$8+'Scénario référence'!$F$9)*10)</f>
        <v>10</v>
      </c>
      <c r="GR175" s="12" t="e">
        <f>VLOOKUP(A175,'Données projet'!$A$269:$I$289,2,0)</f>
        <v>#N/A</v>
      </c>
      <c r="GS175" s="12" t="e">
        <f>VLOOKUP(A175,'Données projet'!$A$269:$I$289,9,0)</f>
        <v>#N/A</v>
      </c>
      <c r="GT175" s="12">
        <f t="array" ref="GT175">INDEX(GS:GS,MIN(IF(ISNUMBER(GS175:GS371),ROW(GS175:GS371),"")))</f>
        <v>0</v>
      </c>
      <c r="GU175" s="12">
        <f>IF('Données projet'!$A$270&gt;35,GU174+GT175-HC174,IF(A175&lt;'Données projet'!$A$270,$GR$205^A175,IF(A175='Données projet'!$A$270,'Données projet'!$B$270,GU174+GT175-HC174)))</f>
        <v>4.5474735088646412E-13</v>
      </c>
      <c r="GV175" s="17">
        <f>GU175*VLOOKUP('Données projet'!$B$18,Paramètres!$A$1:$I$89,3,0)*VLOOKUP('Données projet'!$B$18,Paramètres!$A$1:$I$89,5,0)</f>
        <v>4.8949004849418999E-13</v>
      </c>
      <c r="GW175" s="13">
        <f t="shared" si="188"/>
        <v>6.1123715499968684E-12</v>
      </c>
      <c r="GX175" s="20">
        <f t="shared" si="189"/>
        <v>1.1498242284038591E-11</v>
      </c>
      <c r="GY175" s="59">
        <f t="shared" si="137"/>
        <v>293.3333333333448</v>
      </c>
      <c r="GZ175" s="59">
        <f ca="1">AVERAGE(OFFSET($GY$3,0,0,'Données projet'!$E$18+1,1))-AVERAGE(OFFSET($H$3,0,0,'Données projet'!$E$18+1,1))</f>
        <v>286.77702855541287</v>
      </c>
      <c r="HA175" s="59">
        <f t="shared" si="160"/>
        <v>227.12211541860779</v>
      </c>
      <c r="HB175" s="15">
        <f>IF(ISNA(VLOOKUP(A175,'Données projet'!$A$269:$I$289,3,0)),0,VLOOKUP(A175,'Données projet'!$A$269:$I$289,3,0))</f>
        <v>0</v>
      </c>
      <c r="HC175" s="15">
        <f>IF(ISNA(VLOOKUP(A175,'Données projet'!$A$269:$I$289,4,0)),0,VLOOKUP(A175,'Données projet'!$A$269:$I$289,4,0))</f>
        <v>0</v>
      </c>
      <c r="HD175" s="16">
        <f>IF(ISNA(VLOOKUP(A175,'Données projet'!$A$269:$I$289,5,0)),0%,VLOOKUP(A175,'Données projet'!$A$269:$I$289,5,0)*VLOOKUP('Données projet'!$B$18,Paramètres!$A$1:$I$89,7,0))</f>
        <v>0</v>
      </c>
      <c r="HE175" s="16">
        <f>IF(ISNA(VLOOKUP(A175,'Données projet'!$A$269:$I$289,6,0)),0%,VLOOKUP(A175,'Données projet'!$A$269:$I$289,6,0)*VLOOKUP('Données projet'!$B$18,Paramètres!$A$1:$I$89,7,0))</f>
        <v>0</v>
      </c>
      <c r="HF175" s="16">
        <f>IF(ISNA(VLOOKUP(A175,'Données projet'!$A$269:$I$289,7,0)),0%,VLOOKUP(A175,'Données projet'!$A$269:$I$289,7,0))</f>
        <v>0</v>
      </c>
      <c r="HG175" s="21">
        <f>EXP(-LN(2)/35)*HG174+(1-EXP(-LN(2)/35))/(LN(2)/35)*HC175*HD175*VLOOKUP('Données projet'!$B$18,Paramètres!$A$1:$I$89,3,0)*0.475*44/12</f>
        <v>0</v>
      </c>
      <c r="HH175" s="21">
        <f>EXP(-LN(2)/25)*HH174+(1-EXP(-LN(2)/25))/(LN(2)/25)*Calculateur!HC175*Calculateur!HE175*VLOOKUP('Données projet'!$B$18,Paramètres!$A$1:$I$89,3,0)*0.475*44/12</f>
        <v>0</v>
      </c>
      <c r="HI175" s="21">
        <f>EXP(-LN(2)/2)*HI174+(1-EXP(-LN(2)/2))/(LN(2)/2)*HC175*HF175*VLOOKUP('Données projet'!$B$18,Paramètres!$A$1:$I$89,3,0)*0.475*44/12</f>
        <v>0</v>
      </c>
      <c r="HJ175" s="22">
        <f t="shared" si="190"/>
        <v>0</v>
      </c>
    </row>
    <row r="176" spans="1:218" x14ac:dyDescent="0.25">
      <c r="A176" s="10">
        <f t="shared" si="161"/>
        <v>173</v>
      </c>
      <c r="B176" s="73">
        <f>'Scénario référence'!$B$16*5+'Scénario référence'!$B$17*0+'Scénario référence'!$B$18*5</f>
        <v>0</v>
      </c>
      <c r="C176" s="19">
        <f>Calculateur!C175+'Scénario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153.8315999999999</v>
      </c>
      <c r="D176" s="11">
        <f t="shared" si="140"/>
        <v>39.448048109333072</v>
      </c>
      <c r="E17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76" s="11">
        <f>IF(OR('Scénario référence'!$F$8&gt;0,'Scénario référence'!$F$9&gt;0),('Scénario référence'!$F$8+'Scénario référence'!$F$9)*10,0)</f>
        <v>10</v>
      </c>
      <c r="G176" s="11">
        <f>'Scénario référence'!$B$8*B176*44/12+'Scénario référence'!$B$9*(C176+D176)/0.475*44/12+'Scénario référence'!$B$10*(C176+D176)/0.475*44/12+'Scénario référence'!$F$8*(C176+D176)/0.475*44/12+'Scénario référence'!$F$9*(C176+D176)/0.475*44/12</f>
        <v>1491.9832485632724</v>
      </c>
      <c r="H176" s="67">
        <f t="shared" si="110"/>
        <v>629.96205379042158</v>
      </c>
      <c r="I176" s="70">
        <f>('Scénario référence'!$F$8+'Scénario référence'!$F$9+'Scénario référence'!$B$17+'Scénario référence'!$B$9+'Scénario référence'!$B$10)*70+IF((45+25*(1-EXP(-0.0175*A176)))&lt;70,'Scénario référence'!$B$16*(45+25*(1-EXP(-0.0175*A176))),70*'Scénario référence'!$B$16)+IF((32+38*(1-EXP(-0.0175*A176)))&lt;70,'Scénario référence'!$B$18*(32+38*(1-EXP(-0.0175*A176))),70*'Scénario référence'!$B$18)</f>
        <v>70</v>
      </c>
      <c r="J176" s="13">
        <f>IF(A176&gt;30,10,('Scénario référence'!$B$16+'Scénario référence'!$B$17+'Scénario référence'!$B$18+'Scénario référence'!$B$9+'Scénario référence'!$B$10)*A176*10/30+('Scénario référence'!$F$8+'Scénario référence'!$F$9)*10)</f>
        <v>10</v>
      </c>
      <c r="K176" s="12" t="e">
        <f>VLOOKUP(A176,'Données projet'!$A$35:$I$55,2,0)</f>
        <v>#N/A</v>
      </c>
      <c r="L176" s="12" t="e">
        <f>VLOOKUP(A176,'Données projet'!$A$35:$I$55,9,0)</f>
        <v>#N/A</v>
      </c>
      <c r="M176" s="12">
        <f t="array" ref="M176">INDEX(L:L,MIN(IF(ISNUMBER(L176:L372),ROW(L176:L372),"")))</f>
        <v>0</v>
      </c>
      <c r="N176" s="13">
        <f>IF('Données projet'!$A$36&gt;35,N175+M176-V175,IF(A176&lt;'Données projet'!$A$36,$K$205^A176,IF(A176='Données projet'!$A$36,'Données projet'!$B$36,N175+M176-V175)))</f>
        <v>-2.2737367544323206E-13</v>
      </c>
      <c r="O176" s="13">
        <f>N176*VLOOKUP('Données projet'!$B$9,Paramètres!$A$1:$I$89,3,0)*VLOOKUP('Données projet'!$B$9,Paramètres!$A$1:$I$89,5,0)</f>
        <v>-1.2710188457276673E-13</v>
      </c>
      <c r="P176" s="13" t="e">
        <f t="shared" si="141"/>
        <v>#NUM!</v>
      </c>
      <c r="Q176" s="20" t="e">
        <f t="shared" si="162"/>
        <v>#NUM!</v>
      </c>
      <c r="R176" s="59" t="e">
        <f t="shared" si="109"/>
        <v>#NUM!</v>
      </c>
      <c r="S176" s="59">
        <f ca="1">AVERAGE(OFFSET($R$3,0,0,'Données projet'!$E$9+1,1))-AVERAGE(OFFSET($H$3,0,0,'Données projet'!$E$9+1,1))</f>
        <v>255.5374979188561</v>
      </c>
      <c r="T176" s="59">
        <f t="shared" si="142"/>
        <v>343.10418468620901</v>
      </c>
      <c r="U176" s="15">
        <f>IF(ISNA(VLOOKUP(A176,'Données projet'!$A$35:$I$55,3,0)),0,VLOOKUP(A176,'Données projet'!$A$35:$I$55,3,0))</f>
        <v>0</v>
      </c>
      <c r="V176" s="15">
        <f>IF(ISNA(VLOOKUP(A176,'Données projet'!$A$35:$I$55,4,0)),0,VLOOKUP(A176,'Données projet'!$A$35:$I$55,4,0))</f>
        <v>0</v>
      </c>
      <c r="W176" s="16">
        <f>IF(ISNA(VLOOKUP(A176,'Données projet'!$A$35:$I$55,5,0)),0%,VLOOKUP(A176,'Données projet'!$A$35:$I$55,5,0)*VLOOKUP('Données projet'!$B$9,Paramètres!$A$1:$I$89,7,0))</f>
        <v>0</v>
      </c>
      <c r="X176" s="16">
        <f>IF(ISNA(VLOOKUP(A176,'Données projet'!$A$35:$I$55,6,0)),0%,VLOOKUP(A176,'Données projet'!$A$35:$I$55,6,0)*VLOOKUP('Données projet'!$B$9,Paramètres!$A$1:$I$89,7,0))</f>
        <v>0</v>
      </c>
      <c r="Y176" s="16">
        <f>IF(ISNA(VLOOKUP(A176,'Données projet'!$A$35:$I$55,7,0)),0%,VLOOKUP(A176,'Données projet'!$A$35:$I$55,7,0))</f>
        <v>0</v>
      </c>
      <c r="Z176" s="21">
        <f>EXP(-LN(2)/35)*Z175+(1-EXP(-LN(2)/35))/(LN(2)/35)*V176*W176*VLOOKUP('Données projet'!$B$9,Paramètres!$A$1:$I$89,3,0)*0.475*44/12</f>
        <v>0.1819875450670759</v>
      </c>
      <c r="AA176" s="21">
        <f>EXP(-LN(2)/25)*AA175+(1-EXP(-LN(2)/25))/(LN(2)/25)*Calculateur!V176*Calculateur!X176*VLOOKUP('Données projet'!$B$9,Paramètres!$A$1:$I$89,3,0)*0.475*44/12</f>
        <v>0.30279476546235629</v>
      </c>
      <c r="AB176" s="21">
        <f>EXP(-LN(2)/2)*AB175+(1-EXP(-LN(2)/2))/(LN(2)/2)*V176*Y176*VLOOKUP('Données projet'!$B$9,Paramètres!$A$1:$I$89,3,0)*0.475*44/12</f>
        <v>5.0690083792233259E-22</v>
      </c>
      <c r="AC176" s="22">
        <f t="shared" si="163"/>
        <v>0.48478231052943221</v>
      </c>
      <c r="AD176" s="13">
        <f>('Scénario référence'!$F$8+'Scénario référence'!$F$9+'Scénario référence'!$B$17+'Scénario référence'!$B$9+'Scénario référence'!$B$10)*70+IF((45+25*(1-EXP(-0.0175*A176)))&lt;70,'Scénario référence'!$B$16*(45+25*(1-EXP(-0.0175*A176))),70*'Scénario référence'!$B$16)+IF((32+38*(1-EXP(-0.0175*A176)))&lt;70,'Scénario référence'!$B$18*(32+38*(1-EXP(-0.0175*A176))),70*'Scénario référence'!$B$18)</f>
        <v>70</v>
      </c>
      <c r="AE176" s="13">
        <f>IF(A176&gt;30,10,('Scénario référence'!$B$16+'Scénario référence'!$B$17+'Scénario référence'!$B$18+'Scénario référence'!$B$9+'Scénario référence'!$B$10)*A176*10/30+('Scénario référence'!$F$8+'Scénario référence'!$F$9)*10)</f>
        <v>10</v>
      </c>
      <c r="AF176" s="12" t="e">
        <f>VLOOKUP(A176,'Données projet'!$A$61:$I$81,2,0)</f>
        <v>#N/A</v>
      </c>
      <c r="AG176" s="12" t="e">
        <f>VLOOKUP(A176,'Données projet'!$A$61:$I$81,9,0)</f>
        <v>#N/A</v>
      </c>
      <c r="AH176" s="12">
        <f t="array" ref="AH176">INDEX(AG:AG,MIN(IF(ISNUMBER(AG176:AG372),ROW(AG176:AG372),"")))</f>
        <v>0</v>
      </c>
      <c r="AI176" s="13">
        <f>IF('Données projet'!$A$62&gt;35,AI175+AH176-AQ175,IF(A176&lt;'Données projet'!$A$62,$AF$205^A176,IF(A176='Données projet'!$A$62,'Données projet'!$B$62,AI175+AH176-AQ175)))</f>
        <v>0</v>
      </c>
      <c r="AJ176" s="13">
        <f>AI176*VLOOKUP('Données projet'!$B$10,Paramètres!$A$1:$I$89,3,0)*VLOOKUP('Données projet'!$B$10,Paramètres!$A$1:$I$89,5,0)</f>
        <v>0</v>
      </c>
      <c r="AK176" s="13" t="e">
        <f t="shared" si="164"/>
        <v>#NUM!</v>
      </c>
      <c r="AL176" s="20" t="e">
        <f t="shared" si="165"/>
        <v>#NUM!</v>
      </c>
      <c r="AM176" s="59" t="e">
        <f t="shared" si="113"/>
        <v>#NUM!</v>
      </c>
      <c r="AN176" s="59">
        <f ca="1">AVERAGE(OFFSET($AM$3,0,0,'Données projet'!$E$10+1,1))-AVERAGE(OFFSET($H$3,0,0,'Données projet'!$E$10+1,1))</f>
        <v>261.78489480911571</v>
      </c>
      <c r="AO176" s="59">
        <f t="shared" si="144"/>
        <v>297.50513563712764</v>
      </c>
      <c r="AP176" s="15">
        <f>IF(ISNA(VLOOKUP(A176,'Données projet'!$A$61:$I$81,3,0)),0,VLOOKUP(A176,'Données projet'!$A$61:$I$81,3,0))</f>
        <v>0</v>
      </c>
      <c r="AQ176" s="15">
        <f>IF(ISNA(VLOOKUP(A176,'Données projet'!$A$61:$I$81,4,0)),0,VLOOKUP(A176,'Données projet'!$A$61:$I$81,4,0))</f>
        <v>0</v>
      </c>
      <c r="AR176" s="16">
        <f>IF(ISNA(VLOOKUP(A176,'Données projet'!$A$61:$I$81,5,0)),0%,VLOOKUP(A176,'Données projet'!$A$61:$I$81,5,0)*VLOOKUP('Données projet'!$B$10,Paramètres!$A$1:$I$89,7,0))</f>
        <v>0</v>
      </c>
      <c r="AS176" s="16">
        <f>IF(ISNA(VLOOKUP(A176,'Données projet'!$A$61:$I$81,6,0)),0%,VLOOKUP(A176,'Données projet'!$A$61:$I$81,6,0)*VLOOKUP('Données projet'!$B$10,Paramètres!$A$1:$I$89,7,0))</f>
        <v>0</v>
      </c>
      <c r="AT176" s="16">
        <f>IF(ISNA(VLOOKUP(A176,'Données projet'!$A$61:$I$81,7,0)),0%,VLOOKUP(A176,'Données projet'!$A$61:$I$81,7,0))</f>
        <v>0</v>
      </c>
      <c r="AU176" s="21">
        <f>EXP(-LN(2)/35)*AU175+(1-EXP(-LN(2)/35))/(LN(2)/35)*AQ176*AR176*VLOOKUP('Données projet'!$B$10,Paramètres!$A$1:$I$89,3,0)*0.475*44/12</f>
        <v>0.49141784661133353</v>
      </c>
      <c r="AV176" s="21">
        <f>EXP(-LN(2)/25)*AV175+(1-EXP(-LN(2)/25))/(LN(2)/25)*Calculateur!AQ176*Calculateur!AS176*VLOOKUP('Données projet'!$B$10,Paramètres!$A$1:$I$89,3,0)*0.475*44/12</f>
        <v>0.52874141878246927</v>
      </c>
      <c r="AW176" s="21">
        <f>EXP(-LN(2)/2)*AW175+(1-EXP(-LN(2)/2))/(LN(2)/2)*AQ176*AT176*VLOOKUP('Données projet'!$B$10,Paramètres!$A$1:$I$89,3,0)*0.475*44/12</f>
        <v>7.3074581502850939E-21</v>
      </c>
      <c r="AX176" s="21">
        <f t="shared" si="166"/>
        <v>1.0201592653938027</v>
      </c>
      <c r="AY176" s="74">
        <f>('Scénario référence'!$F$8+'Scénario référence'!$F$9+'Scénario référence'!$B$17+'Scénario référence'!$B$9+'Scénario référence'!$B$10)*70+IF((45+25*(1-EXP(-0.0175*A176)))&lt;70,'Scénario référence'!$B$16*(45+25*(1-EXP(-0.0175*A176))),70*'Scénario référence'!$B$16)+IF((32+38*(1-EXP(-0.0175*A176)))&lt;70,'Scénario référence'!$B$18*(32+38*(1-EXP(-0.0175*A176))),70*'Scénario référence'!$B$18)</f>
        <v>70</v>
      </c>
      <c r="AZ176" s="12">
        <f>IF(A176&gt;30,10,('Scénario référence'!$B$16+'Scénario référence'!$B$17+'Scénario référence'!$B$18+'Scénario référence'!$B$9+'Scénario référence'!$B$10)*A176*10/30+('Scénario référence'!$F$8+'Scénario référence'!$F$9)*10)</f>
        <v>10</v>
      </c>
      <c r="BA176" s="12" t="e">
        <f>VLOOKUP(A176,'Données projet'!$A$87:$I$107,2,0)</f>
        <v>#N/A</v>
      </c>
      <c r="BB176" s="12" t="e">
        <f>VLOOKUP(A176,'Données projet'!$A$87:$I$107,9,0)</f>
        <v>#N/A</v>
      </c>
      <c r="BC176" s="12">
        <f t="array" ref="BC176">INDEX(BB:BB,MIN(IF(ISNUMBER(BB176:BB372),ROW(BB176:BB372),"")))</f>
        <v>0</v>
      </c>
      <c r="BD176" s="12">
        <f>IF('Données projet'!$A$88&gt;35,BD175+BC176-BL175,IF(A176&lt;'Données projet'!$A$88,$BA$205^A176,IF(A176='Données projet'!$A$88,'Données projet'!$B$88,BD175+BC176-BL175)))</f>
        <v>553.99999999999955</v>
      </c>
      <c r="BE176" s="13">
        <f>BD176*VLOOKUP('Données projet'!$B$11,Paramètres!$A$1:$I$89,3,0)*VLOOKUP('Données projet'!$B$11,Paramètres!$A$1:$I$89,5,0)</f>
        <v>331.29199999999975</v>
      </c>
      <c r="BF176" s="13">
        <f t="shared" si="167"/>
        <v>77.698110787752</v>
      </c>
      <c r="BG176" s="20">
        <f t="shared" si="168"/>
        <v>712.32444295533423</v>
      </c>
      <c r="BH176" s="59">
        <f t="shared" si="116"/>
        <v>1005.6577762886675</v>
      </c>
      <c r="BI176" s="59">
        <f ca="1">AVERAGE(OFFSET($BH$3,0,0,'Données projet'!$E$11+1,1))-AVERAGE(OFFSET($H$3,0,0,'Données projet'!$E$11+1,1))</f>
        <v>316.58509520829671</v>
      </c>
      <c r="BJ176" s="59">
        <f t="shared" si="146"/>
        <v>240.71332110643596</v>
      </c>
      <c r="BK176" s="15">
        <f>IF(ISNA(VLOOKUP(A176,'Données projet'!$A$87:$I$107,3,0)),0,VLOOKUP(A176,'Données projet'!$A$87:$I$107,3,0))</f>
        <v>0</v>
      </c>
      <c r="BL176" s="15">
        <f>IF(ISNA(VLOOKUP(A176,'Données projet'!$A$87:$I$107,4,0)),0,VLOOKUP(A176,'Données projet'!$A$87:$I$107,4,0))</f>
        <v>0</v>
      </c>
      <c r="BM176" s="16">
        <f>IF(ISNA(VLOOKUP(A176,'Données projet'!$A$87:$I$107,5,0)),0%,VLOOKUP(A176,'Données projet'!$A$87:$I$107,5,0)*VLOOKUP('Données projet'!$B$11,Paramètres!$A$1:$I$89,7,0))</f>
        <v>0</v>
      </c>
      <c r="BN176" s="16">
        <f>IF(ISNA(VLOOKUP(A176,'Données projet'!$A$87:$I$107,6,0)),0%,VLOOKUP(A176,'Données projet'!$A$87:$I$107,6,0)*VLOOKUP('Données projet'!$B$11,Paramètres!$A$1:$I$89,7,0))</f>
        <v>0</v>
      </c>
      <c r="BO176" s="16">
        <f>IF(ISNA(VLOOKUP(A176,'Données projet'!$A$87:$I$107,7,0)),0%,VLOOKUP(A176,'Données projet'!$A$87:$I$107,7,0))</f>
        <v>0</v>
      </c>
      <c r="BP176" s="21">
        <f>EXP(-LN(2)/35)*BP175+(1-EXP(-LN(2)/35))/(LN(2)/35)*BL176*BM176*VLOOKUP('Données projet'!$B$11,Paramètres!$A$1:$I$89,3,0)*0.475*44/12</f>
        <v>0.14927182729098004</v>
      </c>
      <c r="BQ176" s="21">
        <f>EXP(-LN(2)/25)*BQ175+(1-EXP(-LN(2)/25))/(LN(2)/25)*Calculateur!BL176*Calculateur!BN176*VLOOKUP('Données projet'!$B$11,Paramètres!$A$1:$I$89,3,0)*0.475*44/12</f>
        <v>0.28965997686664929</v>
      </c>
      <c r="BR176" s="21">
        <f>EXP(-LN(2)/2)*BR175+(1-EXP(-LN(2)/2))/(LN(2)/2)*BL176*BO176*VLOOKUP('Données projet'!$B$11,Paramètres!$A$1:$I$89,3,0)*0.475*44/12</f>
        <v>6.5702051358994329E-21</v>
      </c>
      <c r="BS176" s="22">
        <f t="shared" si="169"/>
        <v>0.43893180415762933</v>
      </c>
      <c r="BT176" s="75">
        <f>('Scénario référence'!$F$8+'Scénario référence'!$F$9+'Scénario référence'!$B$17+'Scénario référence'!$B$9+'Scénario référence'!$B$10)*70+IF((45+25*(1-EXP(-0.0175*A176)))&lt;70,'Scénario référence'!$B$16*(45+25*(1-EXP(-0.0175*A176))),70*'Scénario référence'!$B$16)+IF((32+38*(1-EXP(-0.0175*A176)))&lt;70,'Scénario référence'!$B$18*(32+38*(1-EXP(-0.0175*A176))),70*'Scénario référence'!$B$18)</f>
        <v>70</v>
      </c>
      <c r="BU176" s="12">
        <f>IF(A176&gt;30,10,('Scénario référence'!$B$16+'Scénario référence'!$B$17+'Scénario référence'!$B$18+'Scénario référence'!$B$9+'Scénario référence'!$B$10)*A176*10/30+('Scénario référence'!$F$8+'Scénario référence'!$F$9)*10)</f>
        <v>10</v>
      </c>
      <c r="BV176" s="12" t="e">
        <f>VLOOKUP(A176,'Données projet'!$A$113:$I$133,2,0)</f>
        <v>#N/A</v>
      </c>
      <c r="BW176" s="12" t="e">
        <f>VLOOKUP(A176,'Données projet'!$A$113:$I$133,9,0)</f>
        <v>#N/A</v>
      </c>
      <c r="BX176" s="12">
        <f t="array" ref="BX176">INDEX(BW:BW,MIN(IF(ISNUMBER(BW176:BW372),ROW(BW176:BW372),"")))</f>
        <v>0</v>
      </c>
      <c r="BY176" s="12">
        <f>IF('Données projet'!$A$114&gt;35,BY175+BX176-CG175,IF(A176&lt;'Données projet'!$A$114,$BV$205^A176,IF(A176='Données projet'!$A$114,'Données projet'!$B$114,BY175+BX176-CG175)))</f>
        <v>333.99999999999977</v>
      </c>
      <c r="BZ176" s="13">
        <f>BY176*VLOOKUP('Données projet'!$B$12,Paramètres!$A$1:$I$89,3,0)*VLOOKUP('Données projet'!$B$12,Paramètres!$A$1:$I$89,5,0)</f>
        <v>191.04799999999986</v>
      </c>
      <c r="CA176" s="13">
        <f t="shared" si="170"/>
        <v>47.771576544305155</v>
      </c>
      <c r="CB176" s="20">
        <f t="shared" si="171"/>
        <v>415.94409581466454</v>
      </c>
      <c r="CC176" s="59">
        <f t="shared" si="119"/>
        <v>709.27742914799785</v>
      </c>
      <c r="CD176" s="59">
        <f ca="1">AVERAGE(OFFSET($CC$3,0,0,'Données projet'!$E$12+1,1))-AVERAGE(OFFSET($H$3,0,0,'Données projet'!$E$12+1,1))</f>
        <v>188.64374818906128</v>
      </c>
      <c r="CE176" s="59">
        <f t="shared" si="148"/>
        <v>211.95157880548652</v>
      </c>
      <c r="CF176" s="15">
        <f>IF(ISNA(VLOOKUP(A176,'Données projet'!$A$113:$I$133,3,0)),0,VLOOKUP(A176,'Données projet'!$A$113:$I$133,3,0))</f>
        <v>0</v>
      </c>
      <c r="CG176" s="15">
        <f>IF(ISNA(VLOOKUP(A176,'Données projet'!$A$113:$I$133,4,0)),0,VLOOKUP(A176,'Données projet'!$A$113:$I$133,4,0))</f>
        <v>0</v>
      </c>
      <c r="CH176" s="16">
        <f>IF(ISNA(VLOOKUP(A176,'Données projet'!$A$113:$I$133,5,0)),0%,VLOOKUP(A176,'Données projet'!$A$113:$I$133,5,0)*VLOOKUP('Données projet'!$B$12,Paramètres!$A$1:$I$89,7,0))</f>
        <v>0</v>
      </c>
      <c r="CI176" s="16">
        <f>IF(ISNA(VLOOKUP(A176,'Données projet'!$A$113:$I$133,6,0)),0%,VLOOKUP(A176,'Données projet'!$A$113:$I$133,6,0)*VLOOKUP('Données projet'!$B$12,Paramètres!$A$1:$I$89,7,0))</f>
        <v>0</v>
      </c>
      <c r="CJ176" s="16">
        <f>IF(ISNA(VLOOKUP(A176,'Données projet'!$A$113:$I$133,7,0)),0%,VLOOKUP(A176,'Données projet'!$A$113:$I$133,7,0))</f>
        <v>0</v>
      </c>
      <c r="CK176" s="21">
        <f>EXP(-LN(2)/35)*CK175+(1-EXP(-LN(2)/35))/(LN(2)/35)*CG176*CH176*VLOOKUP('Données projet'!$B$12,Paramètres!$A$1:$I$89,3,0)*0.475*44/12</f>
        <v>0.14479275837655364</v>
      </c>
      <c r="CL176" s="21">
        <f>EXP(-LN(2)/25)*CL175+(1-EXP(-LN(2)/25))/(LN(2)/25)*Calculateur!CG176*Calculateur!CI176*VLOOKUP('Données projet'!$B$12,Paramètres!$A$1:$I$89,3,0)*0.475*44/12</f>
        <v>0.27263452863935772</v>
      </c>
      <c r="CM176" s="21">
        <f>EXP(-LN(2)/2)*CM175+(1-EXP(-LN(2)/2))/(LN(2)/2)*CG176*CJ176*VLOOKUP('Données projet'!$B$12,Paramètres!$A$1:$I$89,3,0)*0.475*44/12</f>
        <v>6.362729613634216E-21</v>
      </c>
      <c r="CN176" s="22">
        <f t="shared" si="172"/>
        <v>0.41742728701591136</v>
      </c>
      <c r="CO176" s="75">
        <f>('Scénario référence'!$F$8+'Scénario référence'!$F$9+'Scénario référence'!$B$17+'Scénario référence'!$B$9+'Scénario référence'!$B$10)*70+IF((45+25*(1-EXP(-0.0175*A176)))&lt;70,'Scénario référence'!$B$16*(45+25*(1-EXP(-0.0175*A176))),70*'Scénario référence'!$B$16)+IF((32+38*(1-EXP(-0.0175*A176)))&lt;70,'Scénario référence'!$B$18*(32+38*(1-EXP(-0.0175*A176))),70*'Scénario référence'!$B$18)</f>
        <v>70</v>
      </c>
      <c r="CP176" s="12">
        <f>IF(A176&gt;30,10,('Scénario référence'!$B$16+'Scénario référence'!$B$17+'Scénario référence'!$B$18+'Scénario référence'!$B$9+'Scénario référence'!$B$10)*A176*10/30+('Scénario référence'!$F$8+'Scénario référence'!$F$9)*10)</f>
        <v>10</v>
      </c>
      <c r="CQ176" s="12" t="e">
        <f>VLOOKUP(A176,'Données projet'!$A$139:$I$159,2,0)</f>
        <v>#N/A</v>
      </c>
      <c r="CR176" s="12" t="e">
        <f>VLOOKUP(A176,'Données projet'!$A$139:$I$159,9,0)</f>
        <v>#N/A</v>
      </c>
      <c r="CS176" s="12">
        <f t="array" ref="CS176">INDEX(CR:CR,MIN(IF(ISNUMBER(CR176:CR372),ROW(CR176:CR372),"")))</f>
        <v>0</v>
      </c>
      <c r="CT176" s="12">
        <f>IF('Données projet'!$A$140&gt;35,CT175+CS176-DB175,IF(A176&lt;'Données projet'!$A$140,$CQ$205^A176,IF(A176='Données projet'!$A$140,'Données projet'!$B$140,CT175+CS176-DB175)))</f>
        <v>0</v>
      </c>
      <c r="CU176" s="17" t="e">
        <f>CT176*VLOOKUP('Données projet'!$B$13,Paramètres!$A$1:$I$89,3,0)*VLOOKUP('Données projet'!$B$13,Paramètres!$A$1:$I$89,5,0)</f>
        <v>#N/A</v>
      </c>
      <c r="CV176" s="13" t="e">
        <f t="shared" si="173"/>
        <v>#N/A</v>
      </c>
      <c r="CW176" s="20" t="e">
        <f t="shared" si="174"/>
        <v>#N/A</v>
      </c>
      <c r="CX176" s="59" t="e">
        <f t="shared" si="122"/>
        <v>#N/A</v>
      </c>
      <c r="CY176" s="59" t="e">
        <f ca="1">AVERAGE(OFFSET($CX$3,0,0,'Données projet'!$E$13+1,1))-AVERAGE(OFFSET($H$3,0,0,'Données projet'!$E$13+1,1))</f>
        <v>#N/A</v>
      </c>
      <c r="CZ176" s="59" t="e">
        <f t="shared" si="150"/>
        <v>#N/A</v>
      </c>
      <c r="DA176" s="15">
        <f>IF(ISNA(VLOOKUP(A176,'Données projet'!$A$139:$I$159,3,0)),0,VLOOKUP(A176,'Données projet'!$A$139:$I$159,3,0))</f>
        <v>0</v>
      </c>
      <c r="DB176" s="15">
        <f>IF(ISNA(VLOOKUP(A176,'Données projet'!$A$139:$I$159,4,0)),0,VLOOKUP(A176,'Données projet'!$A$139:$I$159,4,0))</f>
        <v>0</v>
      </c>
      <c r="DC176" s="16">
        <f>IF(ISNA(VLOOKUP(A176,'Données projet'!$A$139:$I$159,5,0)),0%,VLOOKUP(A176,'Données projet'!$A$139:$I$159,5,0)*VLOOKUP('Données projet'!$B$13,Paramètres!$A$1:$I$89,7,0))</f>
        <v>0</v>
      </c>
      <c r="DD176" s="16">
        <f>IF(ISNA(VLOOKUP(A176,'Données projet'!$A$139:$I$159,6,0)),0%,VLOOKUP(A176,'Données projet'!$A$139:$I$159,6,0)*VLOOKUP('Données projet'!$B$13,Paramètres!$A$1:$I$89,7,0))</f>
        <v>0</v>
      </c>
      <c r="DE176" s="16">
        <f>IF(ISNA(VLOOKUP(A176,'Données projet'!$A$139:$I$159,7,0)),0%,VLOOKUP(A176,'Données projet'!$A$139:$I$159,7,0))</f>
        <v>0</v>
      </c>
      <c r="DF176" s="21" t="e">
        <f>EXP(-LN(2)/35)*DF175+(1-EXP(-LN(2)/35))/(LN(2)/35)*DB176*DC176*VLOOKUP('Données projet'!$B$13,Paramètres!$A$1:$I$89,3,0)*0.475*44/12</f>
        <v>#N/A</v>
      </c>
      <c r="DG176" s="21" t="e">
        <f>EXP(-LN(2)/25)*DG175+(1-EXP(-LN(2)/25))/(LN(2)/25)*Calculateur!DB176*Calculateur!DD176*VLOOKUP('Données projet'!$B$13,Paramètres!$A$1:$I$89,3,0)*0.475*44/12</f>
        <v>#N/A</v>
      </c>
      <c r="DH176" s="21" t="e">
        <f>EXP(-LN(2)/2)*DH175+(1-EXP(-LN(2)/2))/(LN(2)/2)*DB176*DE176*VLOOKUP('Données projet'!$B$13,Paramètres!$A$1:$I$89,3,0)*0.475*44/12</f>
        <v>#N/A</v>
      </c>
      <c r="DI176" s="22" t="e">
        <f t="shared" si="175"/>
        <v>#N/A</v>
      </c>
      <c r="DJ176" s="75">
        <f>('Scénario référence'!$F$8+'Scénario référence'!$F$9+'Scénario référence'!$B$17+'Scénario référence'!$B$9+'Scénario référence'!$B$10)*70+IF((45+25*(1-EXP(-0.0175*A176)))&lt;70,'Scénario référence'!$B$16*(45+25*(1-EXP(-0.0175*A176))),70*'Scénario référence'!$B$16)+IF((32+38*(1-EXP(-0.0175*A176)))&lt;70,'Scénario référence'!$B$18*(32+38*(1-EXP(-0.0175*A176))),70*'Scénario référence'!$B$18)</f>
        <v>70</v>
      </c>
      <c r="DK176" s="12">
        <f>IF(A176&gt;30,10,('Scénario référence'!$B$16+'Scénario référence'!$B$17+'Scénario référence'!$B$18+'Scénario référence'!$B$9+'Scénario référence'!$B$10)*A176*10/30+('Scénario référence'!$F$8+'Scénario référence'!$F$9)*10)</f>
        <v>10</v>
      </c>
      <c r="DL176" s="12" t="e">
        <f>VLOOKUP(A176,'Données projet'!$A$165:$I$185,2,0)</f>
        <v>#N/A</v>
      </c>
      <c r="DM176" s="12" t="e">
        <f>VLOOKUP(A176,'Données projet'!$A$165:$I$185,9,0)</f>
        <v>#N/A</v>
      </c>
      <c r="DN176" s="12">
        <f t="array" ref="DN176">INDEX(DM:DM,MIN(IF(ISNUMBER(DM176:DM372),ROW(DM176:DM372),"")))</f>
        <v>0</v>
      </c>
      <c r="DO176" s="12">
        <f>IF('Données projet'!$A$166&gt;35,DO175+DN176-DW175,IF(A176&lt;'Données projet'!$A$166,$DL$205^A176,IF(A176='Données projet'!$A$166,'Données projet'!$B$166,DO175+DN176-DW175)))</f>
        <v>268.00000000000017</v>
      </c>
      <c r="DP176" s="17">
        <f>DO176*VLOOKUP('Données projet'!$B$14,Paramètres!$A$1:$I$89,3,0)*VLOOKUP('Données projet'!$B$14,Paramètres!$A$1:$I$89,5,0)</f>
        <v>175.59360000000012</v>
      </c>
      <c r="DQ176" s="13">
        <f t="shared" si="176"/>
        <v>44.340433728638573</v>
      </c>
      <c r="DR176" s="20">
        <f t="shared" si="177"/>
        <v>383.05177541071242</v>
      </c>
      <c r="DS176" s="59">
        <f t="shared" si="125"/>
        <v>676.38510874404574</v>
      </c>
      <c r="DT176" s="59">
        <f ca="1">AVERAGE(OFFSET($DS$3,0,0,'Données projet'!$E$14+1,1))-AVERAGE(OFFSET($H$3,0,0,'Données projet'!$E$14+1,1))</f>
        <v>188.68915783955595</v>
      </c>
      <c r="DU176" s="59">
        <f t="shared" si="152"/>
        <v>240.82467772396944</v>
      </c>
      <c r="DV176" s="15">
        <f>IF(ISNA(VLOOKUP(A176,'Données projet'!$A$165:$I$185,3,0)),0,VLOOKUP(A176,'Données projet'!$A$165:$I$185,3,0))</f>
        <v>0</v>
      </c>
      <c r="DW176" s="15">
        <f>IF(ISNA(VLOOKUP(A176,'Données projet'!$A$165:$I$185,4,0)),0,VLOOKUP(A176,'Données projet'!$A$165:$I$185,4,0))</f>
        <v>0</v>
      </c>
      <c r="DX176" s="16">
        <f>IF(ISNA(VLOOKUP(A176,'Données projet'!$A$165:$I$185,5,0)),0%,VLOOKUP(A176,'Données projet'!$A$165:$I$185,5,0)*VLOOKUP('Données projet'!$B$14,Paramètres!$A$1:$I$89,7,0))</f>
        <v>0</v>
      </c>
      <c r="DY176" s="16">
        <f>IF(ISNA(VLOOKUP(A176,'Données projet'!$A$165:$I$185,6,0)),0%,VLOOKUP(A176,'Données projet'!$A$165:$I$185,6,0)*VLOOKUP('Données projet'!$B$14,Paramètres!$A$1:$I$89,7,0))</f>
        <v>0</v>
      </c>
      <c r="DZ176" s="16">
        <f>IF(ISNA(VLOOKUP(A176,'Données projet'!$A$165:$I$185,7,0)),0%,VLOOKUP(A176,'Données projet'!$A$165:$I$185,7,0))</f>
        <v>0</v>
      </c>
      <c r="EA176" s="21">
        <f>EXP(-LN(2)/35)*EA175+(1-EXP(-LN(2)/35))/(LN(2)/35)*DW176*DX176*VLOOKUP('Données projet'!$B$14,Paramètres!$A$1:$I$89,3,0)*0.475*44/12</f>
        <v>9.1714268247774941E-2</v>
      </c>
      <c r="EB176" s="21">
        <f>EXP(-LN(2)/25)*EB175+(1-EXP(-LN(2)/25))/(LN(2)/25)*Calculateur!DW176*Calculateur!DY176*VLOOKUP('Données projet'!$B$14,Paramètres!$A$1:$I$89,3,0)*0.475*44/12</f>
        <v>0.15249584354955414</v>
      </c>
      <c r="EC176" s="21">
        <f>EXP(-LN(2)/2)*EC175+(1-EXP(-LN(2)/2))/(LN(2)/2)*DW176*DZ176*VLOOKUP('Données projet'!$B$14,Paramètres!$A$1:$I$89,3,0)*0.475*44/12</f>
        <v>4.1915234809503765E-21</v>
      </c>
      <c r="ED176" s="22">
        <f t="shared" si="178"/>
        <v>0.2442101117973291</v>
      </c>
      <c r="EE176" s="75">
        <f>('Scénario référence'!$F$8+'Scénario référence'!$F$9+'Scénario référence'!$B$17+'Scénario référence'!$B$9+'Scénario référence'!$B$10)*70+IF((45+25*(1-EXP(-0.0175*A176)))&lt;70,'Scénario référence'!$B$16*(45+25*(1-EXP(-0.0175*A176))),70*'Scénario référence'!$B$16)+IF((32+38*(1-EXP(-0.0175*A176)))&lt;70,'Scénario référence'!$B$18*(32+38*(1-EXP(-0.0175*A176))),70*'Scénario référence'!$B$18)</f>
        <v>70</v>
      </c>
      <c r="EF176" s="12">
        <f>IF(A176&gt;30,10,('Scénario référence'!$B$16+'Scénario référence'!$B$17+'Scénario référence'!$B$18+'Scénario référence'!$B$9+'Scénario référence'!$B$10)*A176*10/30+('Scénario référence'!$F$8+'Scénario référence'!$F$9)*10)</f>
        <v>10</v>
      </c>
      <c r="EG176" s="12" t="e">
        <f>VLOOKUP(A176,'Données projet'!$A$191:$I$211,2,0)</f>
        <v>#N/A</v>
      </c>
      <c r="EH176" s="12" t="e">
        <f>VLOOKUP(A176,'Données projet'!$A$191:$I$211,9,0)</f>
        <v>#N/A</v>
      </c>
      <c r="EI176" s="12">
        <f t="array" ref="EI176">INDEX(EH:EH,MIN(IF(ISNUMBER(EH176:EH372),ROW(EH176:EH372),"")))</f>
        <v>0</v>
      </c>
      <c r="EJ176" s="12">
        <f>IF('Données projet'!$A$192&gt;35,EJ175+EI176-ER175,IF(A176&lt;'Données projet'!$A$192,$EG$205^A176,IF(A176='Données projet'!$A$192,'Données projet'!$B$192,EJ175+EI176-ER175)))</f>
        <v>275.99999999999972</v>
      </c>
      <c r="EK176" s="17">
        <f>EJ176*VLOOKUP('Données projet'!$B$15,Paramètres!$A$1:$I$89,3,0)*VLOOKUP('Données projet'!$B$15,Paramètres!$A$1:$I$89,5,0)</f>
        <v>223.8911999999998</v>
      </c>
      <c r="EL176" s="13">
        <f t="shared" si="179"/>
        <v>54.95975389514858</v>
      </c>
      <c r="EM176" s="20">
        <f t="shared" si="180"/>
        <v>485.66541136738346</v>
      </c>
      <c r="EN176" s="59">
        <f t="shared" si="128"/>
        <v>778.99874470071677</v>
      </c>
      <c r="EO176" s="59">
        <f ca="1">AVERAGE(OFFSET($EN$3,0,0,'Données projet'!$E$15+1,1))-AVERAGE(OFFSET($H$3,0,0,'Données projet'!$E$15+1,1))</f>
        <v>205.5272583787887</v>
      </c>
      <c r="EP176" s="59">
        <f t="shared" si="154"/>
        <v>180.54762778843178</v>
      </c>
      <c r="EQ176" s="15">
        <f>IF(ISNA(VLOOKUP(A176,'Données projet'!$A$191:$I$211,3,0)),0,VLOOKUP(A176,'Données projet'!$A$191:$I$211,3,0))</f>
        <v>0</v>
      </c>
      <c r="ER176" s="15">
        <f>IF(ISNA(VLOOKUP(A176,'Données projet'!$A$191:$I$211,4,0)),0,VLOOKUP(A176,'Données projet'!$A$191:$I$211,4,0))</f>
        <v>0</v>
      </c>
      <c r="ES176" s="16">
        <f>IF(ISNA(VLOOKUP(A176,'Données projet'!$A$191:$I$211,5,0)),0%,VLOOKUP(A176,'Données projet'!$A$191:$I$211,5,0)*VLOOKUP('Données projet'!$B$15,Paramètres!$A$1:$I$89,7,0))</f>
        <v>0</v>
      </c>
      <c r="ET176" s="16">
        <f>IF(ISNA(VLOOKUP(A176,'Données projet'!$A$191:$I$211,6,0)),0%,VLOOKUP(A176,'Données projet'!$A$191:$I$211,6,0)*VLOOKUP('Données projet'!$B$15,Paramètres!$A$1:$I$89,7,0))</f>
        <v>0</v>
      </c>
      <c r="EU176" s="16">
        <f>IF(ISNA(VLOOKUP(A176,'Données projet'!$A$191:$I$211,7,0)),0%,VLOOKUP(A176,'Données projet'!$A$191:$I$211,7,0))</f>
        <v>0</v>
      </c>
      <c r="EV176" s="21">
        <f>EXP(-LN(2)/35)*EV175+(1-EXP(-LN(2)/35))/(LN(2)/35)*ER176*ES176*VLOOKUP('Données projet'!$B$15,Paramètres!$A$1:$I$89,3,0)*0.475*44/12</f>
        <v>5.9046519367138929E-2</v>
      </c>
      <c r="EW176" s="21">
        <f>EXP(-LN(2)/25)*EW175+(1-EXP(-LN(2)/25))/(LN(2)/25)*Calculateur!ER176*Calculateur!ET176*VLOOKUP('Données projet'!$B$15,Paramètres!$A$1:$I$89,3,0)*0.475*44/12</f>
        <v>0.11010662515133228</v>
      </c>
      <c r="EX176" s="21">
        <f>EXP(-LN(2)/2)*EX175+(1-EXP(-LN(2)/2))/(LN(2)/2)*ER176*EU176*VLOOKUP('Données projet'!$B$15,Paramètres!$A$1:$I$89,3,0)*0.475*44/12</f>
        <v>2.7140145532376734E-21</v>
      </c>
      <c r="EY176" s="22">
        <f t="shared" si="181"/>
        <v>0.16915314451847122</v>
      </c>
      <c r="EZ176" s="75">
        <f>('Scénario référence'!$F$8+'Scénario référence'!$F$9+'Scénario référence'!$B$17+'Scénario référence'!$B$9+'Scénario référence'!$B$10)*70+IF((45+25*(1-EXP(-0.0175*A176)))&lt;70,'Scénario référence'!$B$16*(45+25*(1-EXP(-0.0175*A176))),70*'Scénario référence'!$B$16)+IF((32+38*(1-EXP(-0.0175*A176)))&lt;70,'Scénario référence'!$B$18*(32+38*(1-EXP(-0.0175*A176))),70*'Scénario référence'!$B$18)</f>
        <v>70</v>
      </c>
      <c r="FA176" s="12">
        <f>IF(A176&gt;30,10,('Scénario référence'!$B$16+'Scénario référence'!$B$17+'Scénario référence'!$B$18+'Scénario référence'!$B$9+'Scénario référence'!$B$10)*A176*10/30+('Scénario référence'!$F$8+'Scénario référence'!$F$9)*10)</f>
        <v>10</v>
      </c>
      <c r="FB176" s="12" t="e">
        <f>VLOOKUP(A176,'Données projet'!$A$217:$I$237,2,0)</f>
        <v>#N/A</v>
      </c>
      <c r="FC176" s="12" t="e">
        <f>VLOOKUP(A176,'Données projet'!$A$217:$I$237,9,0)</f>
        <v>#N/A</v>
      </c>
      <c r="FD176" s="12">
        <f t="array" ref="FD176">INDEX(FC:FC,MIN(IF(ISNUMBER(FC176:FC372),ROW(FC176:FC372),"")))</f>
        <v>0</v>
      </c>
      <c r="FE176" s="12">
        <f>IF('Données projet'!$A$218&gt;35,FE175+FD176-FM175,IF(A176&lt;'Données projet'!$A$218,$FB$205^A176,IF(A176='Données projet'!$A$218,'Données projet'!$B$218,FE175+FD176-FM175)))</f>
        <v>418.99999999999983</v>
      </c>
      <c r="FF176" s="17">
        <f>FE176*VLOOKUP('Données projet'!$B$16,Paramètres!$A$1:$I$89,3,0)*VLOOKUP('Données projet'!$B$16,Paramètres!$A$1:$I$89,5,0)</f>
        <v>359.5019999999999</v>
      </c>
      <c r="FG176" s="13">
        <f t="shared" si="182"/>
        <v>83.516011055432813</v>
      </c>
      <c r="FH176" s="20">
        <f t="shared" si="183"/>
        <v>771.58970258821194</v>
      </c>
      <c r="FI176" s="59">
        <f t="shared" si="131"/>
        <v>1064.9230359215453</v>
      </c>
      <c r="FJ176" s="59">
        <f ca="1">AVERAGE(OFFSET($FI$3,0,0,'Données projet'!$E$16+1,1))-AVERAGE(OFFSET($H$3,0,0,'Données projet'!$E$16+1,1))</f>
        <v>383.97627237444709</v>
      </c>
      <c r="FK176" s="59">
        <f t="shared" si="156"/>
        <v>203.35476578922339</v>
      </c>
      <c r="FL176" s="15">
        <f>IF(ISNA(VLOOKUP(A176,'Données projet'!$A$217:$I$237,3,0)),0,VLOOKUP(A176,'Données projet'!$A$217:$I$237,3,0))</f>
        <v>0</v>
      </c>
      <c r="FM176" s="15">
        <f>IF(ISNA(VLOOKUP(A176,'Données projet'!$A$217:$I$237,4,0)),0,VLOOKUP(A176,'Données projet'!$A$217:$I$237,4,0))</f>
        <v>0</v>
      </c>
      <c r="FN176" s="16">
        <f>IF(ISNA(VLOOKUP(A176,'Données projet'!$A$217:$I$237,5,0)),0%,VLOOKUP(A176,'Données projet'!$A$217:$I$237,5,0)*VLOOKUP('Données projet'!$B$16,Paramètres!$A$1:$I$89,7,0))</f>
        <v>0</v>
      </c>
      <c r="FO176" s="16">
        <f>IF(ISNA(VLOOKUP(A176,'Données projet'!$A$217:$I$237,6,0)),0%,VLOOKUP(A176,'Données projet'!$A$217:$I$237,6,0)*VLOOKUP('Données projet'!$B$16,Paramètres!$A$1:$I$89,7,0))</f>
        <v>0</v>
      </c>
      <c r="FP176" s="16">
        <f>IF(ISNA(VLOOKUP(A176,'Données projet'!$A$217:$I$237,7,0)),0%,VLOOKUP(A176,'Données projet'!$A$217:$I$237,7,0))</f>
        <v>0</v>
      </c>
      <c r="FQ176" s="21">
        <f>EXP(-LN(2)/35)*FQ175+(1-EXP(-LN(2)/35))/(LN(2)/35)*FM176*FN176*VLOOKUP('Données projet'!$B$16,Paramètres!$A$1:$I$89,3,0)*0.475*44/12</f>
        <v>0.30346707557123087</v>
      </c>
      <c r="FR176" s="21">
        <f>EXP(-LN(2)/25)*FR175+(1-EXP(-LN(2)/25))/(LN(2)/25)*Calculateur!FM176*Calculateur!FO176*VLOOKUP('Données projet'!$B$16,Paramètres!$A$1:$I$89,3,0)*0.475*44/12</f>
        <v>0.11176960512989084</v>
      </c>
      <c r="FS176" s="21">
        <f>EXP(-LN(2)/2)*FS175+(1-EXP(-LN(2)/2))/(LN(2)/2)*FM176*FP176*VLOOKUP('Données projet'!$B$16,Paramètres!$A$1:$I$89,3,0)*0.475*44/12</f>
        <v>4.9850877378682891E-21</v>
      </c>
      <c r="FT176" s="22">
        <f t="shared" si="184"/>
        <v>0.41523668070112174</v>
      </c>
      <c r="FU176" s="75">
        <f>('Scénario référence'!$F$8+'Scénario référence'!$F$9+'Scénario référence'!$B$17+'Scénario référence'!$B$9+'Scénario référence'!$B$10)*70+IF((45+25*(1-EXP(-0.0175*A176)))&lt;70,'Scénario référence'!$B$16*(45+25*(1-EXP(-0.0175*A176))),70*'Scénario référence'!$B$16)+IF((32+38*(1-EXP(-0.0175*A176)))&lt;70,'Scénario référence'!$B$18*(32+38*(1-EXP(-0.0175*A176))),70*'Scénario référence'!$B$18)</f>
        <v>70</v>
      </c>
      <c r="FV176" s="12">
        <f>IF(A176&gt;30,10,('Scénario référence'!$B$16+'Scénario référence'!$B$17+'Scénario référence'!$B$18+'Scénario référence'!$B$9+'Scénario référence'!$B$10)*A176*10/30+('Scénario référence'!$F$8+'Scénario référence'!$F$9)*10)</f>
        <v>10</v>
      </c>
      <c r="FW176" s="12" t="e">
        <f>VLOOKUP(A176,'Données projet'!$A$243:$I$263,2,0)</f>
        <v>#N/A</v>
      </c>
      <c r="FX176" s="12" t="e">
        <f>VLOOKUP(A176,'Données projet'!$A$243:$I$263,9,0)</f>
        <v>#N/A</v>
      </c>
      <c r="FY176" s="12">
        <f t="array" ref="FY176">INDEX(FX:FX,MIN(IF(ISNUMBER(FX176:FX372),ROW(FX176:FX372),"")))</f>
        <v>0</v>
      </c>
      <c r="FZ176" s="12">
        <f>IF('Données projet'!$A$244&gt;35,FZ175+FY176-GH175,IF(A176&lt;'Données projet'!$A$244,$FW$205^A176,IF(A176='Données projet'!$A$244,'Données projet'!$B$244,FZ175+FY176-GH175)))</f>
        <v>4.5474735088646412E-13</v>
      </c>
      <c r="GA176" s="17">
        <f>FZ176*VLOOKUP('Données projet'!$B$17,Paramètres!$A$1:$I$89,3,0)*VLOOKUP('Données projet'!$B$17,Paramètres!$A$1:$I$89,5,0)</f>
        <v>4.8949004849418999E-13</v>
      </c>
      <c r="GB176" s="13">
        <f t="shared" si="185"/>
        <v>6.1123715499968684E-12</v>
      </c>
      <c r="GC176" s="20">
        <f t="shared" si="186"/>
        <v>1.1498242284038591E-11</v>
      </c>
      <c r="GD176" s="59">
        <f t="shared" si="134"/>
        <v>293.3333333333448</v>
      </c>
      <c r="GE176" s="59">
        <f ca="1">AVERAGE(OFFSET($GD$3,0,0,'Données projet'!$E$17+1,1))-AVERAGE(OFFSET($H$3,0,0,'Données projet'!$E$17+1,1))</f>
        <v>286.77702855541287</v>
      </c>
      <c r="GF176" s="59">
        <f t="shared" si="158"/>
        <v>227.12211541860779</v>
      </c>
      <c r="GG176" s="15">
        <f>IF(ISNA(VLOOKUP(A176,'Données projet'!$A$243:$I$263,3,0)),0,VLOOKUP(A176,'Données projet'!$A$243:$I$263,3,0))</f>
        <v>0</v>
      </c>
      <c r="GH176" s="15">
        <f>IF(ISNA(VLOOKUP(A176,'Données projet'!$A$243:$I$263,4,0)),0,VLOOKUP(A176,'Données projet'!$A$243:$I$263,4,0))</f>
        <v>0</v>
      </c>
      <c r="GI176" s="16">
        <f>IF(ISNA(VLOOKUP(A176,'Données projet'!$A$243:$I$263,5,0)),0%,VLOOKUP(A176,'Données projet'!$A$243:$I$263,5,0)*VLOOKUP('Données projet'!$B$17,Paramètres!$A$1:$I$89,7,0))</f>
        <v>0</v>
      </c>
      <c r="GJ176" s="16">
        <f>IF(ISNA(VLOOKUP(A176,'Données projet'!$A$243:$I$263,6,0)),0%,VLOOKUP(A176,'Données projet'!$A$243:$I$263,6,0)*VLOOKUP('Données projet'!$B$17,Paramètres!$A$1:$I$89,7,0))</f>
        <v>0</v>
      </c>
      <c r="GK176" s="16">
        <f>IF(ISNA(VLOOKUP(A176,'Données projet'!$A$243:$I$263,7,0)),0%,VLOOKUP(A176,'Données projet'!$A$243:$I$263,7,0))</f>
        <v>0</v>
      </c>
      <c r="GL176" s="21">
        <f>EXP(-LN(2)/35)*GL175+(1-EXP(-LN(2)/35))/(LN(2)/35)*GH176*GI176*VLOOKUP('Données projet'!$B$17,Paramètres!$A$1:$I$89,3,0)*0.475*44/12</f>
        <v>0</v>
      </c>
      <c r="GM176" s="21">
        <f>EXP(-LN(2)/25)*GM175+(1-EXP(-LN(2)/25))/(LN(2)/25)*Calculateur!GH176*Calculateur!GJ176*VLOOKUP('Données projet'!$B$17,Paramètres!$A$1:$I$89,3,0)*0.475*44/12</f>
        <v>0</v>
      </c>
      <c r="GN176" s="21">
        <f>EXP(-LN(2)/2)*GN175+(1-EXP(-LN(2)/2))/(LN(2)/2)*GH176*GK176*VLOOKUP('Données projet'!$B$17,Paramètres!$A$1:$I$89,3,0)*0.475*44/12</f>
        <v>0</v>
      </c>
      <c r="GO176" s="21">
        <f t="shared" si="187"/>
        <v>0</v>
      </c>
      <c r="GP176" s="75">
        <f>('Scénario référence'!$F$8+'Scénario référence'!$F$9+'Scénario référence'!$B$17+'Scénario référence'!$B$9+'Scénario référence'!$B$10)*70+IF((45+25*(1-EXP(-0.0175*A176)))&lt;70,'Scénario référence'!$B$16*(45+25*(1-EXP(-0.0175*A176))),70*'Scénario référence'!$B$16)+IF((32+38*(1-EXP(-0.0175*A176)))&lt;70,'Scénario référence'!$B$18*(32+38*(1-EXP(-0.0175*A176))),70*'Scénario référence'!$B$18)</f>
        <v>70</v>
      </c>
      <c r="GQ176" s="12">
        <f>IF(A176&gt;30,10,('Scénario référence'!$B$16+'Scénario référence'!$B$17+'Scénario référence'!$B$18+'Scénario référence'!$B$9+'Scénario référence'!$B$10)*A176*10/30+('Scénario référence'!$F$8+'Scénario référence'!$F$9)*10)</f>
        <v>10</v>
      </c>
      <c r="GR176" s="12" t="e">
        <f>VLOOKUP(A176,'Données projet'!$A$269:$I$289,2,0)</f>
        <v>#N/A</v>
      </c>
      <c r="GS176" s="12" t="e">
        <f>VLOOKUP(A176,'Données projet'!$A$269:$I$289,9,0)</f>
        <v>#N/A</v>
      </c>
      <c r="GT176" s="12">
        <f t="array" ref="GT176">INDEX(GS:GS,MIN(IF(ISNUMBER(GS176:GS372),ROW(GS176:GS372),"")))</f>
        <v>0</v>
      </c>
      <c r="GU176" s="12">
        <f>IF('Données projet'!$A$270&gt;35,GU175+GT176-HC175,IF(A176&lt;'Données projet'!$A$270,$GR$205^A176,IF(A176='Données projet'!$A$270,'Données projet'!$B$270,GU175+GT176-HC175)))</f>
        <v>4.5474735088646412E-13</v>
      </c>
      <c r="GV176" s="17">
        <f>GU176*VLOOKUP('Données projet'!$B$18,Paramètres!$A$1:$I$89,3,0)*VLOOKUP('Données projet'!$B$18,Paramètres!$A$1:$I$89,5,0)</f>
        <v>4.8949004849418999E-13</v>
      </c>
      <c r="GW176" s="13">
        <f t="shared" si="188"/>
        <v>6.1123715499968684E-12</v>
      </c>
      <c r="GX176" s="20">
        <f t="shared" si="189"/>
        <v>1.1498242284038591E-11</v>
      </c>
      <c r="GY176" s="59">
        <f t="shared" si="137"/>
        <v>293.3333333333448</v>
      </c>
      <c r="GZ176" s="59">
        <f ca="1">AVERAGE(OFFSET($GY$3,0,0,'Données projet'!$E$18+1,1))-AVERAGE(OFFSET($H$3,0,0,'Données projet'!$E$18+1,1))</f>
        <v>286.77702855541287</v>
      </c>
      <c r="HA176" s="59">
        <f t="shared" si="160"/>
        <v>227.12211541860779</v>
      </c>
      <c r="HB176" s="15">
        <f>IF(ISNA(VLOOKUP(A176,'Données projet'!$A$269:$I$289,3,0)),0,VLOOKUP(A176,'Données projet'!$A$269:$I$289,3,0))</f>
        <v>0</v>
      </c>
      <c r="HC176" s="15">
        <f>IF(ISNA(VLOOKUP(A176,'Données projet'!$A$269:$I$289,4,0)),0,VLOOKUP(A176,'Données projet'!$A$269:$I$289,4,0))</f>
        <v>0</v>
      </c>
      <c r="HD176" s="16">
        <f>IF(ISNA(VLOOKUP(A176,'Données projet'!$A$269:$I$289,5,0)),0%,VLOOKUP(A176,'Données projet'!$A$269:$I$289,5,0)*VLOOKUP('Données projet'!$B$18,Paramètres!$A$1:$I$89,7,0))</f>
        <v>0</v>
      </c>
      <c r="HE176" s="16">
        <f>IF(ISNA(VLOOKUP(A176,'Données projet'!$A$269:$I$289,6,0)),0%,VLOOKUP(A176,'Données projet'!$A$269:$I$289,6,0)*VLOOKUP('Données projet'!$B$18,Paramètres!$A$1:$I$89,7,0))</f>
        <v>0</v>
      </c>
      <c r="HF176" s="16">
        <f>IF(ISNA(VLOOKUP(A176,'Données projet'!$A$269:$I$289,7,0)),0%,VLOOKUP(A176,'Données projet'!$A$269:$I$289,7,0))</f>
        <v>0</v>
      </c>
      <c r="HG176" s="21">
        <f>EXP(-LN(2)/35)*HG175+(1-EXP(-LN(2)/35))/(LN(2)/35)*HC176*HD176*VLOOKUP('Données projet'!$B$18,Paramètres!$A$1:$I$89,3,0)*0.475*44/12</f>
        <v>0</v>
      </c>
      <c r="HH176" s="21">
        <f>EXP(-LN(2)/25)*HH175+(1-EXP(-LN(2)/25))/(LN(2)/25)*Calculateur!HC176*Calculateur!HE176*VLOOKUP('Données projet'!$B$18,Paramètres!$A$1:$I$89,3,0)*0.475*44/12</f>
        <v>0</v>
      </c>
      <c r="HI176" s="21">
        <f>EXP(-LN(2)/2)*HI175+(1-EXP(-LN(2)/2))/(LN(2)/2)*HC176*HF176*VLOOKUP('Données projet'!$B$18,Paramètres!$A$1:$I$89,3,0)*0.475*44/12</f>
        <v>0</v>
      </c>
      <c r="HJ176" s="22">
        <f t="shared" si="190"/>
        <v>0</v>
      </c>
    </row>
    <row r="177" spans="1:218" x14ac:dyDescent="0.25">
      <c r="A177" s="10">
        <f t="shared" si="161"/>
        <v>174</v>
      </c>
      <c r="B177" s="73">
        <f>'Scénario référence'!$B$16*5+'Scénario référence'!$B$17*0+'Scénario référence'!$B$18*5</f>
        <v>0</v>
      </c>
      <c r="C177" s="19">
        <f>Calculateur!C176+'Scénario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154.72079999999988</v>
      </c>
      <c r="D177" s="11">
        <f t="shared" si="140"/>
        <v>39.649461948838557</v>
      </c>
      <c r="E17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77" s="11">
        <f>IF(OR('Scénario référence'!$F$8&gt;0,'Scénario référence'!$F$9&gt;0),('Scénario référence'!$F$8+'Scénario référence'!$F$9)*10,0)</f>
        <v>10</v>
      </c>
      <c r="G177" s="11">
        <f>'Scénario référence'!$B$8*B177*44/12+'Scénario référence'!$B$9*(C177+D177)/0.475*44/12+'Scénario référence'!$B$10*(C177+D177)/0.475*44/12+'Scénario référence'!$F$8*(C177+D177)/0.475*44/12+'Scénario référence'!$F$9*(C177+D177)/0.475*44/12</f>
        <v>1500.4020220612092</v>
      </c>
      <c r="H177" s="67">
        <f t="shared" si="110"/>
        <v>631.86153956089356</v>
      </c>
      <c r="I177" s="70">
        <f>('Scénario référence'!$F$8+'Scénario référence'!$F$9+'Scénario référence'!$B$17+'Scénario référence'!$B$9+'Scénario référence'!$B$10)*70+IF((45+25*(1-EXP(-0.0175*A177)))&lt;70,'Scénario référence'!$B$16*(45+25*(1-EXP(-0.0175*A177))),70*'Scénario référence'!$B$16)+IF((32+38*(1-EXP(-0.0175*A177)))&lt;70,'Scénario référence'!$B$18*(32+38*(1-EXP(-0.0175*A177))),70*'Scénario référence'!$B$18)</f>
        <v>70</v>
      </c>
      <c r="J177" s="13">
        <f>IF(A177&gt;30,10,('Scénario référence'!$B$16+'Scénario référence'!$B$17+'Scénario référence'!$B$18+'Scénario référence'!$B$9+'Scénario référence'!$B$10)*A177*10/30+('Scénario référence'!$F$8+'Scénario référence'!$F$9)*10)</f>
        <v>10</v>
      </c>
      <c r="K177" s="12" t="e">
        <f>VLOOKUP(A177,'Données projet'!$A$35:$I$55,2,0)</f>
        <v>#N/A</v>
      </c>
      <c r="L177" s="12" t="e">
        <f>VLOOKUP(A177,'Données projet'!$A$35:$I$55,9,0)</f>
        <v>#N/A</v>
      </c>
      <c r="M177" s="12">
        <f t="array" ref="M177">INDEX(L:L,MIN(IF(ISNUMBER(L177:L373),ROW(L177:L373),"")))</f>
        <v>0</v>
      </c>
      <c r="N177" s="13">
        <f>IF('Données projet'!$A$36&gt;35,N176+M177-V176,IF(A177&lt;'Données projet'!$A$36,$K$205^A177,IF(A177='Données projet'!$A$36,'Données projet'!$B$36,N176+M177-V176)))</f>
        <v>-2.2737367544323206E-13</v>
      </c>
      <c r="O177" s="13">
        <f>N177*VLOOKUP('Données projet'!$B$9,Paramètres!$A$1:$I$89,3,0)*VLOOKUP('Données projet'!$B$9,Paramètres!$A$1:$I$89,5,0)</f>
        <v>-1.2710188457276673E-13</v>
      </c>
      <c r="P177" s="13" t="e">
        <f t="shared" si="141"/>
        <v>#NUM!</v>
      </c>
      <c r="Q177" s="20" t="e">
        <f t="shared" si="162"/>
        <v>#NUM!</v>
      </c>
      <c r="R177" s="59" t="e">
        <f t="shared" si="109"/>
        <v>#NUM!</v>
      </c>
      <c r="S177" s="59">
        <f ca="1">AVERAGE(OFFSET($R$3,0,0,'Données projet'!$E$9+1,1))-AVERAGE(OFFSET($H$3,0,0,'Données projet'!$E$9+1,1))</f>
        <v>255.5374979188561</v>
      </c>
      <c r="T177" s="59">
        <f t="shared" si="142"/>
        <v>343.10418468620901</v>
      </c>
      <c r="U177" s="15">
        <f>IF(ISNA(VLOOKUP(A177,'Données projet'!$A$35:$I$55,3,0)),0,VLOOKUP(A177,'Données projet'!$A$35:$I$55,3,0))</f>
        <v>0</v>
      </c>
      <c r="V177" s="15">
        <f>IF(ISNA(VLOOKUP(A177,'Données projet'!$A$35:$I$55,4,0)),0,VLOOKUP(A177,'Données projet'!$A$35:$I$55,4,0))</f>
        <v>0</v>
      </c>
      <c r="W177" s="16">
        <f>IF(ISNA(VLOOKUP(A177,'Données projet'!$A$35:$I$55,5,0)),0%,VLOOKUP(A177,'Données projet'!$A$35:$I$55,5,0)*VLOOKUP('Données projet'!$B$9,Paramètres!$A$1:$I$89,7,0))</f>
        <v>0</v>
      </c>
      <c r="X177" s="16">
        <f>IF(ISNA(VLOOKUP(A177,'Données projet'!$A$35:$I$55,6,0)),0%,VLOOKUP(A177,'Données projet'!$A$35:$I$55,6,0)*VLOOKUP('Données projet'!$B$9,Paramètres!$A$1:$I$89,7,0))</f>
        <v>0</v>
      </c>
      <c r="Y177" s="16">
        <f>IF(ISNA(VLOOKUP(A177,'Données projet'!$A$35:$I$55,7,0)),0%,VLOOKUP(A177,'Données projet'!$A$35:$I$55,7,0))</f>
        <v>0</v>
      </c>
      <c r="Z177" s="21">
        <f>EXP(-LN(2)/35)*Z176+(1-EXP(-LN(2)/35))/(LN(2)/35)*V177*W177*VLOOKUP('Données projet'!$B$9,Paramètres!$A$1:$I$89,3,0)*0.475*44/12</f>
        <v>0.17841888030975256</v>
      </c>
      <c r="AA177" s="21">
        <f>EXP(-LN(2)/25)*AA176+(1-EXP(-LN(2)/25))/(LN(2)/25)*Calculateur!V177*Calculateur!X177*VLOOKUP('Données projet'!$B$9,Paramètres!$A$1:$I$89,3,0)*0.475*44/12</f>
        <v>0.29451482667750351</v>
      </c>
      <c r="AB177" s="21">
        <f>EXP(-LN(2)/2)*AB176+(1-EXP(-LN(2)/2))/(LN(2)/2)*V177*Y177*VLOOKUP('Données projet'!$B$9,Paramètres!$A$1:$I$89,3,0)*0.475*44/12</f>
        <v>3.5843301988402443E-22</v>
      </c>
      <c r="AC177" s="22">
        <f t="shared" si="163"/>
        <v>0.47293370698725606</v>
      </c>
      <c r="AD177" s="13">
        <f>('Scénario référence'!$F$8+'Scénario référence'!$F$9+'Scénario référence'!$B$17+'Scénario référence'!$B$9+'Scénario référence'!$B$10)*70+IF((45+25*(1-EXP(-0.0175*A177)))&lt;70,'Scénario référence'!$B$16*(45+25*(1-EXP(-0.0175*A177))),70*'Scénario référence'!$B$16)+IF((32+38*(1-EXP(-0.0175*A177)))&lt;70,'Scénario référence'!$B$18*(32+38*(1-EXP(-0.0175*A177))),70*'Scénario référence'!$B$18)</f>
        <v>70</v>
      </c>
      <c r="AE177" s="13">
        <f>IF(A177&gt;30,10,('Scénario référence'!$B$16+'Scénario référence'!$B$17+'Scénario référence'!$B$18+'Scénario référence'!$B$9+'Scénario référence'!$B$10)*A177*10/30+('Scénario référence'!$F$8+'Scénario référence'!$F$9)*10)</f>
        <v>10</v>
      </c>
      <c r="AF177" s="12" t="e">
        <f>VLOOKUP(A177,'Données projet'!$A$61:$I$81,2,0)</f>
        <v>#N/A</v>
      </c>
      <c r="AG177" s="12" t="e">
        <f>VLOOKUP(A177,'Données projet'!$A$61:$I$81,9,0)</f>
        <v>#N/A</v>
      </c>
      <c r="AH177" s="12">
        <f t="array" ref="AH177">INDEX(AG:AG,MIN(IF(ISNUMBER(AG177:AG373),ROW(AG177:AG373),"")))</f>
        <v>0</v>
      </c>
      <c r="AI177" s="13">
        <f>IF('Données projet'!$A$62&gt;35,AI176+AH177-AQ176,IF(A177&lt;'Données projet'!$A$62,$AF$205^A177,IF(A177='Données projet'!$A$62,'Données projet'!$B$62,AI176+AH177-AQ176)))</f>
        <v>0</v>
      </c>
      <c r="AJ177" s="13">
        <f>AI177*VLOOKUP('Données projet'!$B$10,Paramètres!$A$1:$I$89,3,0)*VLOOKUP('Données projet'!$B$10,Paramètres!$A$1:$I$89,5,0)</f>
        <v>0</v>
      </c>
      <c r="AK177" s="13" t="e">
        <f t="shared" si="164"/>
        <v>#NUM!</v>
      </c>
      <c r="AL177" s="20" t="e">
        <f t="shared" si="165"/>
        <v>#NUM!</v>
      </c>
      <c r="AM177" s="59" t="e">
        <f t="shared" si="113"/>
        <v>#NUM!</v>
      </c>
      <c r="AN177" s="59">
        <f ca="1">AVERAGE(OFFSET($AM$3,0,0,'Données projet'!$E$10+1,1))-AVERAGE(OFFSET($H$3,0,0,'Données projet'!$E$10+1,1))</f>
        <v>261.78489480911571</v>
      </c>
      <c r="AO177" s="59">
        <f t="shared" si="144"/>
        <v>297.50513563712764</v>
      </c>
      <c r="AP177" s="15">
        <f>IF(ISNA(VLOOKUP(A177,'Données projet'!$A$61:$I$81,3,0)),0,VLOOKUP(A177,'Données projet'!$A$61:$I$81,3,0))</f>
        <v>0</v>
      </c>
      <c r="AQ177" s="15">
        <f>IF(ISNA(VLOOKUP(A177,'Données projet'!$A$61:$I$81,4,0)),0,VLOOKUP(A177,'Données projet'!$A$61:$I$81,4,0))</f>
        <v>0</v>
      </c>
      <c r="AR177" s="16">
        <f>IF(ISNA(VLOOKUP(A177,'Données projet'!$A$61:$I$81,5,0)),0%,VLOOKUP(A177,'Données projet'!$A$61:$I$81,5,0)*VLOOKUP('Données projet'!$B$10,Paramètres!$A$1:$I$89,7,0))</f>
        <v>0</v>
      </c>
      <c r="AS177" s="16">
        <f>IF(ISNA(VLOOKUP(A177,'Données projet'!$A$61:$I$81,6,0)),0%,VLOOKUP(A177,'Données projet'!$A$61:$I$81,6,0)*VLOOKUP('Données projet'!$B$10,Paramètres!$A$1:$I$89,7,0))</f>
        <v>0</v>
      </c>
      <c r="AT177" s="16">
        <f>IF(ISNA(VLOOKUP(A177,'Données projet'!$A$61:$I$81,7,0)),0%,VLOOKUP(A177,'Données projet'!$A$61:$I$81,7,0))</f>
        <v>0</v>
      </c>
      <c r="AU177" s="21">
        <f>EXP(-LN(2)/35)*AU176+(1-EXP(-LN(2)/35))/(LN(2)/35)*AQ177*AR177*VLOOKUP('Données projet'!$B$10,Paramètres!$A$1:$I$89,3,0)*0.475*44/12</f>
        <v>0.48178144237457532</v>
      </c>
      <c r="AV177" s="21">
        <f>EXP(-LN(2)/25)*AV176+(1-EXP(-LN(2)/25))/(LN(2)/25)*Calculateur!AQ177*Calculateur!AS177*VLOOKUP('Données projet'!$B$10,Paramètres!$A$1:$I$89,3,0)*0.475*44/12</f>
        <v>0.51428295688055992</v>
      </c>
      <c r="AW177" s="21">
        <f>EXP(-LN(2)/2)*AW176+(1-EXP(-LN(2)/2))/(LN(2)/2)*AQ177*AT177*VLOOKUP('Données projet'!$B$10,Paramètres!$A$1:$I$89,3,0)*0.475*44/12</f>
        <v>5.1671532113034953E-21</v>
      </c>
      <c r="AX177" s="21">
        <f t="shared" si="166"/>
        <v>0.99606439925513524</v>
      </c>
      <c r="AY177" s="74">
        <f>('Scénario référence'!$F$8+'Scénario référence'!$F$9+'Scénario référence'!$B$17+'Scénario référence'!$B$9+'Scénario référence'!$B$10)*70+IF((45+25*(1-EXP(-0.0175*A177)))&lt;70,'Scénario référence'!$B$16*(45+25*(1-EXP(-0.0175*A177))),70*'Scénario référence'!$B$16)+IF((32+38*(1-EXP(-0.0175*A177)))&lt;70,'Scénario référence'!$B$18*(32+38*(1-EXP(-0.0175*A177))),70*'Scénario référence'!$B$18)</f>
        <v>70</v>
      </c>
      <c r="AZ177" s="12">
        <f>IF(A177&gt;30,10,('Scénario référence'!$B$16+'Scénario référence'!$B$17+'Scénario référence'!$B$18+'Scénario référence'!$B$9+'Scénario référence'!$B$10)*A177*10/30+('Scénario référence'!$F$8+'Scénario référence'!$F$9)*10)</f>
        <v>10</v>
      </c>
      <c r="BA177" s="12" t="e">
        <f>VLOOKUP(A177,'Données projet'!$A$87:$I$107,2,0)</f>
        <v>#N/A</v>
      </c>
      <c r="BB177" s="12" t="e">
        <f>VLOOKUP(A177,'Données projet'!$A$87:$I$107,9,0)</f>
        <v>#N/A</v>
      </c>
      <c r="BC177" s="12">
        <f t="array" ref="BC177">INDEX(BB:BB,MIN(IF(ISNUMBER(BB177:BB373),ROW(BB177:BB373),"")))</f>
        <v>0</v>
      </c>
      <c r="BD177" s="12">
        <f>IF('Données projet'!$A$88&gt;35,BD176+BC177-BL176,IF(A177&lt;'Données projet'!$A$88,$BA$205^A177,IF(A177='Données projet'!$A$88,'Données projet'!$B$88,BD176+BC177-BL176)))</f>
        <v>553.99999999999955</v>
      </c>
      <c r="BE177" s="13">
        <f>BD177*VLOOKUP('Données projet'!$B$11,Paramètres!$A$1:$I$89,3,0)*VLOOKUP('Données projet'!$B$11,Paramètres!$A$1:$I$89,5,0)</f>
        <v>331.29199999999975</v>
      </c>
      <c r="BF177" s="13">
        <f t="shared" si="167"/>
        <v>77.698110787752</v>
      </c>
      <c r="BG177" s="20">
        <f t="shared" si="168"/>
        <v>712.32444295533423</v>
      </c>
      <c r="BH177" s="59">
        <f t="shared" si="116"/>
        <v>1005.6577762886675</v>
      </c>
      <c r="BI177" s="59">
        <f ca="1">AVERAGE(OFFSET($BH$3,0,0,'Données projet'!$E$11+1,1))-AVERAGE(OFFSET($H$3,0,0,'Données projet'!$E$11+1,1))</f>
        <v>316.58509520829671</v>
      </c>
      <c r="BJ177" s="59">
        <f t="shared" si="146"/>
        <v>240.71332110643596</v>
      </c>
      <c r="BK177" s="15">
        <f>IF(ISNA(VLOOKUP(A177,'Données projet'!$A$87:$I$107,3,0)),0,VLOOKUP(A177,'Données projet'!$A$87:$I$107,3,0))</f>
        <v>0</v>
      </c>
      <c r="BL177" s="15">
        <f>IF(ISNA(VLOOKUP(A177,'Données projet'!$A$87:$I$107,4,0)),0,VLOOKUP(A177,'Données projet'!$A$87:$I$107,4,0))</f>
        <v>0</v>
      </c>
      <c r="BM177" s="16">
        <f>IF(ISNA(VLOOKUP(A177,'Données projet'!$A$87:$I$107,5,0)),0%,VLOOKUP(A177,'Données projet'!$A$87:$I$107,5,0)*VLOOKUP('Données projet'!$B$11,Paramètres!$A$1:$I$89,7,0))</f>
        <v>0</v>
      </c>
      <c r="BN177" s="16">
        <f>IF(ISNA(VLOOKUP(A177,'Données projet'!$A$87:$I$107,6,0)),0%,VLOOKUP(A177,'Données projet'!$A$87:$I$107,6,0)*VLOOKUP('Données projet'!$B$11,Paramètres!$A$1:$I$89,7,0))</f>
        <v>0</v>
      </c>
      <c r="BO177" s="16">
        <f>IF(ISNA(VLOOKUP(A177,'Données projet'!$A$87:$I$107,7,0)),0%,VLOOKUP(A177,'Données projet'!$A$87:$I$107,7,0))</f>
        <v>0</v>
      </c>
      <c r="BP177" s="21">
        <f>EXP(-LN(2)/35)*BP176+(1-EXP(-LN(2)/35))/(LN(2)/35)*BL177*BM177*VLOOKUP('Données projet'!$B$11,Paramètres!$A$1:$I$89,3,0)*0.475*44/12</f>
        <v>0.14634469780462844</v>
      </c>
      <c r="BQ177" s="21">
        <f>EXP(-LN(2)/25)*BQ176+(1-EXP(-LN(2)/25))/(LN(2)/25)*Calculateur!BL177*Calculateur!BN177*VLOOKUP('Données projet'!$B$11,Paramètres!$A$1:$I$89,3,0)*0.475*44/12</f>
        <v>0.28173920956667459</v>
      </c>
      <c r="BR177" s="21">
        <f>EXP(-LN(2)/2)*BR176+(1-EXP(-LN(2)/2))/(LN(2)/2)*BL177*BO177*VLOOKUP('Données projet'!$B$11,Paramètres!$A$1:$I$89,3,0)*0.475*44/12</f>
        <v>4.645836605381171E-21</v>
      </c>
      <c r="BS177" s="22">
        <f t="shared" si="169"/>
        <v>0.42808390737130303</v>
      </c>
      <c r="BT177" s="75">
        <f>('Scénario référence'!$F$8+'Scénario référence'!$F$9+'Scénario référence'!$B$17+'Scénario référence'!$B$9+'Scénario référence'!$B$10)*70+IF((45+25*(1-EXP(-0.0175*A177)))&lt;70,'Scénario référence'!$B$16*(45+25*(1-EXP(-0.0175*A177))),70*'Scénario référence'!$B$16)+IF((32+38*(1-EXP(-0.0175*A177)))&lt;70,'Scénario référence'!$B$18*(32+38*(1-EXP(-0.0175*A177))),70*'Scénario référence'!$B$18)</f>
        <v>70</v>
      </c>
      <c r="BU177" s="12">
        <f>IF(A177&gt;30,10,('Scénario référence'!$B$16+'Scénario référence'!$B$17+'Scénario référence'!$B$18+'Scénario référence'!$B$9+'Scénario référence'!$B$10)*A177*10/30+('Scénario référence'!$F$8+'Scénario référence'!$F$9)*10)</f>
        <v>10</v>
      </c>
      <c r="BV177" s="12" t="e">
        <f>VLOOKUP(A177,'Données projet'!$A$113:$I$133,2,0)</f>
        <v>#N/A</v>
      </c>
      <c r="BW177" s="12" t="e">
        <f>VLOOKUP(A177,'Données projet'!$A$113:$I$133,9,0)</f>
        <v>#N/A</v>
      </c>
      <c r="BX177" s="12">
        <f t="array" ref="BX177">INDEX(BW:BW,MIN(IF(ISNUMBER(BW177:BW373),ROW(BW177:BW373),"")))</f>
        <v>0</v>
      </c>
      <c r="BY177" s="12">
        <f>IF('Données projet'!$A$114&gt;35,BY176+BX177-CG176,IF(A177&lt;'Données projet'!$A$114,$BV$205^A177,IF(A177='Données projet'!$A$114,'Données projet'!$B$114,BY176+BX177-CG176)))</f>
        <v>333.99999999999977</v>
      </c>
      <c r="BZ177" s="13">
        <f>BY177*VLOOKUP('Données projet'!$B$12,Paramètres!$A$1:$I$89,3,0)*VLOOKUP('Données projet'!$B$12,Paramètres!$A$1:$I$89,5,0)</f>
        <v>191.04799999999986</v>
      </c>
      <c r="CA177" s="13">
        <f t="shared" si="170"/>
        <v>47.771576544305155</v>
      </c>
      <c r="CB177" s="20">
        <f t="shared" si="171"/>
        <v>415.94409581466454</v>
      </c>
      <c r="CC177" s="59">
        <f t="shared" si="119"/>
        <v>709.27742914799785</v>
      </c>
      <c r="CD177" s="59">
        <f ca="1">AVERAGE(OFFSET($CC$3,0,0,'Données projet'!$E$12+1,1))-AVERAGE(OFFSET($H$3,0,0,'Données projet'!$E$12+1,1))</f>
        <v>188.64374818906128</v>
      </c>
      <c r="CE177" s="59">
        <f t="shared" si="148"/>
        <v>211.95157880548652</v>
      </c>
      <c r="CF177" s="15">
        <f>IF(ISNA(VLOOKUP(A177,'Données projet'!$A$113:$I$133,3,0)),0,VLOOKUP(A177,'Données projet'!$A$113:$I$133,3,0))</f>
        <v>0</v>
      </c>
      <c r="CG177" s="15">
        <f>IF(ISNA(VLOOKUP(A177,'Données projet'!$A$113:$I$133,4,0)),0,VLOOKUP(A177,'Données projet'!$A$113:$I$133,4,0))</f>
        <v>0</v>
      </c>
      <c r="CH177" s="16">
        <f>IF(ISNA(VLOOKUP(A177,'Données projet'!$A$113:$I$133,5,0)),0%,VLOOKUP(A177,'Données projet'!$A$113:$I$133,5,0)*VLOOKUP('Données projet'!$B$12,Paramètres!$A$1:$I$89,7,0))</f>
        <v>0</v>
      </c>
      <c r="CI177" s="16">
        <f>IF(ISNA(VLOOKUP(A177,'Données projet'!$A$113:$I$133,6,0)),0%,VLOOKUP(A177,'Données projet'!$A$113:$I$133,6,0)*VLOOKUP('Données projet'!$B$12,Paramètres!$A$1:$I$89,7,0))</f>
        <v>0</v>
      </c>
      <c r="CJ177" s="16">
        <f>IF(ISNA(VLOOKUP(A177,'Données projet'!$A$113:$I$133,7,0)),0%,VLOOKUP(A177,'Données projet'!$A$113:$I$133,7,0))</f>
        <v>0</v>
      </c>
      <c r="CK177" s="21">
        <f>EXP(-LN(2)/35)*CK176+(1-EXP(-LN(2)/35))/(LN(2)/35)*CG177*CH177*VLOOKUP('Données projet'!$B$12,Paramètres!$A$1:$I$89,3,0)*0.475*44/12</f>
        <v>0.14195346069965167</v>
      </c>
      <c r="CL177" s="21">
        <f>EXP(-LN(2)/25)*CL176+(1-EXP(-LN(2)/25))/(LN(2)/25)*Calculateur!CG177*Calculateur!CI177*VLOOKUP('Données projet'!$B$12,Paramètres!$A$1:$I$89,3,0)*0.475*44/12</f>
        <v>0.26517932311648773</v>
      </c>
      <c r="CM177" s="21">
        <f>EXP(-LN(2)/2)*CM176+(1-EXP(-LN(2)/2))/(LN(2)/2)*CG177*CJ177*VLOOKUP('Données projet'!$B$12,Paramètres!$A$1:$I$89,3,0)*0.475*44/12</f>
        <v>4.4991292566572156E-21</v>
      </c>
      <c r="CN177" s="22">
        <f t="shared" si="172"/>
        <v>0.40713278381613938</v>
      </c>
      <c r="CO177" s="75">
        <f>('Scénario référence'!$F$8+'Scénario référence'!$F$9+'Scénario référence'!$B$17+'Scénario référence'!$B$9+'Scénario référence'!$B$10)*70+IF((45+25*(1-EXP(-0.0175*A177)))&lt;70,'Scénario référence'!$B$16*(45+25*(1-EXP(-0.0175*A177))),70*'Scénario référence'!$B$16)+IF((32+38*(1-EXP(-0.0175*A177)))&lt;70,'Scénario référence'!$B$18*(32+38*(1-EXP(-0.0175*A177))),70*'Scénario référence'!$B$18)</f>
        <v>70</v>
      </c>
      <c r="CP177" s="12">
        <f>IF(A177&gt;30,10,('Scénario référence'!$B$16+'Scénario référence'!$B$17+'Scénario référence'!$B$18+'Scénario référence'!$B$9+'Scénario référence'!$B$10)*A177*10/30+('Scénario référence'!$F$8+'Scénario référence'!$F$9)*10)</f>
        <v>10</v>
      </c>
      <c r="CQ177" s="12" t="e">
        <f>VLOOKUP(A177,'Données projet'!$A$139:$I$159,2,0)</f>
        <v>#N/A</v>
      </c>
      <c r="CR177" s="12" t="e">
        <f>VLOOKUP(A177,'Données projet'!$A$139:$I$159,9,0)</f>
        <v>#N/A</v>
      </c>
      <c r="CS177" s="12">
        <f t="array" ref="CS177">INDEX(CR:CR,MIN(IF(ISNUMBER(CR177:CR373),ROW(CR177:CR373),"")))</f>
        <v>0</v>
      </c>
      <c r="CT177" s="12">
        <f>IF('Données projet'!$A$140&gt;35,CT176+CS177-DB176,IF(A177&lt;'Données projet'!$A$140,$CQ$205^A177,IF(A177='Données projet'!$A$140,'Données projet'!$B$140,CT176+CS177-DB176)))</f>
        <v>0</v>
      </c>
      <c r="CU177" s="17" t="e">
        <f>CT177*VLOOKUP('Données projet'!$B$13,Paramètres!$A$1:$I$89,3,0)*VLOOKUP('Données projet'!$B$13,Paramètres!$A$1:$I$89,5,0)</f>
        <v>#N/A</v>
      </c>
      <c r="CV177" s="13" t="e">
        <f t="shared" si="173"/>
        <v>#N/A</v>
      </c>
      <c r="CW177" s="20" t="e">
        <f t="shared" si="174"/>
        <v>#N/A</v>
      </c>
      <c r="CX177" s="59" t="e">
        <f t="shared" si="122"/>
        <v>#N/A</v>
      </c>
      <c r="CY177" s="59" t="e">
        <f ca="1">AVERAGE(OFFSET($CX$3,0,0,'Données projet'!$E$13+1,1))-AVERAGE(OFFSET($H$3,0,0,'Données projet'!$E$13+1,1))</f>
        <v>#N/A</v>
      </c>
      <c r="CZ177" s="59" t="e">
        <f t="shared" si="150"/>
        <v>#N/A</v>
      </c>
      <c r="DA177" s="15">
        <f>IF(ISNA(VLOOKUP(A177,'Données projet'!$A$139:$I$159,3,0)),0,VLOOKUP(A177,'Données projet'!$A$139:$I$159,3,0))</f>
        <v>0</v>
      </c>
      <c r="DB177" s="15">
        <f>IF(ISNA(VLOOKUP(A177,'Données projet'!$A$139:$I$159,4,0)),0,VLOOKUP(A177,'Données projet'!$A$139:$I$159,4,0))</f>
        <v>0</v>
      </c>
      <c r="DC177" s="16">
        <f>IF(ISNA(VLOOKUP(A177,'Données projet'!$A$139:$I$159,5,0)),0%,VLOOKUP(A177,'Données projet'!$A$139:$I$159,5,0)*VLOOKUP('Données projet'!$B$13,Paramètres!$A$1:$I$89,7,0))</f>
        <v>0</v>
      </c>
      <c r="DD177" s="16">
        <f>IF(ISNA(VLOOKUP(A177,'Données projet'!$A$139:$I$159,6,0)),0%,VLOOKUP(A177,'Données projet'!$A$139:$I$159,6,0)*VLOOKUP('Données projet'!$B$13,Paramètres!$A$1:$I$89,7,0))</f>
        <v>0</v>
      </c>
      <c r="DE177" s="16">
        <f>IF(ISNA(VLOOKUP(A177,'Données projet'!$A$139:$I$159,7,0)),0%,VLOOKUP(A177,'Données projet'!$A$139:$I$159,7,0))</f>
        <v>0</v>
      </c>
      <c r="DF177" s="21" t="e">
        <f>EXP(-LN(2)/35)*DF176+(1-EXP(-LN(2)/35))/(LN(2)/35)*DB177*DC177*VLOOKUP('Données projet'!$B$13,Paramètres!$A$1:$I$89,3,0)*0.475*44/12</f>
        <v>#N/A</v>
      </c>
      <c r="DG177" s="21" t="e">
        <f>EXP(-LN(2)/25)*DG176+(1-EXP(-LN(2)/25))/(LN(2)/25)*Calculateur!DB177*Calculateur!DD177*VLOOKUP('Données projet'!$B$13,Paramètres!$A$1:$I$89,3,0)*0.475*44/12</f>
        <v>#N/A</v>
      </c>
      <c r="DH177" s="21" t="e">
        <f>EXP(-LN(2)/2)*DH176+(1-EXP(-LN(2)/2))/(LN(2)/2)*DB177*DE177*VLOOKUP('Données projet'!$B$13,Paramètres!$A$1:$I$89,3,0)*0.475*44/12</f>
        <v>#N/A</v>
      </c>
      <c r="DI177" s="22" t="e">
        <f t="shared" si="175"/>
        <v>#N/A</v>
      </c>
      <c r="DJ177" s="75">
        <f>('Scénario référence'!$F$8+'Scénario référence'!$F$9+'Scénario référence'!$B$17+'Scénario référence'!$B$9+'Scénario référence'!$B$10)*70+IF((45+25*(1-EXP(-0.0175*A177)))&lt;70,'Scénario référence'!$B$16*(45+25*(1-EXP(-0.0175*A177))),70*'Scénario référence'!$B$16)+IF((32+38*(1-EXP(-0.0175*A177)))&lt;70,'Scénario référence'!$B$18*(32+38*(1-EXP(-0.0175*A177))),70*'Scénario référence'!$B$18)</f>
        <v>70</v>
      </c>
      <c r="DK177" s="12">
        <f>IF(A177&gt;30,10,('Scénario référence'!$B$16+'Scénario référence'!$B$17+'Scénario référence'!$B$18+'Scénario référence'!$B$9+'Scénario référence'!$B$10)*A177*10/30+('Scénario référence'!$F$8+'Scénario référence'!$F$9)*10)</f>
        <v>10</v>
      </c>
      <c r="DL177" s="12" t="e">
        <f>VLOOKUP(A177,'Données projet'!$A$165:$I$185,2,0)</f>
        <v>#N/A</v>
      </c>
      <c r="DM177" s="12" t="e">
        <f>VLOOKUP(A177,'Données projet'!$A$165:$I$185,9,0)</f>
        <v>#N/A</v>
      </c>
      <c r="DN177" s="12">
        <f t="array" ref="DN177">INDEX(DM:DM,MIN(IF(ISNUMBER(DM177:DM373),ROW(DM177:DM373),"")))</f>
        <v>0</v>
      </c>
      <c r="DO177" s="12">
        <f>IF('Données projet'!$A$166&gt;35,DO176+DN177-DW176,IF(A177&lt;'Données projet'!$A$166,$DL$205^A177,IF(A177='Données projet'!$A$166,'Données projet'!$B$166,DO176+DN177-DW176)))</f>
        <v>268.00000000000017</v>
      </c>
      <c r="DP177" s="17">
        <f>DO177*VLOOKUP('Données projet'!$B$14,Paramètres!$A$1:$I$89,3,0)*VLOOKUP('Données projet'!$B$14,Paramètres!$A$1:$I$89,5,0)</f>
        <v>175.59360000000012</v>
      </c>
      <c r="DQ177" s="13">
        <f t="shared" si="176"/>
        <v>44.340433728638573</v>
      </c>
      <c r="DR177" s="20">
        <f t="shared" si="177"/>
        <v>383.05177541071242</v>
      </c>
      <c r="DS177" s="59">
        <f t="shared" si="125"/>
        <v>676.38510874404574</v>
      </c>
      <c r="DT177" s="59">
        <f ca="1">AVERAGE(OFFSET($DS$3,0,0,'Données projet'!$E$14+1,1))-AVERAGE(OFFSET($H$3,0,0,'Données projet'!$E$14+1,1))</f>
        <v>188.68915783955595</v>
      </c>
      <c r="DU177" s="59">
        <f t="shared" si="152"/>
        <v>240.82467772396944</v>
      </c>
      <c r="DV177" s="15">
        <f>IF(ISNA(VLOOKUP(A177,'Données projet'!$A$165:$I$185,3,0)),0,VLOOKUP(A177,'Données projet'!$A$165:$I$185,3,0))</f>
        <v>0</v>
      </c>
      <c r="DW177" s="15">
        <f>IF(ISNA(VLOOKUP(A177,'Données projet'!$A$165:$I$185,4,0)),0,VLOOKUP(A177,'Données projet'!$A$165:$I$185,4,0))</f>
        <v>0</v>
      </c>
      <c r="DX177" s="16">
        <f>IF(ISNA(VLOOKUP(A177,'Données projet'!$A$165:$I$185,5,0)),0%,VLOOKUP(A177,'Données projet'!$A$165:$I$185,5,0)*VLOOKUP('Données projet'!$B$14,Paramètres!$A$1:$I$89,7,0))</f>
        <v>0</v>
      </c>
      <c r="DY177" s="16">
        <f>IF(ISNA(VLOOKUP(A177,'Données projet'!$A$165:$I$185,6,0)),0%,VLOOKUP(A177,'Données projet'!$A$165:$I$185,6,0)*VLOOKUP('Données projet'!$B$14,Paramètres!$A$1:$I$89,7,0))</f>
        <v>0</v>
      </c>
      <c r="DZ177" s="16">
        <f>IF(ISNA(VLOOKUP(A177,'Données projet'!$A$165:$I$185,7,0)),0%,VLOOKUP(A177,'Données projet'!$A$165:$I$185,7,0))</f>
        <v>0</v>
      </c>
      <c r="EA177" s="21">
        <f>EXP(-LN(2)/35)*EA176+(1-EXP(-LN(2)/35))/(LN(2)/35)*DW177*DX177*VLOOKUP('Données projet'!$B$14,Paramètres!$A$1:$I$89,3,0)*0.475*44/12</f>
        <v>8.9915807387616078E-2</v>
      </c>
      <c r="EB177" s="21">
        <f>EXP(-LN(2)/25)*EB176+(1-EXP(-LN(2)/25))/(LN(2)/25)*Calculateur!DW177*Calculateur!DY177*VLOOKUP('Données projet'!$B$14,Paramètres!$A$1:$I$89,3,0)*0.475*44/12</f>
        <v>0.1483258366882837</v>
      </c>
      <c r="EC177" s="21">
        <f>EXP(-LN(2)/2)*EC176+(1-EXP(-LN(2)/2))/(LN(2)/2)*DW177*DZ177*VLOOKUP('Données projet'!$B$14,Paramètres!$A$1:$I$89,3,0)*0.475*44/12</f>
        <v>2.9638546768826539E-21</v>
      </c>
      <c r="ED177" s="22">
        <f t="shared" si="178"/>
        <v>0.23824164407589976</v>
      </c>
      <c r="EE177" s="75">
        <f>('Scénario référence'!$F$8+'Scénario référence'!$F$9+'Scénario référence'!$B$17+'Scénario référence'!$B$9+'Scénario référence'!$B$10)*70+IF((45+25*(1-EXP(-0.0175*A177)))&lt;70,'Scénario référence'!$B$16*(45+25*(1-EXP(-0.0175*A177))),70*'Scénario référence'!$B$16)+IF((32+38*(1-EXP(-0.0175*A177)))&lt;70,'Scénario référence'!$B$18*(32+38*(1-EXP(-0.0175*A177))),70*'Scénario référence'!$B$18)</f>
        <v>70</v>
      </c>
      <c r="EF177" s="12">
        <f>IF(A177&gt;30,10,('Scénario référence'!$B$16+'Scénario référence'!$B$17+'Scénario référence'!$B$18+'Scénario référence'!$B$9+'Scénario référence'!$B$10)*A177*10/30+('Scénario référence'!$F$8+'Scénario référence'!$F$9)*10)</f>
        <v>10</v>
      </c>
      <c r="EG177" s="12" t="e">
        <f>VLOOKUP(A177,'Données projet'!$A$191:$I$211,2,0)</f>
        <v>#N/A</v>
      </c>
      <c r="EH177" s="12" t="e">
        <f>VLOOKUP(A177,'Données projet'!$A$191:$I$211,9,0)</f>
        <v>#N/A</v>
      </c>
      <c r="EI177" s="12">
        <f t="array" ref="EI177">INDEX(EH:EH,MIN(IF(ISNUMBER(EH177:EH373),ROW(EH177:EH373),"")))</f>
        <v>0</v>
      </c>
      <c r="EJ177" s="12">
        <f>IF('Données projet'!$A$192&gt;35,EJ176+EI177-ER176,IF(A177&lt;'Données projet'!$A$192,$EG$205^A177,IF(A177='Données projet'!$A$192,'Données projet'!$B$192,EJ176+EI177-ER176)))</f>
        <v>275.99999999999972</v>
      </c>
      <c r="EK177" s="17">
        <f>EJ177*VLOOKUP('Données projet'!$B$15,Paramètres!$A$1:$I$89,3,0)*VLOOKUP('Données projet'!$B$15,Paramètres!$A$1:$I$89,5,0)</f>
        <v>223.8911999999998</v>
      </c>
      <c r="EL177" s="13">
        <f t="shared" si="179"/>
        <v>54.95975389514858</v>
      </c>
      <c r="EM177" s="20">
        <f t="shared" si="180"/>
        <v>485.66541136738346</v>
      </c>
      <c r="EN177" s="59">
        <f t="shared" si="128"/>
        <v>778.99874470071677</v>
      </c>
      <c r="EO177" s="59">
        <f ca="1">AVERAGE(OFFSET($EN$3,0,0,'Données projet'!$E$15+1,1))-AVERAGE(OFFSET($H$3,0,0,'Données projet'!$E$15+1,1))</f>
        <v>205.5272583787887</v>
      </c>
      <c r="EP177" s="59">
        <f t="shared" si="154"/>
        <v>180.54762778843178</v>
      </c>
      <c r="EQ177" s="15">
        <f>IF(ISNA(VLOOKUP(A177,'Données projet'!$A$191:$I$211,3,0)),0,VLOOKUP(A177,'Données projet'!$A$191:$I$211,3,0))</f>
        <v>0</v>
      </c>
      <c r="ER177" s="15">
        <f>IF(ISNA(VLOOKUP(A177,'Données projet'!$A$191:$I$211,4,0)),0,VLOOKUP(A177,'Données projet'!$A$191:$I$211,4,0))</f>
        <v>0</v>
      </c>
      <c r="ES177" s="16">
        <f>IF(ISNA(VLOOKUP(A177,'Données projet'!$A$191:$I$211,5,0)),0%,VLOOKUP(A177,'Données projet'!$A$191:$I$211,5,0)*VLOOKUP('Données projet'!$B$15,Paramètres!$A$1:$I$89,7,0))</f>
        <v>0</v>
      </c>
      <c r="ET177" s="16">
        <f>IF(ISNA(VLOOKUP(A177,'Données projet'!$A$191:$I$211,6,0)),0%,VLOOKUP(A177,'Données projet'!$A$191:$I$211,6,0)*VLOOKUP('Données projet'!$B$15,Paramètres!$A$1:$I$89,7,0))</f>
        <v>0</v>
      </c>
      <c r="EU177" s="16">
        <f>IF(ISNA(VLOOKUP(A177,'Données projet'!$A$191:$I$211,7,0)),0%,VLOOKUP(A177,'Données projet'!$A$191:$I$211,7,0))</f>
        <v>0</v>
      </c>
      <c r="EV177" s="21">
        <f>EXP(-LN(2)/35)*EV176+(1-EXP(-LN(2)/35))/(LN(2)/35)*ER177*ES177*VLOOKUP('Données projet'!$B$15,Paramètres!$A$1:$I$89,3,0)*0.475*44/12</f>
        <v>5.7888653137169982E-2</v>
      </c>
      <c r="EW177" s="21">
        <f>EXP(-LN(2)/25)*EW176+(1-EXP(-LN(2)/25))/(LN(2)/25)*Calculateur!ER177*Calculateur!ET177*VLOOKUP('Données projet'!$B$15,Paramètres!$A$1:$I$89,3,0)*0.475*44/12</f>
        <v>0.10709575369631333</v>
      </c>
      <c r="EX177" s="21">
        <f>EXP(-LN(2)/2)*EX176+(1-EXP(-LN(2)/2))/(LN(2)/2)*ER177*EU177*VLOOKUP('Données projet'!$B$15,Paramètres!$A$1:$I$89,3,0)*0.475*44/12</f>
        <v>1.919098094833337E-21</v>
      </c>
      <c r="EY177" s="22">
        <f t="shared" si="181"/>
        <v>0.16498440683348331</v>
      </c>
      <c r="EZ177" s="75">
        <f>('Scénario référence'!$F$8+'Scénario référence'!$F$9+'Scénario référence'!$B$17+'Scénario référence'!$B$9+'Scénario référence'!$B$10)*70+IF((45+25*(1-EXP(-0.0175*A177)))&lt;70,'Scénario référence'!$B$16*(45+25*(1-EXP(-0.0175*A177))),70*'Scénario référence'!$B$16)+IF((32+38*(1-EXP(-0.0175*A177)))&lt;70,'Scénario référence'!$B$18*(32+38*(1-EXP(-0.0175*A177))),70*'Scénario référence'!$B$18)</f>
        <v>70</v>
      </c>
      <c r="FA177" s="12">
        <f>IF(A177&gt;30,10,('Scénario référence'!$B$16+'Scénario référence'!$B$17+'Scénario référence'!$B$18+'Scénario référence'!$B$9+'Scénario référence'!$B$10)*A177*10/30+('Scénario référence'!$F$8+'Scénario référence'!$F$9)*10)</f>
        <v>10</v>
      </c>
      <c r="FB177" s="12" t="e">
        <f>VLOOKUP(A177,'Données projet'!$A$217:$I$237,2,0)</f>
        <v>#N/A</v>
      </c>
      <c r="FC177" s="12" t="e">
        <f>VLOOKUP(A177,'Données projet'!$A$217:$I$237,9,0)</f>
        <v>#N/A</v>
      </c>
      <c r="FD177" s="12">
        <f t="array" ref="FD177">INDEX(FC:FC,MIN(IF(ISNUMBER(FC177:FC373),ROW(FC177:FC373),"")))</f>
        <v>0</v>
      </c>
      <c r="FE177" s="12">
        <f>IF('Données projet'!$A$218&gt;35,FE176+FD177-FM176,IF(A177&lt;'Données projet'!$A$218,$FB$205^A177,IF(A177='Données projet'!$A$218,'Données projet'!$B$218,FE176+FD177-FM176)))</f>
        <v>418.99999999999983</v>
      </c>
      <c r="FF177" s="17">
        <f>FE177*VLOOKUP('Données projet'!$B$16,Paramètres!$A$1:$I$89,3,0)*VLOOKUP('Données projet'!$B$16,Paramètres!$A$1:$I$89,5,0)</f>
        <v>359.5019999999999</v>
      </c>
      <c r="FG177" s="13">
        <f t="shared" si="182"/>
        <v>83.516011055432813</v>
      </c>
      <c r="FH177" s="20">
        <f t="shared" si="183"/>
        <v>771.58970258821194</v>
      </c>
      <c r="FI177" s="59">
        <f t="shared" si="131"/>
        <v>1064.9230359215453</v>
      </c>
      <c r="FJ177" s="59">
        <f ca="1">AVERAGE(OFFSET($FI$3,0,0,'Données projet'!$E$16+1,1))-AVERAGE(OFFSET($H$3,0,0,'Données projet'!$E$16+1,1))</f>
        <v>383.97627237444709</v>
      </c>
      <c r="FK177" s="59">
        <f t="shared" si="156"/>
        <v>203.35476578922339</v>
      </c>
      <c r="FL177" s="15">
        <f>IF(ISNA(VLOOKUP(A177,'Données projet'!$A$217:$I$237,3,0)),0,VLOOKUP(A177,'Données projet'!$A$217:$I$237,3,0))</f>
        <v>0</v>
      </c>
      <c r="FM177" s="15">
        <f>IF(ISNA(VLOOKUP(A177,'Données projet'!$A$217:$I$237,4,0)),0,VLOOKUP(A177,'Données projet'!$A$217:$I$237,4,0))</f>
        <v>0</v>
      </c>
      <c r="FN177" s="16">
        <f>IF(ISNA(VLOOKUP(A177,'Données projet'!$A$217:$I$237,5,0)),0%,VLOOKUP(A177,'Données projet'!$A$217:$I$237,5,0)*VLOOKUP('Données projet'!$B$16,Paramètres!$A$1:$I$89,7,0))</f>
        <v>0</v>
      </c>
      <c r="FO177" s="16">
        <f>IF(ISNA(VLOOKUP(A177,'Données projet'!$A$217:$I$237,6,0)),0%,VLOOKUP(A177,'Données projet'!$A$217:$I$237,6,0)*VLOOKUP('Données projet'!$B$16,Paramètres!$A$1:$I$89,7,0))</f>
        <v>0</v>
      </c>
      <c r="FP177" s="16">
        <f>IF(ISNA(VLOOKUP(A177,'Données projet'!$A$217:$I$237,7,0)),0%,VLOOKUP(A177,'Données projet'!$A$217:$I$237,7,0))</f>
        <v>0</v>
      </c>
      <c r="FQ177" s="21">
        <f>EXP(-LN(2)/35)*FQ176+(1-EXP(-LN(2)/35))/(LN(2)/35)*FM177*FN177*VLOOKUP('Données projet'!$B$16,Paramètres!$A$1:$I$89,3,0)*0.475*44/12</f>
        <v>0.29751627131591835</v>
      </c>
      <c r="FR177" s="21">
        <f>EXP(-LN(2)/25)*FR176+(1-EXP(-LN(2)/25))/(LN(2)/25)*Calculateur!FM177*Calculateur!FO177*VLOOKUP('Données projet'!$B$16,Paramètres!$A$1:$I$89,3,0)*0.475*44/12</f>
        <v>0.10871325939990589</v>
      </c>
      <c r="FS177" s="21">
        <f>EXP(-LN(2)/2)*FS176+(1-EXP(-LN(2)/2))/(LN(2)/2)*FM177*FP177*VLOOKUP('Données projet'!$B$16,Paramètres!$A$1:$I$89,3,0)*0.475*44/12</f>
        <v>3.5249893442565735E-21</v>
      </c>
      <c r="FT177" s="22">
        <f t="shared" si="184"/>
        <v>0.40622953071582424</v>
      </c>
      <c r="FU177" s="75">
        <f>('Scénario référence'!$F$8+'Scénario référence'!$F$9+'Scénario référence'!$B$17+'Scénario référence'!$B$9+'Scénario référence'!$B$10)*70+IF((45+25*(1-EXP(-0.0175*A177)))&lt;70,'Scénario référence'!$B$16*(45+25*(1-EXP(-0.0175*A177))),70*'Scénario référence'!$B$16)+IF((32+38*(1-EXP(-0.0175*A177)))&lt;70,'Scénario référence'!$B$18*(32+38*(1-EXP(-0.0175*A177))),70*'Scénario référence'!$B$18)</f>
        <v>70</v>
      </c>
      <c r="FV177" s="12">
        <f>IF(A177&gt;30,10,('Scénario référence'!$B$16+'Scénario référence'!$B$17+'Scénario référence'!$B$18+'Scénario référence'!$B$9+'Scénario référence'!$B$10)*A177*10/30+('Scénario référence'!$F$8+'Scénario référence'!$F$9)*10)</f>
        <v>10</v>
      </c>
      <c r="FW177" s="12" t="e">
        <f>VLOOKUP(A177,'Données projet'!$A$243:$I$263,2,0)</f>
        <v>#N/A</v>
      </c>
      <c r="FX177" s="12" t="e">
        <f>VLOOKUP(A177,'Données projet'!$A$243:$I$263,9,0)</f>
        <v>#N/A</v>
      </c>
      <c r="FY177" s="12">
        <f t="array" ref="FY177">INDEX(FX:FX,MIN(IF(ISNUMBER(FX177:FX373),ROW(FX177:FX373),"")))</f>
        <v>0</v>
      </c>
      <c r="FZ177" s="12">
        <f>IF('Données projet'!$A$244&gt;35,FZ176+FY177-GH176,IF(A177&lt;'Données projet'!$A$244,$FW$205^A177,IF(A177='Données projet'!$A$244,'Données projet'!$B$244,FZ176+FY177-GH176)))</f>
        <v>4.5474735088646412E-13</v>
      </c>
      <c r="GA177" s="17">
        <f>FZ177*VLOOKUP('Données projet'!$B$17,Paramètres!$A$1:$I$89,3,0)*VLOOKUP('Données projet'!$B$17,Paramètres!$A$1:$I$89,5,0)</f>
        <v>4.8949004849418999E-13</v>
      </c>
      <c r="GB177" s="13">
        <f t="shared" si="185"/>
        <v>6.1123715499968684E-12</v>
      </c>
      <c r="GC177" s="20">
        <f t="shared" si="186"/>
        <v>1.1498242284038591E-11</v>
      </c>
      <c r="GD177" s="59">
        <f t="shared" si="134"/>
        <v>293.3333333333448</v>
      </c>
      <c r="GE177" s="59">
        <f ca="1">AVERAGE(OFFSET($GD$3,0,0,'Données projet'!$E$17+1,1))-AVERAGE(OFFSET($H$3,0,0,'Données projet'!$E$17+1,1))</f>
        <v>286.77702855541287</v>
      </c>
      <c r="GF177" s="59">
        <f t="shared" si="158"/>
        <v>227.12211541860779</v>
      </c>
      <c r="GG177" s="15">
        <f>IF(ISNA(VLOOKUP(A177,'Données projet'!$A$243:$I$263,3,0)),0,VLOOKUP(A177,'Données projet'!$A$243:$I$263,3,0))</f>
        <v>0</v>
      </c>
      <c r="GH177" s="15">
        <f>IF(ISNA(VLOOKUP(A177,'Données projet'!$A$243:$I$263,4,0)),0,VLOOKUP(A177,'Données projet'!$A$243:$I$263,4,0))</f>
        <v>0</v>
      </c>
      <c r="GI177" s="16">
        <f>IF(ISNA(VLOOKUP(A177,'Données projet'!$A$243:$I$263,5,0)),0%,VLOOKUP(A177,'Données projet'!$A$243:$I$263,5,0)*VLOOKUP('Données projet'!$B$17,Paramètres!$A$1:$I$89,7,0))</f>
        <v>0</v>
      </c>
      <c r="GJ177" s="16">
        <f>IF(ISNA(VLOOKUP(A177,'Données projet'!$A$243:$I$263,6,0)),0%,VLOOKUP(A177,'Données projet'!$A$243:$I$263,6,0)*VLOOKUP('Données projet'!$B$17,Paramètres!$A$1:$I$89,7,0))</f>
        <v>0</v>
      </c>
      <c r="GK177" s="16">
        <f>IF(ISNA(VLOOKUP(A177,'Données projet'!$A$243:$I$263,7,0)),0%,VLOOKUP(A177,'Données projet'!$A$243:$I$263,7,0))</f>
        <v>0</v>
      </c>
      <c r="GL177" s="21">
        <f>EXP(-LN(2)/35)*GL176+(1-EXP(-LN(2)/35))/(LN(2)/35)*GH177*GI177*VLOOKUP('Données projet'!$B$17,Paramètres!$A$1:$I$89,3,0)*0.475*44/12</f>
        <v>0</v>
      </c>
      <c r="GM177" s="21">
        <f>EXP(-LN(2)/25)*GM176+(1-EXP(-LN(2)/25))/(LN(2)/25)*Calculateur!GH177*Calculateur!GJ177*VLOOKUP('Données projet'!$B$17,Paramètres!$A$1:$I$89,3,0)*0.475*44/12</f>
        <v>0</v>
      </c>
      <c r="GN177" s="21">
        <f>EXP(-LN(2)/2)*GN176+(1-EXP(-LN(2)/2))/(LN(2)/2)*GH177*GK177*VLOOKUP('Données projet'!$B$17,Paramètres!$A$1:$I$89,3,0)*0.475*44/12</f>
        <v>0</v>
      </c>
      <c r="GO177" s="21">
        <f t="shared" si="187"/>
        <v>0</v>
      </c>
      <c r="GP177" s="75">
        <f>('Scénario référence'!$F$8+'Scénario référence'!$F$9+'Scénario référence'!$B$17+'Scénario référence'!$B$9+'Scénario référence'!$B$10)*70+IF((45+25*(1-EXP(-0.0175*A177)))&lt;70,'Scénario référence'!$B$16*(45+25*(1-EXP(-0.0175*A177))),70*'Scénario référence'!$B$16)+IF((32+38*(1-EXP(-0.0175*A177)))&lt;70,'Scénario référence'!$B$18*(32+38*(1-EXP(-0.0175*A177))),70*'Scénario référence'!$B$18)</f>
        <v>70</v>
      </c>
      <c r="GQ177" s="12">
        <f>IF(A177&gt;30,10,('Scénario référence'!$B$16+'Scénario référence'!$B$17+'Scénario référence'!$B$18+'Scénario référence'!$B$9+'Scénario référence'!$B$10)*A177*10/30+('Scénario référence'!$F$8+'Scénario référence'!$F$9)*10)</f>
        <v>10</v>
      </c>
      <c r="GR177" s="12" t="e">
        <f>VLOOKUP(A177,'Données projet'!$A$269:$I$289,2,0)</f>
        <v>#N/A</v>
      </c>
      <c r="GS177" s="12" t="e">
        <f>VLOOKUP(A177,'Données projet'!$A$269:$I$289,9,0)</f>
        <v>#N/A</v>
      </c>
      <c r="GT177" s="12">
        <f t="array" ref="GT177">INDEX(GS:GS,MIN(IF(ISNUMBER(GS177:GS373),ROW(GS177:GS373),"")))</f>
        <v>0</v>
      </c>
      <c r="GU177" s="12">
        <f>IF('Données projet'!$A$270&gt;35,GU176+GT177-HC176,IF(A177&lt;'Données projet'!$A$270,$GR$205^A177,IF(A177='Données projet'!$A$270,'Données projet'!$B$270,GU176+GT177-HC176)))</f>
        <v>4.5474735088646412E-13</v>
      </c>
      <c r="GV177" s="17">
        <f>GU177*VLOOKUP('Données projet'!$B$18,Paramètres!$A$1:$I$89,3,0)*VLOOKUP('Données projet'!$B$18,Paramètres!$A$1:$I$89,5,0)</f>
        <v>4.8949004849418999E-13</v>
      </c>
      <c r="GW177" s="13">
        <f t="shared" si="188"/>
        <v>6.1123715499968684E-12</v>
      </c>
      <c r="GX177" s="20">
        <f t="shared" si="189"/>
        <v>1.1498242284038591E-11</v>
      </c>
      <c r="GY177" s="59">
        <f t="shared" si="137"/>
        <v>293.3333333333448</v>
      </c>
      <c r="GZ177" s="59">
        <f ca="1">AVERAGE(OFFSET($GY$3,0,0,'Données projet'!$E$18+1,1))-AVERAGE(OFFSET($H$3,0,0,'Données projet'!$E$18+1,1))</f>
        <v>286.77702855541287</v>
      </c>
      <c r="HA177" s="59">
        <f t="shared" si="160"/>
        <v>227.12211541860779</v>
      </c>
      <c r="HB177" s="15">
        <f>IF(ISNA(VLOOKUP(A177,'Données projet'!$A$269:$I$289,3,0)),0,VLOOKUP(A177,'Données projet'!$A$269:$I$289,3,0))</f>
        <v>0</v>
      </c>
      <c r="HC177" s="15">
        <f>IF(ISNA(VLOOKUP(A177,'Données projet'!$A$269:$I$289,4,0)),0,VLOOKUP(A177,'Données projet'!$A$269:$I$289,4,0))</f>
        <v>0</v>
      </c>
      <c r="HD177" s="16">
        <f>IF(ISNA(VLOOKUP(A177,'Données projet'!$A$269:$I$289,5,0)),0%,VLOOKUP(A177,'Données projet'!$A$269:$I$289,5,0)*VLOOKUP('Données projet'!$B$18,Paramètres!$A$1:$I$89,7,0))</f>
        <v>0</v>
      </c>
      <c r="HE177" s="16">
        <f>IF(ISNA(VLOOKUP(A177,'Données projet'!$A$269:$I$289,6,0)),0%,VLOOKUP(A177,'Données projet'!$A$269:$I$289,6,0)*VLOOKUP('Données projet'!$B$18,Paramètres!$A$1:$I$89,7,0))</f>
        <v>0</v>
      </c>
      <c r="HF177" s="16">
        <f>IF(ISNA(VLOOKUP(A177,'Données projet'!$A$269:$I$289,7,0)),0%,VLOOKUP(A177,'Données projet'!$A$269:$I$289,7,0))</f>
        <v>0</v>
      </c>
      <c r="HG177" s="21">
        <f>EXP(-LN(2)/35)*HG176+(1-EXP(-LN(2)/35))/(LN(2)/35)*HC177*HD177*VLOOKUP('Données projet'!$B$18,Paramètres!$A$1:$I$89,3,0)*0.475*44/12</f>
        <v>0</v>
      </c>
      <c r="HH177" s="21">
        <f>EXP(-LN(2)/25)*HH176+(1-EXP(-LN(2)/25))/(LN(2)/25)*Calculateur!HC177*Calculateur!HE177*VLOOKUP('Données projet'!$B$18,Paramètres!$A$1:$I$89,3,0)*0.475*44/12</f>
        <v>0</v>
      </c>
      <c r="HI177" s="21">
        <f>EXP(-LN(2)/2)*HI176+(1-EXP(-LN(2)/2))/(LN(2)/2)*HC177*HF177*VLOOKUP('Données projet'!$B$18,Paramètres!$A$1:$I$89,3,0)*0.475*44/12</f>
        <v>0</v>
      </c>
      <c r="HJ177" s="22">
        <f t="shared" si="190"/>
        <v>0</v>
      </c>
    </row>
    <row r="178" spans="1:218" x14ac:dyDescent="0.25">
      <c r="A178" s="10">
        <f t="shared" si="161"/>
        <v>175</v>
      </c>
      <c r="B178" s="73">
        <f>'Scénario référence'!$B$16*5+'Scénario référence'!$B$17*0+'Scénario référence'!$B$18*5</f>
        <v>0</v>
      </c>
      <c r="C178" s="19">
        <f>Calculateur!C177+'Scénario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155.60999999999987</v>
      </c>
      <c r="D178" s="11">
        <f t="shared" si="140"/>
        <v>39.850741093704151</v>
      </c>
      <c r="E17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78" s="11">
        <f>IF(OR('Scénario référence'!$F$8&gt;0,'Scénario référence'!$F$9&gt;0),('Scénario référence'!$F$8+'Scénario référence'!$F$9)*10,0)</f>
        <v>10</v>
      </c>
      <c r="G178" s="11">
        <f>'Scénario référence'!$B$8*B178*44/12+'Scénario référence'!$B$9*(C178+D178)/0.475*44/12+'Scénario référence'!$B$10*(C178+D178)/0.475*44/12+'Scénario référence'!$F$8*(C178+D178)/0.475*44/12+'Scénario référence'!$F$9*(C178+D178)/0.475*44/12</f>
        <v>1508.8197558110487</v>
      </c>
      <c r="H178" s="67">
        <f t="shared" si="110"/>
        <v>633.76079073820119</v>
      </c>
      <c r="I178" s="70">
        <f>('Scénario référence'!$F$8+'Scénario référence'!$F$9+'Scénario référence'!$B$17+'Scénario référence'!$B$9+'Scénario référence'!$B$10)*70+IF((45+25*(1-EXP(-0.0175*A178)))&lt;70,'Scénario référence'!$B$16*(45+25*(1-EXP(-0.0175*A178))),70*'Scénario référence'!$B$16)+IF((32+38*(1-EXP(-0.0175*A178)))&lt;70,'Scénario référence'!$B$18*(32+38*(1-EXP(-0.0175*A178))),70*'Scénario référence'!$B$18)</f>
        <v>70</v>
      </c>
      <c r="J178" s="13">
        <f>IF(A178&gt;30,10,('Scénario référence'!$B$16+'Scénario référence'!$B$17+'Scénario référence'!$B$18+'Scénario référence'!$B$9+'Scénario référence'!$B$10)*A178*10/30+('Scénario référence'!$F$8+'Scénario référence'!$F$9)*10)</f>
        <v>10</v>
      </c>
      <c r="K178" s="12" t="e">
        <f>VLOOKUP(A178,'Données projet'!$A$35:$I$55,2,0)</f>
        <v>#N/A</v>
      </c>
      <c r="L178" s="12" t="e">
        <f>VLOOKUP(A178,'Données projet'!$A$35:$I$55,9,0)</f>
        <v>#N/A</v>
      </c>
      <c r="M178" s="12">
        <f t="array" ref="M178">INDEX(L:L,MIN(IF(ISNUMBER(L178:L374),ROW(L178:L374),"")))</f>
        <v>0</v>
      </c>
      <c r="N178" s="13">
        <f>IF('Données projet'!$A$36&gt;35,N177+M178-V177,IF(A178&lt;'Données projet'!$A$36,$K$205^A178,IF(A178='Données projet'!$A$36,'Données projet'!$B$36,N177+M178-V177)))</f>
        <v>-2.2737367544323206E-13</v>
      </c>
      <c r="O178" s="13">
        <f>N178*VLOOKUP('Données projet'!$B$9,Paramètres!$A$1:$I$89,3,0)*VLOOKUP('Données projet'!$B$9,Paramètres!$A$1:$I$89,5,0)</f>
        <v>-1.2710188457276673E-13</v>
      </c>
      <c r="P178" s="13" t="e">
        <f t="shared" si="141"/>
        <v>#NUM!</v>
      </c>
      <c r="Q178" s="20" t="e">
        <f t="shared" si="162"/>
        <v>#NUM!</v>
      </c>
      <c r="R178" s="59" t="e">
        <f t="shared" si="109"/>
        <v>#NUM!</v>
      </c>
      <c r="S178" s="59">
        <f ca="1">AVERAGE(OFFSET($R$3,0,0,'Données projet'!$E$9+1,1))-AVERAGE(OFFSET($H$3,0,0,'Données projet'!$E$9+1,1))</f>
        <v>255.5374979188561</v>
      </c>
      <c r="T178" s="59">
        <f t="shared" si="142"/>
        <v>343.10418468620901</v>
      </c>
      <c r="U178" s="15">
        <f>IF(ISNA(VLOOKUP(A178,'Données projet'!$A$35:$I$55,3,0)),0,VLOOKUP(A178,'Données projet'!$A$35:$I$55,3,0))</f>
        <v>0</v>
      </c>
      <c r="V178" s="15">
        <f>IF(ISNA(VLOOKUP(A178,'Données projet'!$A$35:$I$55,4,0)),0,VLOOKUP(A178,'Données projet'!$A$35:$I$55,4,0))</f>
        <v>0</v>
      </c>
      <c r="W178" s="16">
        <f>IF(ISNA(VLOOKUP(A178,'Données projet'!$A$35:$I$55,5,0)),0%,VLOOKUP(A178,'Données projet'!$A$35:$I$55,5,0)*VLOOKUP('Données projet'!$B$9,Paramètres!$A$1:$I$89,7,0))</f>
        <v>0</v>
      </c>
      <c r="X178" s="16">
        <f>IF(ISNA(VLOOKUP(A178,'Données projet'!$A$35:$I$55,6,0)),0%,VLOOKUP(A178,'Données projet'!$A$35:$I$55,6,0)*VLOOKUP('Données projet'!$B$9,Paramètres!$A$1:$I$89,7,0))</f>
        <v>0</v>
      </c>
      <c r="Y178" s="16">
        <f>IF(ISNA(VLOOKUP(A178,'Données projet'!$A$35:$I$55,7,0)),0%,VLOOKUP(A178,'Données projet'!$A$35:$I$55,7,0))</f>
        <v>0</v>
      </c>
      <c r="Z178" s="21">
        <f>EXP(-LN(2)/35)*Z177+(1-EXP(-LN(2)/35))/(LN(2)/35)*V178*W178*VLOOKUP('Données projet'!$B$9,Paramètres!$A$1:$I$89,3,0)*0.475*44/12</f>
        <v>0.17492019489164976</v>
      </c>
      <c r="AA178" s="21">
        <f>EXP(-LN(2)/25)*AA177+(1-EXP(-LN(2)/25))/(LN(2)/25)*Calculateur!V178*Calculateur!X178*VLOOKUP('Données projet'!$B$9,Paramètres!$A$1:$I$89,3,0)*0.475*44/12</f>
        <v>0.28646130325414554</v>
      </c>
      <c r="AB178" s="21">
        <f>EXP(-LN(2)/2)*AB177+(1-EXP(-LN(2)/2))/(LN(2)/2)*V178*Y178*VLOOKUP('Données projet'!$B$9,Paramètres!$A$1:$I$89,3,0)*0.475*44/12</f>
        <v>2.5345041896116629E-22</v>
      </c>
      <c r="AC178" s="22">
        <f t="shared" si="163"/>
        <v>0.46138149814579532</v>
      </c>
      <c r="AD178" s="13">
        <f>('Scénario référence'!$F$8+'Scénario référence'!$F$9+'Scénario référence'!$B$17+'Scénario référence'!$B$9+'Scénario référence'!$B$10)*70+IF((45+25*(1-EXP(-0.0175*A178)))&lt;70,'Scénario référence'!$B$16*(45+25*(1-EXP(-0.0175*A178))),70*'Scénario référence'!$B$16)+IF((32+38*(1-EXP(-0.0175*A178)))&lt;70,'Scénario référence'!$B$18*(32+38*(1-EXP(-0.0175*A178))),70*'Scénario référence'!$B$18)</f>
        <v>70</v>
      </c>
      <c r="AE178" s="13">
        <f>IF(A178&gt;30,10,('Scénario référence'!$B$16+'Scénario référence'!$B$17+'Scénario référence'!$B$18+'Scénario référence'!$B$9+'Scénario référence'!$B$10)*A178*10/30+('Scénario référence'!$F$8+'Scénario référence'!$F$9)*10)</f>
        <v>10</v>
      </c>
      <c r="AF178" s="12" t="e">
        <f>VLOOKUP(A178,'Données projet'!$A$61:$I$81,2,0)</f>
        <v>#N/A</v>
      </c>
      <c r="AG178" s="12" t="e">
        <f>VLOOKUP(A178,'Données projet'!$A$61:$I$81,9,0)</f>
        <v>#N/A</v>
      </c>
      <c r="AH178" s="12">
        <f t="array" ref="AH178">INDEX(AG:AG,MIN(IF(ISNUMBER(AG178:AG374),ROW(AG178:AG374),"")))</f>
        <v>0</v>
      </c>
      <c r="AI178" s="13">
        <f>IF('Données projet'!$A$62&gt;35,AI177+AH178-AQ177,IF(A178&lt;'Données projet'!$A$62,$AF$205^A178,IF(A178='Données projet'!$A$62,'Données projet'!$B$62,AI177+AH178-AQ177)))</f>
        <v>0</v>
      </c>
      <c r="AJ178" s="13">
        <f>AI178*VLOOKUP('Données projet'!$B$10,Paramètres!$A$1:$I$89,3,0)*VLOOKUP('Données projet'!$B$10,Paramètres!$A$1:$I$89,5,0)</f>
        <v>0</v>
      </c>
      <c r="AK178" s="13" t="e">
        <f t="shared" si="164"/>
        <v>#NUM!</v>
      </c>
      <c r="AL178" s="20" t="e">
        <f t="shared" si="165"/>
        <v>#NUM!</v>
      </c>
      <c r="AM178" s="59" t="e">
        <f t="shared" si="113"/>
        <v>#NUM!</v>
      </c>
      <c r="AN178" s="59">
        <f ca="1">AVERAGE(OFFSET($AM$3,0,0,'Données projet'!$E$10+1,1))-AVERAGE(OFFSET($H$3,0,0,'Données projet'!$E$10+1,1))</f>
        <v>261.78489480911571</v>
      </c>
      <c r="AO178" s="59">
        <f t="shared" si="144"/>
        <v>297.50513563712764</v>
      </c>
      <c r="AP178" s="15">
        <f>IF(ISNA(VLOOKUP(A178,'Données projet'!$A$61:$I$81,3,0)),0,VLOOKUP(A178,'Données projet'!$A$61:$I$81,3,0))</f>
        <v>0</v>
      </c>
      <c r="AQ178" s="15">
        <f>IF(ISNA(VLOOKUP(A178,'Données projet'!$A$61:$I$81,4,0)),0,VLOOKUP(A178,'Données projet'!$A$61:$I$81,4,0))</f>
        <v>0</v>
      </c>
      <c r="AR178" s="16">
        <f>IF(ISNA(VLOOKUP(A178,'Données projet'!$A$61:$I$81,5,0)),0%,VLOOKUP(A178,'Données projet'!$A$61:$I$81,5,0)*VLOOKUP('Données projet'!$B$10,Paramètres!$A$1:$I$89,7,0))</f>
        <v>0</v>
      </c>
      <c r="AS178" s="16">
        <f>IF(ISNA(VLOOKUP(A178,'Données projet'!$A$61:$I$81,6,0)),0%,VLOOKUP(A178,'Données projet'!$A$61:$I$81,6,0)*VLOOKUP('Données projet'!$B$10,Paramètres!$A$1:$I$89,7,0))</f>
        <v>0</v>
      </c>
      <c r="AT178" s="16">
        <f>IF(ISNA(VLOOKUP(A178,'Données projet'!$A$61:$I$81,7,0)),0%,VLOOKUP(A178,'Données projet'!$A$61:$I$81,7,0))</f>
        <v>0</v>
      </c>
      <c r="AU178" s="21">
        <f>EXP(-LN(2)/35)*AU177+(1-EXP(-LN(2)/35))/(LN(2)/35)*AQ178*AR178*VLOOKUP('Données projet'!$B$10,Paramètres!$A$1:$I$89,3,0)*0.475*44/12</f>
        <v>0.47233400214727372</v>
      </c>
      <c r="AV178" s="21">
        <f>EXP(-LN(2)/25)*AV177+(1-EXP(-LN(2)/25))/(LN(2)/25)*Calculateur!AQ178*Calculateur!AS178*VLOOKUP('Données projet'!$B$10,Paramètres!$A$1:$I$89,3,0)*0.475*44/12</f>
        <v>0.50021986237969573</v>
      </c>
      <c r="AW178" s="21">
        <f>EXP(-LN(2)/2)*AW177+(1-EXP(-LN(2)/2))/(LN(2)/2)*AQ178*AT178*VLOOKUP('Données projet'!$B$10,Paramètres!$A$1:$I$89,3,0)*0.475*44/12</f>
        <v>3.653729075142547E-21</v>
      </c>
      <c r="AX178" s="21">
        <f t="shared" si="166"/>
        <v>0.97255386452696946</v>
      </c>
      <c r="AY178" s="74">
        <f>('Scénario référence'!$F$8+'Scénario référence'!$F$9+'Scénario référence'!$B$17+'Scénario référence'!$B$9+'Scénario référence'!$B$10)*70+IF((45+25*(1-EXP(-0.0175*A178)))&lt;70,'Scénario référence'!$B$16*(45+25*(1-EXP(-0.0175*A178))),70*'Scénario référence'!$B$16)+IF((32+38*(1-EXP(-0.0175*A178)))&lt;70,'Scénario référence'!$B$18*(32+38*(1-EXP(-0.0175*A178))),70*'Scénario référence'!$B$18)</f>
        <v>70</v>
      </c>
      <c r="AZ178" s="12">
        <f>IF(A178&gt;30,10,('Scénario référence'!$B$16+'Scénario référence'!$B$17+'Scénario référence'!$B$18+'Scénario référence'!$B$9+'Scénario référence'!$B$10)*A178*10/30+('Scénario référence'!$F$8+'Scénario référence'!$F$9)*10)</f>
        <v>10</v>
      </c>
      <c r="BA178" s="12" t="e">
        <f>VLOOKUP(A178,'Données projet'!$A$87:$I$107,2,0)</f>
        <v>#N/A</v>
      </c>
      <c r="BB178" s="12" t="e">
        <f>VLOOKUP(A178,'Données projet'!$A$87:$I$107,9,0)</f>
        <v>#N/A</v>
      </c>
      <c r="BC178" s="12">
        <f t="array" ref="BC178">INDEX(BB:BB,MIN(IF(ISNUMBER(BB178:BB374),ROW(BB178:BB374),"")))</f>
        <v>0</v>
      </c>
      <c r="BD178" s="12">
        <f>IF('Données projet'!$A$88&gt;35,BD177+BC178-BL177,IF(A178&lt;'Données projet'!$A$88,$BA$205^A178,IF(A178='Données projet'!$A$88,'Données projet'!$B$88,BD177+BC178-BL177)))</f>
        <v>553.99999999999955</v>
      </c>
      <c r="BE178" s="13">
        <f>BD178*VLOOKUP('Données projet'!$B$11,Paramètres!$A$1:$I$89,3,0)*VLOOKUP('Données projet'!$B$11,Paramètres!$A$1:$I$89,5,0)</f>
        <v>331.29199999999975</v>
      </c>
      <c r="BF178" s="13">
        <f t="shared" si="167"/>
        <v>77.698110787752</v>
      </c>
      <c r="BG178" s="20">
        <f t="shared" si="168"/>
        <v>712.32444295533423</v>
      </c>
      <c r="BH178" s="59">
        <f t="shared" si="116"/>
        <v>1005.6577762886675</v>
      </c>
      <c r="BI178" s="59">
        <f ca="1">AVERAGE(OFFSET($BH$3,0,0,'Données projet'!$E$11+1,1))-AVERAGE(OFFSET($H$3,0,0,'Données projet'!$E$11+1,1))</f>
        <v>316.58509520829671</v>
      </c>
      <c r="BJ178" s="59">
        <f t="shared" si="146"/>
        <v>240.71332110643596</v>
      </c>
      <c r="BK178" s="15">
        <f>IF(ISNA(VLOOKUP(A178,'Données projet'!$A$87:$I$107,3,0)),0,VLOOKUP(A178,'Données projet'!$A$87:$I$107,3,0))</f>
        <v>0</v>
      </c>
      <c r="BL178" s="15">
        <f>IF(ISNA(VLOOKUP(A178,'Données projet'!$A$87:$I$107,4,0)),0,VLOOKUP(A178,'Données projet'!$A$87:$I$107,4,0))</f>
        <v>0</v>
      </c>
      <c r="BM178" s="16">
        <f>IF(ISNA(VLOOKUP(A178,'Données projet'!$A$87:$I$107,5,0)),0%,VLOOKUP(A178,'Données projet'!$A$87:$I$107,5,0)*VLOOKUP('Données projet'!$B$11,Paramètres!$A$1:$I$89,7,0))</f>
        <v>0</v>
      </c>
      <c r="BN178" s="16">
        <f>IF(ISNA(VLOOKUP(A178,'Données projet'!$A$87:$I$107,6,0)),0%,VLOOKUP(A178,'Données projet'!$A$87:$I$107,6,0)*VLOOKUP('Données projet'!$B$11,Paramètres!$A$1:$I$89,7,0))</f>
        <v>0</v>
      </c>
      <c r="BO178" s="16">
        <f>IF(ISNA(VLOOKUP(A178,'Données projet'!$A$87:$I$107,7,0)),0%,VLOOKUP(A178,'Données projet'!$A$87:$I$107,7,0))</f>
        <v>0</v>
      </c>
      <c r="BP178" s="21">
        <f>EXP(-LN(2)/35)*BP177+(1-EXP(-LN(2)/35))/(LN(2)/35)*BL178*BM178*VLOOKUP('Données projet'!$B$11,Paramètres!$A$1:$I$89,3,0)*0.475*44/12</f>
        <v>0.14347496754213152</v>
      </c>
      <c r="BQ178" s="21">
        <f>EXP(-LN(2)/25)*BQ177+(1-EXP(-LN(2)/25))/(LN(2)/25)*Calculateur!BL178*Calculateur!BN178*VLOOKUP('Données projet'!$B$11,Paramètres!$A$1:$I$89,3,0)*0.475*44/12</f>
        <v>0.27403503606505275</v>
      </c>
      <c r="BR178" s="21">
        <f>EXP(-LN(2)/2)*BR177+(1-EXP(-LN(2)/2))/(LN(2)/2)*BL178*BO178*VLOOKUP('Données projet'!$B$11,Paramètres!$A$1:$I$89,3,0)*0.475*44/12</f>
        <v>3.2851025679497164E-21</v>
      </c>
      <c r="BS178" s="22">
        <f t="shared" si="169"/>
        <v>0.41751000360718427</v>
      </c>
      <c r="BT178" s="75">
        <f>('Scénario référence'!$F$8+'Scénario référence'!$F$9+'Scénario référence'!$B$17+'Scénario référence'!$B$9+'Scénario référence'!$B$10)*70+IF((45+25*(1-EXP(-0.0175*A178)))&lt;70,'Scénario référence'!$B$16*(45+25*(1-EXP(-0.0175*A178))),70*'Scénario référence'!$B$16)+IF((32+38*(1-EXP(-0.0175*A178)))&lt;70,'Scénario référence'!$B$18*(32+38*(1-EXP(-0.0175*A178))),70*'Scénario référence'!$B$18)</f>
        <v>70</v>
      </c>
      <c r="BU178" s="12">
        <f>IF(A178&gt;30,10,('Scénario référence'!$B$16+'Scénario référence'!$B$17+'Scénario référence'!$B$18+'Scénario référence'!$B$9+'Scénario référence'!$B$10)*A178*10/30+('Scénario référence'!$F$8+'Scénario référence'!$F$9)*10)</f>
        <v>10</v>
      </c>
      <c r="BV178" s="12" t="e">
        <f>VLOOKUP(A178,'Données projet'!$A$113:$I$133,2,0)</f>
        <v>#N/A</v>
      </c>
      <c r="BW178" s="12" t="e">
        <f>VLOOKUP(A178,'Données projet'!$A$113:$I$133,9,0)</f>
        <v>#N/A</v>
      </c>
      <c r="BX178" s="12">
        <f t="array" ref="BX178">INDEX(BW:BW,MIN(IF(ISNUMBER(BW178:BW374),ROW(BW178:BW374),"")))</f>
        <v>0</v>
      </c>
      <c r="BY178" s="12">
        <f>IF('Données projet'!$A$114&gt;35,BY177+BX178-CG177,IF(A178&lt;'Données projet'!$A$114,$BV$205^A178,IF(A178='Données projet'!$A$114,'Données projet'!$B$114,BY177+BX178-CG177)))</f>
        <v>333.99999999999977</v>
      </c>
      <c r="BZ178" s="13">
        <f>BY178*VLOOKUP('Données projet'!$B$12,Paramètres!$A$1:$I$89,3,0)*VLOOKUP('Données projet'!$B$12,Paramètres!$A$1:$I$89,5,0)</f>
        <v>191.04799999999986</v>
      </c>
      <c r="CA178" s="13">
        <f t="shared" si="170"/>
        <v>47.771576544305155</v>
      </c>
      <c r="CB178" s="20">
        <f t="shared" si="171"/>
        <v>415.94409581466454</v>
      </c>
      <c r="CC178" s="59">
        <f t="shared" si="119"/>
        <v>709.27742914799785</v>
      </c>
      <c r="CD178" s="59">
        <f ca="1">AVERAGE(OFFSET($CC$3,0,0,'Données projet'!$E$12+1,1))-AVERAGE(OFFSET($H$3,0,0,'Données projet'!$E$12+1,1))</f>
        <v>188.64374818906128</v>
      </c>
      <c r="CE178" s="59">
        <f t="shared" si="148"/>
        <v>211.95157880548652</v>
      </c>
      <c r="CF178" s="15">
        <f>IF(ISNA(VLOOKUP(A178,'Données projet'!$A$113:$I$133,3,0)),0,VLOOKUP(A178,'Données projet'!$A$113:$I$133,3,0))</f>
        <v>0</v>
      </c>
      <c r="CG178" s="15">
        <f>IF(ISNA(VLOOKUP(A178,'Données projet'!$A$113:$I$133,4,0)),0,VLOOKUP(A178,'Données projet'!$A$113:$I$133,4,0))</f>
        <v>0</v>
      </c>
      <c r="CH178" s="16">
        <f>IF(ISNA(VLOOKUP(A178,'Données projet'!$A$113:$I$133,5,0)),0%,VLOOKUP(A178,'Données projet'!$A$113:$I$133,5,0)*VLOOKUP('Données projet'!$B$12,Paramètres!$A$1:$I$89,7,0))</f>
        <v>0</v>
      </c>
      <c r="CI178" s="16">
        <f>IF(ISNA(VLOOKUP(A178,'Données projet'!$A$113:$I$133,6,0)),0%,VLOOKUP(A178,'Données projet'!$A$113:$I$133,6,0)*VLOOKUP('Données projet'!$B$12,Paramètres!$A$1:$I$89,7,0))</f>
        <v>0</v>
      </c>
      <c r="CJ178" s="16">
        <f>IF(ISNA(VLOOKUP(A178,'Données projet'!$A$113:$I$133,7,0)),0%,VLOOKUP(A178,'Données projet'!$A$113:$I$133,7,0))</f>
        <v>0</v>
      </c>
      <c r="CK178" s="21">
        <f>EXP(-LN(2)/35)*CK177+(1-EXP(-LN(2)/35))/(LN(2)/35)*CG178*CH178*VLOOKUP('Données projet'!$B$12,Paramètres!$A$1:$I$89,3,0)*0.475*44/12</f>
        <v>0.13916983991839316</v>
      </c>
      <c r="CL178" s="21">
        <f>EXP(-LN(2)/25)*CL177+(1-EXP(-LN(2)/25))/(LN(2)/25)*Calculateur!CG178*Calculateur!CI178*VLOOKUP('Données projet'!$B$12,Paramètres!$A$1:$I$89,3,0)*0.475*44/12</f>
        <v>0.25792798058069283</v>
      </c>
      <c r="CM178" s="21">
        <f>EXP(-LN(2)/2)*CM177+(1-EXP(-LN(2)/2))/(LN(2)/2)*CG178*CJ178*VLOOKUP('Données projet'!$B$12,Paramètres!$A$1:$I$89,3,0)*0.475*44/12</f>
        <v>3.181364806817108E-21</v>
      </c>
      <c r="CN178" s="22">
        <f t="shared" si="172"/>
        <v>0.39709782049908599</v>
      </c>
      <c r="CO178" s="75">
        <f>('Scénario référence'!$F$8+'Scénario référence'!$F$9+'Scénario référence'!$B$17+'Scénario référence'!$B$9+'Scénario référence'!$B$10)*70+IF((45+25*(1-EXP(-0.0175*A178)))&lt;70,'Scénario référence'!$B$16*(45+25*(1-EXP(-0.0175*A178))),70*'Scénario référence'!$B$16)+IF((32+38*(1-EXP(-0.0175*A178)))&lt;70,'Scénario référence'!$B$18*(32+38*(1-EXP(-0.0175*A178))),70*'Scénario référence'!$B$18)</f>
        <v>70</v>
      </c>
      <c r="CP178" s="12">
        <f>IF(A178&gt;30,10,('Scénario référence'!$B$16+'Scénario référence'!$B$17+'Scénario référence'!$B$18+'Scénario référence'!$B$9+'Scénario référence'!$B$10)*A178*10/30+('Scénario référence'!$F$8+'Scénario référence'!$F$9)*10)</f>
        <v>10</v>
      </c>
      <c r="CQ178" s="12" t="e">
        <f>VLOOKUP(A178,'Données projet'!$A$139:$I$159,2,0)</f>
        <v>#N/A</v>
      </c>
      <c r="CR178" s="12" t="e">
        <f>VLOOKUP(A178,'Données projet'!$A$139:$I$159,9,0)</f>
        <v>#N/A</v>
      </c>
      <c r="CS178" s="12">
        <f t="array" ref="CS178">INDEX(CR:CR,MIN(IF(ISNUMBER(CR178:CR374),ROW(CR178:CR374),"")))</f>
        <v>0</v>
      </c>
      <c r="CT178" s="12">
        <f>IF('Données projet'!$A$140&gt;35,CT177+CS178-DB177,IF(A178&lt;'Données projet'!$A$140,$CQ$205^A178,IF(A178='Données projet'!$A$140,'Données projet'!$B$140,CT177+CS178-DB177)))</f>
        <v>0</v>
      </c>
      <c r="CU178" s="17" t="e">
        <f>CT178*VLOOKUP('Données projet'!$B$13,Paramètres!$A$1:$I$89,3,0)*VLOOKUP('Données projet'!$B$13,Paramètres!$A$1:$I$89,5,0)</f>
        <v>#N/A</v>
      </c>
      <c r="CV178" s="13" t="e">
        <f t="shared" si="173"/>
        <v>#N/A</v>
      </c>
      <c r="CW178" s="20" t="e">
        <f t="shared" si="174"/>
        <v>#N/A</v>
      </c>
      <c r="CX178" s="59" t="e">
        <f t="shared" si="122"/>
        <v>#N/A</v>
      </c>
      <c r="CY178" s="59" t="e">
        <f ca="1">AVERAGE(OFFSET($CX$3,0,0,'Données projet'!$E$13+1,1))-AVERAGE(OFFSET($H$3,0,0,'Données projet'!$E$13+1,1))</f>
        <v>#N/A</v>
      </c>
      <c r="CZ178" s="59" t="e">
        <f t="shared" si="150"/>
        <v>#N/A</v>
      </c>
      <c r="DA178" s="15">
        <f>IF(ISNA(VLOOKUP(A178,'Données projet'!$A$139:$I$159,3,0)),0,VLOOKUP(A178,'Données projet'!$A$139:$I$159,3,0))</f>
        <v>0</v>
      </c>
      <c r="DB178" s="15">
        <f>IF(ISNA(VLOOKUP(A178,'Données projet'!$A$139:$I$159,4,0)),0,VLOOKUP(A178,'Données projet'!$A$139:$I$159,4,0))</f>
        <v>0</v>
      </c>
      <c r="DC178" s="16">
        <f>IF(ISNA(VLOOKUP(A178,'Données projet'!$A$139:$I$159,5,0)),0%,VLOOKUP(A178,'Données projet'!$A$139:$I$159,5,0)*VLOOKUP('Données projet'!$B$13,Paramètres!$A$1:$I$89,7,0))</f>
        <v>0</v>
      </c>
      <c r="DD178" s="16">
        <f>IF(ISNA(VLOOKUP(A178,'Données projet'!$A$139:$I$159,6,0)),0%,VLOOKUP(A178,'Données projet'!$A$139:$I$159,6,0)*VLOOKUP('Données projet'!$B$13,Paramètres!$A$1:$I$89,7,0))</f>
        <v>0</v>
      </c>
      <c r="DE178" s="16">
        <f>IF(ISNA(VLOOKUP(A178,'Données projet'!$A$139:$I$159,7,0)),0%,VLOOKUP(A178,'Données projet'!$A$139:$I$159,7,0))</f>
        <v>0</v>
      </c>
      <c r="DF178" s="21" t="e">
        <f>EXP(-LN(2)/35)*DF177+(1-EXP(-LN(2)/35))/(LN(2)/35)*DB178*DC178*VLOOKUP('Données projet'!$B$13,Paramètres!$A$1:$I$89,3,0)*0.475*44/12</f>
        <v>#N/A</v>
      </c>
      <c r="DG178" s="21" t="e">
        <f>EXP(-LN(2)/25)*DG177+(1-EXP(-LN(2)/25))/(LN(2)/25)*Calculateur!DB178*Calculateur!DD178*VLOOKUP('Données projet'!$B$13,Paramètres!$A$1:$I$89,3,0)*0.475*44/12</f>
        <v>#N/A</v>
      </c>
      <c r="DH178" s="21" t="e">
        <f>EXP(-LN(2)/2)*DH177+(1-EXP(-LN(2)/2))/(LN(2)/2)*DB178*DE178*VLOOKUP('Données projet'!$B$13,Paramètres!$A$1:$I$89,3,0)*0.475*44/12</f>
        <v>#N/A</v>
      </c>
      <c r="DI178" s="22" t="e">
        <f t="shared" si="175"/>
        <v>#N/A</v>
      </c>
      <c r="DJ178" s="75">
        <f>('Scénario référence'!$F$8+'Scénario référence'!$F$9+'Scénario référence'!$B$17+'Scénario référence'!$B$9+'Scénario référence'!$B$10)*70+IF((45+25*(1-EXP(-0.0175*A178)))&lt;70,'Scénario référence'!$B$16*(45+25*(1-EXP(-0.0175*A178))),70*'Scénario référence'!$B$16)+IF((32+38*(1-EXP(-0.0175*A178)))&lt;70,'Scénario référence'!$B$18*(32+38*(1-EXP(-0.0175*A178))),70*'Scénario référence'!$B$18)</f>
        <v>70</v>
      </c>
      <c r="DK178" s="12">
        <f>IF(A178&gt;30,10,('Scénario référence'!$B$16+'Scénario référence'!$B$17+'Scénario référence'!$B$18+'Scénario référence'!$B$9+'Scénario référence'!$B$10)*A178*10/30+('Scénario référence'!$F$8+'Scénario référence'!$F$9)*10)</f>
        <v>10</v>
      </c>
      <c r="DL178" s="12" t="e">
        <f>VLOOKUP(A178,'Données projet'!$A$165:$I$185,2,0)</f>
        <v>#N/A</v>
      </c>
      <c r="DM178" s="12" t="e">
        <f>VLOOKUP(A178,'Données projet'!$A$165:$I$185,9,0)</f>
        <v>#N/A</v>
      </c>
      <c r="DN178" s="12">
        <f t="array" ref="DN178">INDEX(DM:DM,MIN(IF(ISNUMBER(DM178:DM374),ROW(DM178:DM374),"")))</f>
        <v>0</v>
      </c>
      <c r="DO178" s="12">
        <f>IF('Données projet'!$A$166&gt;35,DO177+DN178-DW177,IF(A178&lt;'Données projet'!$A$166,$DL$205^A178,IF(A178='Données projet'!$A$166,'Données projet'!$B$166,DO177+DN178-DW177)))</f>
        <v>268.00000000000017</v>
      </c>
      <c r="DP178" s="17">
        <f>DO178*VLOOKUP('Données projet'!$B$14,Paramètres!$A$1:$I$89,3,0)*VLOOKUP('Données projet'!$B$14,Paramètres!$A$1:$I$89,5,0)</f>
        <v>175.59360000000012</v>
      </c>
      <c r="DQ178" s="13">
        <f t="shared" si="176"/>
        <v>44.340433728638573</v>
      </c>
      <c r="DR178" s="20">
        <f t="shared" si="177"/>
        <v>383.05177541071242</v>
      </c>
      <c r="DS178" s="59">
        <f t="shared" si="125"/>
        <v>676.38510874404574</v>
      </c>
      <c r="DT178" s="59">
        <f ca="1">AVERAGE(OFFSET($DS$3,0,0,'Données projet'!$E$14+1,1))-AVERAGE(OFFSET($H$3,0,0,'Données projet'!$E$14+1,1))</f>
        <v>188.68915783955595</v>
      </c>
      <c r="DU178" s="59">
        <f t="shared" si="152"/>
        <v>240.82467772396944</v>
      </c>
      <c r="DV178" s="15">
        <f>IF(ISNA(VLOOKUP(A178,'Données projet'!$A$165:$I$185,3,0)),0,VLOOKUP(A178,'Données projet'!$A$165:$I$185,3,0))</f>
        <v>0</v>
      </c>
      <c r="DW178" s="15">
        <f>IF(ISNA(VLOOKUP(A178,'Données projet'!$A$165:$I$185,4,0)),0,VLOOKUP(A178,'Données projet'!$A$165:$I$185,4,0))</f>
        <v>0</v>
      </c>
      <c r="DX178" s="16">
        <f>IF(ISNA(VLOOKUP(A178,'Données projet'!$A$165:$I$185,5,0)),0%,VLOOKUP(A178,'Données projet'!$A$165:$I$185,5,0)*VLOOKUP('Données projet'!$B$14,Paramètres!$A$1:$I$89,7,0))</f>
        <v>0</v>
      </c>
      <c r="DY178" s="16">
        <f>IF(ISNA(VLOOKUP(A178,'Données projet'!$A$165:$I$185,6,0)),0%,VLOOKUP(A178,'Données projet'!$A$165:$I$185,6,0)*VLOOKUP('Données projet'!$B$14,Paramètres!$A$1:$I$89,7,0))</f>
        <v>0</v>
      </c>
      <c r="DZ178" s="16">
        <f>IF(ISNA(VLOOKUP(A178,'Données projet'!$A$165:$I$185,7,0)),0%,VLOOKUP(A178,'Données projet'!$A$165:$I$185,7,0))</f>
        <v>0</v>
      </c>
      <c r="EA178" s="21">
        <f>EXP(-LN(2)/35)*EA177+(1-EXP(-LN(2)/35))/(LN(2)/35)*DW178*DX178*VLOOKUP('Données projet'!$B$14,Paramètres!$A$1:$I$89,3,0)*0.475*44/12</f>
        <v>8.815261324797212E-2</v>
      </c>
      <c r="EB178" s="21">
        <f>EXP(-LN(2)/25)*EB177+(1-EXP(-LN(2)/25))/(LN(2)/25)*Calculateur!DW178*Calculateur!DY178*VLOOKUP('Données projet'!$B$14,Paramètres!$A$1:$I$89,3,0)*0.475*44/12</f>
        <v>0.14426985888392582</v>
      </c>
      <c r="EC178" s="21">
        <f>EXP(-LN(2)/2)*EC177+(1-EXP(-LN(2)/2))/(LN(2)/2)*DW178*DZ178*VLOOKUP('Données projet'!$B$14,Paramètres!$A$1:$I$89,3,0)*0.475*44/12</f>
        <v>2.0957617404751883E-21</v>
      </c>
      <c r="ED178" s="22">
        <f t="shared" si="178"/>
        <v>0.23242247213189793</v>
      </c>
      <c r="EE178" s="75">
        <f>('Scénario référence'!$F$8+'Scénario référence'!$F$9+'Scénario référence'!$B$17+'Scénario référence'!$B$9+'Scénario référence'!$B$10)*70+IF((45+25*(1-EXP(-0.0175*A178)))&lt;70,'Scénario référence'!$B$16*(45+25*(1-EXP(-0.0175*A178))),70*'Scénario référence'!$B$16)+IF((32+38*(1-EXP(-0.0175*A178)))&lt;70,'Scénario référence'!$B$18*(32+38*(1-EXP(-0.0175*A178))),70*'Scénario référence'!$B$18)</f>
        <v>70</v>
      </c>
      <c r="EF178" s="12">
        <f>IF(A178&gt;30,10,('Scénario référence'!$B$16+'Scénario référence'!$B$17+'Scénario référence'!$B$18+'Scénario référence'!$B$9+'Scénario référence'!$B$10)*A178*10/30+('Scénario référence'!$F$8+'Scénario référence'!$F$9)*10)</f>
        <v>10</v>
      </c>
      <c r="EG178" s="12" t="e">
        <f>VLOOKUP(A178,'Données projet'!$A$191:$I$211,2,0)</f>
        <v>#N/A</v>
      </c>
      <c r="EH178" s="12" t="e">
        <f>VLOOKUP(A178,'Données projet'!$A$191:$I$211,9,0)</f>
        <v>#N/A</v>
      </c>
      <c r="EI178" s="12">
        <f t="array" ref="EI178">INDEX(EH:EH,MIN(IF(ISNUMBER(EH178:EH374),ROW(EH178:EH374),"")))</f>
        <v>0</v>
      </c>
      <c r="EJ178" s="12">
        <f>IF('Données projet'!$A$192&gt;35,EJ177+EI178-ER177,IF(A178&lt;'Données projet'!$A$192,$EG$205^A178,IF(A178='Données projet'!$A$192,'Données projet'!$B$192,EJ177+EI178-ER177)))</f>
        <v>275.99999999999972</v>
      </c>
      <c r="EK178" s="17">
        <f>EJ178*VLOOKUP('Données projet'!$B$15,Paramètres!$A$1:$I$89,3,0)*VLOOKUP('Données projet'!$B$15,Paramètres!$A$1:$I$89,5,0)</f>
        <v>223.8911999999998</v>
      </c>
      <c r="EL178" s="13">
        <f t="shared" si="179"/>
        <v>54.95975389514858</v>
      </c>
      <c r="EM178" s="20">
        <f t="shared" si="180"/>
        <v>485.66541136738346</v>
      </c>
      <c r="EN178" s="59">
        <f t="shared" si="128"/>
        <v>778.99874470071677</v>
      </c>
      <c r="EO178" s="59">
        <f ca="1">AVERAGE(OFFSET($EN$3,0,0,'Données projet'!$E$15+1,1))-AVERAGE(OFFSET($H$3,0,0,'Données projet'!$E$15+1,1))</f>
        <v>205.5272583787887</v>
      </c>
      <c r="EP178" s="59">
        <f t="shared" si="154"/>
        <v>180.54762778843178</v>
      </c>
      <c r="EQ178" s="15">
        <f>IF(ISNA(VLOOKUP(A178,'Données projet'!$A$191:$I$211,3,0)),0,VLOOKUP(A178,'Données projet'!$A$191:$I$211,3,0))</f>
        <v>0</v>
      </c>
      <c r="ER178" s="15">
        <f>IF(ISNA(VLOOKUP(A178,'Données projet'!$A$191:$I$211,4,0)),0,VLOOKUP(A178,'Données projet'!$A$191:$I$211,4,0))</f>
        <v>0</v>
      </c>
      <c r="ES178" s="16">
        <f>IF(ISNA(VLOOKUP(A178,'Données projet'!$A$191:$I$211,5,0)),0%,VLOOKUP(A178,'Données projet'!$A$191:$I$211,5,0)*VLOOKUP('Données projet'!$B$15,Paramètres!$A$1:$I$89,7,0))</f>
        <v>0</v>
      </c>
      <c r="ET178" s="16">
        <f>IF(ISNA(VLOOKUP(A178,'Données projet'!$A$191:$I$211,6,0)),0%,VLOOKUP(A178,'Données projet'!$A$191:$I$211,6,0)*VLOOKUP('Données projet'!$B$15,Paramètres!$A$1:$I$89,7,0))</f>
        <v>0</v>
      </c>
      <c r="EU178" s="16">
        <f>IF(ISNA(VLOOKUP(A178,'Données projet'!$A$191:$I$211,7,0)),0%,VLOOKUP(A178,'Données projet'!$A$191:$I$211,7,0))</f>
        <v>0</v>
      </c>
      <c r="EV178" s="21">
        <f>EXP(-LN(2)/35)*EV177+(1-EXP(-LN(2)/35))/(LN(2)/35)*ER178*ES178*VLOOKUP('Données projet'!$B$15,Paramètres!$A$1:$I$89,3,0)*0.475*44/12</f>
        <v>5.6753491957742055E-2</v>
      </c>
      <c r="EW178" s="21">
        <f>EXP(-LN(2)/25)*EW177+(1-EXP(-LN(2)/25))/(LN(2)/25)*Calculateur!ER178*Calculateur!ET178*VLOOKUP('Données projet'!$B$15,Paramètres!$A$1:$I$89,3,0)*0.475*44/12</f>
        <v>0.10416721467956673</v>
      </c>
      <c r="EX178" s="21">
        <f>EXP(-LN(2)/2)*EX177+(1-EXP(-LN(2)/2))/(LN(2)/2)*ER178*EU178*VLOOKUP('Données projet'!$B$15,Paramètres!$A$1:$I$89,3,0)*0.475*44/12</f>
        <v>1.3570072766188367E-21</v>
      </c>
      <c r="EY178" s="22">
        <f t="shared" si="181"/>
        <v>0.16092070663730879</v>
      </c>
      <c r="EZ178" s="75">
        <f>('Scénario référence'!$F$8+'Scénario référence'!$F$9+'Scénario référence'!$B$17+'Scénario référence'!$B$9+'Scénario référence'!$B$10)*70+IF((45+25*(1-EXP(-0.0175*A178)))&lt;70,'Scénario référence'!$B$16*(45+25*(1-EXP(-0.0175*A178))),70*'Scénario référence'!$B$16)+IF((32+38*(1-EXP(-0.0175*A178)))&lt;70,'Scénario référence'!$B$18*(32+38*(1-EXP(-0.0175*A178))),70*'Scénario référence'!$B$18)</f>
        <v>70</v>
      </c>
      <c r="FA178" s="12">
        <f>IF(A178&gt;30,10,('Scénario référence'!$B$16+'Scénario référence'!$B$17+'Scénario référence'!$B$18+'Scénario référence'!$B$9+'Scénario référence'!$B$10)*A178*10/30+('Scénario référence'!$F$8+'Scénario référence'!$F$9)*10)</f>
        <v>10</v>
      </c>
      <c r="FB178" s="12" t="e">
        <f>VLOOKUP(A178,'Données projet'!$A$217:$I$237,2,0)</f>
        <v>#N/A</v>
      </c>
      <c r="FC178" s="12" t="e">
        <f>VLOOKUP(A178,'Données projet'!$A$217:$I$237,9,0)</f>
        <v>#N/A</v>
      </c>
      <c r="FD178" s="12">
        <f t="array" ref="FD178">INDEX(FC:FC,MIN(IF(ISNUMBER(FC178:FC374),ROW(FC178:FC374),"")))</f>
        <v>0</v>
      </c>
      <c r="FE178" s="12">
        <f>IF('Données projet'!$A$218&gt;35,FE177+FD178-FM177,IF(A178&lt;'Données projet'!$A$218,$FB$205^A178,IF(A178='Données projet'!$A$218,'Données projet'!$B$218,FE177+FD178-FM177)))</f>
        <v>418.99999999999983</v>
      </c>
      <c r="FF178" s="17">
        <f>FE178*VLOOKUP('Données projet'!$B$16,Paramètres!$A$1:$I$89,3,0)*VLOOKUP('Données projet'!$B$16,Paramètres!$A$1:$I$89,5,0)</f>
        <v>359.5019999999999</v>
      </c>
      <c r="FG178" s="13">
        <f t="shared" si="182"/>
        <v>83.516011055432813</v>
      </c>
      <c r="FH178" s="20">
        <f t="shared" si="183"/>
        <v>771.58970258821194</v>
      </c>
      <c r="FI178" s="59">
        <f t="shared" si="131"/>
        <v>1064.9230359215453</v>
      </c>
      <c r="FJ178" s="59">
        <f ca="1">AVERAGE(OFFSET($FI$3,0,0,'Données projet'!$E$16+1,1))-AVERAGE(OFFSET($H$3,0,0,'Données projet'!$E$16+1,1))</f>
        <v>383.97627237444709</v>
      </c>
      <c r="FK178" s="59">
        <f t="shared" si="156"/>
        <v>203.35476578922339</v>
      </c>
      <c r="FL178" s="15">
        <f>IF(ISNA(VLOOKUP(A178,'Données projet'!$A$217:$I$237,3,0)),0,VLOOKUP(A178,'Données projet'!$A$217:$I$237,3,0))</f>
        <v>0</v>
      </c>
      <c r="FM178" s="15">
        <f>IF(ISNA(VLOOKUP(A178,'Données projet'!$A$217:$I$237,4,0)),0,VLOOKUP(A178,'Données projet'!$A$217:$I$237,4,0))</f>
        <v>0</v>
      </c>
      <c r="FN178" s="16">
        <f>IF(ISNA(VLOOKUP(A178,'Données projet'!$A$217:$I$237,5,0)),0%,VLOOKUP(A178,'Données projet'!$A$217:$I$237,5,0)*VLOOKUP('Données projet'!$B$16,Paramètres!$A$1:$I$89,7,0))</f>
        <v>0</v>
      </c>
      <c r="FO178" s="16">
        <f>IF(ISNA(VLOOKUP(A178,'Données projet'!$A$217:$I$237,6,0)),0%,VLOOKUP(A178,'Données projet'!$A$217:$I$237,6,0)*VLOOKUP('Données projet'!$B$16,Paramètres!$A$1:$I$89,7,0))</f>
        <v>0</v>
      </c>
      <c r="FP178" s="16">
        <f>IF(ISNA(VLOOKUP(A178,'Données projet'!$A$217:$I$237,7,0)),0%,VLOOKUP(A178,'Données projet'!$A$217:$I$237,7,0))</f>
        <v>0</v>
      </c>
      <c r="FQ178" s="21">
        <f>EXP(-LN(2)/35)*FQ177+(1-EXP(-LN(2)/35))/(LN(2)/35)*FM178*FN178*VLOOKUP('Données projet'!$B$16,Paramètres!$A$1:$I$89,3,0)*0.475*44/12</f>
        <v>0.29168215870242031</v>
      </c>
      <c r="FR178" s="21">
        <f>EXP(-LN(2)/25)*FR177+(1-EXP(-LN(2)/25))/(LN(2)/25)*Calculateur!FM178*Calculateur!FO178*VLOOKUP('Données projet'!$B$16,Paramètres!$A$1:$I$89,3,0)*0.475*44/12</f>
        <v>0.10574048960463363</v>
      </c>
      <c r="FS178" s="21">
        <f>EXP(-LN(2)/2)*FS177+(1-EXP(-LN(2)/2))/(LN(2)/2)*FM178*FP178*VLOOKUP('Données projet'!$B$16,Paramètres!$A$1:$I$89,3,0)*0.475*44/12</f>
        <v>2.4925438689341446E-21</v>
      </c>
      <c r="FT178" s="22">
        <f t="shared" si="184"/>
        <v>0.39742264830705393</v>
      </c>
      <c r="FU178" s="75">
        <f>('Scénario référence'!$F$8+'Scénario référence'!$F$9+'Scénario référence'!$B$17+'Scénario référence'!$B$9+'Scénario référence'!$B$10)*70+IF((45+25*(1-EXP(-0.0175*A178)))&lt;70,'Scénario référence'!$B$16*(45+25*(1-EXP(-0.0175*A178))),70*'Scénario référence'!$B$16)+IF((32+38*(1-EXP(-0.0175*A178)))&lt;70,'Scénario référence'!$B$18*(32+38*(1-EXP(-0.0175*A178))),70*'Scénario référence'!$B$18)</f>
        <v>70</v>
      </c>
      <c r="FV178" s="12">
        <f>IF(A178&gt;30,10,('Scénario référence'!$B$16+'Scénario référence'!$B$17+'Scénario référence'!$B$18+'Scénario référence'!$B$9+'Scénario référence'!$B$10)*A178*10/30+('Scénario référence'!$F$8+'Scénario référence'!$F$9)*10)</f>
        <v>10</v>
      </c>
      <c r="FW178" s="12" t="e">
        <f>VLOOKUP(A178,'Données projet'!$A$243:$I$263,2,0)</f>
        <v>#N/A</v>
      </c>
      <c r="FX178" s="12" t="e">
        <f>VLOOKUP(A178,'Données projet'!$A$243:$I$263,9,0)</f>
        <v>#N/A</v>
      </c>
      <c r="FY178" s="12">
        <f t="array" ref="FY178">INDEX(FX:FX,MIN(IF(ISNUMBER(FX178:FX374),ROW(FX178:FX374),"")))</f>
        <v>0</v>
      </c>
      <c r="FZ178" s="12">
        <f>IF('Données projet'!$A$244&gt;35,FZ177+FY178-GH177,IF(A178&lt;'Données projet'!$A$244,$FW$205^A178,IF(A178='Données projet'!$A$244,'Données projet'!$B$244,FZ177+FY178-GH177)))</f>
        <v>4.5474735088646412E-13</v>
      </c>
      <c r="GA178" s="17">
        <f>FZ178*VLOOKUP('Données projet'!$B$17,Paramètres!$A$1:$I$89,3,0)*VLOOKUP('Données projet'!$B$17,Paramètres!$A$1:$I$89,5,0)</f>
        <v>4.8949004849418999E-13</v>
      </c>
      <c r="GB178" s="13">
        <f t="shared" si="185"/>
        <v>6.1123715499968684E-12</v>
      </c>
      <c r="GC178" s="20">
        <f t="shared" si="186"/>
        <v>1.1498242284038591E-11</v>
      </c>
      <c r="GD178" s="59">
        <f t="shared" si="134"/>
        <v>293.3333333333448</v>
      </c>
      <c r="GE178" s="59">
        <f ca="1">AVERAGE(OFFSET($GD$3,0,0,'Données projet'!$E$17+1,1))-AVERAGE(OFFSET($H$3,0,0,'Données projet'!$E$17+1,1))</f>
        <v>286.77702855541287</v>
      </c>
      <c r="GF178" s="59">
        <f t="shared" si="158"/>
        <v>227.12211541860779</v>
      </c>
      <c r="GG178" s="15">
        <f>IF(ISNA(VLOOKUP(A178,'Données projet'!$A$243:$I$263,3,0)),0,VLOOKUP(A178,'Données projet'!$A$243:$I$263,3,0))</f>
        <v>0</v>
      </c>
      <c r="GH178" s="15">
        <f>IF(ISNA(VLOOKUP(A178,'Données projet'!$A$243:$I$263,4,0)),0,VLOOKUP(A178,'Données projet'!$A$243:$I$263,4,0))</f>
        <v>0</v>
      </c>
      <c r="GI178" s="16">
        <f>IF(ISNA(VLOOKUP(A178,'Données projet'!$A$243:$I$263,5,0)),0%,VLOOKUP(A178,'Données projet'!$A$243:$I$263,5,0)*VLOOKUP('Données projet'!$B$17,Paramètres!$A$1:$I$89,7,0))</f>
        <v>0</v>
      </c>
      <c r="GJ178" s="16">
        <f>IF(ISNA(VLOOKUP(A178,'Données projet'!$A$243:$I$263,6,0)),0%,VLOOKUP(A178,'Données projet'!$A$243:$I$263,6,0)*VLOOKUP('Données projet'!$B$17,Paramètres!$A$1:$I$89,7,0))</f>
        <v>0</v>
      </c>
      <c r="GK178" s="16">
        <f>IF(ISNA(VLOOKUP(A178,'Données projet'!$A$243:$I$263,7,0)),0%,VLOOKUP(A178,'Données projet'!$A$243:$I$263,7,0))</f>
        <v>0</v>
      </c>
      <c r="GL178" s="21">
        <f>EXP(-LN(2)/35)*GL177+(1-EXP(-LN(2)/35))/(LN(2)/35)*GH178*GI178*VLOOKUP('Données projet'!$B$17,Paramètres!$A$1:$I$89,3,0)*0.475*44/12</f>
        <v>0</v>
      </c>
      <c r="GM178" s="21">
        <f>EXP(-LN(2)/25)*GM177+(1-EXP(-LN(2)/25))/(LN(2)/25)*Calculateur!GH178*Calculateur!GJ178*VLOOKUP('Données projet'!$B$17,Paramètres!$A$1:$I$89,3,0)*0.475*44/12</f>
        <v>0</v>
      </c>
      <c r="GN178" s="21">
        <f>EXP(-LN(2)/2)*GN177+(1-EXP(-LN(2)/2))/(LN(2)/2)*GH178*GK178*VLOOKUP('Données projet'!$B$17,Paramètres!$A$1:$I$89,3,0)*0.475*44/12</f>
        <v>0</v>
      </c>
      <c r="GO178" s="21">
        <f t="shared" si="187"/>
        <v>0</v>
      </c>
      <c r="GP178" s="75">
        <f>('Scénario référence'!$F$8+'Scénario référence'!$F$9+'Scénario référence'!$B$17+'Scénario référence'!$B$9+'Scénario référence'!$B$10)*70+IF((45+25*(1-EXP(-0.0175*A178)))&lt;70,'Scénario référence'!$B$16*(45+25*(1-EXP(-0.0175*A178))),70*'Scénario référence'!$B$16)+IF((32+38*(1-EXP(-0.0175*A178)))&lt;70,'Scénario référence'!$B$18*(32+38*(1-EXP(-0.0175*A178))),70*'Scénario référence'!$B$18)</f>
        <v>70</v>
      </c>
      <c r="GQ178" s="12">
        <f>IF(A178&gt;30,10,('Scénario référence'!$B$16+'Scénario référence'!$B$17+'Scénario référence'!$B$18+'Scénario référence'!$B$9+'Scénario référence'!$B$10)*A178*10/30+('Scénario référence'!$F$8+'Scénario référence'!$F$9)*10)</f>
        <v>10</v>
      </c>
      <c r="GR178" s="12" t="e">
        <f>VLOOKUP(A178,'Données projet'!$A$269:$I$289,2,0)</f>
        <v>#N/A</v>
      </c>
      <c r="GS178" s="12" t="e">
        <f>VLOOKUP(A178,'Données projet'!$A$269:$I$289,9,0)</f>
        <v>#N/A</v>
      </c>
      <c r="GT178" s="12">
        <f t="array" ref="GT178">INDEX(GS:GS,MIN(IF(ISNUMBER(GS178:GS374),ROW(GS178:GS374),"")))</f>
        <v>0</v>
      </c>
      <c r="GU178" s="12">
        <f>IF('Données projet'!$A$270&gt;35,GU177+GT178-HC177,IF(A178&lt;'Données projet'!$A$270,$GR$205^A178,IF(A178='Données projet'!$A$270,'Données projet'!$B$270,GU177+GT178-HC177)))</f>
        <v>4.5474735088646412E-13</v>
      </c>
      <c r="GV178" s="17">
        <f>GU178*VLOOKUP('Données projet'!$B$18,Paramètres!$A$1:$I$89,3,0)*VLOOKUP('Données projet'!$B$18,Paramètres!$A$1:$I$89,5,0)</f>
        <v>4.8949004849418999E-13</v>
      </c>
      <c r="GW178" s="13">
        <f t="shared" si="188"/>
        <v>6.1123715499968684E-12</v>
      </c>
      <c r="GX178" s="20">
        <f t="shared" si="189"/>
        <v>1.1498242284038591E-11</v>
      </c>
      <c r="GY178" s="59">
        <f t="shared" si="137"/>
        <v>293.3333333333448</v>
      </c>
      <c r="GZ178" s="59">
        <f ca="1">AVERAGE(OFFSET($GY$3,0,0,'Données projet'!$E$18+1,1))-AVERAGE(OFFSET($H$3,0,0,'Données projet'!$E$18+1,1))</f>
        <v>286.77702855541287</v>
      </c>
      <c r="HA178" s="59">
        <f t="shared" si="160"/>
        <v>227.12211541860779</v>
      </c>
      <c r="HB178" s="15">
        <f>IF(ISNA(VLOOKUP(A178,'Données projet'!$A$269:$I$289,3,0)),0,VLOOKUP(A178,'Données projet'!$A$269:$I$289,3,0))</f>
        <v>0</v>
      </c>
      <c r="HC178" s="15">
        <f>IF(ISNA(VLOOKUP(A178,'Données projet'!$A$269:$I$289,4,0)),0,VLOOKUP(A178,'Données projet'!$A$269:$I$289,4,0))</f>
        <v>0</v>
      </c>
      <c r="HD178" s="16">
        <f>IF(ISNA(VLOOKUP(A178,'Données projet'!$A$269:$I$289,5,0)),0%,VLOOKUP(A178,'Données projet'!$A$269:$I$289,5,0)*VLOOKUP('Données projet'!$B$18,Paramètres!$A$1:$I$89,7,0))</f>
        <v>0</v>
      </c>
      <c r="HE178" s="16">
        <f>IF(ISNA(VLOOKUP(A178,'Données projet'!$A$269:$I$289,6,0)),0%,VLOOKUP(A178,'Données projet'!$A$269:$I$289,6,0)*VLOOKUP('Données projet'!$B$18,Paramètres!$A$1:$I$89,7,0))</f>
        <v>0</v>
      </c>
      <c r="HF178" s="16">
        <f>IF(ISNA(VLOOKUP(A178,'Données projet'!$A$269:$I$289,7,0)),0%,VLOOKUP(A178,'Données projet'!$A$269:$I$289,7,0))</f>
        <v>0</v>
      </c>
      <c r="HG178" s="21">
        <f>EXP(-LN(2)/35)*HG177+(1-EXP(-LN(2)/35))/(LN(2)/35)*HC178*HD178*VLOOKUP('Données projet'!$B$18,Paramètres!$A$1:$I$89,3,0)*0.475*44/12</f>
        <v>0</v>
      </c>
      <c r="HH178" s="21">
        <f>EXP(-LN(2)/25)*HH177+(1-EXP(-LN(2)/25))/(LN(2)/25)*Calculateur!HC178*Calculateur!HE178*VLOOKUP('Données projet'!$B$18,Paramètres!$A$1:$I$89,3,0)*0.475*44/12</f>
        <v>0</v>
      </c>
      <c r="HI178" s="21">
        <f>EXP(-LN(2)/2)*HI177+(1-EXP(-LN(2)/2))/(LN(2)/2)*HC178*HF178*VLOOKUP('Données projet'!$B$18,Paramètres!$A$1:$I$89,3,0)*0.475*44/12</f>
        <v>0</v>
      </c>
      <c r="HJ178" s="22">
        <f t="shared" si="190"/>
        <v>0</v>
      </c>
    </row>
    <row r="179" spans="1:218" x14ac:dyDescent="0.25">
      <c r="A179" s="10">
        <f t="shared" si="161"/>
        <v>176</v>
      </c>
      <c r="B179" s="73">
        <f>'Scénario référence'!$B$16*5+'Scénario référence'!$B$17*0+'Scénario référence'!$B$18*5</f>
        <v>0</v>
      </c>
      <c r="C179" s="19">
        <f>Calculateur!C178+'Scénario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156.49919999999986</v>
      </c>
      <c r="D179" s="11">
        <f t="shared" si="140"/>
        <v>40.051886402928353</v>
      </c>
      <c r="E17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79" s="11">
        <f>IF(OR('Scénario référence'!$F$8&gt;0,'Scénario référence'!$F$9&gt;0),('Scénario référence'!$F$8+'Scénario référence'!$F$9)*10,0)</f>
        <v>10</v>
      </c>
      <c r="G179" s="11">
        <f>'Scénario référence'!$B$8*B179*44/12+'Scénario référence'!$B$9*(C179+D179)/0.475*44/12+'Scénario référence'!$B$10*(C179+D179)/0.475*44/12+'Scénario référence'!$F$8*(C179+D179)/0.475*44/12+'Scénario référence'!$F$9*(C179+D179)/0.475*44/12</f>
        <v>1517.2364564436564</v>
      </c>
      <c r="H179" s="67">
        <f t="shared" si="110"/>
        <v>635.65980881843325</v>
      </c>
      <c r="I179" s="70">
        <f>('Scénario référence'!$F$8+'Scénario référence'!$F$9+'Scénario référence'!$B$17+'Scénario référence'!$B$9+'Scénario référence'!$B$10)*70+IF((45+25*(1-EXP(-0.0175*A179)))&lt;70,'Scénario référence'!$B$16*(45+25*(1-EXP(-0.0175*A179))),70*'Scénario référence'!$B$16)+IF((32+38*(1-EXP(-0.0175*A179)))&lt;70,'Scénario référence'!$B$18*(32+38*(1-EXP(-0.0175*A179))),70*'Scénario référence'!$B$18)</f>
        <v>70</v>
      </c>
      <c r="J179" s="13">
        <f>IF(A179&gt;30,10,('Scénario référence'!$B$16+'Scénario référence'!$B$17+'Scénario référence'!$B$18+'Scénario référence'!$B$9+'Scénario référence'!$B$10)*A179*10/30+('Scénario référence'!$F$8+'Scénario référence'!$F$9)*10)</f>
        <v>10</v>
      </c>
      <c r="K179" s="12" t="e">
        <f>VLOOKUP(A179,'Données projet'!$A$35:$I$55,2,0)</f>
        <v>#N/A</v>
      </c>
      <c r="L179" s="12" t="e">
        <f>VLOOKUP(A179,'Données projet'!$A$35:$I$55,9,0)</f>
        <v>#N/A</v>
      </c>
      <c r="M179" s="12">
        <f t="array" ref="M179">INDEX(L:L,MIN(IF(ISNUMBER(L179:L375),ROW(L179:L375),"")))</f>
        <v>0</v>
      </c>
      <c r="N179" s="13">
        <f>IF('Données projet'!$A$36&gt;35,N178+M179-V178,IF(A179&lt;'Données projet'!$A$36,$K$205^A179,IF(A179='Données projet'!$A$36,'Données projet'!$B$36,N178+M179-V178)))</f>
        <v>-2.2737367544323206E-13</v>
      </c>
      <c r="O179" s="13">
        <f>N179*VLOOKUP('Données projet'!$B$9,Paramètres!$A$1:$I$89,3,0)*VLOOKUP('Données projet'!$B$9,Paramètres!$A$1:$I$89,5,0)</f>
        <v>-1.2710188457276673E-13</v>
      </c>
      <c r="P179" s="13" t="e">
        <f t="shared" si="141"/>
        <v>#NUM!</v>
      </c>
      <c r="Q179" s="20" t="e">
        <f t="shared" si="162"/>
        <v>#NUM!</v>
      </c>
      <c r="R179" s="59" t="e">
        <f t="shared" si="109"/>
        <v>#NUM!</v>
      </c>
      <c r="S179" s="59">
        <f ca="1">AVERAGE(OFFSET($R$3,0,0,'Données projet'!$E$9+1,1))-AVERAGE(OFFSET($H$3,0,0,'Données projet'!$E$9+1,1))</f>
        <v>255.5374979188561</v>
      </c>
      <c r="T179" s="59">
        <f t="shared" si="142"/>
        <v>343.10418468620901</v>
      </c>
      <c r="U179" s="15">
        <f>IF(ISNA(VLOOKUP(A179,'Données projet'!$A$35:$I$55,3,0)),0,VLOOKUP(A179,'Données projet'!$A$35:$I$55,3,0))</f>
        <v>0</v>
      </c>
      <c r="V179" s="15">
        <f>IF(ISNA(VLOOKUP(A179,'Données projet'!$A$35:$I$55,4,0)),0,VLOOKUP(A179,'Données projet'!$A$35:$I$55,4,0))</f>
        <v>0</v>
      </c>
      <c r="W179" s="16">
        <f>IF(ISNA(VLOOKUP(A179,'Données projet'!$A$35:$I$55,5,0)),0%,VLOOKUP(A179,'Données projet'!$A$35:$I$55,5,0)*VLOOKUP('Données projet'!$B$9,Paramètres!$A$1:$I$89,7,0))</f>
        <v>0</v>
      </c>
      <c r="X179" s="16">
        <f>IF(ISNA(VLOOKUP(A179,'Données projet'!$A$35:$I$55,6,0)),0%,VLOOKUP(A179,'Données projet'!$A$35:$I$55,6,0)*VLOOKUP('Données projet'!$B$9,Paramètres!$A$1:$I$89,7,0))</f>
        <v>0</v>
      </c>
      <c r="Y179" s="16">
        <f>IF(ISNA(VLOOKUP(A179,'Données projet'!$A$35:$I$55,7,0)),0%,VLOOKUP(A179,'Données projet'!$A$35:$I$55,7,0))</f>
        <v>0</v>
      </c>
      <c r="Z179" s="21">
        <f>EXP(-LN(2)/35)*Z178+(1-EXP(-LN(2)/35))/(LN(2)/35)*V179*W179*VLOOKUP('Données projet'!$B$9,Paramètres!$A$1:$I$89,3,0)*0.475*44/12</f>
        <v>0.17149011656060856</v>
      </c>
      <c r="AA179" s="21">
        <f>EXP(-LN(2)/25)*AA178+(1-EXP(-LN(2)/25))/(LN(2)/25)*Calculateur!V179*Calculateur!X179*VLOOKUP('Données projet'!$B$9,Paramètres!$A$1:$I$89,3,0)*0.475*44/12</f>
        <v>0.27862800385231573</v>
      </c>
      <c r="AB179" s="21">
        <f>EXP(-LN(2)/2)*AB178+(1-EXP(-LN(2)/2))/(LN(2)/2)*V179*Y179*VLOOKUP('Données projet'!$B$9,Paramètres!$A$1:$I$89,3,0)*0.475*44/12</f>
        <v>1.7921650994201221E-22</v>
      </c>
      <c r="AC179" s="22">
        <f t="shared" si="163"/>
        <v>0.45011812041292432</v>
      </c>
      <c r="AD179" s="13">
        <f>('Scénario référence'!$F$8+'Scénario référence'!$F$9+'Scénario référence'!$B$17+'Scénario référence'!$B$9+'Scénario référence'!$B$10)*70+IF((45+25*(1-EXP(-0.0175*A179)))&lt;70,'Scénario référence'!$B$16*(45+25*(1-EXP(-0.0175*A179))),70*'Scénario référence'!$B$16)+IF((32+38*(1-EXP(-0.0175*A179)))&lt;70,'Scénario référence'!$B$18*(32+38*(1-EXP(-0.0175*A179))),70*'Scénario référence'!$B$18)</f>
        <v>70</v>
      </c>
      <c r="AE179" s="13">
        <f>IF(A179&gt;30,10,('Scénario référence'!$B$16+'Scénario référence'!$B$17+'Scénario référence'!$B$18+'Scénario référence'!$B$9+'Scénario référence'!$B$10)*A179*10/30+('Scénario référence'!$F$8+'Scénario référence'!$F$9)*10)</f>
        <v>10</v>
      </c>
      <c r="AF179" s="12" t="e">
        <f>VLOOKUP(A179,'Données projet'!$A$61:$I$81,2,0)</f>
        <v>#N/A</v>
      </c>
      <c r="AG179" s="12" t="e">
        <f>VLOOKUP(A179,'Données projet'!$A$61:$I$81,9,0)</f>
        <v>#N/A</v>
      </c>
      <c r="AH179" s="12">
        <f t="array" ref="AH179">INDEX(AG:AG,MIN(IF(ISNUMBER(AG179:AG375),ROW(AG179:AG375),"")))</f>
        <v>0</v>
      </c>
      <c r="AI179" s="13">
        <f>IF('Données projet'!$A$62&gt;35,AI178+AH179-AQ178,IF(A179&lt;'Données projet'!$A$62,$AF$205^A179,IF(A179='Données projet'!$A$62,'Données projet'!$B$62,AI178+AH179-AQ178)))</f>
        <v>0</v>
      </c>
      <c r="AJ179" s="13">
        <f>AI179*VLOOKUP('Données projet'!$B$10,Paramètres!$A$1:$I$89,3,0)*VLOOKUP('Données projet'!$B$10,Paramètres!$A$1:$I$89,5,0)</f>
        <v>0</v>
      </c>
      <c r="AK179" s="13" t="e">
        <f t="shared" si="164"/>
        <v>#NUM!</v>
      </c>
      <c r="AL179" s="20" t="e">
        <f t="shared" si="165"/>
        <v>#NUM!</v>
      </c>
      <c r="AM179" s="59" t="e">
        <f t="shared" si="113"/>
        <v>#NUM!</v>
      </c>
      <c r="AN179" s="59">
        <f ca="1">AVERAGE(OFFSET($AM$3,0,0,'Données projet'!$E$10+1,1))-AVERAGE(OFFSET($H$3,0,0,'Données projet'!$E$10+1,1))</f>
        <v>261.78489480911571</v>
      </c>
      <c r="AO179" s="59">
        <f t="shared" si="144"/>
        <v>297.50513563712764</v>
      </c>
      <c r="AP179" s="15">
        <f>IF(ISNA(VLOOKUP(A179,'Données projet'!$A$61:$I$81,3,0)),0,VLOOKUP(A179,'Données projet'!$A$61:$I$81,3,0))</f>
        <v>0</v>
      </c>
      <c r="AQ179" s="15">
        <f>IF(ISNA(VLOOKUP(A179,'Données projet'!$A$61:$I$81,4,0)),0,VLOOKUP(A179,'Données projet'!$A$61:$I$81,4,0))</f>
        <v>0</v>
      </c>
      <c r="AR179" s="16">
        <f>IF(ISNA(VLOOKUP(A179,'Données projet'!$A$61:$I$81,5,0)),0%,VLOOKUP(A179,'Données projet'!$A$61:$I$81,5,0)*VLOOKUP('Données projet'!$B$10,Paramètres!$A$1:$I$89,7,0))</f>
        <v>0</v>
      </c>
      <c r="AS179" s="16">
        <f>IF(ISNA(VLOOKUP(A179,'Données projet'!$A$61:$I$81,6,0)),0%,VLOOKUP(A179,'Données projet'!$A$61:$I$81,6,0)*VLOOKUP('Données projet'!$B$10,Paramètres!$A$1:$I$89,7,0))</f>
        <v>0</v>
      </c>
      <c r="AT179" s="16">
        <f>IF(ISNA(VLOOKUP(A179,'Données projet'!$A$61:$I$81,7,0)),0%,VLOOKUP(A179,'Données projet'!$A$61:$I$81,7,0))</f>
        <v>0</v>
      </c>
      <c r="AU179" s="21">
        <f>EXP(-LN(2)/35)*AU178+(1-EXP(-LN(2)/35))/(LN(2)/35)*AQ179*AR179*VLOOKUP('Données projet'!$B$10,Paramètres!$A$1:$I$89,3,0)*0.475*44/12</f>
        <v>0.46307182046045997</v>
      </c>
      <c r="AV179" s="21">
        <f>EXP(-LN(2)/25)*AV178+(1-EXP(-LN(2)/25))/(LN(2)/25)*Calculateur!AQ179*Calculateur!AS179*VLOOKUP('Données projet'!$B$10,Paramètres!$A$1:$I$89,3,0)*0.475*44/12</f>
        <v>0.48654132393750366</v>
      </c>
      <c r="AW179" s="21">
        <f>EXP(-LN(2)/2)*AW178+(1-EXP(-LN(2)/2))/(LN(2)/2)*AQ179*AT179*VLOOKUP('Données projet'!$B$10,Paramètres!$A$1:$I$89,3,0)*0.475*44/12</f>
        <v>2.5835766056517477E-21</v>
      </c>
      <c r="AX179" s="21">
        <f t="shared" si="166"/>
        <v>0.94961314439796363</v>
      </c>
      <c r="AY179" s="74">
        <f>('Scénario référence'!$F$8+'Scénario référence'!$F$9+'Scénario référence'!$B$17+'Scénario référence'!$B$9+'Scénario référence'!$B$10)*70+IF((45+25*(1-EXP(-0.0175*A179)))&lt;70,'Scénario référence'!$B$16*(45+25*(1-EXP(-0.0175*A179))),70*'Scénario référence'!$B$16)+IF((32+38*(1-EXP(-0.0175*A179)))&lt;70,'Scénario référence'!$B$18*(32+38*(1-EXP(-0.0175*A179))),70*'Scénario référence'!$B$18)</f>
        <v>70</v>
      </c>
      <c r="AZ179" s="12">
        <f>IF(A179&gt;30,10,('Scénario référence'!$B$16+'Scénario référence'!$B$17+'Scénario référence'!$B$18+'Scénario référence'!$B$9+'Scénario référence'!$B$10)*A179*10/30+('Scénario référence'!$F$8+'Scénario référence'!$F$9)*10)</f>
        <v>10</v>
      </c>
      <c r="BA179" s="12" t="e">
        <f>VLOOKUP(A179,'Données projet'!$A$87:$I$107,2,0)</f>
        <v>#N/A</v>
      </c>
      <c r="BB179" s="12" t="e">
        <f>VLOOKUP(A179,'Données projet'!$A$87:$I$107,9,0)</f>
        <v>#N/A</v>
      </c>
      <c r="BC179" s="12">
        <f t="array" ref="BC179">INDEX(BB:BB,MIN(IF(ISNUMBER(BB179:BB375),ROW(BB179:BB375),"")))</f>
        <v>0</v>
      </c>
      <c r="BD179" s="12">
        <f>IF('Données projet'!$A$88&gt;35,BD178+BC179-BL178,IF(A179&lt;'Données projet'!$A$88,$BA$205^A179,IF(A179='Données projet'!$A$88,'Données projet'!$B$88,BD178+BC179-BL178)))</f>
        <v>553.99999999999955</v>
      </c>
      <c r="BE179" s="13">
        <f>BD179*VLOOKUP('Données projet'!$B$11,Paramètres!$A$1:$I$89,3,0)*VLOOKUP('Données projet'!$B$11,Paramètres!$A$1:$I$89,5,0)</f>
        <v>331.29199999999975</v>
      </c>
      <c r="BF179" s="13">
        <f t="shared" si="167"/>
        <v>77.698110787752</v>
      </c>
      <c r="BG179" s="20">
        <f t="shared" si="168"/>
        <v>712.32444295533423</v>
      </c>
      <c r="BH179" s="59">
        <f t="shared" si="116"/>
        <v>1005.6577762886675</v>
      </c>
      <c r="BI179" s="59">
        <f ca="1">AVERAGE(OFFSET($BH$3,0,0,'Données projet'!$E$11+1,1))-AVERAGE(OFFSET($H$3,0,0,'Données projet'!$E$11+1,1))</f>
        <v>316.58509520829671</v>
      </c>
      <c r="BJ179" s="59">
        <f t="shared" si="146"/>
        <v>240.71332110643596</v>
      </c>
      <c r="BK179" s="15">
        <f>IF(ISNA(VLOOKUP(A179,'Données projet'!$A$87:$I$107,3,0)),0,VLOOKUP(A179,'Données projet'!$A$87:$I$107,3,0))</f>
        <v>0</v>
      </c>
      <c r="BL179" s="15">
        <f>IF(ISNA(VLOOKUP(A179,'Données projet'!$A$87:$I$107,4,0)),0,VLOOKUP(A179,'Données projet'!$A$87:$I$107,4,0))</f>
        <v>0</v>
      </c>
      <c r="BM179" s="16">
        <f>IF(ISNA(VLOOKUP(A179,'Données projet'!$A$87:$I$107,5,0)),0%,VLOOKUP(A179,'Données projet'!$A$87:$I$107,5,0)*VLOOKUP('Données projet'!$B$11,Paramètres!$A$1:$I$89,7,0))</f>
        <v>0</v>
      </c>
      <c r="BN179" s="16">
        <f>IF(ISNA(VLOOKUP(A179,'Données projet'!$A$87:$I$107,6,0)),0%,VLOOKUP(A179,'Données projet'!$A$87:$I$107,6,0)*VLOOKUP('Données projet'!$B$11,Paramètres!$A$1:$I$89,7,0))</f>
        <v>0</v>
      </c>
      <c r="BO179" s="16">
        <f>IF(ISNA(VLOOKUP(A179,'Données projet'!$A$87:$I$107,7,0)),0%,VLOOKUP(A179,'Données projet'!$A$87:$I$107,7,0))</f>
        <v>0</v>
      </c>
      <c r="BP179" s="21">
        <f>EXP(-LN(2)/35)*BP178+(1-EXP(-LN(2)/35))/(LN(2)/35)*BL179*BM179*VLOOKUP('Données projet'!$B$11,Paramètres!$A$1:$I$89,3,0)*0.475*44/12</f>
        <v>0.14066151093971951</v>
      </c>
      <c r="BQ179" s="21">
        <f>EXP(-LN(2)/25)*BQ178+(1-EXP(-LN(2)/25))/(LN(2)/25)*Calculateur!BL179*Calculateur!BN179*VLOOKUP('Données projet'!$B$11,Paramètres!$A$1:$I$89,3,0)*0.475*44/12</f>
        <v>0.26654153359297766</v>
      </c>
      <c r="BR179" s="21">
        <f>EXP(-LN(2)/2)*BR178+(1-EXP(-LN(2)/2))/(LN(2)/2)*BL179*BO179*VLOOKUP('Données projet'!$B$11,Paramètres!$A$1:$I$89,3,0)*0.475*44/12</f>
        <v>2.3229183026905855E-21</v>
      </c>
      <c r="BS179" s="22">
        <f t="shared" si="169"/>
        <v>0.40720304453269718</v>
      </c>
      <c r="BT179" s="75">
        <f>('Scénario référence'!$F$8+'Scénario référence'!$F$9+'Scénario référence'!$B$17+'Scénario référence'!$B$9+'Scénario référence'!$B$10)*70+IF((45+25*(1-EXP(-0.0175*A179)))&lt;70,'Scénario référence'!$B$16*(45+25*(1-EXP(-0.0175*A179))),70*'Scénario référence'!$B$16)+IF((32+38*(1-EXP(-0.0175*A179)))&lt;70,'Scénario référence'!$B$18*(32+38*(1-EXP(-0.0175*A179))),70*'Scénario référence'!$B$18)</f>
        <v>70</v>
      </c>
      <c r="BU179" s="12">
        <f>IF(A179&gt;30,10,('Scénario référence'!$B$16+'Scénario référence'!$B$17+'Scénario référence'!$B$18+'Scénario référence'!$B$9+'Scénario référence'!$B$10)*A179*10/30+('Scénario référence'!$F$8+'Scénario référence'!$F$9)*10)</f>
        <v>10</v>
      </c>
      <c r="BV179" s="12" t="e">
        <f>VLOOKUP(A179,'Données projet'!$A$113:$I$133,2,0)</f>
        <v>#N/A</v>
      </c>
      <c r="BW179" s="12" t="e">
        <f>VLOOKUP(A179,'Données projet'!$A$113:$I$133,9,0)</f>
        <v>#N/A</v>
      </c>
      <c r="BX179" s="12">
        <f t="array" ref="BX179">INDEX(BW:BW,MIN(IF(ISNUMBER(BW179:BW375),ROW(BW179:BW375),"")))</f>
        <v>0</v>
      </c>
      <c r="BY179" s="12">
        <f>IF('Données projet'!$A$114&gt;35,BY178+BX179-CG178,IF(A179&lt;'Données projet'!$A$114,$BV$205^A179,IF(A179='Données projet'!$A$114,'Données projet'!$B$114,BY178+BX179-CG178)))</f>
        <v>333.99999999999977</v>
      </c>
      <c r="BZ179" s="13">
        <f>BY179*VLOOKUP('Données projet'!$B$12,Paramètres!$A$1:$I$89,3,0)*VLOOKUP('Données projet'!$B$12,Paramètres!$A$1:$I$89,5,0)</f>
        <v>191.04799999999986</v>
      </c>
      <c r="CA179" s="13">
        <f t="shared" si="170"/>
        <v>47.771576544305155</v>
      </c>
      <c r="CB179" s="20">
        <f t="shared" si="171"/>
        <v>415.94409581466454</v>
      </c>
      <c r="CC179" s="59">
        <f t="shared" si="119"/>
        <v>709.27742914799785</v>
      </c>
      <c r="CD179" s="59">
        <f ca="1">AVERAGE(OFFSET($CC$3,0,0,'Données projet'!$E$12+1,1))-AVERAGE(OFFSET($H$3,0,0,'Données projet'!$E$12+1,1))</f>
        <v>188.64374818906128</v>
      </c>
      <c r="CE179" s="59">
        <f t="shared" si="148"/>
        <v>211.95157880548652</v>
      </c>
      <c r="CF179" s="15">
        <f>IF(ISNA(VLOOKUP(A179,'Données projet'!$A$113:$I$133,3,0)),0,VLOOKUP(A179,'Données projet'!$A$113:$I$133,3,0))</f>
        <v>0</v>
      </c>
      <c r="CG179" s="15">
        <f>IF(ISNA(VLOOKUP(A179,'Données projet'!$A$113:$I$133,4,0)),0,VLOOKUP(A179,'Données projet'!$A$113:$I$133,4,0))</f>
        <v>0</v>
      </c>
      <c r="CH179" s="16">
        <f>IF(ISNA(VLOOKUP(A179,'Données projet'!$A$113:$I$133,5,0)),0%,VLOOKUP(A179,'Données projet'!$A$113:$I$133,5,0)*VLOOKUP('Données projet'!$B$12,Paramètres!$A$1:$I$89,7,0))</f>
        <v>0</v>
      </c>
      <c r="CI179" s="16">
        <f>IF(ISNA(VLOOKUP(A179,'Données projet'!$A$113:$I$133,6,0)),0%,VLOOKUP(A179,'Données projet'!$A$113:$I$133,6,0)*VLOOKUP('Données projet'!$B$12,Paramètres!$A$1:$I$89,7,0))</f>
        <v>0</v>
      </c>
      <c r="CJ179" s="16">
        <f>IF(ISNA(VLOOKUP(A179,'Données projet'!$A$113:$I$133,7,0)),0%,VLOOKUP(A179,'Données projet'!$A$113:$I$133,7,0))</f>
        <v>0</v>
      </c>
      <c r="CK179" s="21">
        <f>EXP(-LN(2)/35)*CK178+(1-EXP(-LN(2)/35))/(LN(2)/35)*CG179*CH179*VLOOKUP('Données projet'!$B$12,Paramètres!$A$1:$I$89,3,0)*0.475*44/12</f>
        <v>0.1364408042428141</v>
      </c>
      <c r="CL179" s="21">
        <f>EXP(-LN(2)/25)*CL178+(1-EXP(-LN(2)/25))/(LN(2)/25)*Calculateur!CG179*Calculateur!CI179*VLOOKUP('Données projet'!$B$12,Paramètres!$A$1:$I$89,3,0)*0.475*44/12</f>
        <v>0.25087492638787079</v>
      </c>
      <c r="CM179" s="21">
        <f>EXP(-LN(2)/2)*CM178+(1-EXP(-LN(2)/2))/(LN(2)/2)*CG179*CJ179*VLOOKUP('Données projet'!$B$12,Paramètres!$A$1:$I$89,3,0)*0.475*44/12</f>
        <v>2.2495646283286078E-21</v>
      </c>
      <c r="CN179" s="22">
        <f t="shared" si="172"/>
        <v>0.38731573063068492</v>
      </c>
      <c r="CO179" s="75">
        <f>('Scénario référence'!$F$8+'Scénario référence'!$F$9+'Scénario référence'!$B$17+'Scénario référence'!$B$9+'Scénario référence'!$B$10)*70+IF((45+25*(1-EXP(-0.0175*A179)))&lt;70,'Scénario référence'!$B$16*(45+25*(1-EXP(-0.0175*A179))),70*'Scénario référence'!$B$16)+IF((32+38*(1-EXP(-0.0175*A179)))&lt;70,'Scénario référence'!$B$18*(32+38*(1-EXP(-0.0175*A179))),70*'Scénario référence'!$B$18)</f>
        <v>70</v>
      </c>
      <c r="CP179" s="12">
        <f>IF(A179&gt;30,10,('Scénario référence'!$B$16+'Scénario référence'!$B$17+'Scénario référence'!$B$18+'Scénario référence'!$B$9+'Scénario référence'!$B$10)*A179*10/30+('Scénario référence'!$F$8+'Scénario référence'!$F$9)*10)</f>
        <v>10</v>
      </c>
      <c r="CQ179" s="12" t="e">
        <f>VLOOKUP(A179,'Données projet'!$A$139:$I$159,2,0)</f>
        <v>#N/A</v>
      </c>
      <c r="CR179" s="12" t="e">
        <f>VLOOKUP(A179,'Données projet'!$A$139:$I$159,9,0)</f>
        <v>#N/A</v>
      </c>
      <c r="CS179" s="12">
        <f t="array" ref="CS179">INDEX(CR:CR,MIN(IF(ISNUMBER(CR179:CR375),ROW(CR179:CR375),"")))</f>
        <v>0</v>
      </c>
      <c r="CT179" s="12">
        <f>IF('Données projet'!$A$140&gt;35,CT178+CS179-DB178,IF(A179&lt;'Données projet'!$A$140,$CQ$205^A179,IF(A179='Données projet'!$A$140,'Données projet'!$B$140,CT178+CS179-DB178)))</f>
        <v>0</v>
      </c>
      <c r="CU179" s="17" t="e">
        <f>CT179*VLOOKUP('Données projet'!$B$13,Paramètres!$A$1:$I$89,3,0)*VLOOKUP('Données projet'!$B$13,Paramètres!$A$1:$I$89,5,0)</f>
        <v>#N/A</v>
      </c>
      <c r="CV179" s="13" t="e">
        <f t="shared" si="173"/>
        <v>#N/A</v>
      </c>
      <c r="CW179" s="20" t="e">
        <f t="shared" si="174"/>
        <v>#N/A</v>
      </c>
      <c r="CX179" s="59" t="e">
        <f t="shared" si="122"/>
        <v>#N/A</v>
      </c>
      <c r="CY179" s="59" t="e">
        <f ca="1">AVERAGE(OFFSET($CX$3,0,0,'Données projet'!$E$13+1,1))-AVERAGE(OFFSET($H$3,0,0,'Données projet'!$E$13+1,1))</f>
        <v>#N/A</v>
      </c>
      <c r="CZ179" s="59" t="e">
        <f t="shared" si="150"/>
        <v>#N/A</v>
      </c>
      <c r="DA179" s="15">
        <f>IF(ISNA(VLOOKUP(A179,'Données projet'!$A$139:$I$159,3,0)),0,VLOOKUP(A179,'Données projet'!$A$139:$I$159,3,0))</f>
        <v>0</v>
      </c>
      <c r="DB179" s="15">
        <f>IF(ISNA(VLOOKUP(A179,'Données projet'!$A$139:$I$159,4,0)),0,VLOOKUP(A179,'Données projet'!$A$139:$I$159,4,0))</f>
        <v>0</v>
      </c>
      <c r="DC179" s="16">
        <f>IF(ISNA(VLOOKUP(A179,'Données projet'!$A$139:$I$159,5,0)),0%,VLOOKUP(A179,'Données projet'!$A$139:$I$159,5,0)*VLOOKUP('Données projet'!$B$13,Paramètres!$A$1:$I$89,7,0))</f>
        <v>0</v>
      </c>
      <c r="DD179" s="16">
        <f>IF(ISNA(VLOOKUP(A179,'Données projet'!$A$139:$I$159,6,0)),0%,VLOOKUP(A179,'Données projet'!$A$139:$I$159,6,0)*VLOOKUP('Données projet'!$B$13,Paramètres!$A$1:$I$89,7,0))</f>
        <v>0</v>
      </c>
      <c r="DE179" s="16">
        <f>IF(ISNA(VLOOKUP(A179,'Données projet'!$A$139:$I$159,7,0)),0%,VLOOKUP(A179,'Données projet'!$A$139:$I$159,7,0))</f>
        <v>0</v>
      </c>
      <c r="DF179" s="21" t="e">
        <f>EXP(-LN(2)/35)*DF178+(1-EXP(-LN(2)/35))/(LN(2)/35)*DB179*DC179*VLOOKUP('Données projet'!$B$13,Paramètres!$A$1:$I$89,3,0)*0.475*44/12</f>
        <v>#N/A</v>
      </c>
      <c r="DG179" s="21" t="e">
        <f>EXP(-LN(2)/25)*DG178+(1-EXP(-LN(2)/25))/(LN(2)/25)*Calculateur!DB179*Calculateur!DD179*VLOOKUP('Données projet'!$B$13,Paramètres!$A$1:$I$89,3,0)*0.475*44/12</f>
        <v>#N/A</v>
      </c>
      <c r="DH179" s="21" t="e">
        <f>EXP(-LN(2)/2)*DH178+(1-EXP(-LN(2)/2))/(LN(2)/2)*DB179*DE179*VLOOKUP('Données projet'!$B$13,Paramètres!$A$1:$I$89,3,0)*0.475*44/12</f>
        <v>#N/A</v>
      </c>
      <c r="DI179" s="22" t="e">
        <f t="shared" si="175"/>
        <v>#N/A</v>
      </c>
      <c r="DJ179" s="75">
        <f>('Scénario référence'!$F$8+'Scénario référence'!$F$9+'Scénario référence'!$B$17+'Scénario référence'!$B$9+'Scénario référence'!$B$10)*70+IF((45+25*(1-EXP(-0.0175*A179)))&lt;70,'Scénario référence'!$B$16*(45+25*(1-EXP(-0.0175*A179))),70*'Scénario référence'!$B$16)+IF((32+38*(1-EXP(-0.0175*A179)))&lt;70,'Scénario référence'!$B$18*(32+38*(1-EXP(-0.0175*A179))),70*'Scénario référence'!$B$18)</f>
        <v>70</v>
      </c>
      <c r="DK179" s="12">
        <f>IF(A179&gt;30,10,('Scénario référence'!$B$16+'Scénario référence'!$B$17+'Scénario référence'!$B$18+'Scénario référence'!$B$9+'Scénario référence'!$B$10)*A179*10/30+('Scénario référence'!$F$8+'Scénario référence'!$F$9)*10)</f>
        <v>10</v>
      </c>
      <c r="DL179" s="12" t="e">
        <f>VLOOKUP(A179,'Données projet'!$A$165:$I$185,2,0)</f>
        <v>#N/A</v>
      </c>
      <c r="DM179" s="12" t="e">
        <f>VLOOKUP(A179,'Données projet'!$A$165:$I$185,9,0)</f>
        <v>#N/A</v>
      </c>
      <c r="DN179" s="12">
        <f t="array" ref="DN179">INDEX(DM:DM,MIN(IF(ISNUMBER(DM179:DM375),ROW(DM179:DM375),"")))</f>
        <v>0</v>
      </c>
      <c r="DO179" s="12">
        <f>IF('Données projet'!$A$166&gt;35,DO178+DN179-DW178,IF(A179&lt;'Données projet'!$A$166,$DL$205^A179,IF(A179='Données projet'!$A$166,'Données projet'!$B$166,DO178+DN179-DW178)))</f>
        <v>268.00000000000017</v>
      </c>
      <c r="DP179" s="17">
        <f>DO179*VLOOKUP('Données projet'!$B$14,Paramètres!$A$1:$I$89,3,0)*VLOOKUP('Données projet'!$B$14,Paramètres!$A$1:$I$89,5,0)</f>
        <v>175.59360000000012</v>
      </c>
      <c r="DQ179" s="13">
        <f t="shared" si="176"/>
        <v>44.340433728638573</v>
      </c>
      <c r="DR179" s="20">
        <f t="shared" si="177"/>
        <v>383.05177541071242</v>
      </c>
      <c r="DS179" s="59">
        <f t="shared" si="125"/>
        <v>676.38510874404574</v>
      </c>
      <c r="DT179" s="59">
        <f ca="1">AVERAGE(OFFSET($DS$3,0,0,'Données projet'!$E$14+1,1))-AVERAGE(OFFSET($H$3,0,0,'Données projet'!$E$14+1,1))</f>
        <v>188.68915783955595</v>
      </c>
      <c r="DU179" s="59">
        <f t="shared" si="152"/>
        <v>240.82467772396944</v>
      </c>
      <c r="DV179" s="15">
        <f>IF(ISNA(VLOOKUP(A179,'Données projet'!$A$165:$I$185,3,0)),0,VLOOKUP(A179,'Données projet'!$A$165:$I$185,3,0))</f>
        <v>0</v>
      </c>
      <c r="DW179" s="15">
        <f>IF(ISNA(VLOOKUP(A179,'Données projet'!$A$165:$I$185,4,0)),0,VLOOKUP(A179,'Données projet'!$A$165:$I$185,4,0))</f>
        <v>0</v>
      </c>
      <c r="DX179" s="16">
        <f>IF(ISNA(VLOOKUP(A179,'Données projet'!$A$165:$I$185,5,0)),0%,VLOOKUP(A179,'Données projet'!$A$165:$I$185,5,0)*VLOOKUP('Données projet'!$B$14,Paramètres!$A$1:$I$89,7,0))</f>
        <v>0</v>
      </c>
      <c r="DY179" s="16">
        <f>IF(ISNA(VLOOKUP(A179,'Données projet'!$A$165:$I$185,6,0)),0%,VLOOKUP(A179,'Données projet'!$A$165:$I$185,6,0)*VLOOKUP('Données projet'!$B$14,Paramètres!$A$1:$I$89,7,0))</f>
        <v>0</v>
      </c>
      <c r="DZ179" s="16">
        <f>IF(ISNA(VLOOKUP(A179,'Données projet'!$A$165:$I$185,7,0)),0%,VLOOKUP(A179,'Données projet'!$A$165:$I$185,7,0))</f>
        <v>0</v>
      </c>
      <c r="EA179" s="21">
        <f>EXP(-LN(2)/35)*EA178+(1-EXP(-LN(2)/35))/(LN(2)/35)*DW179*DX179*VLOOKUP('Données projet'!$B$14,Paramètres!$A$1:$I$89,3,0)*0.475*44/12</f>
        <v>8.6423994269964347E-2</v>
      </c>
      <c r="EB179" s="21">
        <f>EXP(-LN(2)/25)*EB178+(1-EXP(-LN(2)/25))/(LN(2)/25)*Calculateur!DW179*Calculateur!DY179*VLOOKUP('Données projet'!$B$14,Paramètres!$A$1:$I$89,3,0)*0.475*44/12</f>
        <v>0.14032479200592274</v>
      </c>
      <c r="EC179" s="21">
        <f>EXP(-LN(2)/2)*EC178+(1-EXP(-LN(2)/2))/(LN(2)/2)*DW179*DZ179*VLOOKUP('Données projet'!$B$14,Paramètres!$A$1:$I$89,3,0)*0.475*44/12</f>
        <v>1.481927338441327E-21</v>
      </c>
      <c r="ED179" s="22">
        <f t="shared" si="178"/>
        <v>0.22674878627588707</v>
      </c>
      <c r="EE179" s="75">
        <f>('Scénario référence'!$F$8+'Scénario référence'!$F$9+'Scénario référence'!$B$17+'Scénario référence'!$B$9+'Scénario référence'!$B$10)*70+IF((45+25*(1-EXP(-0.0175*A179)))&lt;70,'Scénario référence'!$B$16*(45+25*(1-EXP(-0.0175*A179))),70*'Scénario référence'!$B$16)+IF((32+38*(1-EXP(-0.0175*A179)))&lt;70,'Scénario référence'!$B$18*(32+38*(1-EXP(-0.0175*A179))),70*'Scénario référence'!$B$18)</f>
        <v>70</v>
      </c>
      <c r="EF179" s="12">
        <f>IF(A179&gt;30,10,('Scénario référence'!$B$16+'Scénario référence'!$B$17+'Scénario référence'!$B$18+'Scénario référence'!$B$9+'Scénario référence'!$B$10)*A179*10/30+('Scénario référence'!$F$8+'Scénario référence'!$F$9)*10)</f>
        <v>10</v>
      </c>
      <c r="EG179" s="12" t="e">
        <f>VLOOKUP(A179,'Données projet'!$A$191:$I$211,2,0)</f>
        <v>#N/A</v>
      </c>
      <c r="EH179" s="12" t="e">
        <f>VLOOKUP(A179,'Données projet'!$A$191:$I$211,9,0)</f>
        <v>#N/A</v>
      </c>
      <c r="EI179" s="12">
        <f t="array" ref="EI179">INDEX(EH:EH,MIN(IF(ISNUMBER(EH179:EH375),ROW(EH179:EH375),"")))</f>
        <v>0</v>
      </c>
      <c r="EJ179" s="12">
        <f>IF('Données projet'!$A$192&gt;35,EJ178+EI179-ER178,IF(A179&lt;'Données projet'!$A$192,$EG$205^A179,IF(A179='Données projet'!$A$192,'Données projet'!$B$192,EJ178+EI179-ER178)))</f>
        <v>275.99999999999972</v>
      </c>
      <c r="EK179" s="17">
        <f>EJ179*VLOOKUP('Données projet'!$B$15,Paramètres!$A$1:$I$89,3,0)*VLOOKUP('Données projet'!$B$15,Paramètres!$A$1:$I$89,5,0)</f>
        <v>223.8911999999998</v>
      </c>
      <c r="EL179" s="13">
        <f t="shared" si="179"/>
        <v>54.95975389514858</v>
      </c>
      <c r="EM179" s="20">
        <f t="shared" si="180"/>
        <v>485.66541136738346</v>
      </c>
      <c r="EN179" s="59">
        <f t="shared" si="128"/>
        <v>778.99874470071677</v>
      </c>
      <c r="EO179" s="59">
        <f ca="1">AVERAGE(OFFSET($EN$3,0,0,'Données projet'!$E$15+1,1))-AVERAGE(OFFSET($H$3,0,0,'Données projet'!$E$15+1,1))</f>
        <v>205.5272583787887</v>
      </c>
      <c r="EP179" s="59">
        <f t="shared" si="154"/>
        <v>180.54762778843178</v>
      </c>
      <c r="EQ179" s="15">
        <f>IF(ISNA(VLOOKUP(A179,'Données projet'!$A$191:$I$211,3,0)),0,VLOOKUP(A179,'Données projet'!$A$191:$I$211,3,0))</f>
        <v>0</v>
      </c>
      <c r="ER179" s="15">
        <f>IF(ISNA(VLOOKUP(A179,'Données projet'!$A$191:$I$211,4,0)),0,VLOOKUP(A179,'Données projet'!$A$191:$I$211,4,0))</f>
        <v>0</v>
      </c>
      <c r="ES179" s="16">
        <f>IF(ISNA(VLOOKUP(A179,'Données projet'!$A$191:$I$211,5,0)),0%,VLOOKUP(A179,'Données projet'!$A$191:$I$211,5,0)*VLOOKUP('Données projet'!$B$15,Paramètres!$A$1:$I$89,7,0))</f>
        <v>0</v>
      </c>
      <c r="ET179" s="16">
        <f>IF(ISNA(VLOOKUP(A179,'Données projet'!$A$191:$I$211,6,0)),0%,VLOOKUP(A179,'Données projet'!$A$191:$I$211,6,0)*VLOOKUP('Données projet'!$B$15,Paramètres!$A$1:$I$89,7,0))</f>
        <v>0</v>
      </c>
      <c r="EU179" s="16">
        <f>IF(ISNA(VLOOKUP(A179,'Données projet'!$A$191:$I$211,7,0)),0%,VLOOKUP(A179,'Données projet'!$A$191:$I$211,7,0))</f>
        <v>0</v>
      </c>
      <c r="EV179" s="21">
        <f>EXP(-LN(2)/35)*EV178+(1-EXP(-LN(2)/35))/(LN(2)/35)*ER179*ES179*VLOOKUP('Données projet'!$B$15,Paramètres!$A$1:$I$89,3,0)*0.475*44/12</f>
        <v>5.5640590596662758E-2</v>
      </c>
      <c r="EW179" s="21">
        <f>EXP(-LN(2)/25)*EW178+(1-EXP(-LN(2)/25))/(LN(2)/25)*Calculateur!ER179*Calculateur!ET179*VLOOKUP('Données projet'!$B$15,Paramètres!$A$1:$I$89,3,0)*0.475*44/12</f>
        <v>0.10131875671623823</v>
      </c>
      <c r="EX179" s="21">
        <f>EXP(-LN(2)/2)*EX178+(1-EXP(-LN(2)/2))/(LN(2)/2)*ER179*EU179*VLOOKUP('Données projet'!$B$15,Paramètres!$A$1:$I$89,3,0)*0.475*44/12</f>
        <v>9.5954904741666852E-22</v>
      </c>
      <c r="EY179" s="22">
        <f t="shared" si="181"/>
        <v>0.15695934731290098</v>
      </c>
      <c r="EZ179" s="75">
        <f>('Scénario référence'!$F$8+'Scénario référence'!$F$9+'Scénario référence'!$B$17+'Scénario référence'!$B$9+'Scénario référence'!$B$10)*70+IF((45+25*(1-EXP(-0.0175*A179)))&lt;70,'Scénario référence'!$B$16*(45+25*(1-EXP(-0.0175*A179))),70*'Scénario référence'!$B$16)+IF((32+38*(1-EXP(-0.0175*A179)))&lt;70,'Scénario référence'!$B$18*(32+38*(1-EXP(-0.0175*A179))),70*'Scénario référence'!$B$18)</f>
        <v>70</v>
      </c>
      <c r="FA179" s="12">
        <f>IF(A179&gt;30,10,('Scénario référence'!$B$16+'Scénario référence'!$B$17+'Scénario référence'!$B$18+'Scénario référence'!$B$9+'Scénario référence'!$B$10)*A179*10/30+('Scénario référence'!$F$8+'Scénario référence'!$F$9)*10)</f>
        <v>10</v>
      </c>
      <c r="FB179" s="12" t="e">
        <f>VLOOKUP(A179,'Données projet'!$A$217:$I$237,2,0)</f>
        <v>#N/A</v>
      </c>
      <c r="FC179" s="12" t="e">
        <f>VLOOKUP(A179,'Données projet'!$A$217:$I$237,9,0)</f>
        <v>#N/A</v>
      </c>
      <c r="FD179" s="12">
        <f t="array" ref="FD179">INDEX(FC:FC,MIN(IF(ISNUMBER(FC179:FC375),ROW(FC179:FC375),"")))</f>
        <v>0</v>
      </c>
      <c r="FE179" s="12">
        <f>IF('Données projet'!$A$218&gt;35,FE178+FD179-FM178,IF(A179&lt;'Données projet'!$A$218,$FB$205^A179,IF(A179='Données projet'!$A$218,'Données projet'!$B$218,FE178+FD179-FM178)))</f>
        <v>418.99999999999983</v>
      </c>
      <c r="FF179" s="17">
        <f>FE179*VLOOKUP('Données projet'!$B$16,Paramètres!$A$1:$I$89,3,0)*VLOOKUP('Données projet'!$B$16,Paramètres!$A$1:$I$89,5,0)</f>
        <v>359.5019999999999</v>
      </c>
      <c r="FG179" s="13">
        <f t="shared" si="182"/>
        <v>83.516011055432813</v>
      </c>
      <c r="FH179" s="20">
        <f t="shared" si="183"/>
        <v>771.58970258821194</v>
      </c>
      <c r="FI179" s="59">
        <f t="shared" si="131"/>
        <v>1064.9230359215453</v>
      </c>
      <c r="FJ179" s="59">
        <f ca="1">AVERAGE(OFFSET($FI$3,0,0,'Données projet'!$E$16+1,1))-AVERAGE(OFFSET($H$3,0,0,'Données projet'!$E$16+1,1))</f>
        <v>383.97627237444709</v>
      </c>
      <c r="FK179" s="59">
        <f t="shared" si="156"/>
        <v>203.35476578922339</v>
      </c>
      <c r="FL179" s="15">
        <f>IF(ISNA(VLOOKUP(A179,'Données projet'!$A$217:$I$237,3,0)),0,VLOOKUP(A179,'Données projet'!$A$217:$I$237,3,0))</f>
        <v>0</v>
      </c>
      <c r="FM179" s="15">
        <f>IF(ISNA(VLOOKUP(A179,'Données projet'!$A$217:$I$237,4,0)),0,VLOOKUP(A179,'Données projet'!$A$217:$I$237,4,0))</f>
        <v>0</v>
      </c>
      <c r="FN179" s="16">
        <f>IF(ISNA(VLOOKUP(A179,'Données projet'!$A$217:$I$237,5,0)),0%,VLOOKUP(A179,'Données projet'!$A$217:$I$237,5,0)*VLOOKUP('Données projet'!$B$16,Paramètres!$A$1:$I$89,7,0))</f>
        <v>0</v>
      </c>
      <c r="FO179" s="16">
        <f>IF(ISNA(VLOOKUP(A179,'Données projet'!$A$217:$I$237,6,0)),0%,VLOOKUP(A179,'Données projet'!$A$217:$I$237,6,0)*VLOOKUP('Données projet'!$B$16,Paramètres!$A$1:$I$89,7,0))</f>
        <v>0</v>
      </c>
      <c r="FP179" s="16">
        <f>IF(ISNA(VLOOKUP(A179,'Données projet'!$A$217:$I$237,7,0)),0%,VLOOKUP(A179,'Données projet'!$A$217:$I$237,7,0))</f>
        <v>0</v>
      </c>
      <c r="FQ179" s="21">
        <f>EXP(-LN(2)/35)*FQ178+(1-EXP(-LN(2)/35))/(LN(2)/35)*FM179*FN179*VLOOKUP('Données projet'!$B$16,Paramètres!$A$1:$I$89,3,0)*0.475*44/12</f>
        <v>0.28596244947881566</v>
      </c>
      <c r="FR179" s="21">
        <f>EXP(-LN(2)/25)*FR178+(1-EXP(-LN(2)/25))/(LN(2)/25)*Calculateur!FM179*Calculateur!FO179*VLOOKUP('Données projet'!$B$16,Paramètres!$A$1:$I$89,3,0)*0.475*44/12</f>
        <v>0.10284901035574424</v>
      </c>
      <c r="FS179" s="21">
        <f>EXP(-LN(2)/2)*FS178+(1-EXP(-LN(2)/2))/(LN(2)/2)*FM179*FP179*VLOOKUP('Données projet'!$B$16,Paramètres!$A$1:$I$89,3,0)*0.475*44/12</f>
        <v>1.7624946721282867E-21</v>
      </c>
      <c r="FT179" s="22">
        <f t="shared" si="184"/>
        <v>0.38881145983455989</v>
      </c>
      <c r="FU179" s="75">
        <f>('Scénario référence'!$F$8+'Scénario référence'!$F$9+'Scénario référence'!$B$17+'Scénario référence'!$B$9+'Scénario référence'!$B$10)*70+IF((45+25*(1-EXP(-0.0175*A179)))&lt;70,'Scénario référence'!$B$16*(45+25*(1-EXP(-0.0175*A179))),70*'Scénario référence'!$B$16)+IF((32+38*(1-EXP(-0.0175*A179)))&lt;70,'Scénario référence'!$B$18*(32+38*(1-EXP(-0.0175*A179))),70*'Scénario référence'!$B$18)</f>
        <v>70</v>
      </c>
      <c r="FV179" s="12">
        <f>IF(A179&gt;30,10,('Scénario référence'!$B$16+'Scénario référence'!$B$17+'Scénario référence'!$B$18+'Scénario référence'!$B$9+'Scénario référence'!$B$10)*A179*10/30+('Scénario référence'!$F$8+'Scénario référence'!$F$9)*10)</f>
        <v>10</v>
      </c>
      <c r="FW179" s="12" t="e">
        <f>VLOOKUP(A179,'Données projet'!$A$243:$I$263,2,0)</f>
        <v>#N/A</v>
      </c>
      <c r="FX179" s="12" t="e">
        <f>VLOOKUP(A179,'Données projet'!$A$243:$I$263,9,0)</f>
        <v>#N/A</v>
      </c>
      <c r="FY179" s="12">
        <f t="array" ref="FY179">INDEX(FX:FX,MIN(IF(ISNUMBER(FX179:FX375),ROW(FX179:FX375),"")))</f>
        <v>0</v>
      </c>
      <c r="FZ179" s="12">
        <f>IF('Données projet'!$A$244&gt;35,FZ178+FY179-GH178,IF(A179&lt;'Données projet'!$A$244,$FW$205^A179,IF(A179='Données projet'!$A$244,'Données projet'!$B$244,FZ178+FY179-GH178)))</f>
        <v>4.5474735088646412E-13</v>
      </c>
      <c r="GA179" s="17">
        <f>FZ179*VLOOKUP('Données projet'!$B$17,Paramètres!$A$1:$I$89,3,0)*VLOOKUP('Données projet'!$B$17,Paramètres!$A$1:$I$89,5,0)</f>
        <v>4.8949004849418999E-13</v>
      </c>
      <c r="GB179" s="13">
        <f t="shared" si="185"/>
        <v>6.1123715499968684E-12</v>
      </c>
      <c r="GC179" s="20">
        <f t="shared" si="186"/>
        <v>1.1498242284038591E-11</v>
      </c>
      <c r="GD179" s="59">
        <f t="shared" si="134"/>
        <v>293.3333333333448</v>
      </c>
      <c r="GE179" s="59">
        <f ca="1">AVERAGE(OFFSET($GD$3,0,0,'Données projet'!$E$17+1,1))-AVERAGE(OFFSET($H$3,0,0,'Données projet'!$E$17+1,1))</f>
        <v>286.77702855541287</v>
      </c>
      <c r="GF179" s="59">
        <f t="shared" si="158"/>
        <v>227.12211541860779</v>
      </c>
      <c r="GG179" s="15">
        <f>IF(ISNA(VLOOKUP(A179,'Données projet'!$A$243:$I$263,3,0)),0,VLOOKUP(A179,'Données projet'!$A$243:$I$263,3,0))</f>
        <v>0</v>
      </c>
      <c r="GH179" s="15">
        <f>IF(ISNA(VLOOKUP(A179,'Données projet'!$A$243:$I$263,4,0)),0,VLOOKUP(A179,'Données projet'!$A$243:$I$263,4,0))</f>
        <v>0</v>
      </c>
      <c r="GI179" s="16">
        <f>IF(ISNA(VLOOKUP(A179,'Données projet'!$A$243:$I$263,5,0)),0%,VLOOKUP(A179,'Données projet'!$A$243:$I$263,5,0)*VLOOKUP('Données projet'!$B$17,Paramètres!$A$1:$I$89,7,0))</f>
        <v>0</v>
      </c>
      <c r="GJ179" s="16">
        <f>IF(ISNA(VLOOKUP(A179,'Données projet'!$A$243:$I$263,6,0)),0%,VLOOKUP(A179,'Données projet'!$A$243:$I$263,6,0)*VLOOKUP('Données projet'!$B$17,Paramètres!$A$1:$I$89,7,0))</f>
        <v>0</v>
      </c>
      <c r="GK179" s="16">
        <f>IF(ISNA(VLOOKUP(A179,'Données projet'!$A$243:$I$263,7,0)),0%,VLOOKUP(A179,'Données projet'!$A$243:$I$263,7,0))</f>
        <v>0</v>
      </c>
      <c r="GL179" s="21">
        <f>EXP(-LN(2)/35)*GL178+(1-EXP(-LN(2)/35))/(LN(2)/35)*GH179*GI179*VLOOKUP('Données projet'!$B$17,Paramètres!$A$1:$I$89,3,0)*0.475*44/12</f>
        <v>0</v>
      </c>
      <c r="GM179" s="21">
        <f>EXP(-LN(2)/25)*GM178+(1-EXP(-LN(2)/25))/(LN(2)/25)*Calculateur!GH179*Calculateur!GJ179*VLOOKUP('Données projet'!$B$17,Paramètres!$A$1:$I$89,3,0)*0.475*44/12</f>
        <v>0</v>
      </c>
      <c r="GN179" s="21">
        <f>EXP(-LN(2)/2)*GN178+(1-EXP(-LN(2)/2))/(LN(2)/2)*GH179*GK179*VLOOKUP('Données projet'!$B$17,Paramètres!$A$1:$I$89,3,0)*0.475*44/12</f>
        <v>0</v>
      </c>
      <c r="GO179" s="21">
        <f t="shared" si="187"/>
        <v>0</v>
      </c>
      <c r="GP179" s="75">
        <f>('Scénario référence'!$F$8+'Scénario référence'!$F$9+'Scénario référence'!$B$17+'Scénario référence'!$B$9+'Scénario référence'!$B$10)*70+IF((45+25*(1-EXP(-0.0175*A179)))&lt;70,'Scénario référence'!$B$16*(45+25*(1-EXP(-0.0175*A179))),70*'Scénario référence'!$B$16)+IF((32+38*(1-EXP(-0.0175*A179)))&lt;70,'Scénario référence'!$B$18*(32+38*(1-EXP(-0.0175*A179))),70*'Scénario référence'!$B$18)</f>
        <v>70</v>
      </c>
      <c r="GQ179" s="12">
        <f>IF(A179&gt;30,10,('Scénario référence'!$B$16+'Scénario référence'!$B$17+'Scénario référence'!$B$18+'Scénario référence'!$B$9+'Scénario référence'!$B$10)*A179*10/30+('Scénario référence'!$F$8+'Scénario référence'!$F$9)*10)</f>
        <v>10</v>
      </c>
      <c r="GR179" s="12" t="e">
        <f>VLOOKUP(A179,'Données projet'!$A$269:$I$289,2,0)</f>
        <v>#N/A</v>
      </c>
      <c r="GS179" s="12" t="e">
        <f>VLOOKUP(A179,'Données projet'!$A$269:$I$289,9,0)</f>
        <v>#N/A</v>
      </c>
      <c r="GT179" s="12">
        <f t="array" ref="GT179">INDEX(GS:GS,MIN(IF(ISNUMBER(GS179:GS375),ROW(GS179:GS375),"")))</f>
        <v>0</v>
      </c>
      <c r="GU179" s="12">
        <f>IF('Données projet'!$A$270&gt;35,GU178+GT179-HC178,IF(A179&lt;'Données projet'!$A$270,$GR$205^A179,IF(A179='Données projet'!$A$270,'Données projet'!$B$270,GU178+GT179-HC178)))</f>
        <v>4.5474735088646412E-13</v>
      </c>
      <c r="GV179" s="17">
        <f>GU179*VLOOKUP('Données projet'!$B$18,Paramètres!$A$1:$I$89,3,0)*VLOOKUP('Données projet'!$B$18,Paramètres!$A$1:$I$89,5,0)</f>
        <v>4.8949004849418999E-13</v>
      </c>
      <c r="GW179" s="13">
        <f t="shared" si="188"/>
        <v>6.1123715499968684E-12</v>
      </c>
      <c r="GX179" s="20">
        <f t="shared" si="189"/>
        <v>1.1498242284038591E-11</v>
      </c>
      <c r="GY179" s="59">
        <f t="shared" si="137"/>
        <v>293.3333333333448</v>
      </c>
      <c r="GZ179" s="59">
        <f ca="1">AVERAGE(OFFSET($GY$3,0,0,'Données projet'!$E$18+1,1))-AVERAGE(OFFSET($H$3,0,0,'Données projet'!$E$18+1,1))</f>
        <v>286.77702855541287</v>
      </c>
      <c r="HA179" s="59">
        <f t="shared" si="160"/>
        <v>227.12211541860779</v>
      </c>
      <c r="HB179" s="15">
        <f>IF(ISNA(VLOOKUP(A179,'Données projet'!$A$269:$I$289,3,0)),0,VLOOKUP(A179,'Données projet'!$A$269:$I$289,3,0))</f>
        <v>0</v>
      </c>
      <c r="HC179" s="15">
        <f>IF(ISNA(VLOOKUP(A179,'Données projet'!$A$269:$I$289,4,0)),0,VLOOKUP(A179,'Données projet'!$A$269:$I$289,4,0))</f>
        <v>0</v>
      </c>
      <c r="HD179" s="16">
        <f>IF(ISNA(VLOOKUP(A179,'Données projet'!$A$269:$I$289,5,0)),0%,VLOOKUP(A179,'Données projet'!$A$269:$I$289,5,0)*VLOOKUP('Données projet'!$B$18,Paramètres!$A$1:$I$89,7,0))</f>
        <v>0</v>
      </c>
      <c r="HE179" s="16">
        <f>IF(ISNA(VLOOKUP(A179,'Données projet'!$A$269:$I$289,6,0)),0%,VLOOKUP(A179,'Données projet'!$A$269:$I$289,6,0)*VLOOKUP('Données projet'!$B$18,Paramètres!$A$1:$I$89,7,0))</f>
        <v>0</v>
      </c>
      <c r="HF179" s="16">
        <f>IF(ISNA(VLOOKUP(A179,'Données projet'!$A$269:$I$289,7,0)),0%,VLOOKUP(A179,'Données projet'!$A$269:$I$289,7,0))</f>
        <v>0</v>
      </c>
      <c r="HG179" s="21">
        <f>EXP(-LN(2)/35)*HG178+(1-EXP(-LN(2)/35))/(LN(2)/35)*HC179*HD179*VLOOKUP('Données projet'!$B$18,Paramètres!$A$1:$I$89,3,0)*0.475*44/12</f>
        <v>0</v>
      </c>
      <c r="HH179" s="21">
        <f>EXP(-LN(2)/25)*HH178+(1-EXP(-LN(2)/25))/(LN(2)/25)*Calculateur!HC179*Calculateur!HE179*VLOOKUP('Données projet'!$B$18,Paramètres!$A$1:$I$89,3,0)*0.475*44/12</f>
        <v>0</v>
      </c>
      <c r="HI179" s="21">
        <f>EXP(-LN(2)/2)*HI178+(1-EXP(-LN(2)/2))/(LN(2)/2)*HC179*HF179*VLOOKUP('Données projet'!$B$18,Paramètres!$A$1:$I$89,3,0)*0.475*44/12</f>
        <v>0</v>
      </c>
      <c r="HJ179" s="22">
        <f t="shared" si="190"/>
        <v>0</v>
      </c>
    </row>
    <row r="180" spans="1:218" x14ac:dyDescent="0.25">
      <c r="A180" s="10">
        <f t="shared" si="161"/>
        <v>177</v>
      </c>
      <c r="B180" s="73">
        <f>'Scénario référence'!$B$16*5+'Scénario référence'!$B$17*0+'Scénario référence'!$B$18*5</f>
        <v>0</v>
      </c>
      <c r="C180" s="19">
        <f>Calculateur!C179+'Scénario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157.38839999999985</v>
      </c>
      <c r="D180" s="11">
        <f t="shared" si="140"/>
        <v>40.252898725183421</v>
      </c>
      <c r="E18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80" s="11">
        <f>IF(OR('Scénario référence'!$F$8&gt;0,'Scénario référence'!$F$9&gt;0),('Scénario référence'!$F$8+'Scénario référence'!$F$9)*10,0)</f>
        <v>10</v>
      </c>
      <c r="G180" s="11">
        <f>'Scénario référence'!$B$8*B180*44/12+'Scénario référence'!$B$9*(C180+D180)/0.475*44/12+'Scénario référence'!$B$10*(C180+D180)/0.475*44/12+'Scénario référence'!$F$8*(C180+D180)/0.475*44/12+'Scénario référence'!$F$9*(C180+D180)/0.475*44/12</f>
        <v>1525.6521305101869</v>
      </c>
      <c r="H180" s="67">
        <f t="shared" si="110"/>
        <v>637.55859527969415</v>
      </c>
      <c r="I180" s="70">
        <f>('Scénario référence'!$F$8+'Scénario référence'!$F$9+'Scénario référence'!$B$17+'Scénario référence'!$B$9+'Scénario référence'!$B$10)*70+IF((45+25*(1-EXP(-0.0175*A180)))&lt;70,'Scénario référence'!$B$16*(45+25*(1-EXP(-0.0175*A180))),70*'Scénario référence'!$B$16)+IF((32+38*(1-EXP(-0.0175*A180)))&lt;70,'Scénario référence'!$B$18*(32+38*(1-EXP(-0.0175*A180))),70*'Scénario référence'!$B$18)</f>
        <v>70</v>
      </c>
      <c r="J180" s="13">
        <f>IF(A180&gt;30,10,('Scénario référence'!$B$16+'Scénario référence'!$B$17+'Scénario référence'!$B$18+'Scénario référence'!$B$9+'Scénario référence'!$B$10)*A180*10/30+('Scénario référence'!$F$8+'Scénario référence'!$F$9)*10)</f>
        <v>10</v>
      </c>
      <c r="K180" s="12" t="e">
        <f>VLOOKUP(A180,'Données projet'!$A$35:$I$55,2,0)</f>
        <v>#N/A</v>
      </c>
      <c r="L180" s="12" t="e">
        <f>VLOOKUP(A180,'Données projet'!$A$35:$I$55,9,0)</f>
        <v>#N/A</v>
      </c>
      <c r="M180" s="12">
        <f t="array" ref="M180">INDEX(L:L,MIN(IF(ISNUMBER(L180:L376),ROW(L180:L376),"")))</f>
        <v>0</v>
      </c>
      <c r="N180" s="13">
        <f>IF('Données projet'!$A$36&gt;35,N179+M180-V179,IF(A180&lt;'Données projet'!$A$36,$K$205^A180,IF(A180='Données projet'!$A$36,'Données projet'!$B$36,N179+M180-V179)))</f>
        <v>-2.2737367544323206E-13</v>
      </c>
      <c r="O180" s="13">
        <f>N180*VLOOKUP('Données projet'!$B$9,Paramètres!$A$1:$I$89,3,0)*VLOOKUP('Données projet'!$B$9,Paramètres!$A$1:$I$89,5,0)</f>
        <v>-1.2710188457276673E-13</v>
      </c>
      <c r="P180" s="13" t="e">
        <f t="shared" si="141"/>
        <v>#NUM!</v>
      </c>
      <c r="Q180" s="20" t="e">
        <f t="shared" si="162"/>
        <v>#NUM!</v>
      </c>
      <c r="R180" s="59" t="e">
        <f t="shared" si="109"/>
        <v>#NUM!</v>
      </c>
      <c r="S180" s="59">
        <f ca="1">AVERAGE(OFFSET($R$3,0,0,'Données projet'!$E$9+1,1))-AVERAGE(OFFSET($H$3,0,0,'Données projet'!$E$9+1,1))</f>
        <v>255.5374979188561</v>
      </c>
      <c r="T180" s="59">
        <f t="shared" si="142"/>
        <v>343.10418468620901</v>
      </c>
      <c r="U180" s="15">
        <f>IF(ISNA(VLOOKUP(A180,'Données projet'!$A$35:$I$55,3,0)),0,VLOOKUP(A180,'Données projet'!$A$35:$I$55,3,0))</f>
        <v>0</v>
      </c>
      <c r="V180" s="15">
        <f>IF(ISNA(VLOOKUP(A180,'Données projet'!$A$35:$I$55,4,0)),0,VLOOKUP(A180,'Données projet'!$A$35:$I$55,4,0))</f>
        <v>0</v>
      </c>
      <c r="W180" s="16">
        <f>IF(ISNA(VLOOKUP(A180,'Données projet'!$A$35:$I$55,5,0)),0%,VLOOKUP(A180,'Données projet'!$A$35:$I$55,5,0)*VLOOKUP('Données projet'!$B$9,Paramètres!$A$1:$I$89,7,0))</f>
        <v>0</v>
      </c>
      <c r="X180" s="16">
        <f>IF(ISNA(VLOOKUP(A180,'Données projet'!$A$35:$I$55,6,0)),0%,VLOOKUP(A180,'Données projet'!$A$35:$I$55,6,0)*VLOOKUP('Données projet'!$B$9,Paramètres!$A$1:$I$89,7,0))</f>
        <v>0</v>
      </c>
      <c r="Y180" s="16">
        <f>IF(ISNA(VLOOKUP(A180,'Données projet'!$A$35:$I$55,7,0)),0%,VLOOKUP(A180,'Données projet'!$A$35:$I$55,7,0))</f>
        <v>0</v>
      </c>
      <c r="Z180" s="21">
        <f>EXP(-LN(2)/35)*Z179+(1-EXP(-LN(2)/35))/(LN(2)/35)*V180*W180*VLOOKUP('Données projet'!$B$9,Paramètres!$A$1:$I$89,3,0)*0.475*44/12</f>
        <v>0.16812729997349787</v>
      </c>
      <c r="AA180" s="21">
        <f>EXP(-LN(2)/25)*AA179+(1-EXP(-LN(2)/25))/(LN(2)/25)*Calculateur!V180*Calculateur!X180*VLOOKUP('Données projet'!$B$9,Paramètres!$A$1:$I$89,3,0)*0.475*44/12</f>
        <v>0.27100890643456427</v>
      </c>
      <c r="AB180" s="21">
        <f>EXP(-LN(2)/2)*AB179+(1-EXP(-LN(2)/2))/(LN(2)/2)*V180*Y180*VLOOKUP('Données projet'!$B$9,Paramètres!$A$1:$I$89,3,0)*0.475*44/12</f>
        <v>1.2672520948058315E-22</v>
      </c>
      <c r="AC180" s="22">
        <f t="shared" si="163"/>
        <v>0.43913620640806217</v>
      </c>
      <c r="AD180" s="13">
        <f>('Scénario référence'!$F$8+'Scénario référence'!$F$9+'Scénario référence'!$B$17+'Scénario référence'!$B$9+'Scénario référence'!$B$10)*70+IF((45+25*(1-EXP(-0.0175*A180)))&lt;70,'Scénario référence'!$B$16*(45+25*(1-EXP(-0.0175*A180))),70*'Scénario référence'!$B$16)+IF((32+38*(1-EXP(-0.0175*A180)))&lt;70,'Scénario référence'!$B$18*(32+38*(1-EXP(-0.0175*A180))),70*'Scénario référence'!$B$18)</f>
        <v>70</v>
      </c>
      <c r="AE180" s="13">
        <f>IF(A180&gt;30,10,('Scénario référence'!$B$16+'Scénario référence'!$B$17+'Scénario référence'!$B$18+'Scénario référence'!$B$9+'Scénario référence'!$B$10)*A180*10/30+('Scénario référence'!$F$8+'Scénario référence'!$F$9)*10)</f>
        <v>10</v>
      </c>
      <c r="AF180" s="12" t="e">
        <f>VLOOKUP(A180,'Données projet'!$A$61:$I$81,2,0)</f>
        <v>#N/A</v>
      </c>
      <c r="AG180" s="12" t="e">
        <f>VLOOKUP(A180,'Données projet'!$A$61:$I$81,9,0)</f>
        <v>#N/A</v>
      </c>
      <c r="AH180" s="12">
        <f t="array" ref="AH180">INDEX(AG:AG,MIN(IF(ISNUMBER(AG180:AG376),ROW(AG180:AG376),"")))</f>
        <v>0</v>
      </c>
      <c r="AI180" s="13">
        <f>IF('Données projet'!$A$62&gt;35,AI179+AH180-AQ179,IF(A180&lt;'Données projet'!$A$62,$AF$205^A180,IF(A180='Données projet'!$A$62,'Données projet'!$B$62,AI179+AH180-AQ179)))</f>
        <v>0</v>
      </c>
      <c r="AJ180" s="13">
        <f>AI180*VLOOKUP('Données projet'!$B$10,Paramètres!$A$1:$I$89,3,0)*VLOOKUP('Données projet'!$B$10,Paramètres!$A$1:$I$89,5,0)</f>
        <v>0</v>
      </c>
      <c r="AK180" s="13" t="e">
        <f t="shared" si="164"/>
        <v>#NUM!</v>
      </c>
      <c r="AL180" s="20" t="e">
        <f t="shared" si="165"/>
        <v>#NUM!</v>
      </c>
      <c r="AM180" s="59" t="e">
        <f t="shared" si="113"/>
        <v>#NUM!</v>
      </c>
      <c r="AN180" s="59">
        <f ca="1">AVERAGE(OFFSET($AM$3,0,0,'Données projet'!$E$10+1,1))-AVERAGE(OFFSET($H$3,0,0,'Données projet'!$E$10+1,1))</f>
        <v>261.78489480911571</v>
      </c>
      <c r="AO180" s="59">
        <f t="shared" si="144"/>
        <v>297.50513563712764</v>
      </c>
      <c r="AP180" s="15">
        <f>IF(ISNA(VLOOKUP(A180,'Données projet'!$A$61:$I$81,3,0)),0,VLOOKUP(A180,'Données projet'!$A$61:$I$81,3,0))</f>
        <v>0</v>
      </c>
      <c r="AQ180" s="15">
        <f>IF(ISNA(VLOOKUP(A180,'Données projet'!$A$61:$I$81,4,0)),0,VLOOKUP(A180,'Données projet'!$A$61:$I$81,4,0))</f>
        <v>0</v>
      </c>
      <c r="AR180" s="16">
        <f>IF(ISNA(VLOOKUP(A180,'Données projet'!$A$61:$I$81,5,0)),0%,VLOOKUP(A180,'Données projet'!$A$61:$I$81,5,0)*VLOOKUP('Données projet'!$B$10,Paramètres!$A$1:$I$89,7,0))</f>
        <v>0</v>
      </c>
      <c r="AS180" s="16">
        <f>IF(ISNA(VLOOKUP(A180,'Données projet'!$A$61:$I$81,6,0)),0%,VLOOKUP(A180,'Données projet'!$A$61:$I$81,6,0)*VLOOKUP('Données projet'!$B$10,Paramètres!$A$1:$I$89,7,0))</f>
        <v>0</v>
      </c>
      <c r="AT180" s="16">
        <f>IF(ISNA(VLOOKUP(A180,'Données projet'!$A$61:$I$81,7,0)),0%,VLOOKUP(A180,'Données projet'!$A$61:$I$81,7,0))</f>
        <v>0</v>
      </c>
      <c r="AU180" s="21">
        <f>EXP(-LN(2)/35)*AU179+(1-EXP(-LN(2)/35))/(LN(2)/35)*AQ180*AR180*VLOOKUP('Données projet'!$B$10,Paramètres!$A$1:$I$89,3,0)*0.475*44/12</f>
        <v>0.4539912645071516</v>
      </c>
      <c r="AV180" s="21">
        <f>EXP(-LN(2)/25)*AV179+(1-EXP(-LN(2)/25))/(LN(2)/25)*Calculateur!AQ180*Calculateur!AS180*VLOOKUP('Données projet'!$B$10,Paramètres!$A$1:$I$89,3,0)*0.475*44/12</f>
        <v>0.47323682584833637</v>
      </c>
      <c r="AW180" s="21">
        <f>EXP(-LN(2)/2)*AW179+(1-EXP(-LN(2)/2))/(LN(2)/2)*AQ180*AT180*VLOOKUP('Données projet'!$B$10,Paramètres!$A$1:$I$89,3,0)*0.475*44/12</f>
        <v>1.8268645375712735E-21</v>
      </c>
      <c r="AX180" s="21">
        <f t="shared" si="166"/>
        <v>0.92722809035548792</v>
      </c>
      <c r="AY180" s="74">
        <f>('Scénario référence'!$F$8+'Scénario référence'!$F$9+'Scénario référence'!$B$17+'Scénario référence'!$B$9+'Scénario référence'!$B$10)*70+IF((45+25*(1-EXP(-0.0175*A180)))&lt;70,'Scénario référence'!$B$16*(45+25*(1-EXP(-0.0175*A180))),70*'Scénario référence'!$B$16)+IF((32+38*(1-EXP(-0.0175*A180)))&lt;70,'Scénario référence'!$B$18*(32+38*(1-EXP(-0.0175*A180))),70*'Scénario référence'!$B$18)</f>
        <v>70</v>
      </c>
      <c r="AZ180" s="12">
        <f>IF(A180&gt;30,10,('Scénario référence'!$B$16+'Scénario référence'!$B$17+'Scénario référence'!$B$18+'Scénario référence'!$B$9+'Scénario référence'!$B$10)*A180*10/30+('Scénario référence'!$F$8+'Scénario référence'!$F$9)*10)</f>
        <v>10</v>
      </c>
      <c r="BA180" s="12" t="e">
        <f>VLOOKUP(A180,'Données projet'!$A$87:$I$107,2,0)</f>
        <v>#N/A</v>
      </c>
      <c r="BB180" s="12" t="e">
        <f>VLOOKUP(A180,'Données projet'!$A$87:$I$107,9,0)</f>
        <v>#N/A</v>
      </c>
      <c r="BC180" s="12">
        <f t="array" ref="BC180">INDEX(BB:BB,MIN(IF(ISNUMBER(BB180:BB376),ROW(BB180:BB376),"")))</f>
        <v>0</v>
      </c>
      <c r="BD180" s="12">
        <f>IF('Données projet'!$A$88&gt;35,BD179+BC180-BL179,IF(A180&lt;'Données projet'!$A$88,$BA$205^A180,IF(A180='Données projet'!$A$88,'Données projet'!$B$88,BD179+BC180-BL179)))</f>
        <v>553.99999999999955</v>
      </c>
      <c r="BE180" s="13">
        <f>BD180*VLOOKUP('Données projet'!$B$11,Paramètres!$A$1:$I$89,3,0)*VLOOKUP('Données projet'!$B$11,Paramètres!$A$1:$I$89,5,0)</f>
        <v>331.29199999999975</v>
      </c>
      <c r="BF180" s="13">
        <f t="shared" si="167"/>
        <v>77.698110787752</v>
      </c>
      <c r="BG180" s="20">
        <f t="shared" si="168"/>
        <v>712.32444295533423</v>
      </c>
      <c r="BH180" s="59">
        <f t="shared" si="116"/>
        <v>1005.6577762886675</v>
      </c>
      <c r="BI180" s="59">
        <f ca="1">AVERAGE(OFFSET($BH$3,0,0,'Données projet'!$E$11+1,1))-AVERAGE(OFFSET($H$3,0,0,'Données projet'!$E$11+1,1))</f>
        <v>316.58509520829671</v>
      </c>
      <c r="BJ180" s="59">
        <f t="shared" si="146"/>
        <v>240.71332110643596</v>
      </c>
      <c r="BK180" s="15">
        <f>IF(ISNA(VLOOKUP(A180,'Données projet'!$A$87:$I$107,3,0)),0,VLOOKUP(A180,'Données projet'!$A$87:$I$107,3,0))</f>
        <v>0</v>
      </c>
      <c r="BL180" s="15">
        <f>IF(ISNA(VLOOKUP(A180,'Données projet'!$A$87:$I$107,4,0)),0,VLOOKUP(A180,'Données projet'!$A$87:$I$107,4,0))</f>
        <v>0</v>
      </c>
      <c r="BM180" s="16">
        <f>IF(ISNA(VLOOKUP(A180,'Données projet'!$A$87:$I$107,5,0)),0%,VLOOKUP(A180,'Données projet'!$A$87:$I$107,5,0)*VLOOKUP('Données projet'!$B$11,Paramètres!$A$1:$I$89,7,0))</f>
        <v>0</v>
      </c>
      <c r="BN180" s="16">
        <f>IF(ISNA(VLOOKUP(A180,'Données projet'!$A$87:$I$107,6,0)),0%,VLOOKUP(A180,'Données projet'!$A$87:$I$107,6,0)*VLOOKUP('Données projet'!$B$11,Paramètres!$A$1:$I$89,7,0))</f>
        <v>0</v>
      </c>
      <c r="BO180" s="16">
        <f>IF(ISNA(VLOOKUP(A180,'Données projet'!$A$87:$I$107,7,0)),0%,VLOOKUP(A180,'Données projet'!$A$87:$I$107,7,0))</f>
        <v>0</v>
      </c>
      <c r="BP180" s="21">
        <f>EXP(-LN(2)/35)*BP179+(1-EXP(-LN(2)/35))/(LN(2)/35)*BL180*BM180*VLOOKUP('Données projet'!$B$11,Paramètres!$A$1:$I$89,3,0)*0.475*44/12</f>
        <v>0.13790322450524173</v>
      </c>
      <c r="BQ180" s="21">
        <f>EXP(-LN(2)/25)*BQ179+(1-EXP(-LN(2)/25))/(LN(2)/25)*Calculateur!BL180*Calculateur!BN180*VLOOKUP('Données projet'!$B$11,Paramètres!$A$1:$I$89,3,0)*0.475*44/12</f>
        <v>0.2592529413400676</v>
      </c>
      <c r="BR180" s="21">
        <f>EXP(-LN(2)/2)*BR179+(1-EXP(-LN(2)/2))/(LN(2)/2)*BL180*BO180*VLOOKUP('Données projet'!$B$11,Paramètres!$A$1:$I$89,3,0)*0.475*44/12</f>
        <v>1.6425512839748582E-21</v>
      </c>
      <c r="BS180" s="22">
        <f t="shared" si="169"/>
        <v>0.39715616584530933</v>
      </c>
      <c r="BT180" s="75">
        <f>('Scénario référence'!$F$8+'Scénario référence'!$F$9+'Scénario référence'!$B$17+'Scénario référence'!$B$9+'Scénario référence'!$B$10)*70+IF((45+25*(1-EXP(-0.0175*A180)))&lt;70,'Scénario référence'!$B$16*(45+25*(1-EXP(-0.0175*A180))),70*'Scénario référence'!$B$16)+IF((32+38*(1-EXP(-0.0175*A180)))&lt;70,'Scénario référence'!$B$18*(32+38*(1-EXP(-0.0175*A180))),70*'Scénario référence'!$B$18)</f>
        <v>70</v>
      </c>
      <c r="BU180" s="12">
        <f>IF(A180&gt;30,10,('Scénario référence'!$B$16+'Scénario référence'!$B$17+'Scénario référence'!$B$18+'Scénario référence'!$B$9+'Scénario référence'!$B$10)*A180*10/30+('Scénario référence'!$F$8+'Scénario référence'!$F$9)*10)</f>
        <v>10</v>
      </c>
      <c r="BV180" s="12" t="e">
        <f>VLOOKUP(A180,'Données projet'!$A$113:$I$133,2,0)</f>
        <v>#N/A</v>
      </c>
      <c r="BW180" s="12" t="e">
        <f>VLOOKUP(A180,'Données projet'!$A$113:$I$133,9,0)</f>
        <v>#N/A</v>
      </c>
      <c r="BX180" s="12">
        <f t="array" ref="BX180">INDEX(BW:BW,MIN(IF(ISNUMBER(BW180:BW376),ROW(BW180:BW376),"")))</f>
        <v>0</v>
      </c>
      <c r="BY180" s="12">
        <f>IF('Données projet'!$A$114&gt;35,BY179+BX180-CG179,IF(A180&lt;'Données projet'!$A$114,$BV$205^A180,IF(A180='Données projet'!$A$114,'Données projet'!$B$114,BY179+BX180-CG179)))</f>
        <v>333.99999999999977</v>
      </c>
      <c r="BZ180" s="13">
        <f>BY180*VLOOKUP('Données projet'!$B$12,Paramètres!$A$1:$I$89,3,0)*VLOOKUP('Données projet'!$B$12,Paramètres!$A$1:$I$89,5,0)</f>
        <v>191.04799999999986</v>
      </c>
      <c r="CA180" s="13">
        <f t="shared" si="170"/>
        <v>47.771576544305155</v>
      </c>
      <c r="CB180" s="20">
        <f t="shared" si="171"/>
        <v>415.94409581466454</v>
      </c>
      <c r="CC180" s="59">
        <f t="shared" si="119"/>
        <v>709.27742914799785</v>
      </c>
      <c r="CD180" s="59">
        <f ca="1">AVERAGE(OFFSET($CC$3,0,0,'Données projet'!$E$12+1,1))-AVERAGE(OFFSET($H$3,0,0,'Données projet'!$E$12+1,1))</f>
        <v>188.64374818906128</v>
      </c>
      <c r="CE180" s="59">
        <f t="shared" si="148"/>
        <v>211.95157880548652</v>
      </c>
      <c r="CF180" s="15">
        <f>IF(ISNA(VLOOKUP(A180,'Données projet'!$A$113:$I$133,3,0)),0,VLOOKUP(A180,'Données projet'!$A$113:$I$133,3,0))</f>
        <v>0</v>
      </c>
      <c r="CG180" s="15">
        <f>IF(ISNA(VLOOKUP(A180,'Données projet'!$A$113:$I$133,4,0)),0,VLOOKUP(A180,'Données projet'!$A$113:$I$133,4,0))</f>
        <v>0</v>
      </c>
      <c r="CH180" s="16">
        <f>IF(ISNA(VLOOKUP(A180,'Données projet'!$A$113:$I$133,5,0)),0%,VLOOKUP(A180,'Données projet'!$A$113:$I$133,5,0)*VLOOKUP('Données projet'!$B$12,Paramètres!$A$1:$I$89,7,0))</f>
        <v>0</v>
      </c>
      <c r="CI180" s="16">
        <f>IF(ISNA(VLOOKUP(A180,'Données projet'!$A$113:$I$133,6,0)),0%,VLOOKUP(A180,'Données projet'!$A$113:$I$133,6,0)*VLOOKUP('Données projet'!$B$12,Paramètres!$A$1:$I$89,7,0))</f>
        <v>0</v>
      </c>
      <c r="CJ180" s="16">
        <f>IF(ISNA(VLOOKUP(A180,'Données projet'!$A$113:$I$133,7,0)),0%,VLOOKUP(A180,'Données projet'!$A$113:$I$133,7,0))</f>
        <v>0</v>
      </c>
      <c r="CK180" s="21">
        <f>EXP(-LN(2)/35)*CK179+(1-EXP(-LN(2)/35))/(LN(2)/35)*CG180*CH180*VLOOKUP('Données projet'!$B$12,Paramètres!$A$1:$I$89,3,0)*0.475*44/12</f>
        <v>0.13376528329228574</v>
      </c>
      <c r="CL180" s="21">
        <f>EXP(-LN(2)/25)*CL179+(1-EXP(-LN(2)/25))/(LN(2)/25)*Calculateur!CG180*Calculateur!CI180*VLOOKUP('Données projet'!$B$12,Paramètres!$A$1:$I$89,3,0)*0.475*44/12</f>
        <v>0.24401473833285547</v>
      </c>
      <c r="CM180" s="21">
        <f>EXP(-LN(2)/2)*CM179+(1-EXP(-LN(2)/2))/(LN(2)/2)*CG180*CJ180*VLOOKUP('Données projet'!$B$12,Paramètres!$A$1:$I$89,3,0)*0.475*44/12</f>
        <v>1.590682403408554E-21</v>
      </c>
      <c r="CN180" s="22">
        <f t="shared" si="172"/>
        <v>0.37778002162514124</v>
      </c>
      <c r="CO180" s="75">
        <f>('Scénario référence'!$F$8+'Scénario référence'!$F$9+'Scénario référence'!$B$17+'Scénario référence'!$B$9+'Scénario référence'!$B$10)*70+IF((45+25*(1-EXP(-0.0175*A180)))&lt;70,'Scénario référence'!$B$16*(45+25*(1-EXP(-0.0175*A180))),70*'Scénario référence'!$B$16)+IF((32+38*(1-EXP(-0.0175*A180)))&lt;70,'Scénario référence'!$B$18*(32+38*(1-EXP(-0.0175*A180))),70*'Scénario référence'!$B$18)</f>
        <v>70</v>
      </c>
      <c r="CP180" s="12">
        <f>IF(A180&gt;30,10,('Scénario référence'!$B$16+'Scénario référence'!$B$17+'Scénario référence'!$B$18+'Scénario référence'!$B$9+'Scénario référence'!$B$10)*A180*10/30+('Scénario référence'!$F$8+'Scénario référence'!$F$9)*10)</f>
        <v>10</v>
      </c>
      <c r="CQ180" s="12" t="e">
        <f>VLOOKUP(A180,'Données projet'!$A$139:$I$159,2,0)</f>
        <v>#N/A</v>
      </c>
      <c r="CR180" s="12" t="e">
        <f>VLOOKUP(A180,'Données projet'!$A$139:$I$159,9,0)</f>
        <v>#N/A</v>
      </c>
      <c r="CS180" s="12">
        <f t="array" ref="CS180">INDEX(CR:CR,MIN(IF(ISNUMBER(CR180:CR376),ROW(CR180:CR376),"")))</f>
        <v>0</v>
      </c>
      <c r="CT180" s="12">
        <f>IF('Données projet'!$A$140&gt;35,CT179+CS180-DB179,IF(A180&lt;'Données projet'!$A$140,$CQ$205^A180,IF(A180='Données projet'!$A$140,'Données projet'!$B$140,CT179+CS180-DB179)))</f>
        <v>0</v>
      </c>
      <c r="CU180" s="17" t="e">
        <f>CT180*VLOOKUP('Données projet'!$B$13,Paramètres!$A$1:$I$89,3,0)*VLOOKUP('Données projet'!$B$13,Paramètres!$A$1:$I$89,5,0)</f>
        <v>#N/A</v>
      </c>
      <c r="CV180" s="13" t="e">
        <f t="shared" si="173"/>
        <v>#N/A</v>
      </c>
      <c r="CW180" s="20" t="e">
        <f t="shared" si="174"/>
        <v>#N/A</v>
      </c>
      <c r="CX180" s="59" t="e">
        <f t="shared" si="122"/>
        <v>#N/A</v>
      </c>
      <c r="CY180" s="59" t="e">
        <f ca="1">AVERAGE(OFFSET($CX$3,0,0,'Données projet'!$E$13+1,1))-AVERAGE(OFFSET($H$3,0,0,'Données projet'!$E$13+1,1))</f>
        <v>#N/A</v>
      </c>
      <c r="CZ180" s="59" t="e">
        <f t="shared" si="150"/>
        <v>#N/A</v>
      </c>
      <c r="DA180" s="15">
        <f>IF(ISNA(VLOOKUP(A180,'Données projet'!$A$139:$I$159,3,0)),0,VLOOKUP(A180,'Données projet'!$A$139:$I$159,3,0))</f>
        <v>0</v>
      </c>
      <c r="DB180" s="15">
        <f>IF(ISNA(VLOOKUP(A180,'Données projet'!$A$139:$I$159,4,0)),0,VLOOKUP(A180,'Données projet'!$A$139:$I$159,4,0))</f>
        <v>0</v>
      </c>
      <c r="DC180" s="16">
        <f>IF(ISNA(VLOOKUP(A180,'Données projet'!$A$139:$I$159,5,0)),0%,VLOOKUP(A180,'Données projet'!$A$139:$I$159,5,0)*VLOOKUP('Données projet'!$B$13,Paramètres!$A$1:$I$89,7,0))</f>
        <v>0</v>
      </c>
      <c r="DD180" s="16">
        <f>IF(ISNA(VLOOKUP(A180,'Données projet'!$A$139:$I$159,6,0)),0%,VLOOKUP(A180,'Données projet'!$A$139:$I$159,6,0)*VLOOKUP('Données projet'!$B$13,Paramètres!$A$1:$I$89,7,0))</f>
        <v>0</v>
      </c>
      <c r="DE180" s="16">
        <f>IF(ISNA(VLOOKUP(A180,'Données projet'!$A$139:$I$159,7,0)),0%,VLOOKUP(A180,'Données projet'!$A$139:$I$159,7,0))</f>
        <v>0</v>
      </c>
      <c r="DF180" s="21" t="e">
        <f>EXP(-LN(2)/35)*DF179+(1-EXP(-LN(2)/35))/(LN(2)/35)*DB180*DC180*VLOOKUP('Données projet'!$B$13,Paramètres!$A$1:$I$89,3,0)*0.475*44/12</f>
        <v>#N/A</v>
      </c>
      <c r="DG180" s="21" t="e">
        <f>EXP(-LN(2)/25)*DG179+(1-EXP(-LN(2)/25))/(LN(2)/25)*Calculateur!DB180*Calculateur!DD180*VLOOKUP('Données projet'!$B$13,Paramètres!$A$1:$I$89,3,0)*0.475*44/12</f>
        <v>#N/A</v>
      </c>
      <c r="DH180" s="21" t="e">
        <f>EXP(-LN(2)/2)*DH179+(1-EXP(-LN(2)/2))/(LN(2)/2)*DB180*DE180*VLOOKUP('Données projet'!$B$13,Paramètres!$A$1:$I$89,3,0)*0.475*44/12</f>
        <v>#N/A</v>
      </c>
      <c r="DI180" s="22" t="e">
        <f t="shared" si="175"/>
        <v>#N/A</v>
      </c>
      <c r="DJ180" s="75">
        <f>('Scénario référence'!$F$8+'Scénario référence'!$F$9+'Scénario référence'!$B$17+'Scénario référence'!$B$9+'Scénario référence'!$B$10)*70+IF((45+25*(1-EXP(-0.0175*A180)))&lt;70,'Scénario référence'!$B$16*(45+25*(1-EXP(-0.0175*A180))),70*'Scénario référence'!$B$16)+IF((32+38*(1-EXP(-0.0175*A180)))&lt;70,'Scénario référence'!$B$18*(32+38*(1-EXP(-0.0175*A180))),70*'Scénario référence'!$B$18)</f>
        <v>70</v>
      </c>
      <c r="DK180" s="12">
        <f>IF(A180&gt;30,10,('Scénario référence'!$B$16+'Scénario référence'!$B$17+'Scénario référence'!$B$18+'Scénario référence'!$B$9+'Scénario référence'!$B$10)*A180*10/30+('Scénario référence'!$F$8+'Scénario référence'!$F$9)*10)</f>
        <v>10</v>
      </c>
      <c r="DL180" s="12" t="e">
        <f>VLOOKUP(A180,'Données projet'!$A$165:$I$185,2,0)</f>
        <v>#N/A</v>
      </c>
      <c r="DM180" s="12" t="e">
        <f>VLOOKUP(A180,'Données projet'!$A$165:$I$185,9,0)</f>
        <v>#N/A</v>
      </c>
      <c r="DN180" s="12">
        <f t="array" ref="DN180">INDEX(DM:DM,MIN(IF(ISNUMBER(DM180:DM376),ROW(DM180:DM376),"")))</f>
        <v>0</v>
      </c>
      <c r="DO180" s="12">
        <f>IF('Données projet'!$A$166&gt;35,DO179+DN180-DW179,IF(A180&lt;'Données projet'!$A$166,$DL$205^A180,IF(A180='Données projet'!$A$166,'Données projet'!$B$166,DO179+DN180-DW179)))</f>
        <v>268.00000000000017</v>
      </c>
      <c r="DP180" s="17">
        <f>DO180*VLOOKUP('Données projet'!$B$14,Paramètres!$A$1:$I$89,3,0)*VLOOKUP('Données projet'!$B$14,Paramètres!$A$1:$I$89,5,0)</f>
        <v>175.59360000000012</v>
      </c>
      <c r="DQ180" s="13">
        <f t="shared" si="176"/>
        <v>44.340433728638573</v>
      </c>
      <c r="DR180" s="20">
        <f t="shared" si="177"/>
        <v>383.05177541071242</v>
      </c>
      <c r="DS180" s="59">
        <f t="shared" si="125"/>
        <v>676.38510874404574</v>
      </c>
      <c r="DT180" s="59">
        <f ca="1">AVERAGE(OFFSET($DS$3,0,0,'Données projet'!$E$14+1,1))-AVERAGE(OFFSET($H$3,0,0,'Données projet'!$E$14+1,1))</f>
        <v>188.68915783955595</v>
      </c>
      <c r="DU180" s="59">
        <f t="shared" si="152"/>
        <v>240.82467772396944</v>
      </c>
      <c r="DV180" s="15">
        <f>IF(ISNA(VLOOKUP(A180,'Données projet'!$A$165:$I$185,3,0)),0,VLOOKUP(A180,'Données projet'!$A$165:$I$185,3,0))</f>
        <v>0</v>
      </c>
      <c r="DW180" s="15">
        <f>IF(ISNA(VLOOKUP(A180,'Données projet'!$A$165:$I$185,4,0)),0,VLOOKUP(A180,'Données projet'!$A$165:$I$185,4,0))</f>
        <v>0</v>
      </c>
      <c r="DX180" s="16">
        <f>IF(ISNA(VLOOKUP(A180,'Données projet'!$A$165:$I$185,5,0)),0%,VLOOKUP(A180,'Données projet'!$A$165:$I$185,5,0)*VLOOKUP('Données projet'!$B$14,Paramètres!$A$1:$I$89,7,0))</f>
        <v>0</v>
      </c>
      <c r="DY180" s="16">
        <f>IF(ISNA(VLOOKUP(A180,'Données projet'!$A$165:$I$185,6,0)),0%,VLOOKUP(A180,'Données projet'!$A$165:$I$185,6,0)*VLOOKUP('Données projet'!$B$14,Paramètres!$A$1:$I$89,7,0))</f>
        <v>0</v>
      </c>
      <c r="DZ180" s="16">
        <f>IF(ISNA(VLOOKUP(A180,'Données projet'!$A$165:$I$185,7,0)),0%,VLOOKUP(A180,'Données projet'!$A$165:$I$185,7,0))</f>
        <v>0</v>
      </c>
      <c r="EA180" s="21">
        <f>EXP(-LN(2)/35)*EA179+(1-EXP(-LN(2)/35))/(LN(2)/35)*DW180*DX180*VLOOKUP('Données projet'!$B$14,Paramètres!$A$1:$I$89,3,0)*0.475*44/12</f>
        <v>8.4729272455761825E-2</v>
      </c>
      <c r="EB180" s="21">
        <f>EXP(-LN(2)/25)*EB179+(1-EXP(-LN(2)/25))/(LN(2)/25)*Calculateur!DW180*Calculateur!DY180*VLOOKUP('Données projet'!$B$14,Paramètres!$A$1:$I$89,3,0)*0.475*44/12</f>
        <v>0.13648760318916067</v>
      </c>
      <c r="EC180" s="21">
        <f>EXP(-LN(2)/2)*EC179+(1-EXP(-LN(2)/2))/(LN(2)/2)*DW180*DZ180*VLOOKUP('Données projet'!$B$14,Paramètres!$A$1:$I$89,3,0)*0.475*44/12</f>
        <v>1.0478808702375941E-21</v>
      </c>
      <c r="ED180" s="22">
        <f t="shared" si="178"/>
        <v>0.22121687564492248</v>
      </c>
      <c r="EE180" s="75">
        <f>('Scénario référence'!$F$8+'Scénario référence'!$F$9+'Scénario référence'!$B$17+'Scénario référence'!$B$9+'Scénario référence'!$B$10)*70+IF((45+25*(1-EXP(-0.0175*A180)))&lt;70,'Scénario référence'!$B$16*(45+25*(1-EXP(-0.0175*A180))),70*'Scénario référence'!$B$16)+IF((32+38*(1-EXP(-0.0175*A180)))&lt;70,'Scénario référence'!$B$18*(32+38*(1-EXP(-0.0175*A180))),70*'Scénario référence'!$B$18)</f>
        <v>70</v>
      </c>
      <c r="EF180" s="12">
        <f>IF(A180&gt;30,10,('Scénario référence'!$B$16+'Scénario référence'!$B$17+'Scénario référence'!$B$18+'Scénario référence'!$B$9+'Scénario référence'!$B$10)*A180*10/30+('Scénario référence'!$F$8+'Scénario référence'!$F$9)*10)</f>
        <v>10</v>
      </c>
      <c r="EG180" s="12" t="e">
        <f>VLOOKUP(A180,'Données projet'!$A$191:$I$211,2,0)</f>
        <v>#N/A</v>
      </c>
      <c r="EH180" s="12" t="e">
        <f>VLOOKUP(A180,'Données projet'!$A$191:$I$211,9,0)</f>
        <v>#N/A</v>
      </c>
      <c r="EI180" s="12">
        <f t="array" ref="EI180">INDEX(EH:EH,MIN(IF(ISNUMBER(EH180:EH376),ROW(EH180:EH376),"")))</f>
        <v>0</v>
      </c>
      <c r="EJ180" s="12">
        <f>IF('Données projet'!$A$192&gt;35,EJ179+EI180-ER179,IF(A180&lt;'Données projet'!$A$192,$EG$205^A180,IF(A180='Données projet'!$A$192,'Données projet'!$B$192,EJ179+EI180-ER179)))</f>
        <v>275.99999999999972</v>
      </c>
      <c r="EK180" s="17">
        <f>EJ180*VLOOKUP('Données projet'!$B$15,Paramètres!$A$1:$I$89,3,0)*VLOOKUP('Données projet'!$B$15,Paramètres!$A$1:$I$89,5,0)</f>
        <v>223.8911999999998</v>
      </c>
      <c r="EL180" s="13">
        <f t="shared" si="179"/>
        <v>54.95975389514858</v>
      </c>
      <c r="EM180" s="20">
        <f t="shared" si="180"/>
        <v>485.66541136738346</v>
      </c>
      <c r="EN180" s="59">
        <f t="shared" si="128"/>
        <v>778.99874470071677</v>
      </c>
      <c r="EO180" s="59">
        <f ca="1">AVERAGE(OFFSET($EN$3,0,0,'Données projet'!$E$15+1,1))-AVERAGE(OFFSET($H$3,0,0,'Données projet'!$E$15+1,1))</f>
        <v>205.5272583787887</v>
      </c>
      <c r="EP180" s="59">
        <f t="shared" si="154"/>
        <v>180.54762778843178</v>
      </c>
      <c r="EQ180" s="15">
        <f>IF(ISNA(VLOOKUP(A180,'Données projet'!$A$191:$I$211,3,0)),0,VLOOKUP(A180,'Données projet'!$A$191:$I$211,3,0))</f>
        <v>0</v>
      </c>
      <c r="ER180" s="15">
        <f>IF(ISNA(VLOOKUP(A180,'Données projet'!$A$191:$I$211,4,0)),0,VLOOKUP(A180,'Données projet'!$A$191:$I$211,4,0))</f>
        <v>0</v>
      </c>
      <c r="ES180" s="16">
        <f>IF(ISNA(VLOOKUP(A180,'Données projet'!$A$191:$I$211,5,0)),0%,VLOOKUP(A180,'Données projet'!$A$191:$I$211,5,0)*VLOOKUP('Données projet'!$B$15,Paramètres!$A$1:$I$89,7,0))</f>
        <v>0</v>
      </c>
      <c r="ET180" s="16">
        <f>IF(ISNA(VLOOKUP(A180,'Données projet'!$A$191:$I$211,6,0)),0%,VLOOKUP(A180,'Données projet'!$A$191:$I$211,6,0)*VLOOKUP('Données projet'!$B$15,Paramètres!$A$1:$I$89,7,0))</f>
        <v>0</v>
      </c>
      <c r="EU180" s="16">
        <f>IF(ISNA(VLOOKUP(A180,'Données projet'!$A$191:$I$211,7,0)),0%,VLOOKUP(A180,'Données projet'!$A$191:$I$211,7,0))</f>
        <v>0</v>
      </c>
      <c r="EV180" s="21">
        <f>EXP(-LN(2)/35)*EV179+(1-EXP(-LN(2)/35))/(LN(2)/35)*ER180*ES180*VLOOKUP('Données projet'!$B$15,Paramètres!$A$1:$I$89,3,0)*0.475*44/12</f>
        <v>5.4549512552471424E-2</v>
      </c>
      <c r="EW180" s="21">
        <f>EXP(-LN(2)/25)*EW179+(1-EXP(-LN(2)/25))/(LN(2)/25)*Calculateur!ER180*Calculateur!ET180*VLOOKUP('Données projet'!$B$15,Paramètres!$A$1:$I$89,3,0)*0.475*44/12</f>
        <v>9.8548189985710855E-2</v>
      </c>
      <c r="EX180" s="21">
        <f>EXP(-LN(2)/2)*EX179+(1-EXP(-LN(2)/2))/(LN(2)/2)*ER180*EU180*VLOOKUP('Données projet'!$B$15,Paramètres!$A$1:$I$89,3,0)*0.475*44/12</f>
        <v>6.7850363830941835E-22</v>
      </c>
      <c r="EY180" s="22">
        <f t="shared" si="181"/>
        <v>0.15309770253818228</v>
      </c>
      <c r="EZ180" s="75">
        <f>('Scénario référence'!$F$8+'Scénario référence'!$F$9+'Scénario référence'!$B$17+'Scénario référence'!$B$9+'Scénario référence'!$B$10)*70+IF((45+25*(1-EXP(-0.0175*A180)))&lt;70,'Scénario référence'!$B$16*(45+25*(1-EXP(-0.0175*A180))),70*'Scénario référence'!$B$16)+IF((32+38*(1-EXP(-0.0175*A180)))&lt;70,'Scénario référence'!$B$18*(32+38*(1-EXP(-0.0175*A180))),70*'Scénario référence'!$B$18)</f>
        <v>70</v>
      </c>
      <c r="FA180" s="12">
        <f>IF(A180&gt;30,10,('Scénario référence'!$B$16+'Scénario référence'!$B$17+'Scénario référence'!$B$18+'Scénario référence'!$B$9+'Scénario référence'!$B$10)*A180*10/30+('Scénario référence'!$F$8+'Scénario référence'!$F$9)*10)</f>
        <v>10</v>
      </c>
      <c r="FB180" s="12" t="e">
        <f>VLOOKUP(A180,'Données projet'!$A$217:$I$237,2,0)</f>
        <v>#N/A</v>
      </c>
      <c r="FC180" s="12" t="e">
        <f>VLOOKUP(A180,'Données projet'!$A$217:$I$237,9,0)</f>
        <v>#N/A</v>
      </c>
      <c r="FD180" s="12">
        <f t="array" ref="FD180">INDEX(FC:FC,MIN(IF(ISNUMBER(FC180:FC376),ROW(FC180:FC376),"")))</f>
        <v>0</v>
      </c>
      <c r="FE180" s="12">
        <f>IF('Données projet'!$A$218&gt;35,FE179+FD180-FM179,IF(A180&lt;'Données projet'!$A$218,$FB$205^A180,IF(A180='Données projet'!$A$218,'Données projet'!$B$218,FE179+FD180-FM179)))</f>
        <v>418.99999999999983</v>
      </c>
      <c r="FF180" s="17">
        <f>FE180*VLOOKUP('Données projet'!$B$16,Paramètres!$A$1:$I$89,3,0)*VLOOKUP('Données projet'!$B$16,Paramètres!$A$1:$I$89,5,0)</f>
        <v>359.5019999999999</v>
      </c>
      <c r="FG180" s="13">
        <f t="shared" si="182"/>
        <v>83.516011055432813</v>
      </c>
      <c r="FH180" s="20">
        <f t="shared" si="183"/>
        <v>771.58970258821194</v>
      </c>
      <c r="FI180" s="59">
        <f t="shared" si="131"/>
        <v>1064.9230359215453</v>
      </c>
      <c r="FJ180" s="59">
        <f ca="1">AVERAGE(OFFSET($FI$3,0,0,'Données projet'!$E$16+1,1))-AVERAGE(OFFSET($H$3,0,0,'Données projet'!$E$16+1,1))</f>
        <v>383.97627237444709</v>
      </c>
      <c r="FK180" s="59">
        <f t="shared" si="156"/>
        <v>203.35476578922339</v>
      </c>
      <c r="FL180" s="15">
        <f>IF(ISNA(VLOOKUP(A180,'Données projet'!$A$217:$I$237,3,0)),0,VLOOKUP(A180,'Données projet'!$A$217:$I$237,3,0))</f>
        <v>0</v>
      </c>
      <c r="FM180" s="15">
        <f>IF(ISNA(VLOOKUP(A180,'Données projet'!$A$217:$I$237,4,0)),0,VLOOKUP(A180,'Données projet'!$A$217:$I$237,4,0))</f>
        <v>0</v>
      </c>
      <c r="FN180" s="16">
        <f>IF(ISNA(VLOOKUP(A180,'Données projet'!$A$217:$I$237,5,0)),0%,VLOOKUP(A180,'Données projet'!$A$217:$I$237,5,0)*VLOOKUP('Données projet'!$B$16,Paramètres!$A$1:$I$89,7,0))</f>
        <v>0</v>
      </c>
      <c r="FO180" s="16">
        <f>IF(ISNA(VLOOKUP(A180,'Données projet'!$A$217:$I$237,6,0)),0%,VLOOKUP(A180,'Données projet'!$A$217:$I$237,6,0)*VLOOKUP('Données projet'!$B$16,Paramètres!$A$1:$I$89,7,0))</f>
        <v>0</v>
      </c>
      <c r="FP180" s="16">
        <f>IF(ISNA(VLOOKUP(A180,'Données projet'!$A$217:$I$237,7,0)),0%,VLOOKUP(A180,'Données projet'!$A$217:$I$237,7,0))</f>
        <v>0</v>
      </c>
      <c r="FQ180" s="21">
        <f>EXP(-LN(2)/35)*FQ179+(1-EXP(-LN(2)/35))/(LN(2)/35)*FM180*FN180*VLOOKUP('Données projet'!$B$16,Paramètres!$A$1:$I$89,3,0)*0.475*44/12</f>
        <v>0.28035490026440774</v>
      </c>
      <c r="FR180" s="21">
        <f>EXP(-LN(2)/25)*FR179+(1-EXP(-LN(2)/25))/(LN(2)/25)*Calculateur!FM180*Calculateur!FO180*VLOOKUP('Données projet'!$B$16,Paramètres!$A$1:$I$89,3,0)*0.475*44/12</f>
        <v>0.10003659875897203</v>
      </c>
      <c r="FS180" s="21">
        <f>EXP(-LN(2)/2)*FS179+(1-EXP(-LN(2)/2))/(LN(2)/2)*FM180*FP180*VLOOKUP('Données projet'!$B$16,Paramètres!$A$1:$I$89,3,0)*0.475*44/12</f>
        <v>1.2462719344670723E-21</v>
      </c>
      <c r="FT180" s="22">
        <f t="shared" si="184"/>
        <v>0.38039149902337976</v>
      </c>
      <c r="FU180" s="75">
        <f>('Scénario référence'!$F$8+'Scénario référence'!$F$9+'Scénario référence'!$B$17+'Scénario référence'!$B$9+'Scénario référence'!$B$10)*70+IF((45+25*(1-EXP(-0.0175*A180)))&lt;70,'Scénario référence'!$B$16*(45+25*(1-EXP(-0.0175*A180))),70*'Scénario référence'!$B$16)+IF((32+38*(1-EXP(-0.0175*A180)))&lt;70,'Scénario référence'!$B$18*(32+38*(1-EXP(-0.0175*A180))),70*'Scénario référence'!$B$18)</f>
        <v>70</v>
      </c>
      <c r="FV180" s="12">
        <f>IF(A180&gt;30,10,('Scénario référence'!$B$16+'Scénario référence'!$B$17+'Scénario référence'!$B$18+'Scénario référence'!$B$9+'Scénario référence'!$B$10)*A180*10/30+('Scénario référence'!$F$8+'Scénario référence'!$F$9)*10)</f>
        <v>10</v>
      </c>
      <c r="FW180" s="12" t="e">
        <f>VLOOKUP(A180,'Données projet'!$A$243:$I$263,2,0)</f>
        <v>#N/A</v>
      </c>
      <c r="FX180" s="12" t="e">
        <f>VLOOKUP(A180,'Données projet'!$A$243:$I$263,9,0)</f>
        <v>#N/A</v>
      </c>
      <c r="FY180" s="12">
        <f t="array" ref="FY180">INDEX(FX:FX,MIN(IF(ISNUMBER(FX180:FX376),ROW(FX180:FX376),"")))</f>
        <v>0</v>
      </c>
      <c r="FZ180" s="12">
        <f>IF('Données projet'!$A$244&gt;35,FZ179+FY180-GH179,IF(A180&lt;'Données projet'!$A$244,$FW$205^A180,IF(A180='Données projet'!$A$244,'Données projet'!$B$244,FZ179+FY180-GH179)))</f>
        <v>4.5474735088646412E-13</v>
      </c>
      <c r="GA180" s="17">
        <f>FZ180*VLOOKUP('Données projet'!$B$17,Paramètres!$A$1:$I$89,3,0)*VLOOKUP('Données projet'!$B$17,Paramètres!$A$1:$I$89,5,0)</f>
        <v>4.8949004849418999E-13</v>
      </c>
      <c r="GB180" s="13">
        <f t="shared" si="185"/>
        <v>6.1123715499968684E-12</v>
      </c>
      <c r="GC180" s="20">
        <f t="shared" si="186"/>
        <v>1.1498242284038591E-11</v>
      </c>
      <c r="GD180" s="59">
        <f t="shared" si="134"/>
        <v>293.3333333333448</v>
      </c>
      <c r="GE180" s="59">
        <f ca="1">AVERAGE(OFFSET($GD$3,0,0,'Données projet'!$E$17+1,1))-AVERAGE(OFFSET($H$3,0,0,'Données projet'!$E$17+1,1))</f>
        <v>286.77702855541287</v>
      </c>
      <c r="GF180" s="59">
        <f t="shared" si="158"/>
        <v>227.12211541860779</v>
      </c>
      <c r="GG180" s="15">
        <f>IF(ISNA(VLOOKUP(A180,'Données projet'!$A$243:$I$263,3,0)),0,VLOOKUP(A180,'Données projet'!$A$243:$I$263,3,0))</f>
        <v>0</v>
      </c>
      <c r="GH180" s="15">
        <f>IF(ISNA(VLOOKUP(A180,'Données projet'!$A$243:$I$263,4,0)),0,VLOOKUP(A180,'Données projet'!$A$243:$I$263,4,0))</f>
        <v>0</v>
      </c>
      <c r="GI180" s="16">
        <f>IF(ISNA(VLOOKUP(A180,'Données projet'!$A$243:$I$263,5,0)),0%,VLOOKUP(A180,'Données projet'!$A$243:$I$263,5,0)*VLOOKUP('Données projet'!$B$17,Paramètres!$A$1:$I$89,7,0))</f>
        <v>0</v>
      </c>
      <c r="GJ180" s="16">
        <f>IF(ISNA(VLOOKUP(A180,'Données projet'!$A$243:$I$263,6,0)),0%,VLOOKUP(A180,'Données projet'!$A$243:$I$263,6,0)*VLOOKUP('Données projet'!$B$17,Paramètres!$A$1:$I$89,7,0))</f>
        <v>0</v>
      </c>
      <c r="GK180" s="16">
        <f>IF(ISNA(VLOOKUP(A180,'Données projet'!$A$243:$I$263,7,0)),0%,VLOOKUP(A180,'Données projet'!$A$243:$I$263,7,0))</f>
        <v>0</v>
      </c>
      <c r="GL180" s="21">
        <f>EXP(-LN(2)/35)*GL179+(1-EXP(-LN(2)/35))/(LN(2)/35)*GH180*GI180*VLOOKUP('Données projet'!$B$17,Paramètres!$A$1:$I$89,3,0)*0.475*44/12</f>
        <v>0</v>
      </c>
      <c r="GM180" s="21">
        <f>EXP(-LN(2)/25)*GM179+(1-EXP(-LN(2)/25))/(LN(2)/25)*Calculateur!GH180*Calculateur!GJ180*VLOOKUP('Données projet'!$B$17,Paramètres!$A$1:$I$89,3,0)*0.475*44/12</f>
        <v>0</v>
      </c>
      <c r="GN180" s="21">
        <f>EXP(-LN(2)/2)*GN179+(1-EXP(-LN(2)/2))/(LN(2)/2)*GH180*GK180*VLOOKUP('Données projet'!$B$17,Paramètres!$A$1:$I$89,3,0)*0.475*44/12</f>
        <v>0</v>
      </c>
      <c r="GO180" s="21">
        <f t="shared" si="187"/>
        <v>0</v>
      </c>
      <c r="GP180" s="75">
        <f>('Scénario référence'!$F$8+'Scénario référence'!$F$9+'Scénario référence'!$B$17+'Scénario référence'!$B$9+'Scénario référence'!$B$10)*70+IF((45+25*(1-EXP(-0.0175*A180)))&lt;70,'Scénario référence'!$B$16*(45+25*(1-EXP(-0.0175*A180))),70*'Scénario référence'!$B$16)+IF((32+38*(1-EXP(-0.0175*A180)))&lt;70,'Scénario référence'!$B$18*(32+38*(1-EXP(-0.0175*A180))),70*'Scénario référence'!$B$18)</f>
        <v>70</v>
      </c>
      <c r="GQ180" s="12">
        <f>IF(A180&gt;30,10,('Scénario référence'!$B$16+'Scénario référence'!$B$17+'Scénario référence'!$B$18+'Scénario référence'!$B$9+'Scénario référence'!$B$10)*A180*10/30+('Scénario référence'!$F$8+'Scénario référence'!$F$9)*10)</f>
        <v>10</v>
      </c>
      <c r="GR180" s="12" t="e">
        <f>VLOOKUP(A180,'Données projet'!$A$269:$I$289,2,0)</f>
        <v>#N/A</v>
      </c>
      <c r="GS180" s="12" t="e">
        <f>VLOOKUP(A180,'Données projet'!$A$269:$I$289,9,0)</f>
        <v>#N/A</v>
      </c>
      <c r="GT180" s="12">
        <f t="array" ref="GT180">INDEX(GS:GS,MIN(IF(ISNUMBER(GS180:GS376),ROW(GS180:GS376),"")))</f>
        <v>0</v>
      </c>
      <c r="GU180" s="12">
        <f>IF('Données projet'!$A$270&gt;35,GU179+GT180-HC179,IF(A180&lt;'Données projet'!$A$270,$GR$205^A180,IF(A180='Données projet'!$A$270,'Données projet'!$B$270,GU179+GT180-HC179)))</f>
        <v>4.5474735088646412E-13</v>
      </c>
      <c r="GV180" s="17">
        <f>GU180*VLOOKUP('Données projet'!$B$18,Paramètres!$A$1:$I$89,3,0)*VLOOKUP('Données projet'!$B$18,Paramètres!$A$1:$I$89,5,0)</f>
        <v>4.8949004849418999E-13</v>
      </c>
      <c r="GW180" s="13">
        <f t="shared" si="188"/>
        <v>6.1123715499968684E-12</v>
      </c>
      <c r="GX180" s="20">
        <f t="shared" si="189"/>
        <v>1.1498242284038591E-11</v>
      </c>
      <c r="GY180" s="59">
        <f t="shared" si="137"/>
        <v>293.3333333333448</v>
      </c>
      <c r="GZ180" s="59">
        <f ca="1">AVERAGE(OFFSET($GY$3,0,0,'Données projet'!$E$18+1,1))-AVERAGE(OFFSET($H$3,0,0,'Données projet'!$E$18+1,1))</f>
        <v>286.77702855541287</v>
      </c>
      <c r="HA180" s="59">
        <f t="shared" si="160"/>
        <v>227.12211541860779</v>
      </c>
      <c r="HB180" s="15">
        <f>IF(ISNA(VLOOKUP(A180,'Données projet'!$A$269:$I$289,3,0)),0,VLOOKUP(A180,'Données projet'!$A$269:$I$289,3,0))</f>
        <v>0</v>
      </c>
      <c r="HC180" s="15">
        <f>IF(ISNA(VLOOKUP(A180,'Données projet'!$A$269:$I$289,4,0)),0,VLOOKUP(A180,'Données projet'!$A$269:$I$289,4,0))</f>
        <v>0</v>
      </c>
      <c r="HD180" s="16">
        <f>IF(ISNA(VLOOKUP(A180,'Données projet'!$A$269:$I$289,5,0)),0%,VLOOKUP(A180,'Données projet'!$A$269:$I$289,5,0)*VLOOKUP('Données projet'!$B$18,Paramètres!$A$1:$I$89,7,0))</f>
        <v>0</v>
      </c>
      <c r="HE180" s="16">
        <f>IF(ISNA(VLOOKUP(A180,'Données projet'!$A$269:$I$289,6,0)),0%,VLOOKUP(A180,'Données projet'!$A$269:$I$289,6,0)*VLOOKUP('Données projet'!$B$18,Paramètres!$A$1:$I$89,7,0))</f>
        <v>0</v>
      </c>
      <c r="HF180" s="16">
        <f>IF(ISNA(VLOOKUP(A180,'Données projet'!$A$269:$I$289,7,0)),0%,VLOOKUP(A180,'Données projet'!$A$269:$I$289,7,0))</f>
        <v>0</v>
      </c>
      <c r="HG180" s="21">
        <f>EXP(-LN(2)/35)*HG179+(1-EXP(-LN(2)/35))/(LN(2)/35)*HC180*HD180*VLOOKUP('Données projet'!$B$18,Paramètres!$A$1:$I$89,3,0)*0.475*44/12</f>
        <v>0</v>
      </c>
      <c r="HH180" s="21">
        <f>EXP(-LN(2)/25)*HH179+(1-EXP(-LN(2)/25))/(LN(2)/25)*Calculateur!HC180*Calculateur!HE180*VLOOKUP('Données projet'!$B$18,Paramètres!$A$1:$I$89,3,0)*0.475*44/12</f>
        <v>0</v>
      </c>
      <c r="HI180" s="21">
        <f>EXP(-LN(2)/2)*HI179+(1-EXP(-LN(2)/2))/(LN(2)/2)*HC180*HF180*VLOOKUP('Données projet'!$B$18,Paramètres!$A$1:$I$89,3,0)*0.475*44/12</f>
        <v>0</v>
      </c>
      <c r="HJ180" s="22">
        <f t="shared" si="190"/>
        <v>0</v>
      </c>
    </row>
    <row r="181" spans="1:218" x14ac:dyDescent="0.25">
      <c r="A181" s="10">
        <f t="shared" si="161"/>
        <v>178</v>
      </c>
      <c r="B181" s="73">
        <f>'Scénario référence'!$B$16*5+'Scénario référence'!$B$17*0+'Scénario référence'!$B$18*5</f>
        <v>0</v>
      </c>
      <c r="C181" s="19">
        <f>Calculateur!C180+'Scénario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158.27759999999984</v>
      </c>
      <c r="D181" s="11">
        <f t="shared" si="140"/>
        <v>40.45377889899725</v>
      </c>
      <c r="E18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81" s="11">
        <f>IF(OR('Scénario référence'!$F$8&gt;0,'Scénario référence'!$F$9&gt;0),('Scénario référence'!$F$8+'Scénario référence'!$F$9)*10,0)</f>
        <v>10</v>
      </c>
      <c r="G181" s="11">
        <f>'Scénario référence'!$B$8*B181*44/12+'Scénario référence'!$B$9*(C181+D181)/0.475*44/12+'Scénario référence'!$B$10*(C181+D181)/0.475*44/12+'Scénario référence'!$F$8*(C181+D181)/0.475*44/12+'Scénario référence'!$F$9*(C181+D181)/0.475*44/12</f>
        <v>1534.0667844834863</v>
      </c>
      <c r="H181" s="67">
        <f t="shared" si="110"/>
        <v>639.4571515824199</v>
      </c>
      <c r="I181" s="70">
        <f>('Scénario référence'!$F$8+'Scénario référence'!$F$9+'Scénario référence'!$B$17+'Scénario référence'!$B$9+'Scénario référence'!$B$10)*70+IF((45+25*(1-EXP(-0.0175*A181)))&lt;70,'Scénario référence'!$B$16*(45+25*(1-EXP(-0.0175*A181))),70*'Scénario référence'!$B$16)+IF((32+38*(1-EXP(-0.0175*A181)))&lt;70,'Scénario référence'!$B$18*(32+38*(1-EXP(-0.0175*A181))),70*'Scénario référence'!$B$18)</f>
        <v>70</v>
      </c>
      <c r="J181" s="13">
        <f>IF(A181&gt;30,10,('Scénario référence'!$B$16+'Scénario référence'!$B$17+'Scénario référence'!$B$18+'Scénario référence'!$B$9+'Scénario référence'!$B$10)*A181*10/30+('Scénario référence'!$F$8+'Scénario référence'!$F$9)*10)</f>
        <v>10</v>
      </c>
      <c r="K181" s="12" t="e">
        <f>VLOOKUP(A181,'Données projet'!$A$35:$I$55,2,0)</f>
        <v>#N/A</v>
      </c>
      <c r="L181" s="12" t="e">
        <f>VLOOKUP(A181,'Données projet'!$A$35:$I$55,9,0)</f>
        <v>#N/A</v>
      </c>
      <c r="M181" s="12">
        <f t="array" ref="M181">INDEX(L:L,MIN(IF(ISNUMBER(L181:L377),ROW(L181:L377),"")))</f>
        <v>0</v>
      </c>
      <c r="N181" s="13">
        <f>IF('Données projet'!$A$36&gt;35,N180+M181-V180,IF(A181&lt;'Données projet'!$A$36,$K$205^A181,IF(A181='Données projet'!$A$36,'Données projet'!$B$36,N180+M181-V180)))</f>
        <v>-2.2737367544323206E-13</v>
      </c>
      <c r="O181" s="13">
        <f>N181*VLOOKUP('Données projet'!$B$9,Paramètres!$A$1:$I$89,3,0)*VLOOKUP('Données projet'!$B$9,Paramètres!$A$1:$I$89,5,0)</f>
        <v>-1.2710188457276673E-13</v>
      </c>
      <c r="P181" s="13" t="e">
        <f t="shared" si="141"/>
        <v>#NUM!</v>
      </c>
      <c r="Q181" s="20" t="e">
        <f t="shared" si="162"/>
        <v>#NUM!</v>
      </c>
      <c r="R181" s="59" t="e">
        <f t="shared" si="109"/>
        <v>#NUM!</v>
      </c>
      <c r="S181" s="59">
        <f ca="1">AVERAGE(OFFSET($R$3,0,0,'Données projet'!$E$9+1,1))-AVERAGE(OFFSET($H$3,0,0,'Données projet'!$E$9+1,1))</f>
        <v>255.5374979188561</v>
      </c>
      <c r="T181" s="59">
        <f t="shared" si="142"/>
        <v>343.10418468620901</v>
      </c>
      <c r="U181" s="15">
        <f>IF(ISNA(VLOOKUP(A181,'Données projet'!$A$35:$I$55,3,0)),0,VLOOKUP(A181,'Données projet'!$A$35:$I$55,3,0))</f>
        <v>0</v>
      </c>
      <c r="V181" s="15">
        <f>IF(ISNA(VLOOKUP(A181,'Données projet'!$A$35:$I$55,4,0)),0,VLOOKUP(A181,'Données projet'!$A$35:$I$55,4,0))</f>
        <v>0</v>
      </c>
      <c r="W181" s="16">
        <f>IF(ISNA(VLOOKUP(A181,'Données projet'!$A$35:$I$55,5,0)),0%,VLOOKUP(A181,'Données projet'!$A$35:$I$55,5,0)*VLOOKUP('Données projet'!$B$9,Paramètres!$A$1:$I$89,7,0))</f>
        <v>0</v>
      </c>
      <c r="X181" s="16">
        <f>IF(ISNA(VLOOKUP(A181,'Données projet'!$A$35:$I$55,6,0)),0%,VLOOKUP(A181,'Données projet'!$A$35:$I$55,6,0)*VLOOKUP('Données projet'!$B$9,Paramètres!$A$1:$I$89,7,0))</f>
        <v>0</v>
      </c>
      <c r="Y181" s="16">
        <f>IF(ISNA(VLOOKUP(A181,'Données projet'!$A$35:$I$55,7,0)),0%,VLOOKUP(A181,'Données projet'!$A$35:$I$55,7,0))</f>
        <v>0</v>
      </c>
      <c r="Z181" s="21">
        <f>EXP(-LN(2)/35)*Z180+(1-EXP(-LN(2)/35))/(LN(2)/35)*V181*W181*VLOOKUP('Données projet'!$B$9,Paramètres!$A$1:$I$89,3,0)*0.475*44/12</f>
        <v>0.16483042616854485</v>
      </c>
      <c r="AA181" s="21">
        <f>EXP(-LN(2)/25)*AA180+(1-EXP(-LN(2)/25))/(LN(2)/25)*Calculateur!V181*Calculateur!X181*VLOOKUP('Données projet'!$B$9,Paramètres!$A$1:$I$89,3,0)*0.475*44/12</f>
        <v>0.26359815363637212</v>
      </c>
      <c r="AB181" s="21">
        <f>EXP(-LN(2)/2)*AB180+(1-EXP(-LN(2)/2))/(LN(2)/2)*V181*Y181*VLOOKUP('Données projet'!$B$9,Paramètres!$A$1:$I$89,3,0)*0.475*44/12</f>
        <v>8.9608254971006107E-23</v>
      </c>
      <c r="AC181" s="22">
        <f t="shared" si="163"/>
        <v>0.428428579804917</v>
      </c>
      <c r="AD181" s="13">
        <f>('Scénario référence'!$F$8+'Scénario référence'!$F$9+'Scénario référence'!$B$17+'Scénario référence'!$B$9+'Scénario référence'!$B$10)*70+IF((45+25*(1-EXP(-0.0175*A181)))&lt;70,'Scénario référence'!$B$16*(45+25*(1-EXP(-0.0175*A181))),70*'Scénario référence'!$B$16)+IF((32+38*(1-EXP(-0.0175*A181)))&lt;70,'Scénario référence'!$B$18*(32+38*(1-EXP(-0.0175*A181))),70*'Scénario référence'!$B$18)</f>
        <v>70</v>
      </c>
      <c r="AE181" s="13">
        <f>IF(A181&gt;30,10,('Scénario référence'!$B$16+'Scénario référence'!$B$17+'Scénario référence'!$B$18+'Scénario référence'!$B$9+'Scénario référence'!$B$10)*A181*10/30+('Scénario référence'!$F$8+'Scénario référence'!$F$9)*10)</f>
        <v>10</v>
      </c>
      <c r="AF181" s="12" t="e">
        <f>VLOOKUP(A181,'Données projet'!$A$61:$I$81,2,0)</f>
        <v>#N/A</v>
      </c>
      <c r="AG181" s="12" t="e">
        <f>VLOOKUP(A181,'Données projet'!$A$61:$I$81,9,0)</f>
        <v>#N/A</v>
      </c>
      <c r="AH181" s="12">
        <f t="array" ref="AH181">INDEX(AG:AG,MIN(IF(ISNUMBER(AG181:AG377),ROW(AG181:AG377),"")))</f>
        <v>0</v>
      </c>
      <c r="AI181" s="13">
        <f>IF('Données projet'!$A$62&gt;35,AI180+AH181-AQ180,IF(A181&lt;'Données projet'!$A$62,$AF$205^A181,IF(A181='Données projet'!$A$62,'Données projet'!$B$62,AI180+AH181-AQ180)))</f>
        <v>0</v>
      </c>
      <c r="AJ181" s="13">
        <f>AI181*VLOOKUP('Données projet'!$B$10,Paramètres!$A$1:$I$89,3,0)*VLOOKUP('Données projet'!$B$10,Paramètres!$A$1:$I$89,5,0)</f>
        <v>0</v>
      </c>
      <c r="AK181" s="13" t="e">
        <f t="shared" si="164"/>
        <v>#NUM!</v>
      </c>
      <c r="AL181" s="20" t="e">
        <f t="shared" si="165"/>
        <v>#NUM!</v>
      </c>
      <c r="AM181" s="59" t="e">
        <f t="shared" si="113"/>
        <v>#NUM!</v>
      </c>
      <c r="AN181" s="59">
        <f ca="1">AVERAGE(OFFSET($AM$3,0,0,'Données projet'!$E$10+1,1))-AVERAGE(OFFSET($H$3,0,0,'Données projet'!$E$10+1,1))</f>
        <v>261.78489480911571</v>
      </c>
      <c r="AO181" s="59">
        <f t="shared" si="144"/>
        <v>297.50513563712764</v>
      </c>
      <c r="AP181" s="15">
        <f>IF(ISNA(VLOOKUP(A181,'Données projet'!$A$61:$I$81,3,0)),0,VLOOKUP(A181,'Données projet'!$A$61:$I$81,3,0))</f>
        <v>0</v>
      </c>
      <c r="AQ181" s="15">
        <f>IF(ISNA(VLOOKUP(A181,'Données projet'!$A$61:$I$81,4,0)),0,VLOOKUP(A181,'Données projet'!$A$61:$I$81,4,0))</f>
        <v>0</v>
      </c>
      <c r="AR181" s="16">
        <f>IF(ISNA(VLOOKUP(A181,'Données projet'!$A$61:$I$81,5,0)),0%,VLOOKUP(A181,'Données projet'!$A$61:$I$81,5,0)*VLOOKUP('Données projet'!$B$10,Paramètres!$A$1:$I$89,7,0))</f>
        <v>0</v>
      </c>
      <c r="AS181" s="16">
        <f>IF(ISNA(VLOOKUP(A181,'Données projet'!$A$61:$I$81,6,0)),0%,VLOOKUP(A181,'Données projet'!$A$61:$I$81,6,0)*VLOOKUP('Données projet'!$B$10,Paramètres!$A$1:$I$89,7,0))</f>
        <v>0</v>
      </c>
      <c r="AT181" s="16">
        <f>IF(ISNA(VLOOKUP(A181,'Données projet'!$A$61:$I$81,7,0)),0%,VLOOKUP(A181,'Données projet'!$A$61:$I$81,7,0))</f>
        <v>0</v>
      </c>
      <c r="AU181" s="21">
        <f>EXP(-LN(2)/35)*AU180+(1-EXP(-LN(2)/35))/(LN(2)/35)*AQ181*AR181*VLOOKUP('Données projet'!$B$10,Paramètres!$A$1:$I$89,3,0)*0.475*44/12</f>
        <v>0.44508877271749536</v>
      </c>
      <c r="AV181" s="21">
        <f>EXP(-LN(2)/25)*AV180+(1-EXP(-LN(2)/25))/(LN(2)/25)*Calculateur!AQ181*Calculateur!AS181*VLOOKUP('Données projet'!$B$10,Paramètres!$A$1:$I$89,3,0)*0.475*44/12</f>
        <v>0.46029613995907054</v>
      </c>
      <c r="AW181" s="21">
        <f>EXP(-LN(2)/2)*AW180+(1-EXP(-LN(2)/2))/(LN(2)/2)*AQ181*AT181*VLOOKUP('Données projet'!$B$10,Paramètres!$A$1:$I$89,3,0)*0.475*44/12</f>
        <v>1.2917883028258738E-21</v>
      </c>
      <c r="AX181" s="21">
        <f t="shared" si="166"/>
        <v>0.90538491267656585</v>
      </c>
      <c r="AY181" s="74">
        <f>('Scénario référence'!$F$8+'Scénario référence'!$F$9+'Scénario référence'!$B$17+'Scénario référence'!$B$9+'Scénario référence'!$B$10)*70+IF((45+25*(1-EXP(-0.0175*A181)))&lt;70,'Scénario référence'!$B$16*(45+25*(1-EXP(-0.0175*A181))),70*'Scénario référence'!$B$16)+IF((32+38*(1-EXP(-0.0175*A181)))&lt;70,'Scénario référence'!$B$18*(32+38*(1-EXP(-0.0175*A181))),70*'Scénario référence'!$B$18)</f>
        <v>70</v>
      </c>
      <c r="AZ181" s="12">
        <f>IF(A181&gt;30,10,('Scénario référence'!$B$16+'Scénario référence'!$B$17+'Scénario référence'!$B$18+'Scénario référence'!$B$9+'Scénario référence'!$B$10)*A181*10/30+('Scénario référence'!$F$8+'Scénario référence'!$F$9)*10)</f>
        <v>10</v>
      </c>
      <c r="BA181" s="12" t="e">
        <f>VLOOKUP(A181,'Données projet'!$A$87:$I$107,2,0)</f>
        <v>#N/A</v>
      </c>
      <c r="BB181" s="12" t="e">
        <f>VLOOKUP(A181,'Données projet'!$A$87:$I$107,9,0)</f>
        <v>#N/A</v>
      </c>
      <c r="BC181" s="12">
        <f t="array" ref="BC181">INDEX(BB:BB,MIN(IF(ISNUMBER(BB181:BB377),ROW(BB181:BB377),"")))</f>
        <v>0</v>
      </c>
      <c r="BD181" s="12">
        <f>IF('Données projet'!$A$88&gt;35,BD180+BC181-BL180,IF(A181&lt;'Données projet'!$A$88,$BA$205^A181,IF(A181='Données projet'!$A$88,'Données projet'!$B$88,BD180+BC181-BL180)))</f>
        <v>553.99999999999955</v>
      </c>
      <c r="BE181" s="13">
        <f>BD181*VLOOKUP('Données projet'!$B$11,Paramètres!$A$1:$I$89,3,0)*VLOOKUP('Données projet'!$B$11,Paramètres!$A$1:$I$89,5,0)</f>
        <v>331.29199999999975</v>
      </c>
      <c r="BF181" s="13">
        <f t="shared" si="167"/>
        <v>77.698110787752</v>
      </c>
      <c r="BG181" s="20">
        <f t="shared" si="168"/>
        <v>712.32444295533423</v>
      </c>
      <c r="BH181" s="59">
        <f t="shared" si="116"/>
        <v>1005.6577762886675</v>
      </c>
      <c r="BI181" s="59">
        <f ca="1">AVERAGE(OFFSET($BH$3,0,0,'Données projet'!$E$11+1,1))-AVERAGE(OFFSET($H$3,0,0,'Données projet'!$E$11+1,1))</f>
        <v>316.58509520829671</v>
      </c>
      <c r="BJ181" s="59">
        <f t="shared" si="146"/>
        <v>240.71332110643596</v>
      </c>
      <c r="BK181" s="15">
        <f>IF(ISNA(VLOOKUP(A181,'Données projet'!$A$87:$I$107,3,0)),0,VLOOKUP(A181,'Données projet'!$A$87:$I$107,3,0))</f>
        <v>0</v>
      </c>
      <c r="BL181" s="15">
        <f>IF(ISNA(VLOOKUP(A181,'Données projet'!$A$87:$I$107,4,0)),0,VLOOKUP(A181,'Données projet'!$A$87:$I$107,4,0))</f>
        <v>0</v>
      </c>
      <c r="BM181" s="16">
        <f>IF(ISNA(VLOOKUP(A181,'Données projet'!$A$87:$I$107,5,0)),0%,VLOOKUP(A181,'Données projet'!$A$87:$I$107,5,0)*VLOOKUP('Données projet'!$B$11,Paramètres!$A$1:$I$89,7,0))</f>
        <v>0</v>
      </c>
      <c r="BN181" s="16">
        <f>IF(ISNA(VLOOKUP(A181,'Données projet'!$A$87:$I$107,6,0)),0%,VLOOKUP(A181,'Données projet'!$A$87:$I$107,6,0)*VLOOKUP('Données projet'!$B$11,Paramètres!$A$1:$I$89,7,0))</f>
        <v>0</v>
      </c>
      <c r="BO181" s="16">
        <f>IF(ISNA(VLOOKUP(A181,'Données projet'!$A$87:$I$107,7,0)),0%,VLOOKUP(A181,'Données projet'!$A$87:$I$107,7,0))</f>
        <v>0</v>
      </c>
      <c r="BP181" s="21">
        <f>EXP(-LN(2)/35)*BP180+(1-EXP(-LN(2)/35))/(LN(2)/35)*BL181*BM181*VLOOKUP('Données projet'!$B$11,Paramètres!$A$1:$I$89,3,0)*0.475*44/12</f>
        <v>0.13519902638535544</v>
      </c>
      <c r="BQ181" s="21">
        <f>EXP(-LN(2)/25)*BQ180+(1-EXP(-LN(2)/25))/(LN(2)/25)*Calculateur!BL181*Calculateur!BN181*VLOOKUP('Données projet'!$B$11,Paramètres!$A$1:$I$89,3,0)*0.475*44/12</f>
        <v>0.25216365602560381</v>
      </c>
      <c r="BR181" s="21">
        <f>EXP(-LN(2)/2)*BR180+(1-EXP(-LN(2)/2))/(LN(2)/2)*BL181*BO181*VLOOKUP('Données projet'!$B$11,Paramètres!$A$1:$I$89,3,0)*0.475*44/12</f>
        <v>1.1614591513452927E-21</v>
      </c>
      <c r="BS181" s="22">
        <f t="shared" si="169"/>
        <v>0.38736268241095928</v>
      </c>
      <c r="BT181" s="75">
        <f>('Scénario référence'!$F$8+'Scénario référence'!$F$9+'Scénario référence'!$B$17+'Scénario référence'!$B$9+'Scénario référence'!$B$10)*70+IF((45+25*(1-EXP(-0.0175*A181)))&lt;70,'Scénario référence'!$B$16*(45+25*(1-EXP(-0.0175*A181))),70*'Scénario référence'!$B$16)+IF((32+38*(1-EXP(-0.0175*A181)))&lt;70,'Scénario référence'!$B$18*(32+38*(1-EXP(-0.0175*A181))),70*'Scénario référence'!$B$18)</f>
        <v>70</v>
      </c>
      <c r="BU181" s="12">
        <f>IF(A181&gt;30,10,('Scénario référence'!$B$16+'Scénario référence'!$B$17+'Scénario référence'!$B$18+'Scénario référence'!$B$9+'Scénario référence'!$B$10)*A181*10/30+('Scénario référence'!$F$8+'Scénario référence'!$F$9)*10)</f>
        <v>10</v>
      </c>
      <c r="BV181" s="12" t="e">
        <f>VLOOKUP(A181,'Données projet'!$A$113:$I$133,2,0)</f>
        <v>#N/A</v>
      </c>
      <c r="BW181" s="12" t="e">
        <f>VLOOKUP(A181,'Données projet'!$A$113:$I$133,9,0)</f>
        <v>#N/A</v>
      </c>
      <c r="BX181" s="12">
        <f t="array" ref="BX181">INDEX(BW:BW,MIN(IF(ISNUMBER(BW181:BW377),ROW(BW181:BW377),"")))</f>
        <v>0</v>
      </c>
      <c r="BY181" s="12">
        <f>IF('Données projet'!$A$114&gt;35,BY180+BX181-CG180,IF(A181&lt;'Données projet'!$A$114,$BV$205^A181,IF(A181='Données projet'!$A$114,'Données projet'!$B$114,BY180+BX181-CG180)))</f>
        <v>333.99999999999977</v>
      </c>
      <c r="BZ181" s="13">
        <f>BY181*VLOOKUP('Données projet'!$B$12,Paramètres!$A$1:$I$89,3,0)*VLOOKUP('Données projet'!$B$12,Paramètres!$A$1:$I$89,5,0)</f>
        <v>191.04799999999986</v>
      </c>
      <c r="CA181" s="13">
        <f t="shared" si="170"/>
        <v>47.771576544305155</v>
      </c>
      <c r="CB181" s="20">
        <f t="shared" si="171"/>
        <v>415.94409581466454</v>
      </c>
      <c r="CC181" s="59">
        <f t="shared" si="119"/>
        <v>709.27742914799785</v>
      </c>
      <c r="CD181" s="59">
        <f ca="1">AVERAGE(OFFSET($CC$3,0,0,'Données projet'!$E$12+1,1))-AVERAGE(OFFSET($H$3,0,0,'Données projet'!$E$12+1,1))</f>
        <v>188.64374818906128</v>
      </c>
      <c r="CE181" s="59">
        <f t="shared" si="148"/>
        <v>211.95157880548652</v>
      </c>
      <c r="CF181" s="15">
        <f>IF(ISNA(VLOOKUP(A181,'Données projet'!$A$113:$I$133,3,0)),0,VLOOKUP(A181,'Données projet'!$A$113:$I$133,3,0))</f>
        <v>0</v>
      </c>
      <c r="CG181" s="15">
        <f>IF(ISNA(VLOOKUP(A181,'Données projet'!$A$113:$I$133,4,0)),0,VLOOKUP(A181,'Données projet'!$A$113:$I$133,4,0))</f>
        <v>0</v>
      </c>
      <c r="CH181" s="16">
        <f>IF(ISNA(VLOOKUP(A181,'Données projet'!$A$113:$I$133,5,0)),0%,VLOOKUP(A181,'Données projet'!$A$113:$I$133,5,0)*VLOOKUP('Données projet'!$B$12,Paramètres!$A$1:$I$89,7,0))</f>
        <v>0</v>
      </c>
      <c r="CI181" s="16">
        <f>IF(ISNA(VLOOKUP(A181,'Données projet'!$A$113:$I$133,6,0)),0%,VLOOKUP(A181,'Données projet'!$A$113:$I$133,6,0)*VLOOKUP('Données projet'!$B$12,Paramètres!$A$1:$I$89,7,0))</f>
        <v>0</v>
      </c>
      <c r="CJ181" s="16">
        <f>IF(ISNA(VLOOKUP(A181,'Données projet'!$A$113:$I$133,7,0)),0%,VLOOKUP(A181,'Données projet'!$A$113:$I$133,7,0))</f>
        <v>0</v>
      </c>
      <c r="CK181" s="21">
        <f>EXP(-LN(2)/35)*CK180+(1-EXP(-LN(2)/35))/(LN(2)/35)*CG181*CH181*VLOOKUP('Données projet'!$B$12,Paramètres!$A$1:$I$89,3,0)*0.475*44/12</f>
        <v>0.13114222767569059</v>
      </c>
      <c r="CL181" s="21">
        <f>EXP(-LN(2)/25)*CL180+(1-EXP(-LN(2)/25))/(LN(2)/25)*Calculateur!CG181*Calculateur!CI181*VLOOKUP('Données projet'!$B$12,Paramètres!$A$1:$I$89,3,0)*0.475*44/12</f>
        <v>0.23734214248096616</v>
      </c>
      <c r="CM181" s="21">
        <f>EXP(-LN(2)/2)*CM180+(1-EXP(-LN(2)/2))/(LN(2)/2)*CG181*CJ181*VLOOKUP('Données projet'!$B$12,Paramètres!$A$1:$I$89,3,0)*0.475*44/12</f>
        <v>1.1247823141643039E-21</v>
      </c>
      <c r="CN181" s="22">
        <f t="shared" si="172"/>
        <v>0.36848437015665675</v>
      </c>
      <c r="CO181" s="75">
        <f>('Scénario référence'!$F$8+'Scénario référence'!$F$9+'Scénario référence'!$B$17+'Scénario référence'!$B$9+'Scénario référence'!$B$10)*70+IF((45+25*(1-EXP(-0.0175*A181)))&lt;70,'Scénario référence'!$B$16*(45+25*(1-EXP(-0.0175*A181))),70*'Scénario référence'!$B$16)+IF((32+38*(1-EXP(-0.0175*A181)))&lt;70,'Scénario référence'!$B$18*(32+38*(1-EXP(-0.0175*A181))),70*'Scénario référence'!$B$18)</f>
        <v>70</v>
      </c>
      <c r="CP181" s="12">
        <f>IF(A181&gt;30,10,('Scénario référence'!$B$16+'Scénario référence'!$B$17+'Scénario référence'!$B$18+'Scénario référence'!$B$9+'Scénario référence'!$B$10)*A181*10/30+('Scénario référence'!$F$8+'Scénario référence'!$F$9)*10)</f>
        <v>10</v>
      </c>
      <c r="CQ181" s="12" t="e">
        <f>VLOOKUP(A181,'Données projet'!$A$139:$I$159,2,0)</f>
        <v>#N/A</v>
      </c>
      <c r="CR181" s="12" t="e">
        <f>VLOOKUP(A181,'Données projet'!$A$139:$I$159,9,0)</f>
        <v>#N/A</v>
      </c>
      <c r="CS181" s="12">
        <f t="array" ref="CS181">INDEX(CR:CR,MIN(IF(ISNUMBER(CR181:CR377),ROW(CR181:CR377),"")))</f>
        <v>0</v>
      </c>
      <c r="CT181" s="12">
        <f>IF('Données projet'!$A$140&gt;35,CT180+CS181-DB180,IF(A181&lt;'Données projet'!$A$140,$CQ$205^A181,IF(A181='Données projet'!$A$140,'Données projet'!$B$140,CT180+CS181-DB180)))</f>
        <v>0</v>
      </c>
      <c r="CU181" s="17" t="e">
        <f>CT181*VLOOKUP('Données projet'!$B$13,Paramètres!$A$1:$I$89,3,0)*VLOOKUP('Données projet'!$B$13,Paramètres!$A$1:$I$89,5,0)</f>
        <v>#N/A</v>
      </c>
      <c r="CV181" s="13" t="e">
        <f t="shared" si="173"/>
        <v>#N/A</v>
      </c>
      <c r="CW181" s="20" t="e">
        <f t="shared" si="174"/>
        <v>#N/A</v>
      </c>
      <c r="CX181" s="59" t="e">
        <f t="shared" si="122"/>
        <v>#N/A</v>
      </c>
      <c r="CY181" s="59" t="e">
        <f ca="1">AVERAGE(OFFSET($CX$3,0,0,'Données projet'!$E$13+1,1))-AVERAGE(OFFSET($H$3,0,0,'Données projet'!$E$13+1,1))</f>
        <v>#N/A</v>
      </c>
      <c r="CZ181" s="59" t="e">
        <f t="shared" si="150"/>
        <v>#N/A</v>
      </c>
      <c r="DA181" s="15">
        <f>IF(ISNA(VLOOKUP(A181,'Données projet'!$A$139:$I$159,3,0)),0,VLOOKUP(A181,'Données projet'!$A$139:$I$159,3,0))</f>
        <v>0</v>
      </c>
      <c r="DB181" s="15">
        <f>IF(ISNA(VLOOKUP(A181,'Données projet'!$A$139:$I$159,4,0)),0,VLOOKUP(A181,'Données projet'!$A$139:$I$159,4,0))</f>
        <v>0</v>
      </c>
      <c r="DC181" s="16">
        <f>IF(ISNA(VLOOKUP(A181,'Données projet'!$A$139:$I$159,5,0)),0%,VLOOKUP(A181,'Données projet'!$A$139:$I$159,5,0)*VLOOKUP('Données projet'!$B$13,Paramètres!$A$1:$I$89,7,0))</f>
        <v>0</v>
      </c>
      <c r="DD181" s="16">
        <f>IF(ISNA(VLOOKUP(A181,'Données projet'!$A$139:$I$159,6,0)),0%,VLOOKUP(A181,'Données projet'!$A$139:$I$159,6,0)*VLOOKUP('Données projet'!$B$13,Paramètres!$A$1:$I$89,7,0))</f>
        <v>0</v>
      </c>
      <c r="DE181" s="16">
        <f>IF(ISNA(VLOOKUP(A181,'Données projet'!$A$139:$I$159,7,0)),0%,VLOOKUP(A181,'Données projet'!$A$139:$I$159,7,0))</f>
        <v>0</v>
      </c>
      <c r="DF181" s="21" t="e">
        <f>EXP(-LN(2)/35)*DF180+(1-EXP(-LN(2)/35))/(LN(2)/35)*DB181*DC181*VLOOKUP('Données projet'!$B$13,Paramètres!$A$1:$I$89,3,0)*0.475*44/12</f>
        <v>#N/A</v>
      </c>
      <c r="DG181" s="21" t="e">
        <f>EXP(-LN(2)/25)*DG180+(1-EXP(-LN(2)/25))/(LN(2)/25)*Calculateur!DB181*Calculateur!DD181*VLOOKUP('Données projet'!$B$13,Paramètres!$A$1:$I$89,3,0)*0.475*44/12</f>
        <v>#N/A</v>
      </c>
      <c r="DH181" s="21" t="e">
        <f>EXP(-LN(2)/2)*DH180+(1-EXP(-LN(2)/2))/(LN(2)/2)*DB181*DE181*VLOOKUP('Données projet'!$B$13,Paramètres!$A$1:$I$89,3,0)*0.475*44/12</f>
        <v>#N/A</v>
      </c>
      <c r="DI181" s="22" t="e">
        <f t="shared" si="175"/>
        <v>#N/A</v>
      </c>
      <c r="DJ181" s="75">
        <f>('Scénario référence'!$F$8+'Scénario référence'!$F$9+'Scénario référence'!$B$17+'Scénario référence'!$B$9+'Scénario référence'!$B$10)*70+IF((45+25*(1-EXP(-0.0175*A181)))&lt;70,'Scénario référence'!$B$16*(45+25*(1-EXP(-0.0175*A181))),70*'Scénario référence'!$B$16)+IF((32+38*(1-EXP(-0.0175*A181)))&lt;70,'Scénario référence'!$B$18*(32+38*(1-EXP(-0.0175*A181))),70*'Scénario référence'!$B$18)</f>
        <v>70</v>
      </c>
      <c r="DK181" s="12">
        <f>IF(A181&gt;30,10,('Scénario référence'!$B$16+'Scénario référence'!$B$17+'Scénario référence'!$B$18+'Scénario référence'!$B$9+'Scénario référence'!$B$10)*A181*10/30+('Scénario référence'!$F$8+'Scénario référence'!$F$9)*10)</f>
        <v>10</v>
      </c>
      <c r="DL181" s="12" t="e">
        <f>VLOOKUP(A181,'Données projet'!$A$165:$I$185,2,0)</f>
        <v>#N/A</v>
      </c>
      <c r="DM181" s="12" t="e">
        <f>VLOOKUP(A181,'Données projet'!$A$165:$I$185,9,0)</f>
        <v>#N/A</v>
      </c>
      <c r="DN181" s="12">
        <f t="array" ref="DN181">INDEX(DM:DM,MIN(IF(ISNUMBER(DM181:DM377),ROW(DM181:DM377),"")))</f>
        <v>0</v>
      </c>
      <c r="DO181" s="12">
        <f>IF('Données projet'!$A$166&gt;35,DO180+DN181-DW180,IF(A181&lt;'Données projet'!$A$166,$DL$205^A181,IF(A181='Données projet'!$A$166,'Données projet'!$B$166,DO180+DN181-DW180)))</f>
        <v>268.00000000000017</v>
      </c>
      <c r="DP181" s="17">
        <f>DO181*VLOOKUP('Données projet'!$B$14,Paramètres!$A$1:$I$89,3,0)*VLOOKUP('Données projet'!$B$14,Paramètres!$A$1:$I$89,5,0)</f>
        <v>175.59360000000012</v>
      </c>
      <c r="DQ181" s="13">
        <f t="shared" si="176"/>
        <v>44.340433728638573</v>
      </c>
      <c r="DR181" s="20">
        <f t="shared" si="177"/>
        <v>383.05177541071242</v>
      </c>
      <c r="DS181" s="59">
        <f t="shared" si="125"/>
        <v>676.38510874404574</v>
      </c>
      <c r="DT181" s="59">
        <f ca="1">AVERAGE(OFFSET($DS$3,0,0,'Données projet'!$E$14+1,1))-AVERAGE(OFFSET($H$3,0,0,'Données projet'!$E$14+1,1))</f>
        <v>188.68915783955595</v>
      </c>
      <c r="DU181" s="59">
        <f t="shared" si="152"/>
        <v>240.82467772396944</v>
      </c>
      <c r="DV181" s="15">
        <f>IF(ISNA(VLOOKUP(A181,'Données projet'!$A$165:$I$185,3,0)),0,VLOOKUP(A181,'Données projet'!$A$165:$I$185,3,0))</f>
        <v>0</v>
      </c>
      <c r="DW181" s="15">
        <f>IF(ISNA(VLOOKUP(A181,'Données projet'!$A$165:$I$185,4,0)),0,VLOOKUP(A181,'Données projet'!$A$165:$I$185,4,0))</f>
        <v>0</v>
      </c>
      <c r="DX181" s="16">
        <f>IF(ISNA(VLOOKUP(A181,'Données projet'!$A$165:$I$185,5,0)),0%,VLOOKUP(A181,'Données projet'!$A$165:$I$185,5,0)*VLOOKUP('Données projet'!$B$14,Paramètres!$A$1:$I$89,7,0))</f>
        <v>0</v>
      </c>
      <c r="DY181" s="16">
        <f>IF(ISNA(VLOOKUP(A181,'Données projet'!$A$165:$I$185,6,0)),0%,VLOOKUP(A181,'Données projet'!$A$165:$I$185,6,0)*VLOOKUP('Données projet'!$B$14,Paramètres!$A$1:$I$89,7,0))</f>
        <v>0</v>
      </c>
      <c r="DZ181" s="16">
        <f>IF(ISNA(VLOOKUP(A181,'Données projet'!$A$165:$I$185,7,0)),0%,VLOOKUP(A181,'Données projet'!$A$165:$I$185,7,0))</f>
        <v>0</v>
      </c>
      <c r="EA181" s="21">
        <f>EXP(-LN(2)/35)*EA180+(1-EXP(-LN(2)/35))/(LN(2)/35)*DW181*DX181*VLOOKUP('Données projet'!$B$14,Paramètres!$A$1:$I$89,3,0)*0.475*44/12</f>
        <v>8.3067783102657583E-2</v>
      </c>
      <c r="EB181" s="21">
        <f>EXP(-LN(2)/25)*EB180+(1-EXP(-LN(2)/25))/(LN(2)/25)*Calculateur!DW181*Calculateur!DY181*VLOOKUP('Données projet'!$B$14,Paramètres!$A$1:$I$89,3,0)*0.475*44/12</f>
        <v>0.13275534250238197</v>
      </c>
      <c r="EC181" s="21">
        <f>EXP(-LN(2)/2)*EC180+(1-EXP(-LN(2)/2))/(LN(2)/2)*DW181*DZ181*VLOOKUP('Données projet'!$B$14,Paramètres!$A$1:$I$89,3,0)*0.475*44/12</f>
        <v>7.4096366922066348E-22</v>
      </c>
      <c r="ED181" s="22">
        <f t="shared" si="178"/>
        <v>0.21582312560503955</v>
      </c>
      <c r="EE181" s="75">
        <f>('Scénario référence'!$F$8+'Scénario référence'!$F$9+'Scénario référence'!$B$17+'Scénario référence'!$B$9+'Scénario référence'!$B$10)*70+IF((45+25*(1-EXP(-0.0175*A181)))&lt;70,'Scénario référence'!$B$16*(45+25*(1-EXP(-0.0175*A181))),70*'Scénario référence'!$B$16)+IF((32+38*(1-EXP(-0.0175*A181)))&lt;70,'Scénario référence'!$B$18*(32+38*(1-EXP(-0.0175*A181))),70*'Scénario référence'!$B$18)</f>
        <v>70</v>
      </c>
      <c r="EF181" s="12">
        <f>IF(A181&gt;30,10,('Scénario référence'!$B$16+'Scénario référence'!$B$17+'Scénario référence'!$B$18+'Scénario référence'!$B$9+'Scénario référence'!$B$10)*A181*10/30+('Scénario référence'!$F$8+'Scénario référence'!$F$9)*10)</f>
        <v>10</v>
      </c>
      <c r="EG181" s="12" t="e">
        <f>VLOOKUP(A181,'Données projet'!$A$191:$I$211,2,0)</f>
        <v>#N/A</v>
      </c>
      <c r="EH181" s="12" t="e">
        <f>VLOOKUP(A181,'Données projet'!$A$191:$I$211,9,0)</f>
        <v>#N/A</v>
      </c>
      <c r="EI181" s="12">
        <f t="array" ref="EI181">INDEX(EH:EH,MIN(IF(ISNUMBER(EH181:EH377),ROW(EH181:EH377),"")))</f>
        <v>0</v>
      </c>
      <c r="EJ181" s="12">
        <f>IF('Données projet'!$A$192&gt;35,EJ180+EI181-ER180,IF(A181&lt;'Données projet'!$A$192,$EG$205^A181,IF(A181='Données projet'!$A$192,'Données projet'!$B$192,EJ180+EI181-ER180)))</f>
        <v>275.99999999999972</v>
      </c>
      <c r="EK181" s="17">
        <f>EJ181*VLOOKUP('Données projet'!$B$15,Paramètres!$A$1:$I$89,3,0)*VLOOKUP('Données projet'!$B$15,Paramètres!$A$1:$I$89,5,0)</f>
        <v>223.8911999999998</v>
      </c>
      <c r="EL181" s="13">
        <f t="shared" si="179"/>
        <v>54.95975389514858</v>
      </c>
      <c r="EM181" s="20">
        <f t="shared" si="180"/>
        <v>485.66541136738346</v>
      </c>
      <c r="EN181" s="59">
        <f t="shared" si="128"/>
        <v>778.99874470071677</v>
      </c>
      <c r="EO181" s="59">
        <f ca="1">AVERAGE(OFFSET($EN$3,0,0,'Données projet'!$E$15+1,1))-AVERAGE(OFFSET($H$3,0,0,'Données projet'!$E$15+1,1))</f>
        <v>205.5272583787887</v>
      </c>
      <c r="EP181" s="59">
        <f t="shared" si="154"/>
        <v>180.54762778843178</v>
      </c>
      <c r="EQ181" s="15">
        <f>IF(ISNA(VLOOKUP(A181,'Données projet'!$A$191:$I$211,3,0)),0,VLOOKUP(A181,'Données projet'!$A$191:$I$211,3,0))</f>
        <v>0</v>
      </c>
      <c r="ER181" s="15">
        <f>IF(ISNA(VLOOKUP(A181,'Données projet'!$A$191:$I$211,4,0)),0,VLOOKUP(A181,'Données projet'!$A$191:$I$211,4,0))</f>
        <v>0</v>
      </c>
      <c r="ES181" s="16">
        <f>IF(ISNA(VLOOKUP(A181,'Données projet'!$A$191:$I$211,5,0)),0%,VLOOKUP(A181,'Données projet'!$A$191:$I$211,5,0)*VLOOKUP('Données projet'!$B$15,Paramètres!$A$1:$I$89,7,0))</f>
        <v>0</v>
      </c>
      <c r="ET181" s="16">
        <f>IF(ISNA(VLOOKUP(A181,'Données projet'!$A$191:$I$211,6,0)),0%,VLOOKUP(A181,'Données projet'!$A$191:$I$211,6,0)*VLOOKUP('Données projet'!$B$15,Paramètres!$A$1:$I$89,7,0))</f>
        <v>0</v>
      </c>
      <c r="EU181" s="16">
        <f>IF(ISNA(VLOOKUP(A181,'Données projet'!$A$191:$I$211,7,0)),0%,VLOOKUP(A181,'Données projet'!$A$191:$I$211,7,0))</f>
        <v>0</v>
      </c>
      <c r="EV181" s="21">
        <f>EXP(-LN(2)/35)*EV180+(1-EXP(-LN(2)/35))/(LN(2)/35)*ER181*ES181*VLOOKUP('Données projet'!$B$15,Paramètres!$A$1:$I$89,3,0)*0.475*44/12</f>
        <v>5.347982988323479E-2</v>
      </c>
      <c r="EW181" s="21">
        <f>EXP(-LN(2)/25)*EW180+(1-EXP(-LN(2)/25))/(LN(2)/25)*Calculateur!ER181*Calculateur!ET181*VLOOKUP('Données projet'!$B$15,Paramètres!$A$1:$I$89,3,0)*0.475*44/12</f>
        <v>9.5853384548127515E-2</v>
      </c>
      <c r="EX181" s="21">
        <f>EXP(-LN(2)/2)*EX180+(1-EXP(-LN(2)/2))/(LN(2)/2)*ER181*EU181*VLOOKUP('Données projet'!$B$15,Paramètres!$A$1:$I$89,3,0)*0.475*44/12</f>
        <v>4.7977452370833426E-22</v>
      </c>
      <c r="EY181" s="22">
        <f t="shared" si="181"/>
        <v>0.1493332144313623</v>
      </c>
      <c r="EZ181" s="75">
        <f>('Scénario référence'!$F$8+'Scénario référence'!$F$9+'Scénario référence'!$B$17+'Scénario référence'!$B$9+'Scénario référence'!$B$10)*70+IF((45+25*(1-EXP(-0.0175*A181)))&lt;70,'Scénario référence'!$B$16*(45+25*(1-EXP(-0.0175*A181))),70*'Scénario référence'!$B$16)+IF((32+38*(1-EXP(-0.0175*A181)))&lt;70,'Scénario référence'!$B$18*(32+38*(1-EXP(-0.0175*A181))),70*'Scénario référence'!$B$18)</f>
        <v>70</v>
      </c>
      <c r="FA181" s="12">
        <f>IF(A181&gt;30,10,('Scénario référence'!$B$16+'Scénario référence'!$B$17+'Scénario référence'!$B$18+'Scénario référence'!$B$9+'Scénario référence'!$B$10)*A181*10/30+('Scénario référence'!$F$8+'Scénario référence'!$F$9)*10)</f>
        <v>10</v>
      </c>
      <c r="FB181" s="12" t="e">
        <f>VLOOKUP(A181,'Données projet'!$A$217:$I$237,2,0)</f>
        <v>#N/A</v>
      </c>
      <c r="FC181" s="12" t="e">
        <f>VLOOKUP(A181,'Données projet'!$A$217:$I$237,9,0)</f>
        <v>#N/A</v>
      </c>
      <c r="FD181" s="12">
        <f t="array" ref="FD181">INDEX(FC:FC,MIN(IF(ISNUMBER(FC181:FC377),ROW(FC181:FC377),"")))</f>
        <v>0</v>
      </c>
      <c r="FE181" s="12">
        <f>IF('Données projet'!$A$218&gt;35,FE180+FD181-FM180,IF(A181&lt;'Données projet'!$A$218,$FB$205^A181,IF(A181='Données projet'!$A$218,'Données projet'!$B$218,FE180+FD181-FM180)))</f>
        <v>418.99999999999983</v>
      </c>
      <c r="FF181" s="17">
        <f>FE181*VLOOKUP('Données projet'!$B$16,Paramètres!$A$1:$I$89,3,0)*VLOOKUP('Données projet'!$B$16,Paramètres!$A$1:$I$89,5,0)</f>
        <v>359.5019999999999</v>
      </c>
      <c r="FG181" s="13">
        <f t="shared" si="182"/>
        <v>83.516011055432813</v>
      </c>
      <c r="FH181" s="20">
        <f t="shared" si="183"/>
        <v>771.58970258821194</v>
      </c>
      <c r="FI181" s="59">
        <f t="shared" si="131"/>
        <v>1064.9230359215453</v>
      </c>
      <c r="FJ181" s="59">
        <f ca="1">AVERAGE(OFFSET($FI$3,0,0,'Données projet'!$E$16+1,1))-AVERAGE(OFFSET($H$3,0,0,'Données projet'!$E$16+1,1))</f>
        <v>383.97627237444709</v>
      </c>
      <c r="FK181" s="59">
        <f t="shared" si="156"/>
        <v>203.35476578922339</v>
      </c>
      <c r="FL181" s="15">
        <f>IF(ISNA(VLOOKUP(A181,'Données projet'!$A$217:$I$237,3,0)),0,VLOOKUP(A181,'Données projet'!$A$217:$I$237,3,0))</f>
        <v>0</v>
      </c>
      <c r="FM181" s="15">
        <f>IF(ISNA(VLOOKUP(A181,'Données projet'!$A$217:$I$237,4,0)),0,VLOOKUP(A181,'Données projet'!$A$217:$I$237,4,0))</f>
        <v>0</v>
      </c>
      <c r="FN181" s="16">
        <f>IF(ISNA(VLOOKUP(A181,'Données projet'!$A$217:$I$237,5,0)),0%,VLOOKUP(A181,'Données projet'!$A$217:$I$237,5,0)*VLOOKUP('Données projet'!$B$16,Paramètres!$A$1:$I$89,7,0))</f>
        <v>0</v>
      </c>
      <c r="FO181" s="16">
        <f>IF(ISNA(VLOOKUP(A181,'Données projet'!$A$217:$I$237,6,0)),0%,VLOOKUP(A181,'Données projet'!$A$217:$I$237,6,0)*VLOOKUP('Données projet'!$B$16,Paramètres!$A$1:$I$89,7,0))</f>
        <v>0</v>
      </c>
      <c r="FP181" s="16">
        <f>IF(ISNA(VLOOKUP(A181,'Données projet'!$A$217:$I$237,7,0)),0%,VLOOKUP(A181,'Données projet'!$A$217:$I$237,7,0))</f>
        <v>0</v>
      </c>
      <c r="FQ181" s="21">
        <f>EXP(-LN(2)/35)*FQ180+(1-EXP(-LN(2)/35))/(LN(2)/35)*FM181*FN181*VLOOKUP('Données projet'!$B$16,Paramètres!$A$1:$I$89,3,0)*0.475*44/12</f>
        <v>0.27485731166982708</v>
      </c>
      <c r="FR181" s="21">
        <f>EXP(-LN(2)/25)*FR180+(1-EXP(-LN(2)/25))/(LN(2)/25)*Calculateur!FM181*Calculateur!FO181*VLOOKUP('Données projet'!$B$16,Paramètres!$A$1:$I$89,3,0)*0.475*44/12</f>
        <v>9.7301092705211853E-2</v>
      </c>
      <c r="FS181" s="21">
        <f>EXP(-LN(2)/2)*FS180+(1-EXP(-LN(2)/2))/(LN(2)/2)*FM181*FP181*VLOOKUP('Données projet'!$B$16,Paramètres!$A$1:$I$89,3,0)*0.475*44/12</f>
        <v>8.8124733606414337E-22</v>
      </c>
      <c r="FT181" s="22">
        <f t="shared" si="184"/>
        <v>0.37215840437503894</v>
      </c>
      <c r="FU181" s="75">
        <f>('Scénario référence'!$F$8+'Scénario référence'!$F$9+'Scénario référence'!$B$17+'Scénario référence'!$B$9+'Scénario référence'!$B$10)*70+IF((45+25*(1-EXP(-0.0175*A181)))&lt;70,'Scénario référence'!$B$16*(45+25*(1-EXP(-0.0175*A181))),70*'Scénario référence'!$B$16)+IF((32+38*(1-EXP(-0.0175*A181)))&lt;70,'Scénario référence'!$B$18*(32+38*(1-EXP(-0.0175*A181))),70*'Scénario référence'!$B$18)</f>
        <v>70</v>
      </c>
      <c r="FV181" s="12">
        <f>IF(A181&gt;30,10,('Scénario référence'!$B$16+'Scénario référence'!$B$17+'Scénario référence'!$B$18+'Scénario référence'!$B$9+'Scénario référence'!$B$10)*A181*10/30+('Scénario référence'!$F$8+'Scénario référence'!$F$9)*10)</f>
        <v>10</v>
      </c>
      <c r="FW181" s="12" t="e">
        <f>VLOOKUP(A181,'Données projet'!$A$243:$I$263,2,0)</f>
        <v>#N/A</v>
      </c>
      <c r="FX181" s="12" t="e">
        <f>VLOOKUP(A181,'Données projet'!$A$243:$I$263,9,0)</f>
        <v>#N/A</v>
      </c>
      <c r="FY181" s="12">
        <f t="array" ref="FY181">INDEX(FX:FX,MIN(IF(ISNUMBER(FX181:FX377),ROW(FX181:FX377),"")))</f>
        <v>0</v>
      </c>
      <c r="FZ181" s="12">
        <f>IF('Données projet'!$A$244&gt;35,FZ180+FY181-GH180,IF(A181&lt;'Données projet'!$A$244,$FW$205^A181,IF(A181='Données projet'!$A$244,'Données projet'!$B$244,FZ180+FY181-GH180)))</f>
        <v>4.5474735088646412E-13</v>
      </c>
      <c r="GA181" s="17">
        <f>FZ181*VLOOKUP('Données projet'!$B$17,Paramètres!$A$1:$I$89,3,0)*VLOOKUP('Données projet'!$B$17,Paramètres!$A$1:$I$89,5,0)</f>
        <v>4.8949004849418999E-13</v>
      </c>
      <c r="GB181" s="13">
        <f t="shared" si="185"/>
        <v>6.1123715499968684E-12</v>
      </c>
      <c r="GC181" s="20">
        <f t="shared" si="186"/>
        <v>1.1498242284038591E-11</v>
      </c>
      <c r="GD181" s="59">
        <f t="shared" si="134"/>
        <v>293.3333333333448</v>
      </c>
      <c r="GE181" s="59">
        <f ca="1">AVERAGE(OFFSET($GD$3,0,0,'Données projet'!$E$17+1,1))-AVERAGE(OFFSET($H$3,0,0,'Données projet'!$E$17+1,1))</f>
        <v>286.77702855541287</v>
      </c>
      <c r="GF181" s="59">
        <f t="shared" si="158"/>
        <v>227.12211541860779</v>
      </c>
      <c r="GG181" s="15">
        <f>IF(ISNA(VLOOKUP(A181,'Données projet'!$A$243:$I$263,3,0)),0,VLOOKUP(A181,'Données projet'!$A$243:$I$263,3,0))</f>
        <v>0</v>
      </c>
      <c r="GH181" s="15">
        <f>IF(ISNA(VLOOKUP(A181,'Données projet'!$A$243:$I$263,4,0)),0,VLOOKUP(A181,'Données projet'!$A$243:$I$263,4,0))</f>
        <v>0</v>
      </c>
      <c r="GI181" s="16">
        <f>IF(ISNA(VLOOKUP(A181,'Données projet'!$A$243:$I$263,5,0)),0%,VLOOKUP(A181,'Données projet'!$A$243:$I$263,5,0)*VLOOKUP('Données projet'!$B$17,Paramètres!$A$1:$I$89,7,0))</f>
        <v>0</v>
      </c>
      <c r="GJ181" s="16">
        <f>IF(ISNA(VLOOKUP(A181,'Données projet'!$A$243:$I$263,6,0)),0%,VLOOKUP(A181,'Données projet'!$A$243:$I$263,6,0)*VLOOKUP('Données projet'!$B$17,Paramètres!$A$1:$I$89,7,0))</f>
        <v>0</v>
      </c>
      <c r="GK181" s="16">
        <f>IF(ISNA(VLOOKUP(A181,'Données projet'!$A$243:$I$263,7,0)),0%,VLOOKUP(A181,'Données projet'!$A$243:$I$263,7,0))</f>
        <v>0</v>
      </c>
      <c r="GL181" s="21">
        <f>EXP(-LN(2)/35)*GL180+(1-EXP(-LN(2)/35))/(LN(2)/35)*GH181*GI181*VLOOKUP('Données projet'!$B$17,Paramètres!$A$1:$I$89,3,0)*0.475*44/12</f>
        <v>0</v>
      </c>
      <c r="GM181" s="21">
        <f>EXP(-LN(2)/25)*GM180+(1-EXP(-LN(2)/25))/(LN(2)/25)*Calculateur!GH181*Calculateur!GJ181*VLOOKUP('Données projet'!$B$17,Paramètres!$A$1:$I$89,3,0)*0.475*44/12</f>
        <v>0</v>
      </c>
      <c r="GN181" s="21">
        <f>EXP(-LN(2)/2)*GN180+(1-EXP(-LN(2)/2))/(LN(2)/2)*GH181*GK181*VLOOKUP('Données projet'!$B$17,Paramètres!$A$1:$I$89,3,0)*0.475*44/12</f>
        <v>0</v>
      </c>
      <c r="GO181" s="21">
        <f t="shared" si="187"/>
        <v>0</v>
      </c>
      <c r="GP181" s="75">
        <f>('Scénario référence'!$F$8+'Scénario référence'!$F$9+'Scénario référence'!$B$17+'Scénario référence'!$B$9+'Scénario référence'!$B$10)*70+IF((45+25*(1-EXP(-0.0175*A181)))&lt;70,'Scénario référence'!$B$16*(45+25*(1-EXP(-0.0175*A181))),70*'Scénario référence'!$B$16)+IF((32+38*(1-EXP(-0.0175*A181)))&lt;70,'Scénario référence'!$B$18*(32+38*(1-EXP(-0.0175*A181))),70*'Scénario référence'!$B$18)</f>
        <v>70</v>
      </c>
      <c r="GQ181" s="12">
        <f>IF(A181&gt;30,10,('Scénario référence'!$B$16+'Scénario référence'!$B$17+'Scénario référence'!$B$18+'Scénario référence'!$B$9+'Scénario référence'!$B$10)*A181*10/30+('Scénario référence'!$F$8+'Scénario référence'!$F$9)*10)</f>
        <v>10</v>
      </c>
      <c r="GR181" s="12" t="e">
        <f>VLOOKUP(A181,'Données projet'!$A$269:$I$289,2,0)</f>
        <v>#N/A</v>
      </c>
      <c r="GS181" s="12" t="e">
        <f>VLOOKUP(A181,'Données projet'!$A$269:$I$289,9,0)</f>
        <v>#N/A</v>
      </c>
      <c r="GT181" s="12">
        <f t="array" ref="GT181">INDEX(GS:GS,MIN(IF(ISNUMBER(GS181:GS377),ROW(GS181:GS377),"")))</f>
        <v>0</v>
      </c>
      <c r="GU181" s="12">
        <f>IF('Données projet'!$A$270&gt;35,GU180+GT181-HC180,IF(A181&lt;'Données projet'!$A$270,$GR$205^A181,IF(A181='Données projet'!$A$270,'Données projet'!$B$270,GU180+GT181-HC180)))</f>
        <v>4.5474735088646412E-13</v>
      </c>
      <c r="GV181" s="17">
        <f>GU181*VLOOKUP('Données projet'!$B$18,Paramètres!$A$1:$I$89,3,0)*VLOOKUP('Données projet'!$B$18,Paramètres!$A$1:$I$89,5,0)</f>
        <v>4.8949004849418999E-13</v>
      </c>
      <c r="GW181" s="13">
        <f t="shared" si="188"/>
        <v>6.1123715499968684E-12</v>
      </c>
      <c r="GX181" s="20">
        <f t="shared" si="189"/>
        <v>1.1498242284038591E-11</v>
      </c>
      <c r="GY181" s="59">
        <f t="shared" si="137"/>
        <v>293.3333333333448</v>
      </c>
      <c r="GZ181" s="59">
        <f ca="1">AVERAGE(OFFSET($GY$3,0,0,'Données projet'!$E$18+1,1))-AVERAGE(OFFSET($H$3,0,0,'Données projet'!$E$18+1,1))</f>
        <v>286.77702855541287</v>
      </c>
      <c r="HA181" s="59">
        <f t="shared" si="160"/>
        <v>227.12211541860779</v>
      </c>
      <c r="HB181" s="15">
        <f>IF(ISNA(VLOOKUP(A181,'Données projet'!$A$269:$I$289,3,0)),0,VLOOKUP(A181,'Données projet'!$A$269:$I$289,3,0))</f>
        <v>0</v>
      </c>
      <c r="HC181" s="15">
        <f>IF(ISNA(VLOOKUP(A181,'Données projet'!$A$269:$I$289,4,0)),0,VLOOKUP(A181,'Données projet'!$A$269:$I$289,4,0))</f>
        <v>0</v>
      </c>
      <c r="HD181" s="16">
        <f>IF(ISNA(VLOOKUP(A181,'Données projet'!$A$269:$I$289,5,0)),0%,VLOOKUP(A181,'Données projet'!$A$269:$I$289,5,0)*VLOOKUP('Données projet'!$B$18,Paramètres!$A$1:$I$89,7,0))</f>
        <v>0</v>
      </c>
      <c r="HE181" s="16">
        <f>IF(ISNA(VLOOKUP(A181,'Données projet'!$A$269:$I$289,6,0)),0%,VLOOKUP(A181,'Données projet'!$A$269:$I$289,6,0)*VLOOKUP('Données projet'!$B$18,Paramètres!$A$1:$I$89,7,0))</f>
        <v>0</v>
      </c>
      <c r="HF181" s="16">
        <f>IF(ISNA(VLOOKUP(A181,'Données projet'!$A$269:$I$289,7,0)),0%,VLOOKUP(A181,'Données projet'!$A$269:$I$289,7,0))</f>
        <v>0</v>
      </c>
      <c r="HG181" s="21">
        <f>EXP(-LN(2)/35)*HG180+(1-EXP(-LN(2)/35))/(LN(2)/35)*HC181*HD181*VLOOKUP('Données projet'!$B$18,Paramètres!$A$1:$I$89,3,0)*0.475*44/12</f>
        <v>0</v>
      </c>
      <c r="HH181" s="21">
        <f>EXP(-LN(2)/25)*HH180+(1-EXP(-LN(2)/25))/(LN(2)/25)*Calculateur!HC181*Calculateur!HE181*VLOOKUP('Données projet'!$B$18,Paramètres!$A$1:$I$89,3,0)*0.475*44/12</f>
        <v>0</v>
      </c>
      <c r="HI181" s="21">
        <f>EXP(-LN(2)/2)*HI180+(1-EXP(-LN(2)/2))/(LN(2)/2)*HC181*HF181*VLOOKUP('Données projet'!$B$18,Paramètres!$A$1:$I$89,3,0)*0.475*44/12</f>
        <v>0</v>
      </c>
      <c r="HJ181" s="22">
        <f t="shared" si="190"/>
        <v>0</v>
      </c>
    </row>
    <row r="182" spans="1:218" x14ac:dyDescent="0.25">
      <c r="A182" s="10">
        <f t="shared" si="161"/>
        <v>179</v>
      </c>
      <c r="B182" s="73">
        <f>'Scénario référence'!$B$16*5+'Scénario référence'!$B$17*0+'Scénario référence'!$B$18*5</f>
        <v>0</v>
      </c>
      <c r="C182" s="19">
        <f>Calculateur!C181+'Scénario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159.16679999999982</v>
      </c>
      <c r="D182" s="11">
        <f t="shared" si="140"/>
        <v>40.654527752930711</v>
      </c>
      <c r="E18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82" s="11">
        <f>IF(OR('Scénario référence'!$F$8&gt;0,'Scénario référence'!$F$9&gt;0),('Scénario référence'!$F$8+'Scénario référence'!$F$9)*10,0)</f>
        <v>10</v>
      </c>
      <c r="G182" s="11">
        <f>'Scénario référence'!$B$8*B182*44/12+'Scénario référence'!$B$9*(C182+D182)/0.475*44/12+'Scénario référence'!$B$10*(C182+D182)/0.475*44/12+'Scénario référence'!$F$8*(C182+D182)/0.475*44/12+'Scénario référence'!$F$9*(C182+D182)/0.475*44/12</f>
        <v>1542.4804247594639</v>
      </c>
      <c r="H182" s="67">
        <f t="shared" si="110"/>
        <v>641.35547916968733</v>
      </c>
      <c r="I182" s="70">
        <f>('Scénario référence'!$F$8+'Scénario référence'!$F$9+'Scénario référence'!$B$17+'Scénario référence'!$B$9+'Scénario référence'!$B$10)*70+IF((45+25*(1-EXP(-0.0175*A182)))&lt;70,'Scénario référence'!$B$16*(45+25*(1-EXP(-0.0175*A182))),70*'Scénario référence'!$B$16)+IF((32+38*(1-EXP(-0.0175*A182)))&lt;70,'Scénario référence'!$B$18*(32+38*(1-EXP(-0.0175*A182))),70*'Scénario référence'!$B$18)</f>
        <v>70</v>
      </c>
      <c r="J182" s="13">
        <f>IF(A182&gt;30,10,('Scénario référence'!$B$16+'Scénario référence'!$B$17+'Scénario référence'!$B$18+'Scénario référence'!$B$9+'Scénario référence'!$B$10)*A182*10/30+('Scénario référence'!$F$8+'Scénario référence'!$F$9)*10)</f>
        <v>10</v>
      </c>
      <c r="K182" s="12" t="e">
        <f>VLOOKUP(A182,'Données projet'!$A$35:$I$55,2,0)</f>
        <v>#N/A</v>
      </c>
      <c r="L182" s="12" t="e">
        <f>VLOOKUP(A182,'Données projet'!$A$35:$I$55,9,0)</f>
        <v>#N/A</v>
      </c>
      <c r="M182" s="12">
        <f t="array" ref="M182">INDEX(L:L,MIN(IF(ISNUMBER(L182:L378),ROW(L182:L378),"")))</f>
        <v>0</v>
      </c>
      <c r="N182" s="13">
        <f>IF('Données projet'!$A$36&gt;35,N181+M182-V181,IF(A182&lt;'Données projet'!$A$36,$K$205^A182,IF(A182='Données projet'!$A$36,'Données projet'!$B$36,N181+M182-V181)))</f>
        <v>-2.2737367544323206E-13</v>
      </c>
      <c r="O182" s="13">
        <f>N182*VLOOKUP('Données projet'!$B$9,Paramètres!$A$1:$I$89,3,0)*VLOOKUP('Données projet'!$B$9,Paramètres!$A$1:$I$89,5,0)</f>
        <v>-1.2710188457276673E-13</v>
      </c>
      <c r="P182" s="13" t="e">
        <f t="shared" si="141"/>
        <v>#NUM!</v>
      </c>
      <c r="Q182" s="20" t="e">
        <f t="shared" si="162"/>
        <v>#NUM!</v>
      </c>
      <c r="R182" s="59" t="e">
        <f t="shared" si="109"/>
        <v>#NUM!</v>
      </c>
      <c r="S182" s="59">
        <f ca="1">AVERAGE(OFFSET($R$3,0,0,'Données projet'!$E$9+1,1))-AVERAGE(OFFSET($H$3,0,0,'Données projet'!$E$9+1,1))</f>
        <v>255.5374979188561</v>
      </c>
      <c r="T182" s="59">
        <f t="shared" si="142"/>
        <v>343.10418468620901</v>
      </c>
      <c r="U182" s="15">
        <f>IF(ISNA(VLOOKUP(A182,'Données projet'!$A$35:$I$55,3,0)),0,VLOOKUP(A182,'Données projet'!$A$35:$I$55,3,0))</f>
        <v>0</v>
      </c>
      <c r="V182" s="15">
        <f>IF(ISNA(VLOOKUP(A182,'Données projet'!$A$35:$I$55,4,0)),0,VLOOKUP(A182,'Données projet'!$A$35:$I$55,4,0))</f>
        <v>0</v>
      </c>
      <c r="W182" s="16">
        <f>IF(ISNA(VLOOKUP(A182,'Données projet'!$A$35:$I$55,5,0)),0%,VLOOKUP(A182,'Données projet'!$A$35:$I$55,5,0)*VLOOKUP('Données projet'!$B$9,Paramètres!$A$1:$I$89,7,0))</f>
        <v>0</v>
      </c>
      <c r="X182" s="16">
        <f>IF(ISNA(VLOOKUP(A182,'Données projet'!$A$35:$I$55,6,0)),0%,VLOOKUP(A182,'Données projet'!$A$35:$I$55,6,0)*VLOOKUP('Données projet'!$B$9,Paramètres!$A$1:$I$89,7,0))</f>
        <v>0</v>
      </c>
      <c r="Y182" s="16">
        <f>IF(ISNA(VLOOKUP(A182,'Données projet'!$A$35:$I$55,7,0)),0%,VLOOKUP(A182,'Données projet'!$A$35:$I$55,7,0))</f>
        <v>0</v>
      </c>
      <c r="Z182" s="21">
        <f>EXP(-LN(2)/35)*Z181+(1-EXP(-LN(2)/35))/(LN(2)/35)*V182*W182*VLOOKUP('Données projet'!$B$9,Paramètres!$A$1:$I$89,3,0)*0.475*44/12</f>
        <v>0.16159820204801248</v>
      </c>
      <c r="AA182" s="21">
        <f>EXP(-LN(2)/25)*AA181+(1-EXP(-LN(2)/25))/(LN(2)/25)*Calculateur!V182*Calculateur!X182*VLOOKUP('Données projet'!$B$9,Paramètres!$A$1:$I$89,3,0)*0.475*44/12</f>
        <v>0.25639004826316109</v>
      </c>
      <c r="AB182" s="21">
        <f>EXP(-LN(2)/2)*AB181+(1-EXP(-LN(2)/2))/(LN(2)/2)*V182*Y182*VLOOKUP('Données projet'!$B$9,Paramètres!$A$1:$I$89,3,0)*0.475*44/12</f>
        <v>6.3362604740291573E-23</v>
      </c>
      <c r="AC182" s="22">
        <f t="shared" si="163"/>
        <v>0.41798825031117359</v>
      </c>
      <c r="AD182" s="13">
        <f>('Scénario référence'!$F$8+'Scénario référence'!$F$9+'Scénario référence'!$B$17+'Scénario référence'!$B$9+'Scénario référence'!$B$10)*70+IF((45+25*(1-EXP(-0.0175*A182)))&lt;70,'Scénario référence'!$B$16*(45+25*(1-EXP(-0.0175*A182))),70*'Scénario référence'!$B$16)+IF((32+38*(1-EXP(-0.0175*A182)))&lt;70,'Scénario référence'!$B$18*(32+38*(1-EXP(-0.0175*A182))),70*'Scénario référence'!$B$18)</f>
        <v>70</v>
      </c>
      <c r="AE182" s="13">
        <f>IF(A182&gt;30,10,('Scénario référence'!$B$16+'Scénario référence'!$B$17+'Scénario référence'!$B$18+'Scénario référence'!$B$9+'Scénario référence'!$B$10)*A182*10/30+('Scénario référence'!$F$8+'Scénario référence'!$F$9)*10)</f>
        <v>10</v>
      </c>
      <c r="AF182" s="12" t="e">
        <f>VLOOKUP(A182,'Données projet'!$A$61:$I$81,2,0)</f>
        <v>#N/A</v>
      </c>
      <c r="AG182" s="12" t="e">
        <f>VLOOKUP(A182,'Données projet'!$A$61:$I$81,9,0)</f>
        <v>#N/A</v>
      </c>
      <c r="AH182" s="12">
        <f t="array" ref="AH182">INDEX(AG:AG,MIN(IF(ISNUMBER(AG182:AG378),ROW(AG182:AG378),"")))</f>
        <v>0</v>
      </c>
      <c r="AI182" s="13">
        <f>IF('Données projet'!$A$62&gt;35,AI181+AH182-AQ181,IF(A182&lt;'Données projet'!$A$62,$AF$205^A182,IF(A182='Données projet'!$A$62,'Données projet'!$B$62,AI181+AH182-AQ181)))</f>
        <v>0</v>
      </c>
      <c r="AJ182" s="13">
        <f>AI182*VLOOKUP('Données projet'!$B$10,Paramètres!$A$1:$I$89,3,0)*VLOOKUP('Données projet'!$B$10,Paramètres!$A$1:$I$89,5,0)</f>
        <v>0</v>
      </c>
      <c r="AK182" s="13" t="e">
        <f t="shared" si="164"/>
        <v>#NUM!</v>
      </c>
      <c r="AL182" s="20" t="e">
        <f t="shared" si="165"/>
        <v>#NUM!</v>
      </c>
      <c r="AM182" s="59" t="e">
        <f t="shared" si="113"/>
        <v>#NUM!</v>
      </c>
      <c r="AN182" s="59">
        <f ca="1">AVERAGE(OFFSET($AM$3,0,0,'Données projet'!$E$10+1,1))-AVERAGE(OFFSET($H$3,0,0,'Données projet'!$E$10+1,1))</f>
        <v>261.78489480911571</v>
      </c>
      <c r="AO182" s="59">
        <f t="shared" si="144"/>
        <v>297.50513563712764</v>
      </c>
      <c r="AP182" s="15">
        <f>IF(ISNA(VLOOKUP(A182,'Données projet'!$A$61:$I$81,3,0)),0,VLOOKUP(A182,'Données projet'!$A$61:$I$81,3,0))</f>
        <v>0</v>
      </c>
      <c r="AQ182" s="15">
        <f>IF(ISNA(VLOOKUP(A182,'Données projet'!$A$61:$I$81,4,0)),0,VLOOKUP(A182,'Données projet'!$A$61:$I$81,4,0))</f>
        <v>0</v>
      </c>
      <c r="AR182" s="16">
        <f>IF(ISNA(VLOOKUP(A182,'Données projet'!$A$61:$I$81,5,0)),0%,VLOOKUP(A182,'Données projet'!$A$61:$I$81,5,0)*VLOOKUP('Données projet'!$B$10,Paramètres!$A$1:$I$89,7,0))</f>
        <v>0</v>
      </c>
      <c r="AS182" s="16">
        <f>IF(ISNA(VLOOKUP(A182,'Données projet'!$A$61:$I$81,6,0)),0%,VLOOKUP(A182,'Données projet'!$A$61:$I$81,6,0)*VLOOKUP('Données projet'!$B$10,Paramètres!$A$1:$I$89,7,0))</f>
        <v>0</v>
      </c>
      <c r="AT182" s="16">
        <f>IF(ISNA(VLOOKUP(A182,'Données projet'!$A$61:$I$81,7,0)),0%,VLOOKUP(A182,'Données projet'!$A$61:$I$81,7,0))</f>
        <v>0</v>
      </c>
      <c r="AU182" s="21">
        <f>EXP(-LN(2)/35)*AU181+(1-EXP(-LN(2)/35))/(LN(2)/35)*AQ182*AR182*VLOOKUP('Données projet'!$B$10,Paramètres!$A$1:$I$89,3,0)*0.475*44/12</f>
        <v>0.43636085336185049</v>
      </c>
      <c r="AV182" s="21">
        <f>EXP(-LN(2)/25)*AV181+(1-EXP(-LN(2)/25))/(LN(2)/25)*Calculateur!AQ182*Calculateur!AS182*VLOOKUP('Données projet'!$B$10,Paramètres!$A$1:$I$89,3,0)*0.475*44/12</f>
        <v>0.44770931780596779</v>
      </c>
      <c r="AW182" s="21">
        <f>EXP(-LN(2)/2)*AW181+(1-EXP(-LN(2)/2))/(LN(2)/2)*AQ182*AT182*VLOOKUP('Données projet'!$B$10,Paramètres!$A$1:$I$89,3,0)*0.475*44/12</f>
        <v>9.1343226878563674E-22</v>
      </c>
      <c r="AX182" s="21">
        <f t="shared" si="166"/>
        <v>0.88407017116781828</v>
      </c>
      <c r="AY182" s="74">
        <f>('Scénario référence'!$F$8+'Scénario référence'!$F$9+'Scénario référence'!$B$17+'Scénario référence'!$B$9+'Scénario référence'!$B$10)*70+IF((45+25*(1-EXP(-0.0175*A182)))&lt;70,'Scénario référence'!$B$16*(45+25*(1-EXP(-0.0175*A182))),70*'Scénario référence'!$B$16)+IF((32+38*(1-EXP(-0.0175*A182)))&lt;70,'Scénario référence'!$B$18*(32+38*(1-EXP(-0.0175*A182))),70*'Scénario référence'!$B$18)</f>
        <v>70</v>
      </c>
      <c r="AZ182" s="12">
        <f>IF(A182&gt;30,10,('Scénario référence'!$B$16+'Scénario référence'!$B$17+'Scénario référence'!$B$18+'Scénario référence'!$B$9+'Scénario référence'!$B$10)*A182*10/30+('Scénario référence'!$F$8+'Scénario référence'!$F$9)*10)</f>
        <v>10</v>
      </c>
      <c r="BA182" s="12" t="e">
        <f>VLOOKUP(A182,'Données projet'!$A$87:$I$107,2,0)</f>
        <v>#N/A</v>
      </c>
      <c r="BB182" s="12" t="e">
        <f>VLOOKUP(A182,'Données projet'!$A$87:$I$107,9,0)</f>
        <v>#N/A</v>
      </c>
      <c r="BC182" s="12">
        <f t="array" ref="BC182">INDEX(BB:BB,MIN(IF(ISNUMBER(BB182:BB378),ROW(BB182:BB378),"")))</f>
        <v>0</v>
      </c>
      <c r="BD182" s="12">
        <f>IF('Données projet'!$A$88&gt;35,BD181+BC182-BL181,IF(A182&lt;'Données projet'!$A$88,$BA$205^A182,IF(A182='Données projet'!$A$88,'Données projet'!$B$88,BD181+BC182-BL181)))</f>
        <v>553.99999999999955</v>
      </c>
      <c r="BE182" s="13">
        <f>BD182*VLOOKUP('Données projet'!$B$11,Paramètres!$A$1:$I$89,3,0)*VLOOKUP('Données projet'!$B$11,Paramètres!$A$1:$I$89,5,0)</f>
        <v>331.29199999999975</v>
      </c>
      <c r="BF182" s="13">
        <f t="shared" si="167"/>
        <v>77.698110787752</v>
      </c>
      <c r="BG182" s="20">
        <f t="shared" si="168"/>
        <v>712.32444295533423</v>
      </c>
      <c r="BH182" s="59">
        <f t="shared" si="116"/>
        <v>1005.6577762886675</v>
      </c>
      <c r="BI182" s="59">
        <f ca="1">AVERAGE(OFFSET($BH$3,0,0,'Données projet'!$E$11+1,1))-AVERAGE(OFFSET($H$3,0,0,'Données projet'!$E$11+1,1))</f>
        <v>316.58509520829671</v>
      </c>
      <c r="BJ182" s="59">
        <f t="shared" si="146"/>
        <v>240.71332110643596</v>
      </c>
      <c r="BK182" s="15">
        <f>IF(ISNA(VLOOKUP(A182,'Données projet'!$A$87:$I$107,3,0)),0,VLOOKUP(A182,'Données projet'!$A$87:$I$107,3,0))</f>
        <v>0</v>
      </c>
      <c r="BL182" s="15">
        <f>IF(ISNA(VLOOKUP(A182,'Données projet'!$A$87:$I$107,4,0)),0,VLOOKUP(A182,'Données projet'!$A$87:$I$107,4,0))</f>
        <v>0</v>
      </c>
      <c r="BM182" s="16">
        <f>IF(ISNA(VLOOKUP(A182,'Données projet'!$A$87:$I$107,5,0)),0%,VLOOKUP(A182,'Données projet'!$A$87:$I$107,5,0)*VLOOKUP('Données projet'!$B$11,Paramètres!$A$1:$I$89,7,0))</f>
        <v>0</v>
      </c>
      <c r="BN182" s="16">
        <f>IF(ISNA(VLOOKUP(A182,'Données projet'!$A$87:$I$107,6,0)),0%,VLOOKUP(A182,'Données projet'!$A$87:$I$107,6,0)*VLOOKUP('Données projet'!$B$11,Paramètres!$A$1:$I$89,7,0))</f>
        <v>0</v>
      </c>
      <c r="BO182" s="16">
        <f>IF(ISNA(VLOOKUP(A182,'Données projet'!$A$87:$I$107,7,0)),0%,VLOOKUP(A182,'Données projet'!$A$87:$I$107,7,0))</f>
        <v>0</v>
      </c>
      <c r="BP182" s="21">
        <f>EXP(-LN(2)/35)*BP181+(1-EXP(-LN(2)/35))/(LN(2)/35)*BL182*BM182*VLOOKUP('Données projet'!$B$11,Paramètres!$A$1:$I$89,3,0)*0.475*44/12</f>
        <v>0.13254785594120214</v>
      </c>
      <c r="BQ182" s="21">
        <f>EXP(-LN(2)/25)*BQ181+(1-EXP(-LN(2)/25))/(LN(2)/25)*Calculateur!BL182*Calculateur!BN182*VLOOKUP('Données projet'!$B$11,Paramètres!$A$1:$I$89,3,0)*0.475*44/12</f>
        <v>0.24526822759087333</v>
      </c>
      <c r="BR182" s="21">
        <f>EXP(-LN(2)/2)*BR181+(1-EXP(-LN(2)/2))/(LN(2)/2)*BL182*BO182*VLOOKUP('Données projet'!$B$11,Paramètres!$A$1:$I$89,3,0)*0.475*44/12</f>
        <v>8.2127564198742911E-22</v>
      </c>
      <c r="BS182" s="22">
        <f t="shared" si="169"/>
        <v>0.37781608353207546</v>
      </c>
      <c r="BT182" s="75">
        <f>('Scénario référence'!$F$8+'Scénario référence'!$F$9+'Scénario référence'!$B$17+'Scénario référence'!$B$9+'Scénario référence'!$B$10)*70+IF((45+25*(1-EXP(-0.0175*A182)))&lt;70,'Scénario référence'!$B$16*(45+25*(1-EXP(-0.0175*A182))),70*'Scénario référence'!$B$16)+IF((32+38*(1-EXP(-0.0175*A182)))&lt;70,'Scénario référence'!$B$18*(32+38*(1-EXP(-0.0175*A182))),70*'Scénario référence'!$B$18)</f>
        <v>70</v>
      </c>
      <c r="BU182" s="12">
        <f>IF(A182&gt;30,10,('Scénario référence'!$B$16+'Scénario référence'!$B$17+'Scénario référence'!$B$18+'Scénario référence'!$B$9+'Scénario référence'!$B$10)*A182*10/30+('Scénario référence'!$F$8+'Scénario référence'!$F$9)*10)</f>
        <v>10</v>
      </c>
      <c r="BV182" s="12" t="e">
        <f>VLOOKUP(A182,'Données projet'!$A$113:$I$133,2,0)</f>
        <v>#N/A</v>
      </c>
      <c r="BW182" s="12" t="e">
        <f>VLOOKUP(A182,'Données projet'!$A$113:$I$133,9,0)</f>
        <v>#N/A</v>
      </c>
      <c r="BX182" s="12">
        <f t="array" ref="BX182">INDEX(BW:BW,MIN(IF(ISNUMBER(BW182:BW378),ROW(BW182:BW378),"")))</f>
        <v>0</v>
      </c>
      <c r="BY182" s="12">
        <f>IF('Données projet'!$A$114&gt;35,BY181+BX182-CG181,IF(A182&lt;'Données projet'!$A$114,$BV$205^A182,IF(A182='Données projet'!$A$114,'Données projet'!$B$114,BY181+BX182-CG181)))</f>
        <v>333.99999999999977</v>
      </c>
      <c r="BZ182" s="13">
        <f>BY182*VLOOKUP('Données projet'!$B$12,Paramètres!$A$1:$I$89,3,0)*VLOOKUP('Données projet'!$B$12,Paramètres!$A$1:$I$89,5,0)</f>
        <v>191.04799999999986</v>
      </c>
      <c r="CA182" s="13">
        <f t="shared" si="170"/>
        <v>47.771576544305155</v>
      </c>
      <c r="CB182" s="20">
        <f t="shared" si="171"/>
        <v>415.94409581466454</v>
      </c>
      <c r="CC182" s="59">
        <f t="shared" si="119"/>
        <v>709.27742914799785</v>
      </c>
      <c r="CD182" s="59">
        <f ca="1">AVERAGE(OFFSET($CC$3,0,0,'Données projet'!$E$12+1,1))-AVERAGE(OFFSET($H$3,0,0,'Données projet'!$E$12+1,1))</f>
        <v>188.64374818906128</v>
      </c>
      <c r="CE182" s="59">
        <f t="shared" si="148"/>
        <v>211.95157880548652</v>
      </c>
      <c r="CF182" s="15">
        <f>IF(ISNA(VLOOKUP(A182,'Données projet'!$A$113:$I$133,3,0)),0,VLOOKUP(A182,'Données projet'!$A$113:$I$133,3,0))</f>
        <v>0</v>
      </c>
      <c r="CG182" s="15">
        <f>IF(ISNA(VLOOKUP(A182,'Données projet'!$A$113:$I$133,4,0)),0,VLOOKUP(A182,'Données projet'!$A$113:$I$133,4,0))</f>
        <v>0</v>
      </c>
      <c r="CH182" s="16">
        <f>IF(ISNA(VLOOKUP(A182,'Données projet'!$A$113:$I$133,5,0)),0%,VLOOKUP(A182,'Données projet'!$A$113:$I$133,5,0)*VLOOKUP('Données projet'!$B$12,Paramètres!$A$1:$I$89,7,0))</f>
        <v>0</v>
      </c>
      <c r="CI182" s="16">
        <f>IF(ISNA(VLOOKUP(A182,'Données projet'!$A$113:$I$133,6,0)),0%,VLOOKUP(A182,'Données projet'!$A$113:$I$133,6,0)*VLOOKUP('Données projet'!$B$12,Paramètres!$A$1:$I$89,7,0))</f>
        <v>0</v>
      </c>
      <c r="CJ182" s="16">
        <f>IF(ISNA(VLOOKUP(A182,'Données projet'!$A$113:$I$133,7,0)),0%,VLOOKUP(A182,'Données projet'!$A$113:$I$133,7,0))</f>
        <v>0</v>
      </c>
      <c r="CK182" s="21">
        <f>EXP(-LN(2)/35)*CK181+(1-EXP(-LN(2)/35))/(LN(2)/35)*CG182*CH182*VLOOKUP('Données projet'!$B$12,Paramètres!$A$1:$I$89,3,0)*0.475*44/12</f>
        <v>0.12857060857983094</v>
      </c>
      <c r="CL182" s="21">
        <f>EXP(-LN(2)/25)*CL181+(1-EXP(-LN(2)/25))/(LN(2)/25)*Calculateur!CG182*Calculateur!CI182*VLOOKUP('Données projet'!$B$12,Paramètres!$A$1:$I$89,3,0)*0.475*44/12</f>
        <v>0.23085200911354331</v>
      </c>
      <c r="CM182" s="21">
        <f>EXP(-LN(2)/2)*CM181+(1-EXP(-LN(2)/2))/(LN(2)/2)*CG182*CJ182*VLOOKUP('Données projet'!$B$12,Paramètres!$A$1:$I$89,3,0)*0.475*44/12</f>
        <v>7.9534120170427699E-22</v>
      </c>
      <c r="CN182" s="22">
        <f t="shared" si="172"/>
        <v>0.35942261769337425</v>
      </c>
      <c r="CO182" s="75">
        <f>('Scénario référence'!$F$8+'Scénario référence'!$F$9+'Scénario référence'!$B$17+'Scénario référence'!$B$9+'Scénario référence'!$B$10)*70+IF((45+25*(1-EXP(-0.0175*A182)))&lt;70,'Scénario référence'!$B$16*(45+25*(1-EXP(-0.0175*A182))),70*'Scénario référence'!$B$16)+IF((32+38*(1-EXP(-0.0175*A182)))&lt;70,'Scénario référence'!$B$18*(32+38*(1-EXP(-0.0175*A182))),70*'Scénario référence'!$B$18)</f>
        <v>70</v>
      </c>
      <c r="CP182" s="12">
        <f>IF(A182&gt;30,10,('Scénario référence'!$B$16+'Scénario référence'!$B$17+'Scénario référence'!$B$18+'Scénario référence'!$B$9+'Scénario référence'!$B$10)*A182*10/30+('Scénario référence'!$F$8+'Scénario référence'!$F$9)*10)</f>
        <v>10</v>
      </c>
      <c r="CQ182" s="12" t="e">
        <f>VLOOKUP(A182,'Données projet'!$A$139:$I$159,2,0)</f>
        <v>#N/A</v>
      </c>
      <c r="CR182" s="12" t="e">
        <f>VLOOKUP(A182,'Données projet'!$A$139:$I$159,9,0)</f>
        <v>#N/A</v>
      </c>
      <c r="CS182" s="12">
        <f t="array" ref="CS182">INDEX(CR:CR,MIN(IF(ISNUMBER(CR182:CR378),ROW(CR182:CR378),"")))</f>
        <v>0</v>
      </c>
      <c r="CT182" s="12">
        <f>IF('Données projet'!$A$140&gt;35,CT181+CS182-DB181,IF(A182&lt;'Données projet'!$A$140,$CQ$205^A182,IF(A182='Données projet'!$A$140,'Données projet'!$B$140,CT181+CS182-DB181)))</f>
        <v>0</v>
      </c>
      <c r="CU182" s="17" t="e">
        <f>CT182*VLOOKUP('Données projet'!$B$13,Paramètres!$A$1:$I$89,3,0)*VLOOKUP('Données projet'!$B$13,Paramètres!$A$1:$I$89,5,0)</f>
        <v>#N/A</v>
      </c>
      <c r="CV182" s="13" t="e">
        <f t="shared" si="173"/>
        <v>#N/A</v>
      </c>
      <c r="CW182" s="20" t="e">
        <f t="shared" si="174"/>
        <v>#N/A</v>
      </c>
      <c r="CX182" s="59" t="e">
        <f t="shared" si="122"/>
        <v>#N/A</v>
      </c>
      <c r="CY182" s="59" t="e">
        <f ca="1">AVERAGE(OFFSET($CX$3,0,0,'Données projet'!$E$13+1,1))-AVERAGE(OFFSET($H$3,0,0,'Données projet'!$E$13+1,1))</f>
        <v>#N/A</v>
      </c>
      <c r="CZ182" s="59" t="e">
        <f t="shared" si="150"/>
        <v>#N/A</v>
      </c>
      <c r="DA182" s="15">
        <f>IF(ISNA(VLOOKUP(A182,'Données projet'!$A$139:$I$159,3,0)),0,VLOOKUP(A182,'Données projet'!$A$139:$I$159,3,0))</f>
        <v>0</v>
      </c>
      <c r="DB182" s="15">
        <f>IF(ISNA(VLOOKUP(A182,'Données projet'!$A$139:$I$159,4,0)),0,VLOOKUP(A182,'Données projet'!$A$139:$I$159,4,0))</f>
        <v>0</v>
      </c>
      <c r="DC182" s="16">
        <f>IF(ISNA(VLOOKUP(A182,'Données projet'!$A$139:$I$159,5,0)),0%,VLOOKUP(A182,'Données projet'!$A$139:$I$159,5,0)*VLOOKUP('Données projet'!$B$13,Paramètres!$A$1:$I$89,7,0))</f>
        <v>0</v>
      </c>
      <c r="DD182" s="16">
        <f>IF(ISNA(VLOOKUP(A182,'Données projet'!$A$139:$I$159,6,0)),0%,VLOOKUP(A182,'Données projet'!$A$139:$I$159,6,0)*VLOOKUP('Données projet'!$B$13,Paramètres!$A$1:$I$89,7,0))</f>
        <v>0</v>
      </c>
      <c r="DE182" s="16">
        <f>IF(ISNA(VLOOKUP(A182,'Données projet'!$A$139:$I$159,7,0)),0%,VLOOKUP(A182,'Données projet'!$A$139:$I$159,7,0))</f>
        <v>0</v>
      </c>
      <c r="DF182" s="21" t="e">
        <f>EXP(-LN(2)/35)*DF181+(1-EXP(-LN(2)/35))/(LN(2)/35)*DB182*DC182*VLOOKUP('Données projet'!$B$13,Paramètres!$A$1:$I$89,3,0)*0.475*44/12</f>
        <v>#N/A</v>
      </c>
      <c r="DG182" s="21" t="e">
        <f>EXP(-LN(2)/25)*DG181+(1-EXP(-LN(2)/25))/(LN(2)/25)*Calculateur!DB182*Calculateur!DD182*VLOOKUP('Données projet'!$B$13,Paramètres!$A$1:$I$89,3,0)*0.475*44/12</f>
        <v>#N/A</v>
      </c>
      <c r="DH182" s="21" t="e">
        <f>EXP(-LN(2)/2)*DH181+(1-EXP(-LN(2)/2))/(LN(2)/2)*DB182*DE182*VLOOKUP('Données projet'!$B$13,Paramètres!$A$1:$I$89,3,0)*0.475*44/12</f>
        <v>#N/A</v>
      </c>
      <c r="DI182" s="22" t="e">
        <f t="shared" si="175"/>
        <v>#N/A</v>
      </c>
      <c r="DJ182" s="75">
        <f>('Scénario référence'!$F$8+'Scénario référence'!$F$9+'Scénario référence'!$B$17+'Scénario référence'!$B$9+'Scénario référence'!$B$10)*70+IF((45+25*(1-EXP(-0.0175*A182)))&lt;70,'Scénario référence'!$B$16*(45+25*(1-EXP(-0.0175*A182))),70*'Scénario référence'!$B$16)+IF((32+38*(1-EXP(-0.0175*A182)))&lt;70,'Scénario référence'!$B$18*(32+38*(1-EXP(-0.0175*A182))),70*'Scénario référence'!$B$18)</f>
        <v>70</v>
      </c>
      <c r="DK182" s="12">
        <f>IF(A182&gt;30,10,('Scénario référence'!$B$16+'Scénario référence'!$B$17+'Scénario référence'!$B$18+'Scénario référence'!$B$9+'Scénario référence'!$B$10)*A182*10/30+('Scénario référence'!$F$8+'Scénario référence'!$F$9)*10)</f>
        <v>10</v>
      </c>
      <c r="DL182" s="12" t="e">
        <f>VLOOKUP(A182,'Données projet'!$A$165:$I$185,2,0)</f>
        <v>#N/A</v>
      </c>
      <c r="DM182" s="12" t="e">
        <f>VLOOKUP(A182,'Données projet'!$A$165:$I$185,9,0)</f>
        <v>#N/A</v>
      </c>
      <c r="DN182" s="12">
        <f t="array" ref="DN182">INDEX(DM:DM,MIN(IF(ISNUMBER(DM182:DM378),ROW(DM182:DM378),"")))</f>
        <v>0</v>
      </c>
      <c r="DO182" s="12">
        <f>IF('Données projet'!$A$166&gt;35,DO181+DN182-DW181,IF(A182&lt;'Données projet'!$A$166,$DL$205^A182,IF(A182='Données projet'!$A$166,'Données projet'!$B$166,DO181+DN182-DW181)))</f>
        <v>268.00000000000017</v>
      </c>
      <c r="DP182" s="17">
        <f>DO182*VLOOKUP('Données projet'!$B$14,Paramètres!$A$1:$I$89,3,0)*VLOOKUP('Données projet'!$B$14,Paramètres!$A$1:$I$89,5,0)</f>
        <v>175.59360000000012</v>
      </c>
      <c r="DQ182" s="13">
        <f t="shared" si="176"/>
        <v>44.340433728638573</v>
      </c>
      <c r="DR182" s="20">
        <f t="shared" si="177"/>
        <v>383.05177541071242</v>
      </c>
      <c r="DS182" s="59">
        <f t="shared" si="125"/>
        <v>676.38510874404574</v>
      </c>
      <c r="DT182" s="59">
        <f ca="1">AVERAGE(OFFSET($DS$3,0,0,'Données projet'!$E$14+1,1))-AVERAGE(OFFSET($H$3,0,0,'Données projet'!$E$14+1,1))</f>
        <v>188.68915783955595</v>
      </c>
      <c r="DU182" s="59">
        <f t="shared" si="152"/>
        <v>240.82467772396944</v>
      </c>
      <c r="DV182" s="15">
        <f>IF(ISNA(VLOOKUP(A182,'Données projet'!$A$165:$I$185,3,0)),0,VLOOKUP(A182,'Données projet'!$A$165:$I$185,3,0))</f>
        <v>0</v>
      </c>
      <c r="DW182" s="15">
        <f>IF(ISNA(VLOOKUP(A182,'Données projet'!$A$165:$I$185,4,0)),0,VLOOKUP(A182,'Données projet'!$A$165:$I$185,4,0))</f>
        <v>0</v>
      </c>
      <c r="DX182" s="16">
        <f>IF(ISNA(VLOOKUP(A182,'Données projet'!$A$165:$I$185,5,0)),0%,VLOOKUP(A182,'Données projet'!$A$165:$I$185,5,0)*VLOOKUP('Données projet'!$B$14,Paramètres!$A$1:$I$89,7,0))</f>
        <v>0</v>
      </c>
      <c r="DY182" s="16">
        <f>IF(ISNA(VLOOKUP(A182,'Données projet'!$A$165:$I$185,6,0)),0%,VLOOKUP(A182,'Données projet'!$A$165:$I$185,6,0)*VLOOKUP('Données projet'!$B$14,Paramètres!$A$1:$I$89,7,0))</f>
        <v>0</v>
      </c>
      <c r="DZ182" s="16">
        <f>IF(ISNA(VLOOKUP(A182,'Données projet'!$A$165:$I$185,7,0)),0%,VLOOKUP(A182,'Données projet'!$A$165:$I$185,7,0))</f>
        <v>0</v>
      </c>
      <c r="EA182" s="21">
        <f>EXP(-LN(2)/35)*EA181+(1-EXP(-LN(2)/35))/(LN(2)/35)*DW182*DX182*VLOOKUP('Données projet'!$B$14,Paramètres!$A$1:$I$89,3,0)*0.475*44/12</f>
        <v>8.1438874542359277E-2</v>
      </c>
      <c r="EB182" s="21">
        <f>EXP(-LN(2)/25)*EB181+(1-EXP(-LN(2)/25))/(LN(2)/25)*Calculateur!DW182*Calculateur!DY182*VLOOKUP('Données projet'!$B$14,Paramètres!$A$1:$I$89,3,0)*0.475*44/12</f>
        <v>0.1291251406803543</v>
      </c>
      <c r="EC182" s="21">
        <f>EXP(-LN(2)/2)*EC181+(1-EXP(-LN(2)/2))/(LN(2)/2)*DW182*DZ182*VLOOKUP('Données projet'!$B$14,Paramètres!$A$1:$I$89,3,0)*0.475*44/12</f>
        <v>5.2394043511879707E-22</v>
      </c>
      <c r="ED182" s="22">
        <f t="shared" si="178"/>
        <v>0.21056401522271356</v>
      </c>
      <c r="EE182" s="75">
        <f>('Scénario référence'!$F$8+'Scénario référence'!$F$9+'Scénario référence'!$B$17+'Scénario référence'!$B$9+'Scénario référence'!$B$10)*70+IF((45+25*(1-EXP(-0.0175*A182)))&lt;70,'Scénario référence'!$B$16*(45+25*(1-EXP(-0.0175*A182))),70*'Scénario référence'!$B$16)+IF((32+38*(1-EXP(-0.0175*A182)))&lt;70,'Scénario référence'!$B$18*(32+38*(1-EXP(-0.0175*A182))),70*'Scénario référence'!$B$18)</f>
        <v>70</v>
      </c>
      <c r="EF182" s="12">
        <f>IF(A182&gt;30,10,('Scénario référence'!$B$16+'Scénario référence'!$B$17+'Scénario référence'!$B$18+'Scénario référence'!$B$9+'Scénario référence'!$B$10)*A182*10/30+('Scénario référence'!$F$8+'Scénario référence'!$F$9)*10)</f>
        <v>10</v>
      </c>
      <c r="EG182" s="12" t="e">
        <f>VLOOKUP(A182,'Données projet'!$A$191:$I$211,2,0)</f>
        <v>#N/A</v>
      </c>
      <c r="EH182" s="12" t="e">
        <f>VLOOKUP(A182,'Données projet'!$A$191:$I$211,9,0)</f>
        <v>#N/A</v>
      </c>
      <c r="EI182" s="12">
        <f t="array" ref="EI182">INDEX(EH:EH,MIN(IF(ISNUMBER(EH182:EH378),ROW(EH182:EH378),"")))</f>
        <v>0</v>
      </c>
      <c r="EJ182" s="12">
        <f>IF('Données projet'!$A$192&gt;35,EJ181+EI182-ER181,IF(A182&lt;'Données projet'!$A$192,$EG$205^A182,IF(A182='Données projet'!$A$192,'Données projet'!$B$192,EJ181+EI182-ER181)))</f>
        <v>275.99999999999972</v>
      </c>
      <c r="EK182" s="17">
        <f>EJ182*VLOOKUP('Données projet'!$B$15,Paramètres!$A$1:$I$89,3,0)*VLOOKUP('Données projet'!$B$15,Paramètres!$A$1:$I$89,5,0)</f>
        <v>223.8911999999998</v>
      </c>
      <c r="EL182" s="13">
        <f t="shared" si="179"/>
        <v>54.95975389514858</v>
      </c>
      <c r="EM182" s="20">
        <f t="shared" si="180"/>
        <v>485.66541136738346</v>
      </c>
      <c r="EN182" s="59">
        <f t="shared" si="128"/>
        <v>778.99874470071677</v>
      </c>
      <c r="EO182" s="59">
        <f ca="1">AVERAGE(OFFSET($EN$3,0,0,'Données projet'!$E$15+1,1))-AVERAGE(OFFSET($H$3,0,0,'Données projet'!$E$15+1,1))</f>
        <v>205.5272583787887</v>
      </c>
      <c r="EP182" s="59">
        <f t="shared" si="154"/>
        <v>180.54762778843178</v>
      </c>
      <c r="EQ182" s="15">
        <f>IF(ISNA(VLOOKUP(A182,'Données projet'!$A$191:$I$211,3,0)),0,VLOOKUP(A182,'Données projet'!$A$191:$I$211,3,0))</f>
        <v>0</v>
      </c>
      <c r="ER182" s="15">
        <f>IF(ISNA(VLOOKUP(A182,'Données projet'!$A$191:$I$211,4,0)),0,VLOOKUP(A182,'Données projet'!$A$191:$I$211,4,0))</f>
        <v>0</v>
      </c>
      <c r="ES182" s="16">
        <f>IF(ISNA(VLOOKUP(A182,'Données projet'!$A$191:$I$211,5,0)),0%,VLOOKUP(A182,'Données projet'!$A$191:$I$211,5,0)*VLOOKUP('Données projet'!$B$15,Paramètres!$A$1:$I$89,7,0))</f>
        <v>0</v>
      </c>
      <c r="ET182" s="16">
        <f>IF(ISNA(VLOOKUP(A182,'Données projet'!$A$191:$I$211,6,0)),0%,VLOOKUP(A182,'Données projet'!$A$191:$I$211,6,0)*VLOOKUP('Données projet'!$B$15,Paramètres!$A$1:$I$89,7,0))</f>
        <v>0</v>
      </c>
      <c r="EU182" s="16">
        <f>IF(ISNA(VLOOKUP(A182,'Données projet'!$A$191:$I$211,7,0)),0%,VLOOKUP(A182,'Données projet'!$A$191:$I$211,7,0))</f>
        <v>0</v>
      </c>
      <c r="EV182" s="21">
        <f>EXP(-LN(2)/35)*EV181+(1-EXP(-LN(2)/35))/(LN(2)/35)*ER182*ES182*VLOOKUP('Données projet'!$B$15,Paramètres!$A$1:$I$89,3,0)*0.475*44/12</f>
        <v>5.243112303869988E-2</v>
      </c>
      <c r="EW182" s="21">
        <f>EXP(-LN(2)/25)*EW181+(1-EXP(-LN(2)/25))/(LN(2)/25)*Calculateur!ER182*Calculateur!ET182*VLOOKUP('Données projet'!$B$15,Paramètres!$A$1:$I$89,3,0)*0.475*44/12</f>
        <v>9.3232268706948548E-2</v>
      </c>
      <c r="EX182" s="21">
        <f>EXP(-LN(2)/2)*EX181+(1-EXP(-LN(2)/2))/(LN(2)/2)*ER182*EU182*VLOOKUP('Données projet'!$B$15,Paramètres!$A$1:$I$89,3,0)*0.475*44/12</f>
        <v>3.3925181915470918E-22</v>
      </c>
      <c r="EY182" s="22">
        <f t="shared" si="181"/>
        <v>0.14566339174564844</v>
      </c>
      <c r="EZ182" s="75">
        <f>('Scénario référence'!$F$8+'Scénario référence'!$F$9+'Scénario référence'!$B$17+'Scénario référence'!$B$9+'Scénario référence'!$B$10)*70+IF((45+25*(1-EXP(-0.0175*A182)))&lt;70,'Scénario référence'!$B$16*(45+25*(1-EXP(-0.0175*A182))),70*'Scénario référence'!$B$16)+IF((32+38*(1-EXP(-0.0175*A182)))&lt;70,'Scénario référence'!$B$18*(32+38*(1-EXP(-0.0175*A182))),70*'Scénario référence'!$B$18)</f>
        <v>70</v>
      </c>
      <c r="FA182" s="12">
        <f>IF(A182&gt;30,10,('Scénario référence'!$B$16+'Scénario référence'!$B$17+'Scénario référence'!$B$18+'Scénario référence'!$B$9+'Scénario référence'!$B$10)*A182*10/30+('Scénario référence'!$F$8+'Scénario référence'!$F$9)*10)</f>
        <v>10</v>
      </c>
      <c r="FB182" s="12" t="e">
        <f>VLOOKUP(A182,'Données projet'!$A$217:$I$237,2,0)</f>
        <v>#N/A</v>
      </c>
      <c r="FC182" s="12" t="e">
        <f>VLOOKUP(A182,'Données projet'!$A$217:$I$237,9,0)</f>
        <v>#N/A</v>
      </c>
      <c r="FD182" s="12">
        <f t="array" ref="FD182">INDEX(FC:FC,MIN(IF(ISNUMBER(FC182:FC378),ROW(FC182:FC378),"")))</f>
        <v>0</v>
      </c>
      <c r="FE182" s="12">
        <f>IF('Données projet'!$A$218&gt;35,FE181+FD182-FM181,IF(A182&lt;'Données projet'!$A$218,$FB$205^A182,IF(A182='Données projet'!$A$218,'Données projet'!$B$218,FE181+FD182-FM181)))</f>
        <v>418.99999999999983</v>
      </c>
      <c r="FF182" s="17">
        <f>FE182*VLOOKUP('Données projet'!$B$16,Paramètres!$A$1:$I$89,3,0)*VLOOKUP('Données projet'!$B$16,Paramètres!$A$1:$I$89,5,0)</f>
        <v>359.5019999999999</v>
      </c>
      <c r="FG182" s="13">
        <f t="shared" si="182"/>
        <v>83.516011055432813</v>
      </c>
      <c r="FH182" s="20">
        <f t="shared" si="183"/>
        <v>771.58970258821194</v>
      </c>
      <c r="FI182" s="59">
        <f t="shared" si="131"/>
        <v>1064.9230359215453</v>
      </c>
      <c r="FJ182" s="59">
        <f ca="1">AVERAGE(OFFSET($FI$3,0,0,'Données projet'!$E$16+1,1))-AVERAGE(OFFSET($H$3,0,0,'Données projet'!$E$16+1,1))</f>
        <v>383.97627237444709</v>
      </c>
      <c r="FK182" s="59">
        <f t="shared" si="156"/>
        <v>203.35476578922339</v>
      </c>
      <c r="FL182" s="15">
        <f>IF(ISNA(VLOOKUP(A182,'Données projet'!$A$217:$I$237,3,0)),0,VLOOKUP(A182,'Données projet'!$A$217:$I$237,3,0))</f>
        <v>0</v>
      </c>
      <c r="FM182" s="15">
        <f>IF(ISNA(VLOOKUP(A182,'Données projet'!$A$217:$I$237,4,0)),0,VLOOKUP(A182,'Données projet'!$A$217:$I$237,4,0))</f>
        <v>0</v>
      </c>
      <c r="FN182" s="16">
        <f>IF(ISNA(VLOOKUP(A182,'Données projet'!$A$217:$I$237,5,0)),0%,VLOOKUP(A182,'Données projet'!$A$217:$I$237,5,0)*VLOOKUP('Données projet'!$B$16,Paramètres!$A$1:$I$89,7,0))</f>
        <v>0</v>
      </c>
      <c r="FO182" s="16">
        <f>IF(ISNA(VLOOKUP(A182,'Données projet'!$A$217:$I$237,6,0)),0%,VLOOKUP(A182,'Données projet'!$A$217:$I$237,6,0)*VLOOKUP('Données projet'!$B$16,Paramètres!$A$1:$I$89,7,0))</f>
        <v>0</v>
      </c>
      <c r="FP182" s="16">
        <f>IF(ISNA(VLOOKUP(A182,'Données projet'!$A$217:$I$237,7,0)),0%,VLOOKUP(A182,'Données projet'!$A$217:$I$237,7,0))</f>
        <v>0</v>
      </c>
      <c r="FQ182" s="21">
        <f>EXP(-LN(2)/35)*FQ181+(1-EXP(-LN(2)/35))/(LN(2)/35)*FM182*FN182*VLOOKUP('Données projet'!$B$16,Paramètres!$A$1:$I$89,3,0)*0.475*44/12</f>
        <v>0.26946752743438818</v>
      </c>
      <c r="FR182" s="21">
        <f>EXP(-LN(2)/25)*FR181+(1-EXP(-LN(2)/25))/(LN(2)/25)*Calculateur!FM182*Calculateur!FO182*VLOOKUP('Données projet'!$B$16,Paramètres!$A$1:$I$89,3,0)*0.475*44/12</f>
        <v>9.4640389208345749E-2</v>
      </c>
      <c r="FS182" s="21">
        <f>EXP(-LN(2)/2)*FS181+(1-EXP(-LN(2)/2))/(LN(2)/2)*FM182*FP182*VLOOKUP('Données projet'!$B$16,Paramètres!$A$1:$I$89,3,0)*0.475*44/12</f>
        <v>6.2313596723353614E-22</v>
      </c>
      <c r="FT182" s="22">
        <f t="shared" si="184"/>
        <v>0.3641079166427339</v>
      </c>
      <c r="FU182" s="75">
        <f>('Scénario référence'!$F$8+'Scénario référence'!$F$9+'Scénario référence'!$B$17+'Scénario référence'!$B$9+'Scénario référence'!$B$10)*70+IF((45+25*(1-EXP(-0.0175*A182)))&lt;70,'Scénario référence'!$B$16*(45+25*(1-EXP(-0.0175*A182))),70*'Scénario référence'!$B$16)+IF((32+38*(1-EXP(-0.0175*A182)))&lt;70,'Scénario référence'!$B$18*(32+38*(1-EXP(-0.0175*A182))),70*'Scénario référence'!$B$18)</f>
        <v>70</v>
      </c>
      <c r="FV182" s="12">
        <f>IF(A182&gt;30,10,('Scénario référence'!$B$16+'Scénario référence'!$B$17+'Scénario référence'!$B$18+'Scénario référence'!$B$9+'Scénario référence'!$B$10)*A182*10/30+('Scénario référence'!$F$8+'Scénario référence'!$F$9)*10)</f>
        <v>10</v>
      </c>
      <c r="FW182" s="12" t="e">
        <f>VLOOKUP(A182,'Données projet'!$A$243:$I$263,2,0)</f>
        <v>#N/A</v>
      </c>
      <c r="FX182" s="12" t="e">
        <f>VLOOKUP(A182,'Données projet'!$A$243:$I$263,9,0)</f>
        <v>#N/A</v>
      </c>
      <c r="FY182" s="12">
        <f t="array" ref="FY182">INDEX(FX:FX,MIN(IF(ISNUMBER(FX182:FX378),ROW(FX182:FX378),"")))</f>
        <v>0</v>
      </c>
      <c r="FZ182" s="12">
        <f>IF('Données projet'!$A$244&gt;35,FZ181+FY182-GH181,IF(A182&lt;'Données projet'!$A$244,$FW$205^A182,IF(A182='Données projet'!$A$244,'Données projet'!$B$244,FZ181+FY182-GH181)))</f>
        <v>4.5474735088646412E-13</v>
      </c>
      <c r="GA182" s="17">
        <f>FZ182*VLOOKUP('Données projet'!$B$17,Paramètres!$A$1:$I$89,3,0)*VLOOKUP('Données projet'!$B$17,Paramètres!$A$1:$I$89,5,0)</f>
        <v>4.8949004849418999E-13</v>
      </c>
      <c r="GB182" s="13">
        <f t="shared" si="185"/>
        <v>6.1123715499968684E-12</v>
      </c>
      <c r="GC182" s="20">
        <f t="shared" si="186"/>
        <v>1.1498242284038591E-11</v>
      </c>
      <c r="GD182" s="59">
        <f t="shared" si="134"/>
        <v>293.3333333333448</v>
      </c>
      <c r="GE182" s="59">
        <f ca="1">AVERAGE(OFFSET($GD$3,0,0,'Données projet'!$E$17+1,1))-AVERAGE(OFFSET($H$3,0,0,'Données projet'!$E$17+1,1))</f>
        <v>286.77702855541287</v>
      </c>
      <c r="GF182" s="59">
        <f t="shared" si="158"/>
        <v>227.12211541860779</v>
      </c>
      <c r="GG182" s="15">
        <f>IF(ISNA(VLOOKUP(A182,'Données projet'!$A$243:$I$263,3,0)),0,VLOOKUP(A182,'Données projet'!$A$243:$I$263,3,0))</f>
        <v>0</v>
      </c>
      <c r="GH182" s="15">
        <f>IF(ISNA(VLOOKUP(A182,'Données projet'!$A$243:$I$263,4,0)),0,VLOOKUP(A182,'Données projet'!$A$243:$I$263,4,0))</f>
        <v>0</v>
      </c>
      <c r="GI182" s="16">
        <f>IF(ISNA(VLOOKUP(A182,'Données projet'!$A$243:$I$263,5,0)),0%,VLOOKUP(A182,'Données projet'!$A$243:$I$263,5,0)*VLOOKUP('Données projet'!$B$17,Paramètres!$A$1:$I$89,7,0))</f>
        <v>0</v>
      </c>
      <c r="GJ182" s="16">
        <f>IF(ISNA(VLOOKUP(A182,'Données projet'!$A$243:$I$263,6,0)),0%,VLOOKUP(A182,'Données projet'!$A$243:$I$263,6,0)*VLOOKUP('Données projet'!$B$17,Paramètres!$A$1:$I$89,7,0))</f>
        <v>0</v>
      </c>
      <c r="GK182" s="16">
        <f>IF(ISNA(VLOOKUP(A182,'Données projet'!$A$243:$I$263,7,0)),0%,VLOOKUP(A182,'Données projet'!$A$243:$I$263,7,0))</f>
        <v>0</v>
      </c>
      <c r="GL182" s="21">
        <f>EXP(-LN(2)/35)*GL181+(1-EXP(-LN(2)/35))/(LN(2)/35)*GH182*GI182*VLOOKUP('Données projet'!$B$17,Paramètres!$A$1:$I$89,3,0)*0.475*44/12</f>
        <v>0</v>
      </c>
      <c r="GM182" s="21">
        <f>EXP(-LN(2)/25)*GM181+(1-EXP(-LN(2)/25))/(LN(2)/25)*Calculateur!GH182*Calculateur!GJ182*VLOOKUP('Données projet'!$B$17,Paramètres!$A$1:$I$89,3,0)*0.475*44/12</f>
        <v>0</v>
      </c>
      <c r="GN182" s="21">
        <f>EXP(-LN(2)/2)*GN181+(1-EXP(-LN(2)/2))/(LN(2)/2)*GH182*GK182*VLOOKUP('Données projet'!$B$17,Paramètres!$A$1:$I$89,3,0)*0.475*44/12</f>
        <v>0</v>
      </c>
      <c r="GO182" s="21">
        <f t="shared" si="187"/>
        <v>0</v>
      </c>
      <c r="GP182" s="75">
        <f>('Scénario référence'!$F$8+'Scénario référence'!$F$9+'Scénario référence'!$B$17+'Scénario référence'!$B$9+'Scénario référence'!$B$10)*70+IF((45+25*(1-EXP(-0.0175*A182)))&lt;70,'Scénario référence'!$B$16*(45+25*(1-EXP(-0.0175*A182))),70*'Scénario référence'!$B$16)+IF((32+38*(1-EXP(-0.0175*A182)))&lt;70,'Scénario référence'!$B$18*(32+38*(1-EXP(-0.0175*A182))),70*'Scénario référence'!$B$18)</f>
        <v>70</v>
      </c>
      <c r="GQ182" s="12">
        <f>IF(A182&gt;30,10,('Scénario référence'!$B$16+'Scénario référence'!$B$17+'Scénario référence'!$B$18+'Scénario référence'!$B$9+'Scénario référence'!$B$10)*A182*10/30+('Scénario référence'!$F$8+'Scénario référence'!$F$9)*10)</f>
        <v>10</v>
      </c>
      <c r="GR182" s="12" t="e">
        <f>VLOOKUP(A182,'Données projet'!$A$269:$I$289,2,0)</f>
        <v>#N/A</v>
      </c>
      <c r="GS182" s="12" t="e">
        <f>VLOOKUP(A182,'Données projet'!$A$269:$I$289,9,0)</f>
        <v>#N/A</v>
      </c>
      <c r="GT182" s="12">
        <f t="array" ref="GT182">INDEX(GS:GS,MIN(IF(ISNUMBER(GS182:GS378),ROW(GS182:GS378),"")))</f>
        <v>0</v>
      </c>
      <c r="GU182" s="12">
        <f>IF('Données projet'!$A$270&gt;35,GU181+GT182-HC181,IF(A182&lt;'Données projet'!$A$270,$GR$205^A182,IF(A182='Données projet'!$A$270,'Données projet'!$B$270,GU181+GT182-HC181)))</f>
        <v>4.5474735088646412E-13</v>
      </c>
      <c r="GV182" s="17">
        <f>GU182*VLOOKUP('Données projet'!$B$18,Paramètres!$A$1:$I$89,3,0)*VLOOKUP('Données projet'!$B$18,Paramètres!$A$1:$I$89,5,0)</f>
        <v>4.8949004849418999E-13</v>
      </c>
      <c r="GW182" s="13">
        <f t="shared" si="188"/>
        <v>6.1123715499968684E-12</v>
      </c>
      <c r="GX182" s="20">
        <f t="shared" si="189"/>
        <v>1.1498242284038591E-11</v>
      </c>
      <c r="GY182" s="59">
        <f t="shared" si="137"/>
        <v>293.3333333333448</v>
      </c>
      <c r="GZ182" s="59">
        <f ca="1">AVERAGE(OFFSET($GY$3,0,0,'Données projet'!$E$18+1,1))-AVERAGE(OFFSET($H$3,0,0,'Données projet'!$E$18+1,1))</f>
        <v>286.77702855541287</v>
      </c>
      <c r="HA182" s="59">
        <f t="shared" si="160"/>
        <v>227.12211541860779</v>
      </c>
      <c r="HB182" s="15">
        <f>IF(ISNA(VLOOKUP(A182,'Données projet'!$A$269:$I$289,3,0)),0,VLOOKUP(A182,'Données projet'!$A$269:$I$289,3,0))</f>
        <v>0</v>
      </c>
      <c r="HC182" s="15">
        <f>IF(ISNA(VLOOKUP(A182,'Données projet'!$A$269:$I$289,4,0)),0,VLOOKUP(A182,'Données projet'!$A$269:$I$289,4,0))</f>
        <v>0</v>
      </c>
      <c r="HD182" s="16">
        <f>IF(ISNA(VLOOKUP(A182,'Données projet'!$A$269:$I$289,5,0)),0%,VLOOKUP(A182,'Données projet'!$A$269:$I$289,5,0)*VLOOKUP('Données projet'!$B$18,Paramètres!$A$1:$I$89,7,0))</f>
        <v>0</v>
      </c>
      <c r="HE182" s="16">
        <f>IF(ISNA(VLOOKUP(A182,'Données projet'!$A$269:$I$289,6,0)),0%,VLOOKUP(A182,'Données projet'!$A$269:$I$289,6,0)*VLOOKUP('Données projet'!$B$18,Paramètres!$A$1:$I$89,7,0))</f>
        <v>0</v>
      </c>
      <c r="HF182" s="16">
        <f>IF(ISNA(VLOOKUP(A182,'Données projet'!$A$269:$I$289,7,0)),0%,VLOOKUP(A182,'Données projet'!$A$269:$I$289,7,0))</f>
        <v>0</v>
      </c>
      <c r="HG182" s="21">
        <f>EXP(-LN(2)/35)*HG181+(1-EXP(-LN(2)/35))/(LN(2)/35)*HC182*HD182*VLOOKUP('Données projet'!$B$18,Paramètres!$A$1:$I$89,3,0)*0.475*44/12</f>
        <v>0</v>
      </c>
      <c r="HH182" s="21">
        <f>EXP(-LN(2)/25)*HH181+(1-EXP(-LN(2)/25))/(LN(2)/25)*Calculateur!HC182*Calculateur!HE182*VLOOKUP('Données projet'!$B$18,Paramètres!$A$1:$I$89,3,0)*0.475*44/12</f>
        <v>0</v>
      </c>
      <c r="HI182" s="21">
        <f>EXP(-LN(2)/2)*HI181+(1-EXP(-LN(2)/2))/(LN(2)/2)*HC182*HF182*VLOOKUP('Données projet'!$B$18,Paramètres!$A$1:$I$89,3,0)*0.475*44/12</f>
        <v>0</v>
      </c>
      <c r="HJ182" s="22">
        <f t="shared" si="190"/>
        <v>0</v>
      </c>
    </row>
    <row r="183" spans="1:218" x14ac:dyDescent="0.25">
      <c r="A183" s="10">
        <f t="shared" si="161"/>
        <v>180</v>
      </c>
      <c r="B183" s="73">
        <f>'Scénario référence'!$B$16*5+'Scénario référence'!$B$17*0+'Scénario référence'!$B$18*5</f>
        <v>0</v>
      </c>
      <c r="C183" s="19">
        <f>Calculateur!C182+'Scénario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160.05599999999981</v>
      </c>
      <c r="D183" s="11">
        <f t="shared" si="140"/>
        <v>40.855146105751388</v>
      </c>
      <c r="E18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83" s="11">
        <f>IF(OR('Scénario référence'!$F$8&gt;0,'Scénario référence'!$F$9&gt;0),('Scénario référence'!$F$8+'Scénario référence'!$F$9)*10,0)</f>
        <v>10</v>
      </c>
      <c r="G183" s="11">
        <f>'Scénario référence'!$B$8*B183*44/12+'Scénario référence'!$B$9*(C183+D183)/0.475*44/12+'Scénario référence'!$B$10*(C183+D183)/0.475*44/12+'Scénario référence'!$F$8*(C183+D183)/0.475*44/12+'Scénario référence'!$F$9*(C183+D183)/0.475*44/12</f>
        <v>1550.8930576584305</v>
      </c>
      <c r="H183" s="67">
        <f t="shared" si="110"/>
        <v>643.2535794675166</v>
      </c>
      <c r="I183" s="70">
        <f>('Scénario référence'!$F$8+'Scénario référence'!$F$9+'Scénario référence'!$B$17+'Scénario référence'!$B$9+'Scénario référence'!$B$10)*70+IF((45+25*(1-EXP(-0.0175*A183)))&lt;70,'Scénario référence'!$B$16*(45+25*(1-EXP(-0.0175*A183))),70*'Scénario référence'!$B$16)+IF((32+38*(1-EXP(-0.0175*A183)))&lt;70,'Scénario référence'!$B$18*(32+38*(1-EXP(-0.0175*A183))),70*'Scénario référence'!$B$18)</f>
        <v>70</v>
      </c>
      <c r="J183" s="13">
        <f>IF(A183&gt;30,10,('Scénario référence'!$B$16+'Scénario référence'!$B$17+'Scénario référence'!$B$18+'Scénario référence'!$B$9+'Scénario référence'!$B$10)*A183*10/30+('Scénario référence'!$F$8+'Scénario référence'!$F$9)*10)</f>
        <v>10</v>
      </c>
      <c r="K183" s="12" t="e">
        <f>VLOOKUP(A183,'Données projet'!$A$35:$I$55,2,0)</f>
        <v>#N/A</v>
      </c>
      <c r="L183" s="12" t="e">
        <f>VLOOKUP(A183,'Données projet'!$A$35:$I$55,9,0)</f>
        <v>#N/A</v>
      </c>
      <c r="M183" s="12">
        <f t="array" ref="M183">INDEX(L:L,MIN(IF(ISNUMBER(L183:L379),ROW(L183:L379),"")))</f>
        <v>0</v>
      </c>
      <c r="N183" s="13">
        <f>IF('Données projet'!$A$36&gt;35,N182+M183-V182,IF(A183&lt;'Données projet'!$A$36,$K$205^A183,IF(A183='Données projet'!$A$36,'Données projet'!$B$36,N182+M183-V182)))</f>
        <v>-2.2737367544323206E-13</v>
      </c>
      <c r="O183" s="13">
        <f>N183*VLOOKUP('Données projet'!$B$9,Paramètres!$A$1:$I$89,3,0)*VLOOKUP('Données projet'!$B$9,Paramètres!$A$1:$I$89,5,0)</f>
        <v>-1.2710188457276673E-13</v>
      </c>
      <c r="P183" s="13" t="e">
        <f t="shared" si="141"/>
        <v>#NUM!</v>
      </c>
      <c r="Q183" s="20" t="e">
        <f t="shared" si="162"/>
        <v>#NUM!</v>
      </c>
      <c r="R183" s="59" t="e">
        <f t="shared" si="109"/>
        <v>#NUM!</v>
      </c>
      <c r="S183" s="59">
        <f ca="1">AVERAGE(OFFSET($R$3,0,0,'Données projet'!$E$9+1,1))-AVERAGE(OFFSET($H$3,0,0,'Données projet'!$E$9+1,1))</f>
        <v>255.5374979188561</v>
      </c>
      <c r="T183" s="59">
        <f t="shared" si="142"/>
        <v>343.10418468620901</v>
      </c>
      <c r="U183" s="15">
        <f>IF(ISNA(VLOOKUP(A183,'Données projet'!$A$35:$I$55,3,0)),0,VLOOKUP(A183,'Données projet'!$A$35:$I$55,3,0))</f>
        <v>0</v>
      </c>
      <c r="V183" s="15">
        <f>IF(ISNA(VLOOKUP(A183,'Données projet'!$A$35:$I$55,4,0)),0,VLOOKUP(A183,'Données projet'!$A$35:$I$55,4,0))</f>
        <v>0</v>
      </c>
      <c r="W183" s="16">
        <f>IF(ISNA(VLOOKUP(A183,'Données projet'!$A$35:$I$55,5,0)),0%,VLOOKUP(A183,'Données projet'!$A$35:$I$55,5,0)*VLOOKUP('Données projet'!$B$9,Paramètres!$A$1:$I$89,7,0))</f>
        <v>0</v>
      </c>
      <c r="X183" s="16">
        <f>IF(ISNA(VLOOKUP(A183,'Données projet'!$A$35:$I$55,6,0)),0%,VLOOKUP(A183,'Données projet'!$A$35:$I$55,6,0)*VLOOKUP('Données projet'!$B$9,Paramètres!$A$1:$I$89,7,0))</f>
        <v>0</v>
      </c>
      <c r="Y183" s="16">
        <f>IF(ISNA(VLOOKUP(A183,'Données projet'!$A$35:$I$55,7,0)),0%,VLOOKUP(A183,'Données projet'!$A$35:$I$55,7,0))</f>
        <v>0</v>
      </c>
      <c r="Z183" s="21">
        <f>EXP(-LN(2)/35)*Z182+(1-EXP(-LN(2)/35))/(LN(2)/35)*V183*W183*VLOOKUP('Données projet'!$B$9,Paramètres!$A$1:$I$89,3,0)*0.475*44/12</f>
        <v>0.15842935987102169</v>
      </c>
      <c r="AA183" s="21">
        <f>EXP(-LN(2)/25)*AA182+(1-EXP(-LN(2)/25))/(LN(2)/25)*Calculateur!V183*Calculateur!X183*VLOOKUP('Données projet'!$B$9,Paramètres!$A$1:$I$89,3,0)*0.475*44/12</f>
        <v>0.2493790489104383</v>
      </c>
      <c r="AB183" s="21">
        <f>EXP(-LN(2)/2)*AB182+(1-EXP(-LN(2)/2))/(LN(2)/2)*V183*Y183*VLOOKUP('Données projet'!$B$9,Paramètres!$A$1:$I$89,3,0)*0.475*44/12</f>
        <v>4.4804127485503053E-23</v>
      </c>
      <c r="AC183" s="22">
        <f t="shared" si="163"/>
        <v>0.40780840878145996</v>
      </c>
      <c r="AD183" s="13">
        <f>('Scénario référence'!$F$8+'Scénario référence'!$F$9+'Scénario référence'!$B$17+'Scénario référence'!$B$9+'Scénario référence'!$B$10)*70+IF((45+25*(1-EXP(-0.0175*A183)))&lt;70,'Scénario référence'!$B$16*(45+25*(1-EXP(-0.0175*A183))),70*'Scénario référence'!$B$16)+IF((32+38*(1-EXP(-0.0175*A183)))&lt;70,'Scénario référence'!$B$18*(32+38*(1-EXP(-0.0175*A183))),70*'Scénario référence'!$B$18)</f>
        <v>70</v>
      </c>
      <c r="AE183" s="13">
        <f>IF(A183&gt;30,10,('Scénario référence'!$B$16+'Scénario référence'!$B$17+'Scénario référence'!$B$18+'Scénario référence'!$B$9+'Scénario référence'!$B$10)*A183*10/30+('Scénario référence'!$F$8+'Scénario référence'!$F$9)*10)</f>
        <v>10</v>
      </c>
      <c r="AF183" s="12" t="e">
        <f>VLOOKUP(A183,'Données projet'!$A$61:$I$81,2,0)</f>
        <v>#N/A</v>
      </c>
      <c r="AG183" s="12" t="e">
        <f>VLOOKUP(A183,'Données projet'!$A$61:$I$81,9,0)</f>
        <v>#N/A</v>
      </c>
      <c r="AH183" s="12">
        <f t="array" ref="AH183">INDEX(AG:AG,MIN(IF(ISNUMBER(AG183:AG379),ROW(AG183:AG379),"")))</f>
        <v>0</v>
      </c>
      <c r="AI183" s="13">
        <f>IF('Données projet'!$A$62&gt;35,AI182+AH183-AQ182,IF(A183&lt;'Données projet'!$A$62,$AF$205^A183,IF(A183='Données projet'!$A$62,'Données projet'!$B$62,AI182+AH183-AQ182)))</f>
        <v>0</v>
      </c>
      <c r="AJ183" s="13">
        <f>AI183*VLOOKUP('Données projet'!$B$10,Paramètres!$A$1:$I$89,3,0)*VLOOKUP('Données projet'!$B$10,Paramètres!$A$1:$I$89,5,0)</f>
        <v>0</v>
      </c>
      <c r="AK183" s="13" t="e">
        <f t="shared" si="164"/>
        <v>#NUM!</v>
      </c>
      <c r="AL183" s="20" t="e">
        <f t="shared" si="165"/>
        <v>#NUM!</v>
      </c>
      <c r="AM183" s="59" t="e">
        <f t="shared" si="113"/>
        <v>#NUM!</v>
      </c>
      <c r="AN183" s="59">
        <f ca="1">AVERAGE(OFFSET($AM$3,0,0,'Données projet'!$E$10+1,1))-AVERAGE(OFFSET($H$3,0,0,'Données projet'!$E$10+1,1))</f>
        <v>261.78489480911571</v>
      </c>
      <c r="AO183" s="59">
        <f t="shared" si="144"/>
        <v>297.50513563712764</v>
      </c>
      <c r="AP183" s="15">
        <f>IF(ISNA(VLOOKUP(A183,'Données projet'!$A$61:$I$81,3,0)),0,VLOOKUP(A183,'Données projet'!$A$61:$I$81,3,0))</f>
        <v>0</v>
      </c>
      <c r="AQ183" s="15">
        <f>IF(ISNA(VLOOKUP(A183,'Données projet'!$A$61:$I$81,4,0)),0,VLOOKUP(A183,'Données projet'!$A$61:$I$81,4,0))</f>
        <v>0</v>
      </c>
      <c r="AR183" s="16">
        <f>IF(ISNA(VLOOKUP(A183,'Données projet'!$A$61:$I$81,5,0)),0%,VLOOKUP(A183,'Données projet'!$A$61:$I$81,5,0)*VLOOKUP('Données projet'!$B$10,Paramètres!$A$1:$I$89,7,0))</f>
        <v>0</v>
      </c>
      <c r="AS183" s="16">
        <f>IF(ISNA(VLOOKUP(A183,'Données projet'!$A$61:$I$81,6,0)),0%,VLOOKUP(A183,'Données projet'!$A$61:$I$81,6,0)*VLOOKUP('Données projet'!$B$10,Paramètres!$A$1:$I$89,7,0))</f>
        <v>0</v>
      </c>
      <c r="AT183" s="16">
        <f>IF(ISNA(VLOOKUP(A183,'Données projet'!$A$61:$I$81,7,0)),0%,VLOOKUP(A183,'Données projet'!$A$61:$I$81,7,0))</f>
        <v>0</v>
      </c>
      <c r="AU183" s="21">
        <f>EXP(-LN(2)/35)*AU182+(1-EXP(-LN(2)/35))/(LN(2)/35)*AQ183*AR183*VLOOKUP('Données projet'!$B$10,Paramètres!$A$1:$I$89,3,0)*0.475*44/12</f>
        <v>0.42780408318126462</v>
      </c>
      <c r="AV183" s="21">
        <f>EXP(-LN(2)/25)*AV182+(1-EXP(-LN(2)/25))/(LN(2)/25)*Calculateur!AQ183*Calculateur!AS183*VLOOKUP('Données projet'!$B$10,Paramètres!$A$1:$I$89,3,0)*0.475*44/12</f>
        <v>0.43546668296655383</v>
      </c>
      <c r="AW183" s="21">
        <f>EXP(-LN(2)/2)*AW182+(1-EXP(-LN(2)/2))/(LN(2)/2)*AQ183*AT183*VLOOKUP('Données projet'!$B$10,Paramètres!$A$1:$I$89,3,0)*0.475*44/12</f>
        <v>6.4589415141293692E-22</v>
      </c>
      <c r="AX183" s="21">
        <f t="shared" si="166"/>
        <v>0.8632707661478185</v>
      </c>
      <c r="AY183" s="74">
        <f>('Scénario référence'!$F$8+'Scénario référence'!$F$9+'Scénario référence'!$B$17+'Scénario référence'!$B$9+'Scénario référence'!$B$10)*70+IF((45+25*(1-EXP(-0.0175*A183)))&lt;70,'Scénario référence'!$B$16*(45+25*(1-EXP(-0.0175*A183))),70*'Scénario référence'!$B$16)+IF((32+38*(1-EXP(-0.0175*A183)))&lt;70,'Scénario référence'!$B$18*(32+38*(1-EXP(-0.0175*A183))),70*'Scénario référence'!$B$18)</f>
        <v>70</v>
      </c>
      <c r="AZ183" s="12">
        <f>IF(A183&gt;30,10,('Scénario référence'!$B$16+'Scénario référence'!$B$17+'Scénario référence'!$B$18+'Scénario référence'!$B$9+'Scénario référence'!$B$10)*A183*10/30+('Scénario référence'!$F$8+'Scénario référence'!$F$9)*10)</f>
        <v>10</v>
      </c>
      <c r="BA183" s="12" t="e">
        <f>VLOOKUP(A183,'Données projet'!$A$87:$I$107,2,0)</f>
        <v>#N/A</v>
      </c>
      <c r="BB183" s="12" t="e">
        <f>VLOOKUP(A183,'Données projet'!$A$87:$I$107,9,0)</f>
        <v>#N/A</v>
      </c>
      <c r="BC183" s="12">
        <f t="array" ref="BC183">INDEX(BB:BB,MIN(IF(ISNUMBER(BB183:BB379),ROW(BB183:BB379),"")))</f>
        <v>0</v>
      </c>
      <c r="BD183" s="12">
        <f>IF('Données projet'!$A$88&gt;35,BD182+BC183-BL182,IF(A183&lt;'Données projet'!$A$88,$BA$205^A183,IF(A183='Données projet'!$A$88,'Données projet'!$B$88,BD182+BC183-BL182)))</f>
        <v>553.99999999999955</v>
      </c>
      <c r="BE183" s="13">
        <f>BD183*VLOOKUP('Données projet'!$B$11,Paramètres!$A$1:$I$89,3,0)*VLOOKUP('Données projet'!$B$11,Paramètres!$A$1:$I$89,5,0)</f>
        <v>331.29199999999975</v>
      </c>
      <c r="BF183" s="13">
        <f t="shared" si="167"/>
        <v>77.698110787752</v>
      </c>
      <c r="BG183" s="20">
        <f t="shared" si="168"/>
        <v>712.32444295533423</v>
      </c>
      <c r="BH183" s="59">
        <f t="shared" si="116"/>
        <v>1005.6577762886675</v>
      </c>
      <c r="BI183" s="59">
        <f ca="1">AVERAGE(OFFSET($BH$3,0,0,'Données projet'!$E$11+1,1))-AVERAGE(OFFSET($H$3,0,0,'Données projet'!$E$11+1,1))</f>
        <v>316.58509520829671</v>
      </c>
      <c r="BJ183" s="59">
        <f t="shared" si="146"/>
        <v>240.71332110643596</v>
      </c>
      <c r="BK183" s="15">
        <f>IF(ISNA(VLOOKUP(A183,'Données projet'!$A$87:$I$107,3,0)),0,VLOOKUP(A183,'Données projet'!$A$87:$I$107,3,0))</f>
        <v>0</v>
      </c>
      <c r="BL183" s="15">
        <f>IF(ISNA(VLOOKUP(A183,'Données projet'!$A$87:$I$107,4,0)),0,VLOOKUP(A183,'Données projet'!$A$87:$I$107,4,0))</f>
        <v>0</v>
      </c>
      <c r="BM183" s="16">
        <f>IF(ISNA(VLOOKUP(A183,'Données projet'!$A$87:$I$107,5,0)),0%,VLOOKUP(A183,'Données projet'!$A$87:$I$107,5,0)*VLOOKUP('Données projet'!$B$11,Paramètres!$A$1:$I$89,7,0))</f>
        <v>0</v>
      </c>
      <c r="BN183" s="16">
        <f>IF(ISNA(VLOOKUP(A183,'Données projet'!$A$87:$I$107,6,0)),0%,VLOOKUP(A183,'Données projet'!$A$87:$I$107,6,0)*VLOOKUP('Données projet'!$B$11,Paramètres!$A$1:$I$89,7,0))</f>
        <v>0</v>
      </c>
      <c r="BO183" s="16">
        <f>IF(ISNA(VLOOKUP(A183,'Données projet'!$A$87:$I$107,7,0)),0%,VLOOKUP(A183,'Données projet'!$A$87:$I$107,7,0))</f>
        <v>0</v>
      </c>
      <c r="BP183" s="21">
        <f>EXP(-LN(2)/35)*BP182+(1-EXP(-LN(2)/35))/(LN(2)/35)*BL183*BM183*VLOOKUP('Données projet'!$B$11,Paramètres!$A$1:$I$89,3,0)*0.475*44/12</f>
        <v>0.1299486733324044</v>
      </c>
      <c r="BQ183" s="21">
        <f>EXP(-LN(2)/25)*BQ182+(1-EXP(-LN(2)/25))/(LN(2)/25)*Calculateur!BL183*Calculateur!BN183*VLOOKUP('Données projet'!$B$11,Paramètres!$A$1:$I$89,3,0)*0.475*44/12</f>
        <v>0.23856135500930536</v>
      </c>
      <c r="BR183" s="21">
        <f>EXP(-LN(2)/2)*BR182+(1-EXP(-LN(2)/2))/(LN(2)/2)*BL183*BO183*VLOOKUP('Données projet'!$B$11,Paramètres!$A$1:$I$89,3,0)*0.475*44/12</f>
        <v>5.8072957567264637E-22</v>
      </c>
      <c r="BS183" s="22">
        <f t="shared" si="169"/>
        <v>0.36851002834170976</v>
      </c>
      <c r="BT183" s="75">
        <f>('Scénario référence'!$F$8+'Scénario référence'!$F$9+'Scénario référence'!$B$17+'Scénario référence'!$B$9+'Scénario référence'!$B$10)*70+IF((45+25*(1-EXP(-0.0175*A183)))&lt;70,'Scénario référence'!$B$16*(45+25*(1-EXP(-0.0175*A183))),70*'Scénario référence'!$B$16)+IF((32+38*(1-EXP(-0.0175*A183)))&lt;70,'Scénario référence'!$B$18*(32+38*(1-EXP(-0.0175*A183))),70*'Scénario référence'!$B$18)</f>
        <v>70</v>
      </c>
      <c r="BU183" s="12">
        <f>IF(A183&gt;30,10,('Scénario référence'!$B$16+'Scénario référence'!$B$17+'Scénario référence'!$B$18+'Scénario référence'!$B$9+'Scénario référence'!$B$10)*A183*10/30+('Scénario référence'!$F$8+'Scénario référence'!$F$9)*10)</f>
        <v>10</v>
      </c>
      <c r="BV183" s="12" t="e">
        <f>VLOOKUP(A183,'Données projet'!$A$113:$I$133,2,0)</f>
        <v>#N/A</v>
      </c>
      <c r="BW183" s="12" t="e">
        <f>VLOOKUP(A183,'Données projet'!$A$113:$I$133,9,0)</f>
        <v>#N/A</v>
      </c>
      <c r="BX183" s="12">
        <f t="array" ref="BX183">INDEX(BW:BW,MIN(IF(ISNUMBER(BW183:BW379),ROW(BW183:BW379),"")))</f>
        <v>0</v>
      </c>
      <c r="BY183" s="12">
        <f>IF('Données projet'!$A$114&gt;35,BY182+BX183-CG182,IF(A183&lt;'Données projet'!$A$114,$BV$205^A183,IF(A183='Données projet'!$A$114,'Données projet'!$B$114,BY182+BX183-CG182)))</f>
        <v>333.99999999999977</v>
      </c>
      <c r="BZ183" s="13">
        <f>BY183*VLOOKUP('Données projet'!$B$12,Paramètres!$A$1:$I$89,3,0)*VLOOKUP('Données projet'!$B$12,Paramètres!$A$1:$I$89,5,0)</f>
        <v>191.04799999999986</v>
      </c>
      <c r="CA183" s="13">
        <f t="shared" si="170"/>
        <v>47.771576544305155</v>
      </c>
      <c r="CB183" s="20">
        <f t="shared" si="171"/>
        <v>415.94409581466454</v>
      </c>
      <c r="CC183" s="59">
        <f t="shared" si="119"/>
        <v>709.27742914799785</v>
      </c>
      <c r="CD183" s="59">
        <f ca="1">AVERAGE(OFFSET($CC$3,0,0,'Données projet'!$E$12+1,1))-AVERAGE(OFFSET($H$3,0,0,'Données projet'!$E$12+1,1))</f>
        <v>188.64374818906128</v>
      </c>
      <c r="CE183" s="59">
        <f t="shared" si="148"/>
        <v>211.95157880548652</v>
      </c>
      <c r="CF183" s="15">
        <f>IF(ISNA(VLOOKUP(A183,'Données projet'!$A$113:$I$133,3,0)),0,VLOOKUP(A183,'Données projet'!$A$113:$I$133,3,0))</f>
        <v>0</v>
      </c>
      <c r="CG183" s="15">
        <f>IF(ISNA(VLOOKUP(A183,'Données projet'!$A$113:$I$133,4,0)),0,VLOOKUP(A183,'Données projet'!$A$113:$I$133,4,0))</f>
        <v>0</v>
      </c>
      <c r="CH183" s="16">
        <f>IF(ISNA(VLOOKUP(A183,'Données projet'!$A$113:$I$133,5,0)),0%,VLOOKUP(A183,'Données projet'!$A$113:$I$133,5,0)*VLOOKUP('Données projet'!$B$12,Paramètres!$A$1:$I$89,7,0))</f>
        <v>0</v>
      </c>
      <c r="CI183" s="16">
        <f>IF(ISNA(VLOOKUP(A183,'Données projet'!$A$113:$I$133,6,0)),0%,VLOOKUP(A183,'Données projet'!$A$113:$I$133,6,0)*VLOOKUP('Données projet'!$B$12,Paramètres!$A$1:$I$89,7,0))</f>
        <v>0</v>
      </c>
      <c r="CJ183" s="16">
        <f>IF(ISNA(VLOOKUP(A183,'Données projet'!$A$113:$I$133,7,0)),0%,VLOOKUP(A183,'Données projet'!$A$113:$I$133,7,0))</f>
        <v>0</v>
      </c>
      <c r="CK183" s="21">
        <f>EXP(-LN(2)/35)*CK182+(1-EXP(-LN(2)/35))/(LN(2)/35)*CG183*CH183*VLOOKUP('Données projet'!$B$12,Paramètres!$A$1:$I$89,3,0)*0.475*44/12</f>
        <v>0.12604941736590833</v>
      </c>
      <c r="CL183" s="21">
        <f>EXP(-LN(2)/25)*CL182+(1-EXP(-LN(2)/25))/(LN(2)/25)*Calculateur!CG183*Calculateur!CI183*VLOOKUP('Données projet'!$B$12,Paramètres!$A$1:$I$89,3,0)*0.475*44/12</f>
        <v>0.22453934878435394</v>
      </c>
      <c r="CM183" s="21">
        <f>EXP(-LN(2)/2)*CM182+(1-EXP(-LN(2)/2))/(LN(2)/2)*CG183*CJ183*VLOOKUP('Données projet'!$B$12,Paramètres!$A$1:$I$89,3,0)*0.475*44/12</f>
        <v>5.6239115708215194E-22</v>
      </c>
      <c r="CN183" s="22">
        <f t="shared" si="172"/>
        <v>0.35058876615026224</v>
      </c>
      <c r="CO183" s="75">
        <f>('Scénario référence'!$F$8+'Scénario référence'!$F$9+'Scénario référence'!$B$17+'Scénario référence'!$B$9+'Scénario référence'!$B$10)*70+IF((45+25*(1-EXP(-0.0175*A183)))&lt;70,'Scénario référence'!$B$16*(45+25*(1-EXP(-0.0175*A183))),70*'Scénario référence'!$B$16)+IF((32+38*(1-EXP(-0.0175*A183)))&lt;70,'Scénario référence'!$B$18*(32+38*(1-EXP(-0.0175*A183))),70*'Scénario référence'!$B$18)</f>
        <v>70</v>
      </c>
      <c r="CP183" s="12">
        <f>IF(A183&gt;30,10,('Scénario référence'!$B$16+'Scénario référence'!$B$17+'Scénario référence'!$B$18+'Scénario référence'!$B$9+'Scénario référence'!$B$10)*A183*10/30+('Scénario référence'!$F$8+'Scénario référence'!$F$9)*10)</f>
        <v>10</v>
      </c>
      <c r="CQ183" s="12" t="e">
        <f>VLOOKUP(A183,'Données projet'!$A$139:$I$159,2,0)</f>
        <v>#N/A</v>
      </c>
      <c r="CR183" s="12" t="e">
        <f>VLOOKUP(A183,'Données projet'!$A$139:$I$159,9,0)</f>
        <v>#N/A</v>
      </c>
      <c r="CS183" s="12">
        <f t="array" ref="CS183">INDEX(CR:CR,MIN(IF(ISNUMBER(CR183:CR379),ROW(CR183:CR379),"")))</f>
        <v>0</v>
      </c>
      <c r="CT183" s="12">
        <f>IF('Données projet'!$A$140&gt;35,CT182+CS183-DB182,IF(A183&lt;'Données projet'!$A$140,$CQ$205^A183,IF(A183='Données projet'!$A$140,'Données projet'!$B$140,CT182+CS183-DB182)))</f>
        <v>0</v>
      </c>
      <c r="CU183" s="17" t="e">
        <f>CT183*VLOOKUP('Données projet'!$B$13,Paramètres!$A$1:$I$89,3,0)*VLOOKUP('Données projet'!$B$13,Paramètres!$A$1:$I$89,5,0)</f>
        <v>#N/A</v>
      </c>
      <c r="CV183" s="13" t="e">
        <f t="shared" si="173"/>
        <v>#N/A</v>
      </c>
      <c r="CW183" s="20" t="e">
        <f t="shared" si="174"/>
        <v>#N/A</v>
      </c>
      <c r="CX183" s="59" t="e">
        <f t="shared" si="122"/>
        <v>#N/A</v>
      </c>
      <c r="CY183" s="59" t="e">
        <f ca="1">AVERAGE(OFFSET($CX$3,0,0,'Données projet'!$E$13+1,1))-AVERAGE(OFFSET($H$3,0,0,'Données projet'!$E$13+1,1))</f>
        <v>#N/A</v>
      </c>
      <c r="CZ183" s="59" t="e">
        <f t="shared" si="150"/>
        <v>#N/A</v>
      </c>
      <c r="DA183" s="15">
        <f>IF(ISNA(VLOOKUP(A183,'Données projet'!$A$139:$I$159,3,0)),0,VLOOKUP(A183,'Données projet'!$A$139:$I$159,3,0))</f>
        <v>0</v>
      </c>
      <c r="DB183" s="15">
        <f>IF(ISNA(VLOOKUP(A183,'Données projet'!$A$139:$I$159,4,0)),0,VLOOKUP(A183,'Données projet'!$A$139:$I$159,4,0))</f>
        <v>0</v>
      </c>
      <c r="DC183" s="16">
        <f>IF(ISNA(VLOOKUP(A183,'Données projet'!$A$139:$I$159,5,0)),0%,VLOOKUP(A183,'Données projet'!$A$139:$I$159,5,0)*VLOOKUP('Données projet'!$B$13,Paramètres!$A$1:$I$89,7,0))</f>
        <v>0</v>
      </c>
      <c r="DD183" s="16">
        <f>IF(ISNA(VLOOKUP(A183,'Données projet'!$A$139:$I$159,6,0)),0%,VLOOKUP(A183,'Données projet'!$A$139:$I$159,6,0)*VLOOKUP('Données projet'!$B$13,Paramètres!$A$1:$I$89,7,0))</f>
        <v>0</v>
      </c>
      <c r="DE183" s="16">
        <f>IF(ISNA(VLOOKUP(A183,'Données projet'!$A$139:$I$159,7,0)),0%,VLOOKUP(A183,'Données projet'!$A$139:$I$159,7,0))</f>
        <v>0</v>
      </c>
      <c r="DF183" s="21" t="e">
        <f>EXP(-LN(2)/35)*DF182+(1-EXP(-LN(2)/35))/(LN(2)/35)*DB183*DC183*VLOOKUP('Données projet'!$B$13,Paramètres!$A$1:$I$89,3,0)*0.475*44/12</f>
        <v>#N/A</v>
      </c>
      <c r="DG183" s="21" t="e">
        <f>EXP(-LN(2)/25)*DG182+(1-EXP(-LN(2)/25))/(LN(2)/25)*Calculateur!DB183*Calculateur!DD183*VLOOKUP('Données projet'!$B$13,Paramètres!$A$1:$I$89,3,0)*0.475*44/12</f>
        <v>#N/A</v>
      </c>
      <c r="DH183" s="21" t="e">
        <f>EXP(-LN(2)/2)*DH182+(1-EXP(-LN(2)/2))/(LN(2)/2)*DB183*DE183*VLOOKUP('Données projet'!$B$13,Paramètres!$A$1:$I$89,3,0)*0.475*44/12</f>
        <v>#N/A</v>
      </c>
      <c r="DI183" s="22" t="e">
        <f t="shared" si="175"/>
        <v>#N/A</v>
      </c>
      <c r="DJ183" s="75">
        <f>('Scénario référence'!$F$8+'Scénario référence'!$F$9+'Scénario référence'!$B$17+'Scénario référence'!$B$9+'Scénario référence'!$B$10)*70+IF((45+25*(1-EXP(-0.0175*A183)))&lt;70,'Scénario référence'!$B$16*(45+25*(1-EXP(-0.0175*A183))),70*'Scénario référence'!$B$16)+IF((32+38*(1-EXP(-0.0175*A183)))&lt;70,'Scénario référence'!$B$18*(32+38*(1-EXP(-0.0175*A183))),70*'Scénario référence'!$B$18)</f>
        <v>70</v>
      </c>
      <c r="DK183" s="12">
        <f>IF(A183&gt;30,10,('Scénario référence'!$B$16+'Scénario référence'!$B$17+'Scénario référence'!$B$18+'Scénario référence'!$B$9+'Scénario référence'!$B$10)*A183*10/30+('Scénario référence'!$F$8+'Scénario référence'!$F$9)*10)</f>
        <v>10</v>
      </c>
      <c r="DL183" s="12" t="e">
        <f>VLOOKUP(A183,'Données projet'!$A$165:$I$185,2,0)</f>
        <v>#N/A</v>
      </c>
      <c r="DM183" s="12" t="e">
        <f>VLOOKUP(A183,'Données projet'!$A$165:$I$185,9,0)</f>
        <v>#N/A</v>
      </c>
      <c r="DN183" s="12">
        <f t="array" ref="DN183">INDEX(DM:DM,MIN(IF(ISNUMBER(DM183:DM379),ROW(DM183:DM379),"")))</f>
        <v>0</v>
      </c>
      <c r="DO183" s="12">
        <f>IF('Données projet'!$A$166&gt;35,DO182+DN183-DW182,IF(A183&lt;'Données projet'!$A$166,$DL$205^A183,IF(A183='Données projet'!$A$166,'Données projet'!$B$166,DO182+DN183-DW182)))</f>
        <v>268.00000000000017</v>
      </c>
      <c r="DP183" s="17">
        <f>DO183*VLOOKUP('Données projet'!$B$14,Paramètres!$A$1:$I$89,3,0)*VLOOKUP('Données projet'!$B$14,Paramètres!$A$1:$I$89,5,0)</f>
        <v>175.59360000000012</v>
      </c>
      <c r="DQ183" s="13">
        <f t="shared" si="176"/>
        <v>44.340433728638573</v>
      </c>
      <c r="DR183" s="20">
        <f t="shared" si="177"/>
        <v>383.05177541071242</v>
      </c>
      <c r="DS183" s="59">
        <f t="shared" si="125"/>
        <v>676.38510874404574</v>
      </c>
      <c r="DT183" s="59">
        <f ca="1">AVERAGE(OFFSET($DS$3,0,0,'Données projet'!$E$14+1,1))-AVERAGE(OFFSET($H$3,0,0,'Données projet'!$E$14+1,1))</f>
        <v>188.68915783955595</v>
      </c>
      <c r="DU183" s="59">
        <f t="shared" si="152"/>
        <v>240.82467772396944</v>
      </c>
      <c r="DV183" s="15">
        <f>IF(ISNA(VLOOKUP(A183,'Données projet'!$A$165:$I$185,3,0)),0,VLOOKUP(A183,'Données projet'!$A$165:$I$185,3,0))</f>
        <v>0</v>
      </c>
      <c r="DW183" s="15">
        <f>IF(ISNA(VLOOKUP(A183,'Données projet'!$A$165:$I$185,4,0)),0,VLOOKUP(A183,'Données projet'!$A$165:$I$185,4,0))</f>
        <v>0</v>
      </c>
      <c r="DX183" s="16">
        <f>IF(ISNA(VLOOKUP(A183,'Données projet'!$A$165:$I$185,5,0)),0%,VLOOKUP(A183,'Données projet'!$A$165:$I$185,5,0)*VLOOKUP('Données projet'!$B$14,Paramètres!$A$1:$I$89,7,0))</f>
        <v>0</v>
      </c>
      <c r="DY183" s="16">
        <f>IF(ISNA(VLOOKUP(A183,'Données projet'!$A$165:$I$185,6,0)),0%,VLOOKUP(A183,'Données projet'!$A$165:$I$185,6,0)*VLOOKUP('Données projet'!$B$14,Paramètres!$A$1:$I$89,7,0))</f>
        <v>0</v>
      </c>
      <c r="DZ183" s="16">
        <f>IF(ISNA(VLOOKUP(A183,'Données projet'!$A$165:$I$185,7,0)),0%,VLOOKUP(A183,'Données projet'!$A$165:$I$185,7,0))</f>
        <v>0</v>
      </c>
      <c r="EA183" s="21">
        <f>EXP(-LN(2)/35)*EA182+(1-EXP(-LN(2)/35))/(LN(2)/35)*DW183*DX183*VLOOKUP('Données projet'!$B$14,Paramètres!$A$1:$I$89,3,0)*0.475*44/12</f>
        <v>7.9841907885392305E-2</v>
      </c>
      <c r="EB183" s="21">
        <f>EXP(-LN(2)/25)*EB182+(1-EXP(-LN(2)/25))/(LN(2)/25)*Calculateur!DW183*Calculateur!DY183*VLOOKUP('Données projet'!$B$14,Paramètres!$A$1:$I$89,3,0)*0.475*44/12</f>
        <v>0.12559420691805398</v>
      </c>
      <c r="EC183" s="21">
        <f>EXP(-LN(2)/2)*EC182+(1-EXP(-LN(2)/2))/(LN(2)/2)*DW183*DZ183*VLOOKUP('Données projet'!$B$14,Paramètres!$A$1:$I$89,3,0)*0.475*44/12</f>
        <v>3.7048183461033174E-22</v>
      </c>
      <c r="ED183" s="22">
        <f t="shared" si="178"/>
        <v>0.20543611480344628</v>
      </c>
      <c r="EE183" s="75">
        <f>('Scénario référence'!$F$8+'Scénario référence'!$F$9+'Scénario référence'!$B$17+'Scénario référence'!$B$9+'Scénario référence'!$B$10)*70+IF((45+25*(1-EXP(-0.0175*A183)))&lt;70,'Scénario référence'!$B$16*(45+25*(1-EXP(-0.0175*A183))),70*'Scénario référence'!$B$16)+IF((32+38*(1-EXP(-0.0175*A183)))&lt;70,'Scénario référence'!$B$18*(32+38*(1-EXP(-0.0175*A183))),70*'Scénario référence'!$B$18)</f>
        <v>70</v>
      </c>
      <c r="EF183" s="12">
        <f>IF(A183&gt;30,10,('Scénario référence'!$B$16+'Scénario référence'!$B$17+'Scénario référence'!$B$18+'Scénario référence'!$B$9+'Scénario référence'!$B$10)*A183*10/30+('Scénario référence'!$F$8+'Scénario référence'!$F$9)*10)</f>
        <v>10</v>
      </c>
      <c r="EG183" s="12" t="e">
        <f>VLOOKUP(A183,'Données projet'!$A$191:$I$211,2,0)</f>
        <v>#N/A</v>
      </c>
      <c r="EH183" s="12" t="e">
        <f>VLOOKUP(A183,'Données projet'!$A$191:$I$211,9,0)</f>
        <v>#N/A</v>
      </c>
      <c r="EI183" s="12">
        <f t="array" ref="EI183">INDEX(EH:EH,MIN(IF(ISNUMBER(EH183:EH379),ROW(EH183:EH379),"")))</f>
        <v>0</v>
      </c>
      <c r="EJ183" s="12">
        <f>IF('Données projet'!$A$192&gt;35,EJ182+EI183-ER182,IF(A183&lt;'Données projet'!$A$192,$EG$205^A183,IF(A183='Données projet'!$A$192,'Données projet'!$B$192,EJ182+EI183-ER182)))</f>
        <v>275.99999999999972</v>
      </c>
      <c r="EK183" s="17">
        <f>EJ183*VLOOKUP('Données projet'!$B$15,Paramètres!$A$1:$I$89,3,0)*VLOOKUP('Données projet'!$B$15,Paramètres!$A$1:$I$89,5,0)</f>
        <v>223.8911999999998</v>
      </c>
      <c r="EL183" s="13">
        <f t="shared" si="179"/>
        <v>54.95975389514858</v>
      </c>
      <c r="EM183" s="20">
        <f t="shared" si="180"/>
        <v>485.66541136738346</v>
      </c>
      <c r="EN183" s="59">
        <f t="shared" si="128"/>
        <v>778.99874470071677</v>
      </c>
      <c r="EO183" s="59">
        <f ca="1">AVERAGE(OFFSET($EN$3,0,0,'Données projet'!$E$15+1,1))-AVERAGE(OFFSET($H$3,0,0,'Données projet'!$E$15+1,1))</f>
        <v>205.5272583787887</v>
      </c>
      <c r="EP183" s="59">
        <f t="shared" si="154"/>
        <v>180.54762778843178</v>
      </c>
      <c r="EQ183" s="15">
        <f>IF(ISNA(VLOOKUP(A183,'Données projet'!$A$191:$I$211,3,0)),0,VLOOKUP(A183,'Données projet'!$A$191:$I$211,3,0))</f>
        <v>0</v>
      </c>
      <c r="ER183" s="15">
        <f>IF(ISNA(VLOOKUP(A183,'Données projet'!$A$191:$I$211,4,0)),0,VLOOKUP(A183,'Données projet'!$A$191:$I$211,4,0))</f>
        <v>0</v>
      </c>
      <c r="ES183" s="16">
        <f>IF(ISNA(VLOOKUP(A183,'Données projet'!$A$191:$I$211,5,0)),0%,VLOOKUP(A183,'Données projet'!$A$191:$I$211,5,0)*VLOOKUP('Données projet'!$B$15,Paramètres!$A$1:$I$89,7,0))</f>
        <v>0</v>
      </c>
      <c r="ET183" s="16">
        <f>IF(ISNA(VLOOKUP(A183,'Données projet'!$A$191:$I$211,6,0)),0%,VLOOKUP(A183,'Données projet'!$A$191:$I$211,6,0)*VLOOKUP('Données projet'!$B$15,Paramètres!$A$1:$I$89,7,0))</f>
        <v>0</v>
      </c>
      <c r="EU183" s="16">
        <f>IF(ISNA(VLOOKUP(A183,'Données projet'!$A$191:$I$211,7,0)),0%,VLOOKUP(A183,'Données projet'!$A$191:$I$211,7,0))</f>
        <v>0</v>
      </c>
      <c r="EV183" s="21">
        <f>EXP(-LN(2)/35)*EV182+(1-EXP(-LN(2)/35))/(LN(2)/35)*ER183*ES183*VLOOKUP('Données projet'!$B$15,Paramètres!$A$1:$I$89,3,0)*0.475*44/12</f>
        <v>5.140298069573828E-2</v>
      </c>
      <c r="EW183" s="21">
        <f>EXP(-LN(2)/25)*EW182+(1-EXP(-LN(2)/25))/(LN(2)/25)*Calculateur!ER183*Calculateur!ET183*VLOOKUP('Données projet'!$B$15,Paramètres!$A$1:$I$89,3,0)*0.475*44/12</f>
        <v>9.0682827416285111E-2</v>
      </c>
      <c r="EX183" s="21">
        <f>EXP(-LN(2)/2)*EX182+(1-EXP(-LN(2)/2))/(LN(2)/2)*ER183*EU183*VLOOKUP('Données projet'!$B$15,Paramètres!$A$1:$I$89,3,0)*0.475*44/12</f>
        <v>2.3988726185416713E-22</v>
      </c>
      <c r="EY183" s="22">
        <f t="shared" si="181"/>
        <v>0.1420858081120234</v>
      </c>
      <c r="EZ183" s="75">
        <f>('Scénario référence'!$F$8+'Scénario référence'!$F$9+'Scénario référence'!$B$17+'Scénario référence'!$B$9+'Scénario référence'!$B$10)*70+IF((45+25*(1-EXP(-0.0175*A183)))&lt;70,'Scénario référence'!$B$16*(45+25*(1-EXP(-0.0175*A183))),70*'Scénario référence'!$B$16)+IF((32+38*(1-EXP(-0.0175*A183)))&lt;70,'Scénario référence'!$B$18*(32+38*(1-EXP(-0.0175*A183))),70*'Scénario référence'!$B$18)</f>
        <v>70</v>
      </c>
      <c r="FA183" s="12">
        <f>IF(A183&gt;30,10,('Scénario référence'!$B$16+'Scénario référence'!$B$17+'Scénario référence'!$B$18+'Scénario référence'!$B$9+'Scénario référence'!$B$10)*A183*10/30+('Scénario référence'!$F$8+'Scénario référence'!$F$9)*10)</f>
        <v>10</v>
      </c>
      <c r="FB183" s="12" t="e">
        <f>VLOOKUP(A183,'Données projet'!$A$217:$I$237,2,0)</f>
        <v>#N/A</v>
      </c>
      <c r="FC183" s="12" t="e">
        <f>VLOOKUP(A183,'Données projet'!$A$217:$I$237,9,0)</f>
        <v>#N/A</v>
      </c>
      <c r="FD183" s="12">
        <f t="array" ref="FD183">INDEX(FC:FC,MIN(IF(ISNUMBER(FC183:FC379),ROW(FC183:FC379),"")))</f>
        <v>0</v>
      </c>
      <c r="FE183" s="12">
        <f>IF('Données projet'!$A$218&gt;35,FE182+FD183-FM182,IF(A183&lt;'Données projet'!$A$218,$FB$205^A183,IF(A183='Données projet'!$A$218,'Données projet'!$B$218,FE182+FD183-FM182)))</f>
        <v>418.99999999999983</v>
      </c>
      <c r="FF183" s="17">
        <f>FE183*VLOOKUP('Données projet'!$B$16,Paramètres!$A$1:$I$89,3,0)*VLOOKUP('Données projet'!$B$16,Paramètres!$A$1:$I$89,5,0)</f>
        <v>359.5019999999999</v>
      </c>
      <c r="FG183" s="13">
        <f t="shared" si="182"/>
        <v>83.516011055432813</v>
      </c>
      <c r="FH183" s="20">
        <f t="shared" si="183"/>
        <v>771.58970258821194</v>
      </c>
      <c r="FI183" s="59">
        <f t="shared" si="131"/>
        <v>1064.9230359215453</v>
      </c>
      <c r="FJ183" s="59">
        <f ca="1">AVERAGE(OFFSET($FI$3,0,0,'Données projet'!$E$16+1,1))-AVERAGE(OFFSET($H$3,0,0,'Données projet'!$E$16+1,1))</f>
        <v>383.97627237444709</v>
      </c>
      <c r="FK183" s="59">
        <f t="shared" si="156"/>
        <v>203.35476578922339</v>
      </c>
      <c r="FL183" s="15">
        <f>IF(ISNA(VLOOKUP(A183,'Données projet'!$A$217:$I$237,3,0)),0,VLOOKUP(A183,'Données projet'!$A$217:$I$237,3,0))</f>
        <v>0</v>
      </c>
      <c r="FM183" s="15">
        <f>IF(ISNA(VLOOKUP(A183,'Données projet'!$A$217:$I$237,4,0)),0,VLOOKUP(A183,'Données projet'!$A$217:$I$237,4,0))</f>
        <v>0</v>
      </c>
      <c r="FN183" s="16">
        <f>IF(ISNA(VLOOKUP(A183,'Données projet'!$A$217:$I$237,5,0)),0%,VLOOKUP(A183,'Données projet'!$A$217:$I$237,5,0)*VLOOKUP('Données projet'!$B$16,Paramètres!$A$1:$I$89,7,0))</f>
        <v>0</v>
      </c>
      <c r="FO183" s="16">
        <f>IF(ISNA(VLOOKUP(A183,'Données projet'!$A$217:$I$237,6,0)),0%,VLOOKUP(A183,'Données projet'!$A$217:$I$237,6,0)*VLOOKUP('Données projet'!$B$16,Paramètres!$A$1:$I$89,7,0))</f>
        <v>0</v>
      </c>
      <c r="FP183" s="16">
        <f>IF(ISNA(VLOOKUP(A183,'Données projet'!$A$217:$I$237,7,0)),0%,VLOOKUP(A183,'Données projet'!$A$217:$I$237,7,0))</f>
        <v>0</v>
      </c>
      <c r="FQ183" s="21">
        <f>EXP(-LN(2)/35)*FQ182+(1-EXP(-LN(2)/35))/(LN(2)/35)*FM183*FN183*VLOOKUP('Données projet'!$B$16,Paramètres!$A$1:$I$89,3,0)*0.475*44/12</f>
        <v>0.26418343358036245</v>
      </c>
      <c r="FR183" s="21">
        <f>EXP(-LN(2)/25)*FR182+(1-EXP(-LN(2)/25))/(LN(2)/25)*Calculateur!FM183*Calculateur!FO183*VLOOKUP('Données projet'!$B$16,Paramètres!$A$1:$I$89,3,0)*0.475*44/12</f>
        <v>9.2052442788521774E-2</v>
      </c>
      <c r="FS183" s="21">
        <f>EXP(-LN(2)/2)*FS182+(1-EXP(-LN(2)/2))/(LN(2)/2)*FM183*FP183*VLOOKUP('Données projet'!$B$16,Paramètres!$A$1:$I$89,3,0)*0.475*44/12</f>
        <v>4.4062366803207168E-22</v>
      </c>
      <c r="FT183" s="22">
        <f t="shared" si="184"/>
        <v>0.35623587636888421</v>
      </c>
      <c r="FU183" s="75">
        <f>('Scénario référence'!$F$8+'Scénario référence'!$F$9+'Scénario référence'!$B$17+'Scénario référence'!$B$9+'Scénario référence'!$B$10)*70+IF((45+25*(1-EXP(-0.0175*A183)))&lt;70,'Scénario référence'!$B$16*(45+25*(1-EXP(-0.0175*A183))),70*'Scénario référence'!$B$16)+IF((32+38*(1-EXP(-0.0175*A183)))&lt;70,'Scénario référence'!$B$18*(32+38*(1-EXP(-0.0175*A183))),70*'Scénario référence'!$B$18)</f>
        <v>70</v>
      </c>
      <c r="FV183" s="12">
        <f>IF(A183&gt;30,10,('Scénario référence'!$B$16+'Scénario référence'!$B$17+'Scénario référence'!$B$18+'Scénario référence'!$B$9+'Scénario référence'!$B$10)*A183*10/30+('Scénario référence'!$F$8+'Scénario référence'!$F$9)*10)</f>
        <v>10</v>
      </c>
      <c r="FW183" s="12" t="e">
        <f>VLOOKUP(A183,'Données projet'!$A$243:$I$263,2,0)</f>
        <v>#N/A</v>
      </c>
      <c r="FX183" s="12" t="e">
        <f>VLOOKUP(A183,'Données projet'!$A$243:$I$263,9,0)</f>
        <v>#N/A</v>
      </c>
      <c r="FY183" s="12">
        <f t="array" ref="FY183">INDEX(FX:FX,MIN(IF(ISNUMBER(FX183:FX379),ROW(FX183:FX379),"")))</f>
        <v>0</v>
      </c>
      <c r="FZ183" s="12">
        <f>IF('Données projet'!$A$244&gt;35,FZ182+FY183-GH182,IF(A183&lt;'Données projet'!$A$244,$FW$205^A183,IF(A183='Données projet'!$A$244,'Données projet'!$B$244,FZ182+FY183-GH182)))</f>
        <v>4.5474735088646412E-13</v>
      </c>
      <c r="GA183" s="17">
        <f>FZ183*VLOOKUP('Données projet'!$B$17,Paramètres!$A$1:$I$89,3,0)*VLOOKUP('Données projet'!$B$17,Paramètres!$A$1:$I$89,5,0)</f>
        <v>4.8949004849418999E-13</v>
      </c>
      <c r="GB183" s="13">
        <f t="shared" si="185"/>
        <v>6.1123715499968684E-12</v>
      </c>
      <c r="GC183" s="20">
        <f t="shared" si="186"/>
        <v>1.1498242284038591E-11</v>
      </c>
      <c r="GD183" s="59">
        <f t="shared" si="134"/>
        <v>293.3333333333448</v>
      </c>
      <c r="GE183" s="59">
        <f ca="1">AVERAGE(OFFSET($GD$3,0,0,'Données projet'!$E$17+1,1))-AVERAGE(OFFSET($H$3,0,0,'Données projet'!$E$17+1,1))</f>
        <v>286.77702855541287</v>
      </c>
      <c r="GF183" s="59">
        <f t="shared" si="158"/>
        <v>227.12211541860779</v>
      </c>
      <c r="GG183" s="15">
        <f>IF(ISNA(VLOOKUP(A183,'Données projet'!$A$243:$I$263,3,0)),0,VLOOKUP(A183,'Données projet'!$A$243:$I$263,3,0))</f>
        <v>0</v>
      </c>
      <c r="GH183" s="15">
        <f>IF(ISNA(VLOOKUP(A183,'Données projet'!$A$243:$I$263,4,0)),0,VLOOKUP(A183,'Données projet'!$A$243:$I$263,4,0))</f>
        <v>0</v>
      </c>
      <c r="GI183" s="16">
        <f>IF(ISNA(VLOOKUP(A183,'Données projet'!$A$243:$I$263,5,0)),0%,VLOOKUP(A183,'Données projet'!$A$243:$I$263,5,0)*VLOOKUP('Données projet'!$B$17,Paramètres!$A$1:$I$89,7,0))</f>
        <v>0</v>
      </c>
      <c r="GJ183" s="16">
        <f>IF(ISNA(VLOOKUP(A183,'Données projet'!$A$243:$I$263,6,0)),0%,VLOOKUP(A183,'Données projet'!$A$243:$I$263,6,0)*VLOOKUP('Données projet'!$B$17,Paramètres!$A$1:$I$89,7,0))</f>
        <v>0</v>
      </c>
      <c r="GK183" s="16">
        <f>IF(ISNA(VLOOKUP(A183,'Données projet'!$A$243:$I$263,7,0)),0%,VLOOKUP(A183,'Données projet'!$A$243:$I$263,7,0))</f>
        <v>0</v>
      </c>
      <c r="GL183" s="21">
        <f>EXP(-LN(2)/35)*GL182+(1-EXP(-LN(2)/35))/(LN(2)/35)*GH183*GI183*VLOOKUP('Données projet'!$B$17,Paramètres!$A$1:$I$89,3,0)*0.475*44/12</f>
        <v>0</v>
      </c>
      <c r="GM183" s="21">
        <f>EXP(-LN(2)/25)*GM182+(1-EXP(-LN(2)/25))/(LN(2)/25)*Calculateur!GH183*Calculateur!GJ183*VLOOKUP('Données projet'!$B$17,Paramètres!$A$1:$I$89,3,0)*0.475*44/12</f>
        <v>0</v>
      </c>
      <c r="GN183" s="21">
        <f>EXP(-LN(2)/2)*GN182+(1-EXP(-LN(2)/2))/(LN(2)/2)*GH183*GK183*VLOOKUP('Données projet'!$B$17,Paramètres!$A$1:$I$89,3,0)*0.475*44/12</f>
        <v>0</v>
      </c>
      <c r="GO183" s="21">
        <f t="shared" si="187"/>
        <v>0</v>
      </c>
      <c r="GP183" s="75">
        <f>('Scénario référence'!$F$8+'Scénario référence'!$F$9+'Scénario référence'!$B$17+'Scénario référence'!$B$9+'Scénario référence'!$B$10)*70+IF((45+25*(1-EXP(-0.0175*A183)))&lt;70,'Scénario référence'!$B$16*(45+25*(1-EXP(-0.0175*A183))),70*'Scénario référence'!$B$16)+IF((32+38*(1-EXP(-0.0175*A183)))&lt;70,'Scénario référence'!$B$18*(32+38*(1-EXP(-0.0175*A183))),70*'Scénario référence'!$B$18)</f>
        <v>70</v>
      </c>
      <c r="GQ183" s="12">
        <f>IF(A183&gt;30,10,('Scénario référence'!$B$16+'Scénario référence'!$B$17+'Scénario référence'!$B$18+'Scénario référence'!$B$9+'Scénario référence'!$B$10)*A183*10/30+('Scénario référence'!$F$8+'Scénario référence'!$F$9)*10)</f>
        <v>10</v>
      </c>
      <c r="GR183" s="12" t="e">
        <f>VLOOKUP(A183,'Données projet'!$A$269:$I$289,2,0)</f>
        <v>#N/A</v>
      </c>
      <c r="GS183" s="12" t="e">
        <f>VLOOKUP(A183,'Données projet'!$A$269:$I$289,9,0)</f>
        <v>#N/A</v>
      </c>
      <c r="GT183" s="12">
        <f t="array" ref="GT183">INDEX(GS:GS,MIN(IF(ISNUMBER(GS183:GS379),ROW(GS183:GS379),"")))</f>
        <v>0</v>
      </c>
      <c r="GU183" s="12">
        <f>IF('Données projet'!$A$270&gt;35,GU182+GT183-HC182,IF(A183&lt;'Données projet'!$A$270,$GR$205^A183,IF(A183='Données projet'!$A$270,'Données projet'!$B$270,GU182+GT183-HC182)))</f>
        <v>4.5474735088646412E-13</v>
      </c>
      <c r="GV183" s="17">
        <f>GU183*VLOOKUP('Données projet'!$B$18,Paramètres!$A$1:$I$89,3,0)*VLOOKUP('Données projet'!$B$18,Paramètres!$A$1:$I$89,5,0)</f>
        <v>4.8949004849418999E-13</v>
      </c>
      <c r="GW183" s="13">
        <f t="shared" si="188"/>
        <v>6.1123715499968684E-12</v>
      </c>
      <c r="GX183" s="20">
        <f t="shared" si="189"/>
        <v>1.1498242284038591E-11</v>
      </c>
      <c r="GY183" s="59">
        <f t="shared" si="137"/>
        <v>293.3333333333448</v>
      </c>
      <c r="GZ183" s="59">
        <f ca="1">AVERAGE(OFFSET($GY$3,0,0,'Données projet'!$E$18+1,1))-AVERAGE(OFFSET($H$3,0,0,'Données projet'!$E$18+1,1))</f>
        <v>286.77702855541287</v>
      </c>
      <c r="HA183" s="59">
        <f t="shared" si="160"/>
        <v>227.12211541860779</v>
      </c>
      <c r="HB183" s="15">
        <f>IF(ISNA(VLOOKUP(A183,'Données projet'!$A$269:$I$289,3,0)),0,VLOOKUP(A183,'Données projet'!$A$269:$I$289,3,0))</f>
        <v>0</v>
      </c>
      <c r="HC183" s="15">
        <f>IF(ISNA(VLOOKUP(A183,'Données projet'!$A$269:$I$289,4,0)),0,VLOOKUP(A183,'Données projet'!$A$269:$I$289,4,0))</f>
        <v>0</v>
      </c>
      <c r="HD183" s="16">
        <f>IF(ISNA(VLOOKUP(A183,'Données projet'!$A$269:$I$289,5,0)),0%,VLOOKUP(A183,'Données projet'!$A$269:$I$289,5,0)*VLOOKUP('Données projet'!$B$18,Paramètres!$A$1:$I$89,7,0))</f>
        <v>0</v>
      </c>
      <c r="HE183" s="16">
        <f>IF(ISNA(VLOOKUP(A183,'Données projet'!$A$269:$I$289,6,0)),0%,VLOOKUP(A183,'Données projet'!$A$269:$I$289,6,0)*VLOOKUP('Données projet'!$B$18,Paramètres!$A$1:$I$89,7,0))</f>
        <v>0</v>
      </c>
      <c r="HF183" s="16">
        <f>IF(ISNA(VLOOKUP(A183,'Données projet'!$A$269:$I$289,7,0)),0%,VLOOKUP(A183,'Données projet'!$A$269:$I$289,7,0))</f>
        <v>0</v>
      </c>
      <c r="HG183" s="21">
        <f>EXP(-LN(2)/35)*HG182+(1-EXP(-LN(2)/35))/(LN(2)/35)*HC183*HD183*VLOOKUP('Données projet'!$B$18,Paramètres!$A$1:$I$89,3,0)*0.475*44/12</f>
        <v>0</v>
      </c>
      <c r="HH183" s="21">
        <f>EXP(-LN(2)/25)*HH182+(1-EXP(-LN(2)/25))/(LN(2)/25)*Calculateur!HC183*Calculateur!HE183*VLOOKUP('Données projet'!$B$18,Paramètres!$A$1:$I$89,3,0)*0.475*44/12</f>
        <v>0</v>
      </c>
      <c r="HI183" s="21">
        <f>EXP(-LN(2)/2)*HI182+(1-EXP(-LN(2)/2))/(LN(2)/2)*HC183*HF183*VLOOKUP('Données projet'!$B$18,Paramètres!$A$1:$I$89,3,0)*0.475*44/12</f>
        <v>0</v>
      </c>
      <c r="HJ183" s="22">
        <f t="shared" si="190"/>
        <v>0</v>
      </c>
    </row>
    <row r="184" spans="1:218" x14ac:dyDescent="0.25">
      <c r="A184" s="10">
        <f t="shared" si="161"/>
        <v>181</v>
      </c>
      <c r="B184" s="73">
        <f>'Scénario référence'!$B$16*5+'Scénario référence'!$B$17*0+'Scénario référence'!$B$18*5</f>
        <v>0</v>
      </c>
      <c r="C184" s="19">
        <f>Calculateur!C183+'Scénario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160.9451999999998</v>
      </c>
      <c r="D184" s="11">
        <f t="shared" si="140"/>
        <v>41.055634766602871</v>
      </c>
      <c r="E18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84" s="11">
        <f>IF(OR('Scénario référence'!$F$8&gt;0,'Scénario référence'!$F$9&gt;0),('Scénario référence'!$F$8+'Scénario référence'!$F$9)*10,0)</f>
        <v>10</v>
      </c>
      <c r="G184" s="11">
        <f>'Scénario référence'!$B$8*B184*44/12+'Scénario référence'!$B$9*(C184+D184)/0.475*44/12+'Scénario référence'!$B$10*(C184+D184)/0.475*44/12+'Scénario référence'!$F$8*(C184+D184)/0.475*44/12+'Scénario référence'!$F$9*(C184+D184)/0.475*44/12</f>
        <v>1559.3046894264069</v>
      </c>
      <c r="H184" s="67">
        <f t="shared" si="110"/>
        <v>645.15145388516635</v>
      </c>
      <c r="I184" s="70">
        <f>('Scénario référence'!$F$8+'Scénario référence'!$F$9+'Scénario référence'!$B$17+'Scénario référence'!$B$9+'Scénario référence'!$B$10)*70+IF((45+25*(1-EXP(-0.0175*A184)))&lt;70,'Scénario référence'!$B$16*(45+25*(1-EXP(-0.0175*A184))),70*'Scénario référence'!$B$16)+IF((32+38*(1-EXP(-0.0175*A184)))&lt;70,'Scénario référence'!$B$18*(32+38*(1-EXP(-0.0175*A184))),70*'Scénario référence'!$B$18)</f>
        <v>70</v>
      </c>
      <c r="J184" s="13">
        <f>IF(A184&gt;30,10,('Scénario référence'!$B$16+'Scénario référence'!$B$17+'Scénario référence'!$B$18+'Scénario référence'!$B$9+'Scénario référence'!$B$10)*A184*10/30+('Scénario référence'!$F$8+'Scénario référence'!$F$9)*10)</f>
        <v>10</v>
      </c>
      <c r="K184" s="12" t="e">
        <f>VLOOKUP(A184,'Données projet'!$A$35:$I$55,2,0)</f>
        <v>#N/A</v>
      </c>
      <c r="L184" s="12" t="e">
        <f>VLOOKUP(A184,'Données projet'!$A$35:$I$55,9,0)</f>
        <v>#N/A</v>
      </c>
      <c r="M184" s="12">
        <f t="array" ref="M184">INDEX(L:L,MIN(IF(ISNUMBER(L184:L380),ROW(L184:L380),"")))</f>
        <v>0</v>
      </c>
      <c r="N184" s="13">
        <f>IF('Données projet'!$A$36&gt;35,N183+M184-V183,IF(A184&lt;'Données projet'!$A$36,$K$205^A184,IF(A184='Données projet'!$A$36,'Données projet'!$B$36,N183+M184-V183)))</f>
        <v>-2.2737367544323206E-13</v>
      </c>
      <c r="O184" s="13">
        <f>N184*VLOOKUP('Données projet'!$B$9,Paramètres!$A$1:$I$89,3,0)*VLOOKUP('Données projet'!$B$9,Paramètres!$A$1:$I$89,5,0)</f>
        <v>-1.2710188457276673E-13</v>
      </c>
      <c r="P184" s="13" t="e">
        <f t="shared" si="141"/>
        <v>#NUM!</v>
      </c>
      <c r="Q184" s="20" t="e">
        <f t="shared" si="162"/>
        <v>#NUM!</v>
      </c>
      <c r="R184" s="59" t="e">
        <f t="shared" si="109"/>
        <v>#NUM!</v>
      </c>
      <c r="S184" s="59">
        <f ca="1">AVERAGE(OFFSET($R$3,0,0,'Données projet'!$E$9+1,1))-AVERAGE(OFFSET($H$3,0,0,'Données projet'!$E$9+1,1))</f>
        <v>255.5374979188561</v>
      </c>
      <c r="T184" s="59">
        <f t="shared" si="142"/>
        <v>343.10418468620901</v>
      </c>
      <c r="U184" s="15">
        <f>IF(ISNA(VLOOKUP(A184,'Données projet'!$A$35:$I$55,3,0)),0,VLOOKUP(A184,'Données projet'!$A$35:$I$55,3,0))</f>
        <v>0</v>
      </c>
      <c r="V184" s="15">
        <f>IF(ISNA(VLOOKUP(A184,'Données projet'!$A$35:$I$55,4,0)),0,VLOOKUP(A184,'Données projet'!$A$35:$I$55,4,0))</f>
        <v>0</v>
      </c>
      <c r="W184" s="16">
        <f>IF(ISNA(VLOOKUP(A184,'Données projet'!$A$35:$I$55,5,0)),0%,VLOOKUP(A184,'Données projet'!$A$35:$I$55,5,0)*VLOOKUP('Données projet'!$B$9,Paramètres!$A$1:$I$89,7,0))</f>
        <v>0</v>
      </c>
      <c r="X184" s="16">
        <f>IF(ISNA(VLOOKUP(A184,'Données projet'!$A$35:$I$55,6,0)),0%,VLOOKUP(A184,'Données projet'!$A$35:$I$55,6,0)*VLOOKUP('Données projet'!$B$9,Paramètres!$A$1:$I$89,7,0))</f>
        <v>0</v>
      </c>
      <c r="Y184" s="16">
        <f>IF(ISNA(VLOOKUP(A184,'Données projet'!$A$35:$I$55,7,0)),0%,VLOOKUP(A184,'Données projet'!$A$35:$I$55,7,0))</f>
        <v>0</v>
      </c>
      <c r="Z184" s="21">
        <f>EXP(-LN(2)/35)*Z183+(1-EXP(-LN(2)/35))/(LN(2)/35)*V184*W184*VLOOKUP('Données projet'!$B$9,Paramètres!$A$1:$I$89,3,0)*0.475*44/12</f>
        <v>0.15532265675631882</v>
      </c>
      <c r="AA184" s="21">
        <f>EXP(-LN(2)/25)*AA183+(1-EXP(-LN(2)/25))/(LN(2)/25)*Calculateur!V184*Calculateur!X184*VLOOKUP('Données projet'!$B$9,Paramètres!$A$1:$I$89,3,0)*0.475*44/12</f>
        <v>0.24255976570370816</v>
      </c>
      <c r="AB184" s="21">
        <f>EXP(-LN(2)/2)*AB183+(1-EXP(-LN(2)/2))/(LN(2)/2)*V184*Y184*VLOOKUP('Données projet'!$B$9,Paramètres!$A$1:$I$89,3,0)*0.475*44/12</f>
        <v>3.1681302370145787E-23</v>
      </c>
      <c r="AC184" s="22">
        <f t="shared" si="163"/>
        <v>0.39788242246002697</v>
      </c>
      <c r="AD184" s="13">
        <f>('Scénario référence'!$F$8+'Scénario référence'!$F$9+'Scénario référence'!$B$17+'Scénario référence'!$B$9+'Scénario référence'!$B$10)*70+IF((45+25*(1-EXP(-0.0175*A184)))&lt;70,'Scénario référence'!$B$16*(45+25*(1-EXP(-0.0175*A184))),70*'Scénario référence'!$B$16)+IF((32+38*(1-EXP(-0.0175*A184)))&lt;70,'Scénario référence'!$B$18*(32+38*(1-EXP(-0.0175*A184))),70*'Scénario référence'!$B$18)</f>
        <v>70</v>
      </c>
      <c r="AE184" s="13">
        <f>IF(A184&gt;30,10,('Scénario référence'!$B$16+'Scénario référence'!$B$17+'Scénario référence'!$B$18+'Scénario référence'!$B$9+'Scénario référence'!$B$10)*A184*10/30+('Scénario référence'!$F$8+'Scénario référence'!$F$9)*10)</f>
        <v>10</v>
      </c>
      <c r="AF184" s="12" t="e">
        <f>VLOOKUP(A184,'Données projet'!$A$61:$I$81,2,0)</f>
        <v>#N/A</v>
      </c>
      <c r="AG184" s="12" t="e">
        <f>VLOOKUP(A184,'Données projet'!$A$61:$I$81,9,0)</f>
        <v>#N/A</v>
      </c>
      <c r="AH184" s="12">
        <f t="array" ref="AH184">INDEX(AG:AG,MIN(IF(ISNUMBER(AG184:AG380),ROW(AG184:AG380),"")))</f>
        <v>0</v>
      </c>
      <c r="AI184" s="13">
        <f>IF('Données projet'!$A$62&gt;35,AI183+AH184-AQ183,IF(A184&lt;'Données projet'!$A$62,$AF$205^A184,IF(A184='Données projet'!$A$62,'Données projet'!$B$62,AI183+AH184-AQ183)))</f>
        <v>0</v>
      </c>
      <c r="AJ184" s="13">
        <f>AI184*VLOOKUP('Données projet'!$B$10,Paramètres!$A$1:$I$89,3,0)*VLOOKUP('Données projet'!$B$10,Paramètres!$A$1:$I$89,5,0)</f>
        <v>0</v>
      </c>
      <c r="AK184" s="13" t="e">
        <f t="shared" si="164"/>
        <v>#NUM!</v>
      </c>
      <c r="AL184" s="20" t="e">
        <f t="shared" si="165"/>
        <v>#NUM!</v>
      </c>
      <c r="AM184" s="59" t="e">
        <f t="shared" si="113"/>
        <v>#NUM!</v>
      </c>
      <c r="AN184" s="59">
        <f ca="1">AVERAGE(OFFSET($AM$3,0,0,'Données projet'!$E$10+1,1))-AVERAGE(OFFSET($H$3,0,0,'Données projet'!$E$10+1,1))</f>
        <v>261.78489480911571</v>
      </c>
      <c r="AO184" s="59">
        <f t="shared" si="144"/>
        <v>297.50513563712764</v>
      </c>
      <c r="AP184" s="15">
        <f>IF(ISNA(VLOOKUP(A184,'Données projet'!$A$61:$I$81,3,0)),0,VLOOKUP(A184,'Données projet'!$A$61:$I$81,3,0))</f>
        <v>0</v>
      </c>
      <c r="AQ184" s="15">
        <f>IF(ISNA(VLOOKUP(A184,'Données projet'!$A$61:$I$81,4,0)),0,VLOOKUP(A184,'Données projet'!$A$61:$I$81,4,0))</f>
        <v>0</v>
      </c>
      <c r="AR184" s="16">
        <f>IF(ISNA(VLOOKUP(A184,'Données projet'!$A$61:$I$81,5,0)),0%,VLOOKUP(A184,'Données projet'!$A$61:$I$81,5,0)*VLOOKUP('Données projet'!$B$10,Paramètres!$A$1:$I$89,7,0))</f>
        <v>0</v>
      </c>
      <c r="AS184" s="16">
        <f>IF(ISNA(VLOOKUP(A184,'Données projet'!$A$61:$I$81,6,0)),0%,VLOOKUP(A184,'Données projet'!$A$61:$I$81,6,0)*VLOOKUP('Données projet'!$B$10,Paramètres!$A$1:$I$89,7,0))</f>
        <v>0</v>
      </c>
      <c r="AT184" s="16">
        <f>IF(ISNA(VLOOKUP(A184,'Données projet'!$A$61:$I$81,7,0)),0%,VLOOKUP(A184,'Données projet'!$A$61:$I$81,7,0))</f>
        <v>0</v>
      </c>
      <c r="AU184" s="21">
        <f>EXP(-LN(2)/35)*AU183+(1-EXP(-LN(2)/35))/(LN(2)/35)*AQ184*AR184*VLOOKUP('Données projet'!$B$10,Paramètres!$A$1:$I$89,3,0)*0.475*44/12</f>
        <v>0.41941510604480559</v>
      </c>
      <c r="AV184" s="21">
        <f>EXP(-LN(2)/25)*AV183+(1-EXP(-LN(2)/25))/(LN(2)/25)*Calculateur!AQ184*Calculateur!AS184*VLOOKUP('Données projet'!$B$10,Paramètres!$A$1:$I$89,3,0)*0.475*44/12</f>
        <v>0.42355882362063585</v>
      </c>
      <c r="AW184" s="21">
        <f>EXP(-LN(2)/2)*AW183+(1-EXP(-LN(2)/2))/(LN(2)/2)*AQ184*AT184*VLOOKUP('Données projet'!$B$10,Paramètres!$A$1:$I$89,3,0)*0.475*44/12</f>
        <v>4.5671613439281837E-22</v>
      </c>
      <c r="AX184" s="21">
        <f t="shared" si="166"/>
        <v>0.84297392966544149</v>
      </c>
      <c r="AY184" s="74">
        <f>('Scénario référence'!$F$8+'Scénario référence'!$F$9+'Scénario référence'!$B$17+'Scénario référence'!$B$9+'Scénario référence'!$B$10)*70+IF((45+25*(1-EXP(-0.0175*A184)))&lt;70,'Scénario référence'!$B$16*(45+25*(1-EXP(-0.0175*A184))),70*'Scénario référence'!$B$16)+IF((32+38*(1-EXP(-0.0175*A184)))&lt;70,'Scénario référence'!$B$18*(32+38*(1-EXP(-0.0175*A184))),70*'Scénario référence'!$B$18)</f>
        <v>70</v>
      </c>
      <c r="AZ184" s="12">
        <f>IF(A184&gt;30,10,('Scénario référence'!$B$16+'Scénario référence'!$B$17+'Scénario référence'!$B$18+'Scénario référence'!$B$9+'Scénario référence'!$B$10)*A184*10/30+('Scénario référence'!$F$8+'Scénario référence'!$F$9)*10)</f>
        <v>10</v>
      </c>
      <c r="BA184" s="12" t="e">
        <f>VLOOKUP(A184,'Données projet'!$A$87:$I$107,2,0)</f>
        <v>#N/A</v>
      </c>
      <c r="BB184" s="12" t="e">
        <f>VLOOKUP(A184,'Données projet'!$A$87:$I$107,9,0)</f>
        <v>#N/A</v>
      </c>
      <c r="BC184" s="12">
        <f t="array" ref="BC184">INDEX(BB:BB,MIN(IF(ISNUMBER(BB184:BB380),ROW(BB184:BB380),"")))</f>
        <v>0</v>
      </c>
      <c r="BD184" s="12">
        <f>IF('Données projet'!$A$88&gt;35,BD183+BC184-BL183,IF(A184&lt;'Données projet'!$A$88,$BA$205^A184,IF(A184='Données projet'!$A$88,'Données projet'!$B$88,BD183+BC184-BL183)))</f>
        <v>553.99999999999955</v>
      </c>
      <c r="BE184" s="13">
        <f>BD184*VLOOKUP('Données projet'!$B$11,Paramètres!$A$1:$I$89,3,0)*VLOOKUP('Données projet'!$B$11,Paramètres!$A$1:$I$89,5,0)</f>
        <v>331.29199999999975</v>
      </c>
      <c r="BF184" s="13">
        <f t="shared" si="167"/>
        <v>77.698110787752</v>
      </c>
      <c r="BG184" s="20">
        <f t="shared" si="168"/>
        <v>712.32444295533423</v>
      </c>
      <c r="BH184" s="59">
        <f t="shared" si="116"/>
        <v>1005.6577762886675</v>
      </c>
      <c r="BI184" s="59">
        <f ca="1">AVERAGE(OFFSET($BH$3,0,0,'Données projet'!$E$11+1,1))-AVERAGE(OFFSET($H$3,0,0,'Données projet'!$E$11+1,1))</f>
        <v>316.58509520829671</v>
      </c>
      <c r="BJ184" s="59">
        <f t="shared" si="146"/>
        <v>240.71332110643596</v>
      </c>
      <c r="BK184" s="15">
        <f>IF(ISNA(VLOOKUP(A184,'Données projet'!$A$87:$I$107,3,0)),0,VLOOKUP(A184,'Données projet'!$A$87:$I$107,3,0))</f>
        <v>0</v>
      </c>
      <c r="BL184" s="15">
        <f>IF(ISNA(VLOOKUP(A184,'Données projet'!$A$87:$I$107,4,0)),0,VLOOKUP(A184,'Données projet'!$A$87:$I$107,4,0))</f>
        <v>0</v>
      </c>
      <c r="BM184" s="16">
        <f>IF(ISNA(VLOOKUP(A184,'Données projet'!$A$87:$I$107,5,0)),0%,VLOOKUP(A184,'Données projet'!$A$87:$I$107,5,0)*VLOOKUP('Données projet'!$B$11,Paramètres!$A$1:$I$89,7,0))</f>
        <v>0</v>
      </c>
      <c r="BN184" s="16">
        <f>IF(ISNA(VLOOKUP(A184,'Données projet'!$A$87:$I$107,6,0)),0%,VLOOKUP(A184,'Données projet'!$A$87:$I$107,6,0)*VLOOKUP('Données projet'!$B$11,Paramètres!$A$1:$I$89,7,0))</f>
        <v>0</v>
      </c>
      <c r="BO184" s="16">
        <f>IF(ISNA(VLOOKUP(A184,'Données projet'!$A$87:$I$107,7,0)),0%,VLOOKUP(A184,'Données projet'!$A$87:$I$107,7,0))</f>
        <v>0</v>
      </c>
      <c r="BP184" s="21">
        <f>EXP(-LN(2)/35)*BP183+(1-EXP(-LN(2)/35))/(LN(2)/35)*BL184*BM184*VLOOKUP('Données projet'!$B$11,Paramètres!$A$1:$I$89,3,0)*0.475*44/12</f>
        <v>0.12740045910922032</v>
      </c>
      <c r="BQ184" s="21">
        <f>EXP(-LN(2)/25)*BQ183+(1-EXP(-LN(2)/25))/(LN(2)/25)*Calculateur!BL184*Calculateur!BN184*VLOOKUP('Données projet'!$B$11,Paramètres!$A$1:$I$89,3,0)*0.475*44/12</f>
        <v>0.23203788221117949</v>
      </c>
      <c r="BR184" s="21">
        <f>EXP(-LN(2)/2)*BR183+(1-EXP(-LN(2)/2))/(LN(2)/2)*BL184*BO184*VLOOKUP('Données projet'!$B$11,Paramètres!$A$1:$I$89,3,0)*0.475*44/12</f>
        <v>4.1063782099371456E-22</v>
      </c>
      <c r="BS184" s="22">
        <f t="shared" si="169"/>
        <v>0.35943834132039981</v>
      </c>
      <c r="BT184" s="75">
        <f>('Scénario référence'!$F$8+'Scénario référence'!$F$9+'Scénario référence'!$B$17+'Scénario référence'!$B$9+'Scénario référence'!$B$10)*70+IF((45+25*(1-EXP(-0.0175*A184)))&lt;70,'Scénario référence'!$B$16*(45+25*(1-EXP(-0.0175*A184))),70*'Scénario référence'!$B$16)+IF((32+38*(1-EXP(-0.0175*A184)))&lt;70,'Scénario référence'!$B$18*(32+38*(1-EXP(-0.0175*A184))),70*'Scénario référence'!$B$18)</f>
        <v>70</v>
      </c>
      <c r="BU184" s="12">
        <f>IF(A184&gt;30,10,('Scénario référence'!$B$16+'Scénario référence'!$B$17+'Scénario référence'!$B$18+'Scénario référence'!$B$9+'Scénario référence'!$B$10)*A184*10/30+('Scénario référence'!$F$8+'Scénario référence'!$F$9)*10)</f>
        <v>10</v>
      </c>
      <c r="BV184" s="12" t="e">
        <f>VLOOKUP(A184,'Données projet'!$A$113:$I$133,2,0)</f>
        <v>#N/A</v>
      </c>
      <c r="BW184" s="12" t="e">
        <f>VLOOKUP(A184,'Données projet'!$A$113:$I$133,9,0)</f>
        <v>#N/A</v>
      </c>
      <c r="BX184" s="12">
        <f t="array" ref="BX184">INDEX(BW:BW,MIN(IF(ISNUMBER(BW184:BW380),ROW(BW184:BW380),"")))</f>
        <v>0</v>
      </c>
      <c r="BY184" s="12">
        <f>IF('Données projet'!$A$114&gt;35,BY183+BX184-CG183,IF(A184&lt;'Données projet'!$A$114,$BV$205^A184,IF(A184='Données projet'!$A$114,'Données projet'!$B$114,BY183+BX184-CG183)))</f>
        <v>333.99999999999977</v>
      </c>
      <c r="BZ184" s="13">
        <f>BY184*VLOOKUP('Données projet'!$B$12,Paramètres!$A$1:$I$89,3,0)*VLOOKUP('Données projet'!$B$12,Paramètres!$A$1:$I$89,5,0)</f>
        <v>191.04799999999986</v>
      </c>
      <c r="CA184" s="13">
        <f t="shared" si="170"/>
        <v>47.771576544305155</v>
      </c>
      <c r="CB184" s="20">
        <f t="shared" si="171"/>
        <v>415.94409581466454</v>
      </c>
      <c r="CC184" s="59">
        <f t="shared" si="119"/>
        <v>709.27742914799785</v>
      </c>
      <c r="CD184" s="59">
        <f ca="1">AVERAGE(OFFSET($CC$3,0,0,'Données projet'!$E$12+1,1))-AVERAGE(OFFSET($H$3,0,0,'Données projet'!$E$12+1,1))</f>
        <v>188.64374818906128</v>
      </c>
      <c r="CE184" s="59">
        <f t="shared" si="148"/>
        <v>211.95157880548652</v>
      </c>
      <c r="CF184" s="15">
        <f>IF(ISNA(VLOOKUP(A184,'Données projet'!$A$113:$I$133,3,0)),0,VLOOKUP(A184,'Données projet'!$A$113:$I$133,3,0))</f>
        <v>0</v>
      </c>
      <c r="CG184" s="15">
        <f>IF(ISNA(VLOOKUP(A184,'Données projet'!$A$113:$I$133,4,0)),0,VLOOKUP(A184,'Données projet'!$A$113:$I$133,4,0))</f>
        <v>0</v>
      </c>
      <c r="CH184" s="16">
        <f>IF(ISNA(VLOOKUP(A184,'Données projet'!$A$113:$I$133,5,0)),0%,VLOOKUP(A184,'Données projet'!$A$113:$I$133,5,0)*VLOOKUP('Données projet'!$B$12,Paramètres!$A$1:$I$89,7,0))</f>
        <v>0</v>
      </c>
      <c r="CI184" s="16">
        <f>IF(ISNA(VLOOKUP(A184,'Données projet'!$A$113:$I$133,6,0)),0%,VLOOKUP(A184,'Données projet'!$A$113:$I$133,6,0)*VLOOKUP('Données projet'!$B$12,Paramètres!$A$1:$I$89,7,0))</f>
        <v>0</v>
      </c>
      <c r="CJ184" s="16">
        <f>IF(ISNA(VLOOKUP(A184,'Données projet'!$A$113:$I$133,7,0)),0%,VLOOKUP(A184,'Données projet'!$A$113:$I$133,7,0))</f>
        <v>0</v>
      </c>
      <c r="CK184" s="21">
        <f>EXP(-LN(2)/35)*CK183+(1-EXP(-LN(2)/35))/(LN(2)/35)*CG184*CH184*VLOOKUP('Données projet'!$B$12,Paramètres!$A$1:$I$89,3,0)*0.475*44/12</f>
        <v>0.12357766517391594</v>
      </c>
      <c r="CL184" s="21">
        <f>EXP(-LN(2)/25)*CL183+(1-EXP(-LN(2)/25))/(LN(2)/25)*Calculateur!CG184*Calculateur!CI184*VLOOKUP('Données projet'!$B$12,Paramètres!$A$1:$I$89,3,0)*0.475*44/12</f>
        <v>0.21839930848383463</v>
      </c>
      <c r="CM184" s="21">
        <f>EXP(-LN(2)/2)*CM183+(1-EXP(-LN(2)/2))/(LN(2)/2)*CG184*CJ184*VLOOKUP('Données projet'!$B$12,Paramètres!$A$1:$I$89,3,0)*0.475*44/12</f>
        <v>3.976706008521385E-22</v>
      </c>
      <c r="CN184" s="22">
        <f t="shared" si="172"/>
        <v>0.34197697365775059</v>
      </c>
      <c r="CO184" s="75">
        <f>('Scénario référence'!$F$8+'Scénario référence'!$F$9+'Scénario référence'!$B$17+'Scénario référence'!$B$9+'Scénario référence'!$B$10)*70+IF((45+25*(1-EXP(-0.0175*A184)))&lt;70,'Scénario référence'!$B$16*(45+25*(1-EXP(-0.0175*A184))),70*'Scénario référence'!$B$16)+IF((32+38*(1-EXP(-0.0175*A184)))&lt;70,'Scénario référence'!$B$18*(32+38*(1-EXP(-0.0175*A184))),70*'Scénario référence'!$B$18)</f>
        <v>70</v>
      </c>
      <c r="CP184" s="12">
        <f>IF(A184&gt;30,10,('Scénario référence'!$B$16+'Scénario référence'!$B$17+'Scénario référence'!$B$18+'Scénario référence'!$B$9+'Scénario référence'!$B$10)*A184*10/30+('Scénario référence'!$F$8+'Scénario référence'!$F$9)*10)</f>
        <v>10</v>
      </c>
      <c r="CQ184" s="12" t="e">
        <f>VLOOKUP(A184,'Données projet'!$A$139:$I$159,2,0)</f>
        <v>#N/A</v>
      </c>
      <c r="CR184" s="12" t="e">
        <f>VLOOKUP(A184,'Données projet'!$A$139:$I$159,9,0)</f>
        <v>#N/A</v>
      </c>
      <c r="CS184" s="12">
        <f t="array" ref="CS184">INDEX(CR:CR,MIN(IF(ISNUMBER(CR184:CR380),ROW(CR184:CR380),"")))</f>
        <v>0</v>
      </c>
      <c r="CT184" s="12">
        <f>IF('Données projet'!$A$140&gt;35,CT183+CS184-DB183,IF(A184&lt;'Données projet'!$A$140,$CQ$205^A184,IF(A184='Données projet'!$A$140,'Données projet'!$B$140,CT183+CS184-DB183)))</f>
        <v>0</v>
      </c>
      <c r="CU184" s="17" t="e">
        <f>CT184*VLOOKUP('Données projet'!$B$13,Paramètres!$A$1:$I$89,3,0)*VLOOKUP('Données projet'!$B$13,Paramètres!$A$1:$I$89,5,0)</f>
        <v>#N/A</v>
      </c>
      <c r="CV184" s="13" t="e">
        <f t="shared" si="173"/>
        <v>#N/A</v>
      </c>
      <c r="CW184" s="20" t="e">
        <f t="shared" si="174"/>
        <v>#N/A</v>
      </c>
      <c r="CX184" s="59" t="e">
        <f t="shared" si="122"/>
        <v>#N/A</v>
      </c>
      <c r="CY184" s="59" t="e">
        <f ca="1">AVERAGE(OFFSET($CX$3,0,0,'Données projet'!$E$13+1,1))-AVERAGE(OFFSET($H$3,0,0,'Données projet'!$E$13+1,1))</f>
        <v>#N/A</v>
      </c>
      <c r="CZ184" s="59" t="e">
        <f t="shared" si="150"/>
        <v>#N/A</v>
      </c>
      <c r="DA184" s="15">
        <f>IF(ISNA(VLOOKUP(A184,'Données projet'!$A$139:$I$159,3,0)),0,VLOOKUP(A184,'Données projet'!$A$139:$I$159,3,0))</f>
        <v>0</v>
      </c>
      <c r="DB184" s="15">
        <f>IF(ISNA(VLOOKUP(A184,'Données projet'!$A$139:$I$159,4,0)),0,VLOOKUP(A184,'Données projet'!$A$139:$I$159,4,0))</f>
        <v>0</v>
      </c>
      <c r="DC184" s="16">
        <f>IF(ISNA(VLOOKUP(A184,'Données projet'!$A$139:$I$159,5,0)),0%,VLOOKUP(A184,'Données projet'!$A$139:$I$159,5,0)*VLOOKUP('Données projet'!$B$13,Paramètres!$A$1:$I$89,7,0))</f>
        <v>0</v>
      </c>
      <c r="DD184" s="16">
        <f>IF(ISNA(VLOOKUP(A184,'Données projet'!$A$139:$I$159,6,0)),0%,VLOOKUP(A184,'Données projet'!$A$139:$I$159,6,0)*VLOOKUP('Données projet'!$B$13,Paramètres!$A$1:$I$89,7,0))</f>
        <v>0</v>
      </c>
      <c r="DE184" s="16">
        <f>IF(ISNA(VLOOKUP(A184,'Données projet'!$A$139:$I$159,7,0)),0%,VLOOKUP(A184,'Données projet'!$A$139:$I$159,7,0))</f>
        <v>0</v>
      </c>
      <c r="DF184" s="21" t="e">
        <f>EXP(-LN(2)/35)*DF183+(1-EXP(-LN(2)/35))/(LN(2)/35)*DB184*DC184*VLOOKUP('Données projet'!$B$13,Paramètres!$A$1:$I$89,3,0)*0.475*44/12</f>
        <v>#N/A</v>
      </c>
      <c r="DG184" s="21" t="e">
        <f>EXP(-LN(2)/25)*DG183+(1-EXP(-LN(2)/25))/(LN(2)/25)*Calculateur!DB184*Calculateur!DD184*VLOOKUP('Données projet'!$B$13,Paramètres!$A$1:$I$89,3,0)*0.475*44/12</f>
        <v>#N/A</v>
      </c>
      <c r="DH184" s="21" t="e">
        <f>EXP(-LN(2)/2)*DH183+(1-EXP(-LN(2)/2))/(LN(2)/2)*DB184*DE184*VLOOKUP('Données projet'!$B$13,Paramètres!$A$1:$I$89,3,0)*0.475*44/12</f>
        <v>#N/A</v>
      </c>
      <c r="DI184" s="22" t="e">
        <f t="shared" si="175"/>
        <v>#N/A</v>
      </c>
      <c r="DJ184" s="75">
        <f>('Scénario référence'!$F$8+'Scénario référence'!$F$9+'Scénario référence'!$B$17+'Scénario référence'!$B$9+'Scénario référence'!$B$10)*70+IF((45+25*(1-EXP(-0.0175*A184)))&lt;70,'Scénario référence'!$B$16*(45+25*(1-EXP(-0.0175*A184))),70*'Scénario référence'!$B$16)+IF((32+38*(1-EXP(-0.0175*A184)))&lt;70,'Scénario référence'!$B$18*(32+38*(1-EXP(-0.0175*A184))),70*'Scénario référence'!$B$18)</f>
        <v>70</v>
      </c>
      <c r="DK184" s="12">
        <f>IF(A184&gt;30,10,('Scénario référence'!$B$16+'Scénario référence'!$B$17+'Scénario référence'!$B$18+'Scénario référence'!$B$9+'Scénario référence'!$B$10)*A184*10/30+('Scénario référence'!$F$8+'Scénario référence'!$F$9)*10)</f>
        <v>10</v>
      </c>
      <c r="DL184" s="12" t="e">
        <f>VLOOKUP(A184,'Données projet'!$A$165:$I$185,2,0)</f>
        <v>#N/A</v>
      </c>
      <c r="DM184" s="12" t="e">
        <f>VLOOKUP(A184,'Données projet'!$A$165:$I$185,9,0)</f>
        <v>#N/A</v>
      </c>
      <c r="DN184" s="12">
        <f t="array" ref="DN184">INDEX(DM:DM,MIN(IF(ISNUMBER(DM184:DM380),ROW(DM184:DM380),"")))</f>
        <v>0</v>
      </c>
      <c r="DO184" s="12">
        <f>IF('Données projet'!$A$166&gt;35,DO183+DN184-DW183,IF(A184&lt;'Données projet'!$A$166,$DL$205^A184,IF(A184='Données projet'!$A$166,'Données projet'!$B$166,DO183+DN184-DW183)))</f>
        <v>268.00000000000017</v>
      </c>
      <c r="DP184" s="17">
        <f>DO184*VLOOKUP('Données projet'!$B$14,Paramètres!$A$1:$I$89,3,0)*VLOOKUP('Données projet'!$B$14,Paramètres!$A$1:$I$89,5,0)</f>
        <v>175.59360000000012</v>
      </c>
      <c r="DQ184" s="13">
        <f t="shared" si="176"/>
        <v>44.340433728638573</v>
      </c>
      <c r="DR184" s="20">
        <f t="shared" si="177"/>
        <v>383.05177541071242</v>
      </c>
      <c r="DS184" s="59">
        <f t="shared" si="125"/>
        <v>676.38510874404574</v>
      </c>
      <c r="DT184" s="59">
        <f ca="1">AVERAGE(OFFSET($DS$3,0,0,'Données projet'!$E$14+1,1))-AVERAGE(OFFSET($H$3,0,0,'Données projet'!$E$14+1,1))</f>
        <v>188.68915783955595</v>
      </c>
      <c r="DU184" s="59">
        <f t="shared" si="152"/>
        <v>240.82467772396944</v>
      </c>
      <c r="DV184" s="15">
        <f>IF(ISNA(VLOOKUP(A184,'Données projet'!$A$165:$I$185,3,0)),0,VLOOKUP(A184,'Données projet'!$A$165:$I$185,3,0))</f>
        <v>0</v>
      </c>
      <c r="DW184" s="15">
        <f>IF(ISNA(VLOOKUP(A184,'Données projet'!$A$165:$I$185,4,0)),0,VLOOKUP(A184,'Données projet'!$A$165:$I$185,4,0))</f>
        <v>0</v>
      </c>
      <c r="DX184" s="16">
        <f>IF(ISNA(VLOOKUP(A184,'Données projet'!$A$165:$I$185,5,0)),0%,VLOOKUP(A184,'Données projet'!$A$165:$I$185,5,0)*VLOOKUP('Données projet'!$B$14,Paramètres!$A$1:$I$89,7,0))</f>
        <v>0</v>
      </c>
      <c r="DY184" s="16">
        <f>IF(ISNA(VLOOKUP(A184,'Données projet'!$A$165:$I$185,6,0)),0%,VLOOKUP(A184,'Données projet'!$A$165:$I$185,6,0)*VLOOKUP('Données projet'!$B$14,Paramètres!$A$1:$I$89,7,0))</f>
        <v>0</v>
      </c>
      <c r="DZ184" s="16">
        <f>IF(ISNA(VLOOKUP(A184,'Données projet'!$A$165:$I$185,7,0)),0%,VLOOKUP(A184,'Données projet'!$A$165:$I$185,7,0))</f>
        <v>0</v>
      </c>
      <c r="EA184" s="21">
        <f>EXP(-LN(2)/35)*EA183+(1-EXP(-LN(2)/35))/(LN(2)/35)*DW184*DX184*VLOOKUP('Données projet'!$B$14,Paramètres!$A$1:$I$89,3,0)*0.475*44/12</f>
        <v>7.8276256770514974E-2</v>
      </c>
      <c r="EB184" s="21">
        <f>EXP(-LN(2)/25)*EB183+(1-EXP(-LN(2)/25))/(LN(2)/25)*Calculateur!DW184*Calculateur!DY184*VLOOKUP('Données projet'!$B$14,Paramètres!$A$1:$I$89,3,0)*0.475*44/12</f>
        <v>0.12215982672516749</v>
      </c>
      <c r="EC184" s="21">
        <f>EXP(-LN(2)/2)*EC183+(1-EXP(-LN(2)/2))/(LN(2)/2)*DW184*DZ184*VLOOKUP('Données projet'!$B$14,Paramètres!$A$1:$I$89,3,0)*0.475*44/12</f>
        <v>2.6197021755939853E-22</v>
      </c>
      <c r="ED184" s="22">
        <f t="shared" si="178"/>
        <v>0.20043608349568248</v>
      </c>
      <c r="EE184" s="75">
        <f>('Scénario référence'!$F$8+'Scénario référence'!$F$9+'Scénario référence'!$B$17+'Scénario référence'!$B$9+'Scénario référence'!$B$10)*70+IF((45+25*(1-EXP(-0.0175*A184)))&lt;70,'Scénario référence'!$B$16*(45+25*(1-EXP(-0.0175*A184))),70*'Scénario référence'!$B$16)+IF((32+38*(1-EXP(-0.0175*A184)))&lt;70,'Scénario référence'!$B$18*(32+38*(1-EXP(-0.0175*A184))),70*'Scénario référence'!$B$18)</f>
        <v>70</v>
      </c>
      <c r="EF184" s="12">
        <f>IF(A184&gt;30,10,('Scénario référence'!$B$16+'Scénario référence'!$B$17+'Scénario référence'!$B$18+'Scénario référence'!$B$9+'Scénario référence'!$B$10)*A184*10/30+('Scénario référence'!$F$8+'Scénario référence'!$F$9)*10)</f>
        <v>10</v>
      </c>
      <c r="EG184" s="12" t="e">
        <f>VLOOKUP(A184,'Données projet'!$A$191:$I$211,2,0)</f>
        <v>#N/A</v>
      </c>
      <c r="EH184" s="12" t="e">
        <f>VLOOKUP(A184,'Données projet'!$A$191:$I$211,9,0)</f>
        <v>#N/A</v>
      </c>
      <c r="EI184" s="12">
        <f t="array" ref="EI184">INDEX(EH:EH,MIN(IF(ISNUMBER(EH184:EH380),ROW(EH184:EH380),"")))</f>
        <v>0</v>
      </c>
      <c r="EJ184" s="12">
        <f>IF('Données projet'!$A$192&gt;35,EJ183+EI184-ER183,IF(A184&lt;'Données projet'!$A$192,$EG$205^A184,IF(A184='Données projet'!$A$192,'Données projet'!$B$192,EJ183+EI184-ER183)))</f>
        <v>275.99999999999972</v>
      </c>
      <c r="EK184" s="17">
        <f>EJ184*VLOOKUP('Données projet'!$B$15,Paramètres!$A$1:$I$89,3,0)*VLOOKUP('Données projet'!$B$15,Paramètres!$A$1:$I$89,5,0)</f>
        <v>223.8911999999998</v>
      </c>
      <c r="EL184" s="13">
        <f t="shared" si="179"/>
        <v>54.95975389514858</v>
      </c>
      <c r="EM184" s="20">
        <f t="shared" si="180"/>
        <v>485.66541136738346</v>
      </c>
      <c r="EN184" s="59">
        <f t="shared" si="128"/>
        <v>778.99874470071677</v>
      </c>
      <c r="EO184" s="59">
        <f ca="1">AVERAGE(OFFSET($EN$3,0,0,'Données projet'!$E$15+1,1))-AVERAGE(OFFSET($H$3,0,0,'Données projet'!$E$15+1,1))</f>
        <v>205.5272583787887</v>
      </c>
      <c r="EP184" s="59">
        <f t="shared" si="154"/>
        <v>180.54762778843178</v>
      </c>
      <c r="EQ184" s="15">
        <f>IF(ISNA(VLOOKUP(A184,'Données projet'!$A$191:$I$211,3,0)),0,VLOOKUP(A184,'Données projet'!$A$191:$I$211,3,0))</f>
        <v>0</v>
      </c>
      <c r="ER184" s="15">
        <f>IF(ISNA(VLOOKUP(A184,'Données projet'!$A$191:$I$211,4,0)),0,VLOOKUP(A184,'Données projet'!$A$191:$I$211,4,0))</f>
        <v>0</v>
      </c>
      <c r="ES184" s="16">
        <f>IF(ISNA(VLOOKUP(A184,'Données projet'!$A$191:$I$211,5,0)),0%,VLOOKUP(A184,'Données projet'!$A$191:$I$211,5,0)*VLOOKUP('Données projet'!$B$15,Paramètres!$A$1:$I$89,7,0))</f>
        <v>0</v>
      </c>
      <c r="ET184" s="16">
        <f>IF(ISNA(VLOOKUP(A184,'Données projet'!$A$191:$I$211,6,0)),0%,VLOOKUP(A184,'Données projet'!$A$191:$I$211,6,0)*VLOOKUP('Données projet'!$B$15,Paramètres!$A$1:$I$89,7,0))</f>
        <v>0</v>
      </c>
      <c r="EU184" s="16">
        <f>IF(ISNA(VLOOKUP(A184,'Données projet'!$A$191:$I$211,7,0)),0%,VLOOKUP(A184,'Données projet'!$A$191:$I$211,7,0))</f>
        <v>0</v>
      </c>
      <c r="EV184" s="21">
        <f>EXP(-LN(2)/35)*EV183+(1-EXP(-LN(2)/35))/(LN(2)/35)*ER184*ES184*VLOOKUP('Données projet'!$B$15,Paramètres!$A$1:$I$89,3,0)*0.475*44/12</f>
        <v>5.0394999597017251E-2</v>
      </c>
      <c r="EW184" s="21">
        <f>EXP(-LN(2)/25)*EW183+(1-EXP(-LN(2)/25))/(LN(2)/25)*Calculateur!ER184*Calculateur!ET184*VLOOKUP('Données projet'!$B$15,Paramètres!$A$1:$I$89,3,0)*0.475*44/12</f>
        <v>8.8203100731784154E-2</v>
      </c>
      <c r="EX184" s="21">
        <f>EXP(-LN(2)/2)*EX183+(1-EXP(-LN(2)/2))/(LN(2)/2)*ER184*EU184*VLOOKUP('Données projet'!$B$15,Paramètres!$A$1:$I$89,3,0)*0.475*44/12</f>
        <v>1.6962590957735459E-22</v>
      </c>
      <c r="EY184" s="22">
        <f t="shared" si="181"/>
        <v>0.1385981003288014</v>
      </c>
      <c r="EZ184" s="75">
        <f>('Scénario référence'!$F$8+'Scénario référence'!$F$9+'Scénario référence'!$B$17+'Scénario référence'!$B$9+'Scénario référence'!$B$10)*70+IF((45+25*(1-EXP(-0.0175*A184)))&lt;70,'Scénario référence'!$B$16*(45+25*(1-EXP(-0.0175*A184))),70*'Scénario référence'!$B$16)+IF((32+38*(1-EXP(-0.0175*A184)))&lt;70,'Scénario référence'!$B$18*(32+38*(1-EXP(-0.0175*A184))),70*'Scénario référence'!$B$18)</f>
        <v>70</v>
      </c>
      <c r="FA184" s="12">
        <f>IF(A184&gt;30,10,('Scénario référence'!$B$16+'Scénario référence'!$B$17+'Scénario référence'!$B$18+'Scénario référence'!$B$9+'Scénario référence'!$B$10)*A184*10/30+('Scénario référence'!$F$8+'Scénario référence'!$F$9)*10)</f>
        <v>10</v>
      </c>
      <c r="FB184" s="12" t="e">
        <f>VLOOKUP(A184,'Données projet'!$A$217:$I$237,2,0)</f>
        <v>#N/A</v>
      </c>
      <c r="FC184" s="12" t="e">
        <f>VLOOKUP(A184,'Données projet'!$A$217:$I$237,9,0)</f>
        <v>#N/A</v>
      </c>
      <c r="FD184" s="12">
        <f t="array" ref="FD184">INDEX(FC:FC,MIN(IF(ISNUMBER(FC184:FC380),ROW(FC184:FC380),"")))</f>
        <v>0</v>
      </c>
      <c r="FE184" s="12">
        <f>IF('Données projet'!$A$218&gt;35,FE183+FD184-FM183,IF(A184&lt;'Données projet'!$A$218,$FB$205^A184,IF(A184='Données projet'!$A$218,'Données projet'!$B$218,FE183+FD184-FM183)))</f>
        <v>418.99999999999983</v>
      </c>
      <c r="FF184" s="17">
        <f>FE184*VLOOKUP('Données projet'!$B$16,Paramètres!$A$1:$I$89,3,0)*VLOOKUP('Données projet'!$B$16,Paramètres!$A$1:$I$89,5,0)</f>
        <v>359.5019999999999</v>
      </c>
      <c r="FG184" s="13">
        <f t="shared" si="182"/>
        <v>83.516011055432813</v>
      </c>
      <c r="FH184" s="20">
        <f t="shared" si="183"/>
        <v>771.58970258821194</v>
      </c>
      <c r="FI184" s="59">
        <f t="shared" si="131"/>
        <v>1064.9230359215453</v>
      </c>
      <c r="FJ184" s="59">
        <f ca="1">AVERAGE(OFFSET($FI$3,0,0,'Données projet'!$E$16+1,1))-AVERAGE(OFFSET($H$3,0,0,'Données projet'!$E$16+1,1))</f>
        <v>383.97627237444709</v>
      </c>
      <c r="FK184" s="59">
        <f t="shared" si="156"/>
        <v>203.35476578922339</v>
      </c>
      <c r="FL184" s="15">
        <f>IF(ISNA(VLOOKUP(A184,'Données projet'!$A$217:$I$237,3,0)),0,VLOOKUP(A184,'Données projet'!$A$217:$I$237,3,0))</f>
        <v>0</v>
      </c>
      <c r="FM184" s="15">
        <f>IF(ISNA(VLOOKUP(A184,'Données projet'!$A$217:$I$237,4,0)),0,VLOOKUP(A184,'Données projet'!$A$217:$I$237,4,0))</f>
        <v>0</v>
      </c>
      <c r="FN184" s="16">
        <f>IF(ISNA(VLOOKUP(A184,'Données projet'!$A$217:$I$237,5,0)),0%,VLOOKUP(A184,'Données projet'!$A$217:$I$237,5,0)*VLOOKUP('Données projet'!$B$16,Paramètres!$A$1:$I$89,7,0))</f>
        <v>0</v>
      </c>
      <c r="FO184" s="16">
        <f>IF(ISNA(VLOOKUP(A184,'Données projet'!$A$217:$I$237,6,0)),0%,VLOOKUP(A184,'Données projet'!$A$217:$I$237,6,0)*VLOOKUP('Données projet'!$B$16,Paramètres!$A$1:$I$89,7,0))</f>
        <v>0</v>
      </c>
      <c r="FP184" s="16">
        <f>IF(ISNA(VLOOKUP(A184,'Données projet'!$A$217:$I$237,7,0)),0%,VLOOKUP(A184,'Données projet'!$A$217:$I$237,7,0))</f>
        <v>0</v>
      </c>
      <c r="FQ184" s="21">
        <f>EXP(-LN(2)/35)*FQ183+(1-EXP(-LN(2)/35))/(LN(2)/35)*FM184*FN184*VLOOKUP('Données projet'!$B$16,Paramètres!$A$1:$I$89,3,0)*0.475*44/12</f>
        <v>0.25900295758383518</v>
      </c>
      <c r="FR184" s="21">
        <f>EXP(-LN(2)/25)*FR183+(1-EXP(-LN(2)/25))/(LN(2)/25)*Calculateur!FM184*Calculateur!FO184*VLOOKUP('Données projet'!$B$16,Paramètres!$A$1:$I$89,3,0)*0.475*44/12</f>
        <v>8.9535263899642073E-2</v>
      </c>
      <c r="FS184" s="21">
        <f>EXP(-LN(2)/2)*FS183+(1-EXP(-LN(2)/2))/(LN(2)/2)*FM184*FP184*VLOOKUP('Données projet'!$B$16,Paramètres!$A$1:$I$89,3,0)*0.475*44/12</f>
        <v>3.1156798361676807E-22</v>
      </c>
      <c r="FT184" s="22">
        <f t="shared" si="184"/>
        <v>0.34853822148347724</v>
      </c>
      <c r="FU184" s="75">
        <f>('Scénario référence'!$F$8+'Scénario référence'!$F$9+'Scénario référence'!$B$17+'Scénario référence'!$B$9+'Scénario référence'!$B$10)*70+IF((45+25*(1-EXP(-0.0175*A184)))&lt;70,'Scénario référence'!$B$16*(45+25*(1-EXP(-0.0175*A184))),70*'Scénario référence'!$B$16)+IF((32+38*(1-EXP(-0.0175*A184)))&lt;70,'Scénario référence'!$B$18*(32+38*(1-EXP(-0.0175*A184))),70*'Scénario référence'!$B$18)</f>
        <v>70</v>
      </c>
      <c r="FV184" s="12">
        <f>IF(A184&gt;30,10,('Scénario référence'!$B$16+'Scénario référence'!$B$17+'Scénario référence'!$B$18+'Scénario référence'!$B$9+'Scénario référence'!$B$10)*A184*10/30+('Scénario référence'!$F$8+'Scénario référence'!$F$9)*10)</f>
        <v>10</v>
      </c>
      <c r="FW184" s="12" t="e">
        <f>VLOOKUP(A184,'Données projet'!$A$243:$I$263,2,0)</f>
        <v>#N/A</v>
      </c>
      <c r="FX184" s="12" t="e">
        <f>VLOOKUP(A184,'Données projet'!$A$243:$I$263,9,0)</f>
        <v>#N/A</v>
      </c>
      <c r="FY184" s="12">
        <f t="array" ref="FY184">INDEX(FX:FX,MIN(IF(ISNUMBER(FX184:FX380),ROW(FX184:FX380),"")))</f>
        <v>0</v>
      </c>
      <c r="FZ184" s="12">
        <f>IF('Données projet'!$A$244&gt;35,FZ183+FY184-GH183,IF(A184&lt;'Données projet'!$A$244,$FW$205^A184,IF(A184='Données projet'!$A$244,'Données projet'!$B$244,FZ183+FY184-GH183)))</f>
        <v>4.5474735088646412E-13</v>
      </c>
      <c r="GA184" s="17">
        <f>FZ184*VLOOKUP('Données projet'!$B$17,Paramètres!$A$1:$I$89,3,0)*VLOOKUP('Données projet'!$B$17,Paramètres!$A$1:$I$89,5,0)</f>
        <v>4.8949004849418999E-13</v>
      </c>
      <c r="GB184" s="13">
        <f t="shared" si="185"/>
        <v>6.1123715499968684E-12</v>
      </c>
      <c r="GC184" s="20">
        <f t="shared" si="186"/>
        <v>1.1498242284038591E-11</v>
      </c>
      <c r="GD184" s="59">
        <f t="shared" si="134"/>
        <v>293.3333333333448</v>
      </c>
      <c r="GE184" s="59">
        <f ca="1">AVERAGE(OFFSET($GD$3,0,0,'Données projet'!$E$17+1,1))-AVERAGE(OFFSET($H$3,0,0,'Données projet'!$E$17+1,1))</f>
        <v>286.77702855541287</v>
      </c>
      <c r="GF184" s="59">
        <f t="shared" si="158"/>
        <v>227.12211541860779</v>
      </c>
      <c r="GG184" s="15">
        <f>IF(ISNA(VLOOKUP(A184,'Données projet'!$A$243:$I$263,3,0)),0,VLOOKUP(A184,'Données projet'!$A$243:$I$263,3,0))</f>
        <v>0</v>
      </c>
      <c r="GH184" s="15">
        <f>IF(ISNA(VLOOKUP(A184,'Données projet'!$A$243:$I$263,4,0)),0,VLOOKUP(A184,'Données projet'!$A$243:$I$263,4,0))</f>
        <v>0</v>
      </c>
      <c r="GI184" s="16">
        <f>IF(ISNA(VLOOKUP(A184,'Données projet'!$A$243:$I$263,5,0)),0%,VLOOKUP(A184,'Données projet'!$A$243:$I$263,5,0)*VLOOKUP('Données projet'!$B$17,Paramètres!$A$1:$I$89,7,0))</f>
        <v>0</v>
      </c>
      <c r="GJ184" s="16">
        <f>IF(ISNA(VLOOKUP(A184,'Données projet'!$A$243:$I$263,6,0)),0%,VLOOKUP(A184,'Données projet'!$A$243:$I$263,6,0)*VLOOKUP('Données projet'!$B$17,Paramètres!$A$1:$I$89,7,0))</f>
        <v>0</v>
      </c>
      <c r="GK184" s="16">
        <f>IF(ISNA(VLOOKUP(A184,'Données projet'!$A$243:$I$263,7,0)),0%,VLOOKUP(A184,'Données projet'!$A$243:$I$263,7,0))</f>
        <v>0</v>
      </c>
      <c r="GL184" s="21">
        <f>EXP(-LN(2)/35)*GL183+(1-EXP(-LN(2)/35))/(LN(2)/35)*GH184*GI184*VLOOKUP('Données projet'!$B$17,Paramètres!$A$1:$I$89,3,0)*0.475*44/12</f>
        <v>0</v>
      </c>
      <c r="GM184" s="21">
        <f>EXP(-LN(2)/25)*GM183+(1-EXP(-LN(2)/25))/(LN(2)/25)*Calculateur!GH184*Calculateur!GJ184*VLOOKUP('Données projet'!$B$17,Paramètres!$A$1:$I$89,3,0)*0.475*44/12</f>
        <v>0</v>
      </c>
      <c r="GN184" s="21">
        <f>EXP(-LN(2)/2)*GN183+(1-EXP(-LN(2)/2))/(LN(2)/2)*GH184*GK184*VLOOKUP('Données projet'!$B$17,Paramètres!$A$1:$I$89,3,0)*0.475*44/12</f>
        <v>0</v>
      </c>
      <c r="GO184" s="21">
        <f t="shared" si="187"/>
        <v>0</v>
      </c>
      <c r="GP184" s="75">
        <f>('Scénario référence'!$F$8+'Scénario référence'!$F$9+'Scénario référence'!$B$17+'Scénario référence'!$B$9+'Scénario référence'!$B$10)*70+IF((45+25*(1-EXP(-0.0175*A184)))&lt;70,'Scénario référence'!$B$16*(45+25*(1-EXP(-0.0175*A184))),70*'Scénario référence'!$B$16)+IF((32+38*(1-EXP(-0.0175*A184)))&lt;70,'Scénario référence'!$B$18*(32+38*(1-EXP(-0.0175*A184))),70*'Scénario référence'!$B$18)</f>
        <v>70</v>
      </c>
      <c r="GQ184" s="12">
        <f>IF(A184&gt;30,10,('Scénario référence'!$B$16+'Scénario référence'!$B$17+'Scénario référence'!$B$18+'Scénario référence'!$B$9+'Scénario référence'!$B$10)*A184*10/30+('Scénario référence'!$F$8+'Scénario référence'!$F$9)*10)</f>
        <v>10</v>
      </c>
      <c r="GR184" s="12" t="e">
        <f>VLOOKUP(A184,'Données projet'!$A$269:$I$289,2,0)</f>
        <v>#N/A</v>
      </c>
      <c r="GS184" s="12" t="e">
        <f>VLOOKUP(A184,'Données projet'!$A$269:$I$289,9,0)</f>
        <v>#N/A</v>
      </c>
      <c r="GT184" s="12">
        <f t="array" ref="GT184">INDEX(GS:GS,MIN(IF(ISNUMBER(GS184:GS380),ROW(GS184:GS380),"")))</f>
        <v>0</v>
      </c>
      <c r="GU184" s="12">
        <f>IF('Données projet'!$A$270&gt;35,GU183+GT184-HC183,IF(A184&lt;'Données projet'!$A$270,$GR$205^A184,IF(A184='Données projet'!$A$270,'Données projet'!$B$270,GU183+GT184-HC183)))</f>
        <v>4.5474735088646412E-13</v>
      </c>
      <c r="GV184" s="17">
        <f>GU184*VLOOKUP('Données projet'!$B$18,Paramètres!$A$1:$I$89,3,0)*VLOOKUP('Données projet'!$B$18,Paramètres!$A$1:$I$89,5,0)</f>
        <v>4.8949004849418999E-13</v>
      </c>
      <c r="GW184" s="13">
        <f t="shared" si="188"/>
        <v>6.1123715499968684E-12</v>
      </c>
      <c r="GX184" s="20">
        <f t="shared" si="189"/>
        <v>1.1498242284038591E-11</v>
      </c>
      <c r="GY184" s="59">
        <f t="shared" si="137"/>
        <v>293.3333333333448</v>
      </c>
      <c r="GZ184" s="59">
        <f ca="1">AVERAGE(OFFSET($GY$3,0,0,'Données projet'!$E$18+1,1))-AVERAGE(OFFSET($H$3,0,0,'Données projet'!$E$18+1,1))</f>
        <v>286.77702855541287</v>
      </c>
      <c r="HA184" s="59">
        <f t="shared" si="160"/>
        <v>227.12211541860779</v>
      </c>
      <c r="HB184" s="15">
        <f>IF(ISNA(VLOOKUP(A184,'Données projet'!$A$269:$I$289,3,0)),0,VLOOKUP(A184,'Données projet'!$A$269:$I$289,3,0))</f>
        <v>0</v>
      </c>
      <c r="HC184" s="15">
        <f>IF(ISNA(VLOOKUP(A184,'Données projet'!$A$269:$I$289,4,0)),0,VLOOKUP(A184,'Données projet'!$A$269:$I$289,4,0))</f>
        <v>0</v>
      </c>
      <c r="HD184" s="16">
        <f>IF(ISNA(VLOOKUP(A184,'Données projet'!$A$269:$I$289,5,0)),0%,VLOOKUP(A184,'Données projet'!$A$269:$I$289,5,0)*VLOOKUP('Données projet'!$B$18,Paramètres!$A$1:$I$89,7,0))</f>
        <v>0</v>
      </c>
      <c r="HE184" s="16">
        <f>IF(ISNA(VLOOKUP(A184,'Données projet'!$A$269:$I$289,6,0)),0%,VLOOKUP(A184,'Données projet'!$A$269:$I$289,6,0)*VLOOKUP('Données projet'!$B$18,Paramètres!$A$1:$I$89,7,0))</f>
        <v>0</v>
      </c>
      <c r="HF184" s="16">
        <f>IF(ISNA(VLOOKUP(A184,'Données projet'!$A$269:$I$289,7,0)),0%,VLOOKUP(A184,'Données projet'!$A$269:$I$289,7,0))</f>
        <v>0</v>
      </c>
      <c r="HG184" s="21">
        <f>EXP(-LN(2)/35)*HG183+(1-EXP(-LN(2)/35))/(LN(2)/35)*HC184*HD184*VLOOKUP('Données projet'!$B$18,Paramètres!$A$1:$I$89,3,0)*0.475*44/12</f>
        <v>0</v>
      </c>
      <c r="HH184" s="21">
        <f>EXP(-LN(2)/25)*HH183+(1-EXP(-LN(2)/25))/(LN(2)/25)*Calculateur!HC184*Calculateur!HE184*VLOOKUP('Données projet'!$B$18,Paramètres!$A$1:$I$89,3,0)*0.475*44/12</f>
        <v>0</v>
      </c>
      <c r="HI184" s="21">
        <f>EXP(-LN(2)/2)*HI183+(1-EXP(-LN(2)/2))/(LN(2)/2)*HC184*HF184*VLOOKUP('Données projet'!$B$18,Paramètres!$A$1:$I$89,3,0)*0.475*44/12</f>
        <v>0</v>
      </c>
      <c r="HJ184" s="22">
        <f t="shared" si="190"/>
        <v>0</v>
      </c>
    </row>
    <row r="185" spans="1:218" x14ac:dyDescent="0.25">
      <c r="A185" s="10">
        <f t="shared" si="161"/>
        <v>182</v>
      </c>
      <c r="B185" s="73">
        <f>'Scénario référence'!$B$16*5+'Scénario référence'!$B$17*0+'Scénario référence'!$B$18*5</f>
        <v>0</v>
      </c>
      <c r="C185" s="19">
        <f>Calculateur!C184+'Scénario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161.83439999999979</v>
      </c>
      <c r="D185" s="11">
        <f t="shared" si="140"/>
        <v>41.255994535170444</v>
      </c>
      <c r="E18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85" s="11">
        <f>IF(OR('Scénario référence'!$F$8&gt;0,'Scénario référence'!$F$9&gt;0),('Scénario référence'!$F$8+'Scénario référence'!$F$9)*10,0)</f>
        <v>10</v>
      </c>
      <c r="G185" s="11">
        <f>'Scénario référence'!$B$8*B185*44/12+'Scénario référence'!$B$9*(C185+D185)/0.475*44/12+'Scénario référence'!$B$10*(C185+D185)/0.475*44/12+'Scénario référence'!$F$8*(C185+D185)/0.475*44/12+'Scénario référence'!$F$9*(C185+D185)/0.475*44/12</f>
        <v>1567.7153262364018</v>
      </c>
      <c r="H185" s="67">
        <f t="shared" si="110"/>
        <v>647.0491038154214</v>
      </c>
      <c r="I185" s="70">
        <f>('Scénario référence'!$F$8+'Scénario référence'!$F$9+'Scénario référence'!$B$17+'Scénario référence'!$B$9+'Scénario référence'!$B$10)*70+IF((45+25*(1-EXP(-0.0175*A185)))&lt;70,'Scénario référence'!$B$16*(45+25*(1-EXP(-0.0175*A185))),70*'Scénario référence'!$B$16)+IF((32+38*(1-EXP(-0.0175*A185)))&lt;70,'Scénario référence'!$B$18*(32+38*(1-EXP(-0.0175*A185))),70*'Scénario référence'!$B$18)</f>
        <v>70</v>
      </c>
      <c r="J185" s="13">
        <f>IF(A185&gt;30,10,('Scénario référence'!$B$16+'Scénario référence'!$B$17+'Scénario référence'!$B$18+'Scénario référence'!$B$9+'Scénario référence'!$B$10)*A185*10/30+('Scénario référence'!$F$8+'Scénario référence'!$F$9)*10)</f>
        <v>10</v>
      </c>
      <c r="K185" s="12" t="e">
        <f>VLOOKUP(A185,'Données projet'!$A$35:$I$55,2,0)</f>
        <v>#N/A</v>
      </c>
      <c r="L185" s="12" t="e">
        <f>VLOOKUP(A185,'Données projet'!$A$35:$I$55,9,0)</f>
        <v>#N/A</v>
      </c>
      <c r="M185" s="12">
        <f t="array" ref="M185">INDEX(L:L,MIN(IF(ISNUMBER(L185:L381),ROW(L185:L381),"")))</f>
        <v>0</v>
      </c>
      <c r="N185" s="13">
        <f>IF('Données projet'!$A$36&gt;35,N184+M185-V184,IF(A185&lt;'Données projet'!$A$36,$K$205^A185,IF(A185='Données projet'!$A$36,'Données projet'!$B$36,N184+M185-V184)))</f>
        <v>-2.2737367544323206E-13</v>
      </c>
      <c r="O185" s="13">
        <f>N185*VLOOKUP('Données projet'!$B$9,Paramètres!$A$1:$I$89,3,0)*VLOOKUP('Données projet'!$B$9,Paramètres!$A$1:$I$89,5,0)</f>
        <v>-1.2710188457276673E-13</v>
      </c>
      <c r="P185" s="13" t="e">
        <f t="shared" si="141"/>
        <v>#NUM!</v>
      </c>
      <c r="Q185" s="20" t="e">
        <f t="shared" si="162"/>
        <v>#NUM!</v>
      </c>
      <c r="R185" s="59" t="e">
        <f t="shared" si="109"/>
        <v>#NUM!</v>
      </c>
      <c r="S185" s="59">
        <f ca="1">AVERAGE(OFFSET($R$3,0,0,'Données projet'!$E$9+1,1))-AVERAGE(OFFSET($H$3,0,0,'Données projet'!$E$9+1,1))</f>
        <v>255.5374979188561</v>
      </c>
      <c r="T185" s="59">
        <f t="shared" si="142"/>
        <v>343.10418468620901</v>
      </c>
      <c r="U185" s="15">
        <f>IF(ISNA(VLOOKUP(A185,'Données projet'!$A$35:$I$55,3,0)),0,VLOOKUP(A185,'Données projet'!$A$35:$I$55,3,0))</f>
        <v>0</v>
      </c>
      <c r="V185" s="15">
        <f>IF(ISNA(VLOOKUP(A185,'Données projet'!$A$35:$I$55,4,0)),0,VLOOKUP(A185,'Données projet'!$A$35:$I$55,4,0))</f>
        <v>0</v>
      </c>
      <c r="W185" s="16">
        <f>IF(ISNA(VLOOKUP(A185,'Données projet'!$A$35:$I$55,5,0)),0%,VLOOKUP(A185,'Données projet'!$A$35:$I$55,5,0)*VLOOKUP('Données projet'!$B$9,Paramètres!$A$1:$I$89,7,0))</f>
        <v>0</v>
      </c>
      <c r="X185" s="16">
        <f>IF(ISNA(VLOOKUP(A185,'Données projet'!$A$35:$I$55,6,0)),0%,VLOOKUP(A185,'Données projet'!$A$35:$I$55,6,0)*VLOOKUP('Données projet'!$B$9,Paramètres!$A$1:$I$89,7,0))</f>
        <v>0</v>
      </c>
      <c r="Y185" s="16">
        <f>IF(ISNA(VLOOKUP(A185,'Données projet'!$A$35:$I$55,7,0)),0%,VLOOKUP(A185,'Données projet'!$A$35:$I$55,7,0))</f>
        <v>0</v>
      </c>
      <c r="Z185" s="21">
        <f>EXP(-LN(2)/35)*Z184+(1-EXP(-LN(2)/35))/(LN(2)/35)*V185*W185*VLOOKUP('Données projet'!$B$9,Paramètres!$A$1:$I$89,3,0)*0.475*44/12</f>
        <v>0.15227687419479347</v>
      </c>
      <c r="AA185" s="21">
        <f>EXP(-LN(2)/25)*AA184+(1-EXP(-LN(2)/25))/(LN(2)/25)*Calculateur!V185*Calculateur!X185*VLOOKUP('Données projet'!$B$9,Paramètres!$A$1:$I$89,3,0)*0.475*44/12</f>
        <v>0.23592695615487655</v>
      </c>
      <c r="AB185" s="21">
        <f>EXP(-LN(2)/2)*AB184+(1-EXP(-LN(2)/2))/(LN(2)/2)*V185*Y185*VLOOKUP('Données projet'!$B$9,Paramètres!$A$1:$I$89,3,0)*0.475*44/12</f>
        <v>2.2402063742751527E-23</v>
      </c>
      <c r="AC185" s="22">
        <f t="shared" si="163"/>
        <v>0.38820383034966999</v>
      </c>
      <c r="AD185" s="13">
        <f>('Scénario référence'!$F$8+'Scénario référence'!$F$9+'Scénario référence'!$B$17+'Scénario référence'!$B$9+'Scénario référence'!$B$10)*70+IF((45+25*(1-EXP(-0.0175*A185)))&lt;70,'Scénario référence'!$B$16*(45+25*(1-EXP(-0.0175*A185))),70*'Scénario référence'!$B$16)+IF((32+38*(1-EXP(-0.0175*A185)))&lt;70,'Scénario référence'!$B$18*(32+38*(1-EXP(-0.0175*A185))),70*'Scénario référence'!$B$18)</f>
        <v>70</v>
      </c>
      <c r="AE185" s="13">
        <f>IF(A185&gt;30,10,('Scénario référence'!$B$16+'Scénario référence'!$B$17+'Scénario référence'!$B$18+'Scénario référence'!$B$9+'Scénario référence'!$B$10)*A185*10/30+('Scénario référence'!$F$8+'Scénario référence'!$F$9)*10)</f>
        <v>10</v>
      </c>
      <c r="AF185" s="12" t="e">
        <f>VLOOKUP(A185,'Données projet'!$A$61:$I$81,2,0)</f>
        <v>#N/A</v>
      </c>
      <c r="AG185" s="12" t="e">
        <f>VLOOKUP(A185,'Données projet'!$A$61:$I$81,9,0)</f>
        <v>#N/A</v>
      </c>
      <c r="AH185" s="12">
        <f t="array" ref="AH185">INDEX(AG:AG,MIN(IF(ISNUMBER(AG185:AG381),ROW(AG185:AG381),"")))</f>
        <v>0</v>
      </c>
      <c r="AI185" s="13">
        <f>IF('Données projet'!$A$62&gt;35,AI184+AH185-AQ184,IF(A185&lt;'Données projet'!$A$62,$AF$205^A185,IF(A185='Données projet'!$A$62,'Données projet'!$B$62,AI184+AH185-AQ184)))</f>
        <v>0</v>
      </c>
      <c r="AJ185" s="13">
        <f>AI185*VLOOKUP('Données projet'!$B$10,Paramètres!$A$1:$I$89,3,0)*VLOOKUP('Données projet'!$B$10,Paramètres!$A$1:$I$89,5,0)</f>
        <v>0</v>
      </c>
      <c r="AK185" s="13" t="e">
        <f t="shared" si="164"/>
        <v>#NUM!</v>
      </c>
      <c r="AL185" s="20" t="e">
        <f t="shared" si="165"/>
        <v>#NUM!</v>
      </c>
      <c r="AM185" s="59" t="e">
        <f t="shared" si="113"/>
        <v>#NUM!</v>
      </c>
      <c r="AN185" s="59">
        <f ca="1">AVERAGE(OFFSET($AM$3,0,0,'Données projet'!$E$10+1,1))-AVERAGE(OFFSET($H$3,0,0,'Données projet'!$E$10+1,1))</f>
        <v>261.78489480911571</v>
      </c>
      <c r="AO185" s="59">
        <f t="shared" si="144"/>
        <v>297.50513563712764</v>
      </c>
      <c r="AP185" s="15">
        <f>IF(ISNA(VLOOKUP(A185,'Données projet'!$A$61:$I$81,3,0)),0,VLOOKUP(A185,'Données projet'!$A$61:$I$81,3,0))</f>
        <v>0</v>
      </c>
      <c r="AQ185" s="15">
        <f>IF(ISNA(VLOOKUP(A185,'Données projet'!$A$61:$I$81,4,0)),0,VLOOKUP(A185,'Données projet'!$A$61:$I$81,4,0))</f>
        <v>0</v>
      </c>
      <c r="AR185" s="16">
        <f>IF(ISNA(VLOOKUP(A185,'Données projet'!$A$61:$I$81,5,0)),0%,VLOOKUP(A185,'Données projet'!$A$61:$I$81,5,0)*VLOOKUP('Données projet'!$B$10,Paramètres!$A$1:$I$89,7,0))</f>
        <v>0</v>
      </c>
      <c r="AS185" s="16">
        <f>IF(ISNA(VLOOKUP(A185,'Données projet'!$A$61:$I$81,6,0)),0%,VLOOKUP(A185,'Données projet'!$A$61:$I$81,6,0)*VLOOKUP('Données projet'!$B$10,Paramètres!$A$1:$I$89,7,0))</f>
        <v>0</v>
      </c>
      <c r="AT185" s="16">
        <f>IF(ISNA(VLOOKUP(A185,'Données projet'!$A$61:$I$81,7,0)),0%,VLOOKUP(A185,'Données projet'!$A$61:$I$81,7,0))</f>
        <v>0</v>
      </c>
      <c r="AU185" s="21">
        <f>EXP(-LN(2)/35)*AU184+(1-EXP(-LN(2)/35))/(LN(2)/35)*AQ185*AR185*VLOOKUP('Données projet'!$B$10,Paramètres!$A$1:$I$89,3,0)*0.475*44/12</f>
        <v>0.41119063163322173</v>
      </c>
      <c r="AV185" s="21">
        <f>EXP(-LN(2)/25)*AV184+(1-EXP(-LN(2)/25))/(LN(2)/25)*Calculateur!AQ185*Calculateur!AS185*VLOOKUP('Données projet'!$B$10,Paramètres!$A$1:$I$89,3,0)*0.475*44/12</f>
        <v>0.41197658531473907</v>
      </c>
      <c r="AW185" s="21">
        <f>EXP(-LN(2)/2)*AW184+(1-EXP(-LN(2)/2))/(LN(2)/2)*AQ185*AT185*VLOOKUP('Données projet'!$B$10,Paramètres!$A$1:$I$89,3,0)*0.475*44/12</f>
        <v>3.2294707570646846E-22</v>
      </c>
      <c r="AX185" s="21">
        <f t="shared" si="166"/>
        <v>0.8231672169479608</v>
      </c>
      <c r="AY185" s="74">
        <f>('Scénario référence'!$F$8+'Scénario référence'!$F$9+'Scénario référence'!$B$17+'Scénario référence'!$B$9+'Scénario référence'!$B$10)*70+IF((45+25*(1-EXP(-0.0175*A185)))&lt;70,'Scénario référence'!$B$16*(45+25*(1-EXP(-0.0175*A185))),70*'Scénario référence'!$B$16)+IF((32+38*(1-EXP(-0.0175*A185)))&lt;70,'Scénario référence'!$B$18*(32+38*(1-EXP(-0.0175*A185))),70*'Scénario référence'!$B$18)</f>
        <v>70</v>
      </c>
      <c r="AZ185" s="12">
        <f>IF(A185&gt;30,10,('Scénario référence'!$B$16+'Scénario référence'!$B$17+'Scénario référence'!$B$18+'Scénario référence'!$B$9+'Scénario référence'!$B$10)*A185*10/30+('Scénario référence'!$F$8+'Scénario référence'!$F$9)*10)</f>
        <v>10</v>
      </c>
      <c r="BA185" s="12" t="e">
        <f>VLOOKUP(A185,'Données projet'!$A$87:$I$107,2,0)</f>
        <v>#N/A</v>
      </c>
      <c r="BB185" s="12" t="e">
        <f>VLOOKUP(A185,'Données projet'!$A$87:$I$107,9,0)</f>
        <v>#N/A</v>
      </c>
      <c r="BC185" s="12">
        <f t="array" ref="BC185">INDEX(BB:BB,MIN(IF(ISNUMBER(BB185:BB381),ROW(BB185:BB381),"")))</f>
        <v>0</v>
      </c>
      <c r="BD185" s="12">
        <f>IF('Données projet'!$A$88&gt;35,BD184+BC185-BL184,IF(A185&lt;'Données projet'!$A$88,$BA$205^A185,IF(A185='Données projet'!$A$88,'Données projet'!$B$88,BD184+BC185-BL184)))</f>
        <v>553.99999999999955</v>
      </c>
      <c r="BE185" s="13">
        <f>BD185*VLOOKUP('Données projet'!$B$11,Paramètres!$A$1:$I$89,3,0)*VLOOKUP('Données projet'!$B$11,Paramètres!$A$1:$I$89,5,0)</f>
        <v>331.29199999999975</v>
      </c>
      <c r="BF185" s="13">
        <f t="shared" si="167"/>
        <v>77.698110787752</v>
      </c>
      <c r="BG185" s="20">
        <f t="shared" si="168"/>
        <v>712.32444295533423</v>
      </c>
      <c r="BH185" s="59">
        <f t="shared" si="116"/>
        <v>1005.6577762886675</v>
      </c>
      <c r="BI185" s="59">
        <f ca="1">AVERAGE(OFFSET($BH$3,0,0,'Données projet'!$E$11+1,1))-AVERAGE(OFFSET($H$3,0,0,'Données projet'!$E$11+1,1))</f>
        <v>316.58509520829671</v>
      </c>
      <c r="BJ185" s="59">
        <f t="shared" si="146"/>
        <v>240.71332110643596</v>
      </c>
      <c r="BK185" s="15">
        <f>IF(ISNA(VLOOKUP(A185,'Données projet'!$A$87:$I$107,3,0)),0,VLOOKUP(A185,'Données projet'!$A$87:$I$107,3,0))</f>
        <v>0</v>
      </c>
      <c r="BL185" s="15">
        <f>IF(ISNA(VLOOKUP(A185,'Données projet'!$A$87:$I$107,4,0)),0,VLOOKUP(A185,'Données projet'!$A$87:$I$107,4,0))</f>
        <v>0</v>
      </c>
      <c r="BM185" s="16">
        <f>IF(ISNA(VLOOKUP(A185,'Données projet'!$A$87:$I$107,5,0)),0%,VLOOKUP(A185,'Données projet'!$A$87:$I$107,5,0)*VLOOKUP('Données projet'!$B$11,Paramètres!$A$1:$I$89,7,0))</f>
        <v>0</v>
      </c>
      <c r="BN185" s="16">
        <f>IF(ISNA(VLOOKUP(A185,'Données projet'!$A$87:$I$107,6,0)),0%,VLOOKUP(A185,'Données projet'!$A$87:$I$107,6,0)*VLOOKUP('Données projet'!$B$11,Paramètres!$A$1:$I$89,7,0))</f>
        <v>0</v>
      </c>
      <c r="BO185" s="16">
        <f>IF(ISNA(VLOOKUP(A185,'Données projet'!$A$87:$I$107,7,0)),0%,VLOOKUP(A185,'Données projet'!$A$87:$I$107,7,0))</f>
        <v>0</v>
      </c>
      <c r="BP185" s="21">
        <f>EXP(-LN(2)/35)*BP184+(1-EXP(-LN(2)/35))/(LN(2)/35)*BL185*BM185*VLOOKUP('Données projet'!$B$11,Paramètres!$A$1:$I$89,3,0)*0.475*44/12</f>
        <v>0.12490221381269567</v>
      </c>
      <c r="BQ185" s="21">
        <f>EXP(-LN(2)/25)*BQ184+(1-EXP(-LN(2)/25))/(LN(2)/25)*Calculateur!BL185*Calculateur!BN185*VLOOKUP('Données projet'!$B$11,Paramètres!$A$1:$I$89,3,0)*0.475*44/12</f>
        <v>0.22569279411977289</v>
      </c>
      <c r="BR185" s="21">
        <f>EXP(-LN(2)/2)*BR184+(1-EXP(-LN(2)/2))/(LN(2)/2)*BL185*BO185*VLOOKUP('Données projet'!$B$11,Paramètres!$A$1:$I$89,3,0)*0.475*44/12</f>
        <v>2.9036478783632319E-22</v>
      </c>
      <c r="BS185" s="22">
        <f t="shared" si="169"/>
        <v>0.35059500793246856</v>
      </c>
      <c r="BT185" s="75">
        <f>('Scénario référence'!$F$8+'Scénario référence'!$F$9+'Scénario référence'!$B$17+'Scénario référence'!$B$9+'Scénario référence'!$B$10)*70+IF((45+25*(1-EXP(-0.0175*A185)))&lt;70,'Scénario référence'!$B$16*(45+25*(1-EXP(-0.0175*A185))),70*'Scénario référence'!$B$16)+IF((32+38*(1-EXP(-0.0175*A185)))&lt;70,'Scénario référence'!$B$18*(32+38*(1-EXP(-0.0175*A185))),70*'Scénario référence'!$B$18)</f>
        <v>70</v>
      </c>
      <c r="BU185" s="12">
        <f>IF(A185&gt;30,10,('Scénario référence'!$B$16+'Scénario référence'!$B$17+'Scénario référence'!$B$18+'Scénario référence'!$B$9+'Scénario référence'!$B$10)*A185*10/30+('Scénario référence'!$F$8+'Scénario référence'!$F$9)*10)</f>
        <v>10</v>
      </c>
      <c r="BV185" s="12" t="e">
        <f>VLOOKUP(A185,'Données projet'!$A$113:$I$133,2,0)</f>
        <v>#N/A</v>
      </c>
      <c r="BW185" s="12" t="e">
        <f>VLOOKUP(A185,'Données projet'!$A$113:$I$133,9,0)</f>
        <v>#N/A</v>
      </c>
      <c r="BX185" s="12">
        <f t="array" ref="BX185">INDEX(BW:BW,MIN(IF(ISNUMBER(BW185:BW381),ROW(BW185:BW381),"")))</f>
        <v>0</v>
      </c>
      <c r="BY185" s="12">
        <f>IF('Données projet'!$A$114&gt;35,BY184+BX185-CG184,IF(A185&lt;'Données projet'!$A$114,$BV$205^A185,IF(A185='Données projet'!$A$114,'Données projet'!$B$114,BY184+BX185-CG184)))</f>
        <v>333.99999999999977</v>
      </c>
      <c r="BZ185" s="13">
        <f>BY185*VLOOKUP('Données projet'!$B$12,Paramètres!$A$1:$I$89,3,0)*VLOOKUP('Données projet'!$B$12,Paramètres!$A$1:$I$89,5,0)</f>
        <v>191.04799999999986</v>
      </c>
      <c r="CA185" s="13">
        <f t="shared" si="170"/>
        <v>47.771576544305155</v>
      </c>
      <c r="CB185" s="20">
        <f t="shared" si="171"/>
        <v>415.94409581466454</v>
      </c>
      <c r="CC185" s="59">
        <f t="shared" si="119"/>
        <v>709.27742914799785</v>
      </c>
      <c r="CD185" s="59">
        <f ca="1">AVERAGE(OFFSET($CC$3,0,0,'Données projet'!$E$12+1,1))-AVERAGE(OFFSET($H$3,0,0,'Données projet'!$E$12+1,1))</f>
        <v>188.64374818906128</v>
      </c>
      <c r="CE185" s="59">
        <f t="shared" si="148"/>
        <v>211.95157880548652</v>
      </c>
      <c r="CF185" s="15">
        <f>IF(ISNA(VLOOKUP(A185,'Données projet'!$A$113:$I$133,3,0)),0,VLOOKUP(A185,'Données projet'!$A$113:$I$133,3,0))</f>
        <v>0</v>
      </c>
      <c r="CG185" s="15">
        <f>IF(ISNA(VLOOKUP(A185,'Données projet'!$A$113:$I$133,4,0)),0,VLOOKUP(A185,'Données projet'!$A$113:$I$133,4,0))</f>
        <v>0</v>
      </c>
      <c r="CH185" s="16">
        <f>IF(ISNA(VLOOKUP(A185,'Données projet'!$A$113:$I$133,5,0)),0%,VLOOKUP(A185,'Données projet'!$A$113:$I$133,5,0)*VLOOKUP('Données projet'!$B$12,Paramètres!$A$1:$I$89,7,0))</f>
        <v>0</v>
      </c>
      <c r="CI185" s="16">
        <f>IF(ISNA(VLOOKUP(A185,'Données projet'!$A$113:$I$133,6,0)),0%,VLOOKUP(A185,'Données projet'!$A$113:$I$133,6,0)*VLOOKUP('Données projet'!$B$12,Paramètres!$A$1:$I$89,7,0))</f>
        <v>0</v>
      </c>
      <c r="CJ185" s="16">
        <f>IF(ISNA(VLOOKUP(A185,'Données projet'!$A$113:$I$133,7,0)),0%,VLOOKUP(A185,'Données projet'!$A$113:$I$133,7,0))</f>
        <v>0</v>
      </c>
      <c r="CK185" s="21">
        <f>EXP(-LN(2)/35)*CK184+(1-EXP(-LN(2)/35))/(LN(2)/35)*CG185*CH185*VLOOKUP('Données projet'!$B$12,Paramètres!$A$1:$I$89,3,0)*0.475*44/12</f>
        <v>0.12115438253478855</v>
      </c>
      <c r="CL185" s="21">
        <f>EXP(-LN(2)/25)*CL184+(1-EXP(-LN(2)/25))/(LN(2)/25)*Calculateur!CG185*Calculateur!CI185*VLOOKUP('Données projet'!$B$12,Paramètres!$A$1:$I$89,3,0)*0.475*44/12</f>
        <v>0.21242716790822369</v>
      </c>
      <c r="CM185" s="21">
        <f>EXP(-LN(2)/2)*CM184+(1-EXP(-LN(2)/2))/(LN(2)/2)*CG185*CJ185*VLOOKUP('Données projet'!$B$12,Paramètres!$A$1:$I$89,3,0)*0.475*44/12</f>
        <v>2.8119557854107597E-22</v>
      </c>
      <c r="CN185" s="22">
        <f t="shared" si="172"/>
        <v>0.33358155044301224</v>
      </c>
      <c r="CO185" s="75">
        <f>('Scénario référence'!$F$8+'Scénario référence'!$F$9+'Scénario référence'!$B$17+'Scénario référence'!$B$9+'Scénario référence'!$B$10)*70+IF((45+25*(1-EXP(-0.0175*A185)))&lt;70,'Scénario référence'!$B$16*(45+25*(1-EXP(-0.0175*A185))),70*'Scénario référence'!$B$16)+IF((32+38*(1-EXP(-0.0175*A185)))&lt;70,'Scénario référence'!$B$18*(32+38*(1-EXP(-0.0175*A185))),70*'Scénario référence'!$B$18)</f>
        <v>70</v>
      </c>
      <c r="CP185" s="12">
        <f>IF(A185&gt;30,10,('Scénario référence'!$B$16+'Scénario référence'!$B$17+'Scénario référence'!$B$18+'Scénario référence'!$B$9+'Scénario référence'!$B$10)*A185*10/30+('Scénario référence'!$F$8+'Scénario référence'!$F$9)*10)</f>
        <v>10</v>
      </c>
      <c r="CQ185" s="12" t="e">
        <f>VLOOKUP(A185,'Données projet'!$A$139:$I$159,2,0)</f>
        <v>#N/A</v>
      </c>
      <c r="CR185" s="12" t="e">
        <f>VLOOKUP(A185,'Données projet'!$A$139:$I$159,9,0)</f>
        <v>#N/A</v>
      </c>
      <c r="CS185" s="12">
        <f t="array" ref="CS185">INDEX(CR:CR,MIN(IF(ISNUMBER(CR185:CR381),ROW(CR185:CR381),"")))</f>
        <v>0</v>
      </c>
      <c r="CT185" s="12">
        <f>IF('Données projet'!$A$140&gt;35,CT184+CS185-DB184,IF(A185&lt;'Données projet'!$A$140,$CQ$205^A185,IF(A185='Données projet'!$A$140,'Données projet'!$B$140,CT184+CS185-DB184)))</f>
        <v>0</v>
      </c>
      <c r="CU185" s="17" t="e">
        <f>CT185*VLOOKUP('Données projet'!$B$13,Paramètres!$A$1:$I$89,3,0)*VLOOKUP('Données projet'!$B$13,Paramètres!$A$1:$I$89,5,0)</f>
        <v>#N/A</v>
      </c>
      <c r="CV185" s="13" t="e">
        <f t="shared" si="173"/>
        <v>#N/A</v>
      </c>
      <c r="CW185" s="20" t="e">
        <f t="shared" si="174"/>
        <v>#N/A</v>
      </c>
      <c r="CX185" s="59" t="e">
        <f t="shared" si="122"/>
        <v>#N/A</v>
      </c>
      <c r="CY185" s="59" t="e">
        <f ca="1">AVERAGE(OFFSET($CX$3,0,0,'Données projet'!$E$13+1,1))-AVERAGE(OFFSET($H$3,0,0,'Données projet'!$E$13+1,1))</f>
        <v>#N/A</v>
      </c>
      <c r="CZ185" s="59" t="e">
        <f t="shared" si="150"/>
        <v>#N/A</v>
      </c>
      <c r="DA185" s="15">
        <f>IF(ISNA(VLOOKUP(A185,'Données projet'!$A$139:$I$159,3,0)),0,VLOOKUP(A185,'Données projet'!$A$139:$I$159,3,0))</f>
        <v>0</v>
      </c>
      <c r="DB185" s="15">
        <f>IF(ISNA(VLOOKUP(A185,'Données projet'!$A$139:$I$159,4,0)),0,VLOOKUP(A185,'Données projet'!$A$139:$I$159,4,0))</f>
        <v>0</v>
      </c>
      <c r="DC185" s="16">
        <f>IF(ISNA(VLOOKUP(A185,'Données projet'!$A$139:$I$159,5,0)),0%,VLOOKUP(A185,'Données projet'!$A$139:$I$159,5,0)*VLOOKUP('Données projet'!$B$13,Paramètres!$A$1:$I$89,7,0))</f>
        <v>0</v>
      </c>
      <c r="DD185" s="16">
        <f>IF(ISNA(VLOOKUP(A185,'Données projet'!$A$139:$I$159,6,0)),0%,VLOOKUP(A185,'Données projet'!$A$139:$I$159,6,0)*VLOOKUP('Données projet'!$B$13,Paramètres!$A$1:$I$89,7,0))</f>
        <v>0</v>
      </c>
      <c r="DE185" s="16">
        <f>IF(ISNA(VLOOKUP(A185,'Données projet'!$A$139:$I$159,7,0)),0%,VLOOKUP(A185,'Données projet'!$A$139:$I$159,7,0))</f>
        <v>0</v>
      </c>
      <c r="DF185" s="21" t="e">
        <f>EXP(-LN(2)/35)*DF184+(1-EXP(-LN(2)/35))/(LN(2)/35)*DB185*DC185*VLOOKUP('Données projet'!$B$13,Paramètres!$A$1:$I$89,3,0)*0.475*44/12</f>
        <v>#N/A</v>
      </c>
      <c r="DG185" s="21" t="e">
        <f>EXP(-LN(2)/25)*DG184+(1-EXP(-LN(2)/25))/(LN(2)/25)*Calculateur!DB185*Calculateur!DD185*VLOOKUP('Données projet'!$B$13,Paramètres!$A$1:$I$89,3,0)*0.475*44/12</f>
        <v>#N/A</v>
      </c>
      <c r="DH185" s="21" t="e">
        <f>EXP(-LN(2)/2)*DH184+(1-EXP(-LN(2)/2))/(LN(2)/2)*DB185*DE185*VLOOKUP('Données projet'!$B$13,Paramètres!$A$1:$I$89,3,0)*0.475*44/12</f>
        <v>#N/A</v>
      </c>
      <c r="DI185" s="22" t="e">
        <f t="shared" si="175"/>
        <v>#N/A</v>
      </c>
      <c r="DJ185" s="75">
        <f>('Scénario référence'!$F$8+'Scénario référence'!$F$9+'Scénario référence'!$B$17+'Scénario référence'!$B$9+'Scénario référence'!$B$10)*70+IF((45+25*(1-EXP(-0.0175*A185)))&lt;70,'Scénario référence'!$B$16*(45+25*(1-EXP(-0.0175*A185))),70*'Scénario référence'!$B$16)+IF((32+38*(1-EXP(-0.0175*A185)))&lt;70,'Scénario référence'!$B$18*(32+38*(1-EXP(-0.0175*A185))),70*'Scénario référence'!$B$18)</f>
        <v>70</v>
      </c>
      <c r="DK185" s="12">
        <f>IF(A185&gt;30,10,('Scénario référence'!$B$16+'Scénario référence'!$B$17+'Scénario référence'!$B$18+'Scénario référence'!$B$9+'Scénario référence'!$B$10)*A185*10/30+('Scénario référence'!$F$8+'Scénario référence'!$F$9)*10)</f>
        <v>10</v>
      </c>
      <c r="DL185" s="12" t="e">
        <f>VLOOKUP(A185,'Données projet'!$A$165:$I$185,2,0)</f>
        <v>#N/A</v>
      </c>
      <c r="DM185" s="12" t="e">
        <f>VLOOKUP(A185,'Données projet'!$A$165:$I$185,9,0)</f>
        <v>#N/A</v>
      </c>
      <c r="DN185" s="12">
        <f t="array" ref="DN185">INDEX(DM:DM,MIN(IF(ISNUMBER(DM185:DM381),ROW(DM185:DM381),"")))</f>
        <v>0</v>
      </c>
      <c r="DO185" s="12">
        <f>IF('Données projet'!$A$166&gt;35,DO184+DN185-DW184,IF(A185&lt;'Données projet'!$A$166,$DL$205^A185,IF(A185='Données projet'!$A$166,'Données projet'!$B$166,DO184+DN185-DW184)))</f>
        <v>268.00000000000017</v>
      </c>
      <c r="DP185" s="17">
        <f>DO185*VLOOKUP('Données projet'!$B$14,Paramètres!$A$1:$I$89,3,0)*VLOOKUP('Données projet'!$B$14,Paramètres!$A$1:$I$89,5,0)</f>
        <v>175.59360000000012</v>
      </c>
      <c r="DQ185" s="13">
        <f t="shared" si="176"/>
        <v>44.340433728638573</v>
      </c>
      <c r="DR185" s="20">
        <f t="shared" si="177"/>
        <v>383.05177541071242</v>
      </c>
      <c r="DS185" s="59">
        <f t="shared" si="125"/>
        <v>676.38510874404574</v>
      </c>
      <c r="DT185" s="59">
        <f ca="1">AVERAGE(OFFSET($DS$3,0,0,'Données projet'!$E$14+1,1))-AVERAGE(OFFSET($H$3,0,0,'Données projet'!$E$14+1,1))</f>
        <v>188.68915783955595</v>
      </c>
      <c r="DU185" s="59">
        <f t="shared" si="152"/>
        <v>240.82467772396944</v>
      </c>
      <c r="DV185" s="15">
        <f>IF(ISNA(VLOOKUP(A185,'Données projet'!$A$165:$I$185,3,0)),0,VLOOKUP(A185,'Données projet'!$A$165:$I$185,3,0))</f>
        <v>0</v>
      </c>
      <c r="DW185" s="15">
        <f>IF(ISNA(VLOOKUP(A185,'Données projet'!$A$165:$I$185,4,0)),0,VLOOKUP(A185,'Données projet'!$A$165:$I$185,4,0))</f>
        <v>0</v>
      </c>
      <c r="DX185" s="16">
        <f>IF(ISNA(VLOOKUP(A185,'Données projet'!$A$165:$I$185,5,0)),0%,VLOOKUP(A185,'Données projet'!$A$165:$I$185,5,0)*VLOOKUP('Données projet'!$B$14,Paramètres!$A$1:$I$89,7,0))</f>
        <v>0</v>
      </c>
      <c r="DY185" s="16">
        <f>IF(ISNA(VLOOKUP(A185,'Données projet'!$A$165:$I$185,6,0)),0%,VLOOKUP(A185,'Données projet'!$A$165:$I$185,6,0)*VLOOKUP('Données projet'!$B$14,Paramètres!$A$1:$I$89,7,0))</f>
        <v>0</v>
      </c>
      <c r="DZ185" s="16">
        <f>IF(ISNA(VLOOKUP(A185,'Données projet'!$A$165:$I$185,7,0)),0%,VLOOKUP(A185,'Données projet'!$A$165:$I$185,7,0))</f>
        <v>0</v>
      </c>
      <c r="EA185" s="21">
        <f>EXP(-LN(2)/35)*EA184+(1-EXP(-LN(2)/35))/(LN(2)/35)*DW185*DX185*VLOOKUP('Données projet'!$B$14,Paramètres!$A$1:$I$89,3,0)*0.475*44/12</f>
        <v>7.6741307119047503E-2</v>
      </c>
      <c r="EB185" s="21">
        <f>EXP(-LN(2)/25)*EB184+(1-EXP(-LN(2)/25))/(LN(2)/25)*Calculateur!DW185*Calculateur!DY185*VLOOKUP('Données projet'!$B$14,Paramètres!$A$1:$I$89,3,0)*0.475*44/12</f>
        <v>0.1188193598392617</v>
      </c>
      <c r="EC185" s="21">
        <f>EXP(-LN(2)/2)*EC184+(1-EXP(-LN(2)/2))/(LN(2)/2)*DW185*DZ185*VLOOKUP('Données projet'!$B$14,Paramètres!$A$1:$I$89,3,0)*0.475*44/12</f>
        <v>1.8524091730516587E-22</v>
      </c>
      <c r="ED185" s="22">
        <f t="shared" si="178"/>
        <v>0.1955606669583092</v>
      </c>
      <c r="EE185" s="75">
        <f>('Scénario référence'!$F$8+'Scénario référence'!$F$9+'Scénario référence'!$B$17+'Scénario référence'!$B$9+'Scénario référence'!$B$10)*70+IF((45+25*(1-EXP(-0.0175*A185)))&lt;70,'Scénario référence'!$B$16*(45+25*(1-EXP(-0.0175*A185))),70*'Scénario référence'!$B$16)+IF((32+38*(1-EXP(-0.0175*A185)))&lt;70,'Scénario référence'!$B$18*(32+38*(1-EXP(-0.0175*A185))),70*'Scénario référence'!$B$18)</f>
        <v>70</v>
      </c>
      <c r="EF185" s="12">
        <f>IF(A185&gt;30,10,('Scénario référence'!$B$16+'Scénario référence'!$B$17+'Scénario référence'!$B$18+'Scénario référence'!$B$9+'Scénario référence'!$B$10)*A185*10/30+('Scénario référence'!$F$8+'Scénario référence'!$F$9)*10)</f>
        <v>10</v>
      </c>
      <c r="EG185" s="12" t="e">
        <f>VLOOKUP(A185,'Données projet'!$A$191:$I$211,2,0)</f>
        <v>#N/A</v>
      </c>
      <c r="EH185" s="12" t="e">
        <f>VLOOKUP(A185,'Données projet'!$A$191:$I$211,9,0)</f>
        <v>#N/A</v>
      </c>
      <c r="EI185" s="12">
        <f t="array" ref="EI185">INDEX(EH:EH,MIN(IF(ISNUMBER(EH185:EH381),ROW(EH185:EH381),"")))</f>
        <v>0</v>
      </c>
      <c r="EJ185" s="12">
        <f>IF('Données projet'!$A$192&gt;35,EJ184+EI185-ER184,IF(A185&lt;'Données projet'!$A$192,$EG$205^A185,IF(A185='Données projet'!$A$192,'Données projet'!$B$192,EJ184+EI185-ER184)))</f>
        <v>275.99999999999972</v>
      </c>
      <c r="EK185" s="17">
        <f>EJ185*VLOOKUP('Données projet'!$B$15,Paramètres!$A$1:$I$89,3,0)*VLOOKUP('Données projet'!$B$15,Paramètres!$A$1:$I$89,5,0)</f>
        <v>223.8911999999998</v>
      </c>
      <c r="EL185" s="13">
        <f t="shared" si="179"/>
        <v>54.95975389514858</v>
      </c>
      <c r="EM185" s="20">
        <f t="shared" si="180"/>
        <v>485.66541136738346</v>
      </c>
      <c r="EN185" s="59">
        <f t="shared" si="128"/>
        <v>778.99874470071677</v>
      </c>
      <c r="EO185" s="59">
        <f ca="1">AVERAGE(OFFSET($EN$3,0,0,'Données projet'!$E$15+1,1))-AVERAGE(OFFSET($H$3,0,0,'Données projet'!$E$15+1,1))</f>
        <v>205.5272583787887</v>
      </c>
      <c r="EP185" s="59">
        <f t="shared" si="154"/>
        <v>180.54762778843178</v>
      </c>
      <c r="EQ185" s="15">
        <f>IF(ISNA(VLOOKUP(A185,'Données projet'!$A$191:$I$211,3,0)),0,VLOOKUP(A185,'Données projet'!$A$191:$I$211,3,0))</f>
        <v>0</v>
      </c>
      <c r="ER185" s="15">
        <f>IF(ISNA(VLOOKUP(A185,'Données projet'!$A$191:$I$211,4,0)),0,VLOOKUP(A185,'Données projet'!$A$191:$I$211,4,0))</f>
        <v>0</v>
      </c>
      <c r="ES185" s="16">
        <f>IF(ISNA(VLOOKUP(A185,'Données projet'!$A$191:$I$211,5,0)),0%,VLOOKUP(A185,'Données projet'!$A$191:$I$211,5,0)*VLOOKUP('Données projet'!$B$15,Paramètres!$A$1:$I$89,7,0))</f>
        <v>0</v>
      </c>
      <c r="ET185" s="16">
        <f>IF(ISNA(VLOOKUP(A185,'Données projet'!$A$191:$I$211,6,0)),0%,VLOOKUP(A185,'Données projet'!$A$191:$I$211,6,0)*VLOOKUP('Données projet'!$B$15,Paramètres!$A$1:$I$89,7,0))</f>
        <v>0</v>
      </c>
      <c r="EU185" s="16">
        <f>IF(ISNA(VLOOKUP(A185,'Données projet'!$A$191:$I$211,7,0)),0%,VLOOKUP(A185,'Données projet'!$A$191:$I$211,7,0))</f>
        <v>0</v>
      </c>
      <c r="EV185" s="21">
        <f>EXP(-LN(2)/35)*EV184+(1-EXP(-LN(2)/35))/(LN(2)/35)*ER185*ES185*VLOOKUP('Données projet'!$B$15,Paramètres!$A$1:$I$89,3,0)*0.475*44/12</f>
        <v>4.9406784392834378E-2</v>
      </c>
      <c r="EW185" s="21">
        <f>EXP(-LN(2)/25)*EW184+(1-EXP(-LN(2)/25))/(LN(2)/25)*Calculateur!ER185*Calculateur!ET185*VLOOKUP('Données projet'!$B$15,Paramètres!$A$1:$I$89,3,0)*0.475*44/12</f>
        <v>8.5791182303874045E-2</v>
      </c>
      <c r="EX185" s="21">
        <f>EXP(-LN(2)/2)*EX184+(1-EXP(-LN(2)/2))/(LN(2)/2)*ER185*EU185*VLOOKUP('Données projet'!$B$15,Paramètres!$A$1:$I$89,3,0)*0.475*44/12</f>
        <v>1.1994363092708356E-22</v>
      </c>
      <c r="EY185" s="22">
        <f t="shared" si="181"/>
        <v>0.13519796669670842</v>
      </c>
      <c r="EZ185" s="75">
        <f>('Scénario référence'!$F$8+'Scénario référence'!$F$9+'Scénario référence'!$B$17+'Scénario référence'!$B$9+'Scénario référence'!$B$10)*70+IF((45+25*(1-EXP(-0.0175*A185)))&lt;70,'Scénario référence'!$B$16*(45+25*(1-EXP(-0.0175*A185))),70*'Scénario référence'!$B$16)+IF((32+38*(1-EXP(-0.0175*A185)))&lt;70,'Scénario référence'!$B$18*(32+38*(1-EXP(-0.0175*A185))),70*'Scénario référence'!$B$18)</f>
        <v>70</v>
      </c>
      <c r="FA185" s="12">
        <f>IF(A185&gt;30,10,('Scénario référence'!$B$16+'Scénario référence'!$B$17+'Scénario référence'!$B$18+'Scénario référence'!$B$9+'Scénario référence'!$B$10)*A185*10/30+('Scénario référence'!$F$8+'Scénario référence'!$F$9)*10)</f>
        <v>10</v>
      </c>
      <c r="FB185" s="12" t="e">
        <f>VLOOKUP(A185,'Données projet'!$A$217:$I$237,2,0)</f>
        <v>#N/A</v>
      </c>
      <c r="FC185" s="12" t="e">
        <f>VLOOKUP(A185,'Données projet'!$A$217:$I$237,9,0)</f>
        <v>#N/A</v>
      </c>
      <c r="FD185" s="12">
        <f t="array" ref="FD185">INDEX(FC:FC,MIN(IF(ISNUMBER(FC185:FC381),ROW(FC185:FC381),"")))</f>
        <v>0</v>
      </c>
      <c r="FE185" s="12">
        <f>IF('Données projet'!$A$218&gt;35,FE184+FD185-FM184,IF(A185&lt;'Données projet'!$A$218,$FB$205^A185,IF(A185='Données projet'!$A$218,'Données projet'!$B$218,FE184+FD185-FM184)))</f>
        <v>418.99999999999983</v>
      </c>
      <c r="FF185" s="17">
        <f>FE185*VLOOKUP('Données projet'!$B$16,Paramètres!$A$1:$I$89,3,0)*VLOOKUP('Données projet'!$B$16,Paramètres!$A$1:$I$89,5,0)</f>
        <v>359.5019999999999</v>
      </c>
      <c r="FG185" s="13">
        <f t="shared" si="182"/>
        <v>83.516011055432813</v>
      </c>
      <c r="FH185" s="20">
        <f t="shared" si="183"/>
        <v>771.58970258821194</v>
      </c>
      <c r="FI185" s="59">
        <f t="shared" si="131"/>
        <v>1064.9230359215453</v>
      </c>
      <c r="FJ185" s="59">
        <f ca="1">AVERAGE(OFFSET($FI$3,0,0,'Données projet'!$E$16+1,1))-AVERAGE(OFFSET($H$3,0,0,'Données projet'!$E$16+1,1))</f>
        <v>383.97627237444709</v>
      </c>
      <c r="FK185" s="59">
        <f t="shared" si="156"/>
        <v>203.35476578922339</v>
      </c>
      <c r="FL185" s="15">
        <f>IF(ISNA(VLOOKUP(A185,'Données projet'!$A$217:$I$237,3,0)),0,VLOOKUP(A185,'Données projet'!$A$217:$I$237,3,0))</f>
        <v>0</v>
      </c>
      <c r="FM185" s="15">
        <f>IF(ISNA(VLOOKUP(A185,'Données projet'!$A$217:$I$237,4,0)),0,VLOOKUP(A185,'Données projet'!$A$217:$I$237,4,0))</f>
        <v>0</v>
      </c>
      <c r="FN185" s="16">
        <f>IF(ISNA(VLOOKUP(A185,'Données projet'!$A$217:$I$237,5,0)),0%,VLOOKUP(A185,'Données projet'!$A$217:$I$237,5,0)*VLOOKUP('Données projet'!$B$16,Paramètres!$A$1:$I$89,7,0))</f>
        <v>0</v>
      </c>
      <c r="FO185" s="16">
        <f>IF(ISNA(VLOOKUP(A185,'Données projet'!$A$217:$I$237,6,0)),0%,VLOOKUP(A185,'Données projet'!$A$217:$I$237,6,0)*VLOOKUP('Données projet'!$B$16,Paramètres!$A$1:$I$89,7,0))</f>
        <v>0</v>
      </c>
      <c r="FP185" s="16">
        <f>IF(ISNA(VLOOKUP(A185,'Données projet'!$A$217:$I$237,7,0)),0%,VLOOKUP(A185,'Données projet'!$A$217:$I$237,7,0))</f>
        <v>0</v>
      </c>
      <c r="FQ185" s="21">
        <f>EXP(-LN(2)/35)*FQ184+(1-EXP(-LN(2)/35))/(LN(2)/35)*FM185*FN185*VLOOKUP('Données projet'!$B$16,Paramètres!$A$1:$I$89,3,0)*0.475*44/12</f>
        <v>0.25392406756182145</v>
      </c>
      <c r="FR185" s="21">
        <f>EXP(-LN(2)/25)*FR184+(1-EXP(-LN(2)/25))/(LN(2)/25)*Calculateur!FM185*Calculateur!FO185*VLOOKUP('Données projet'!$B$16,Paramètres!$A$1:$I$89,3,0)*0.475*44/12</f>
        <v>8.7086917399851471E-2</v>
      </c>
      <c r="FS185" s="21">
        <f>EXP(-LN(2)/2)*FS184+(1-EXP(-LN(2)/2))/(LN(2)/2)*FM185*FP185*VLOOKUP('Données projet'!$B$16,Paramètres!$A$1:$I$89,3,0)*0.475*44/12</f>
        <v>2.2031183401603584E-22</v>
      </c>
      <c r="FT185" s="22">
        <f t="shared" si="184"/>
        <v>0.34101098496167292</v>
      </c>
      <c r="FU185" s="75">
        <f>('Scénario référence'!$F$8+'Scénario référence'!$F$9+'Scénario référence'!$B$17+'Scénario référence'!$B$9+'Scénario référence'!$B$10)*70+IF((45+25*(1-EXP(-0.0175*A185)))&lt;70,'Scénario référence'!$B$16*(45+25*(1-EXP(-0.0175*A185))),70*'Scénario référence'!$B$16)+IF((32+38*(1-EXP(-0.0175*A185)))&lt;70,'Scénario référence'!$B$18*(32+38*(1-EXP(-0.0175*A185))),70*'Scénario référence'!$B$18)</f>
        <v>70</v>
      </c>
      <c r="FV185" s="12">
        <f>IF(A185&gt;30,10,('Scénario référence'!$B$16+'Scénario référence'!$B$17+'Scénario référence'!$B$18+'Scénario référence'!$B$9+'Scénario référence'!$B$10)*A185*10/30+('Scénario référence'!$F$8+'Scénario référence'!$F$9)*10)</f>
        <v>10</v>
      </c>
      <c r="FW185" s="12" t="e">
        <f>VLOOKUP(A185,'Données projet'!$A$243:$I$263,2,0)</f>
        <v>#N/A</v>
      </c>
      <c r="FX185" s="12" t="e">
        <f>VLOOKUP(A185,'Données projet'!$A$243:$I$263,9,0)</f>
        <v>#N/A</v>
      </c>
      <c r="FY185" s="12">
        <f t="array" ref="FY185">INDEX(FX:FX,MIN(IF(ISNUMBER(FX185:FX381),ROW(FX185:FX381),"")))</f>
        <v>0</v>
      </c>
      <c r="FZ185" s="12">
        <f>IF('Données projet'!$A$244&gt;35,FZ184+FY185-GH184,IF(A185&lt;'Données projet'!$A$244,$FW$205^A185,IF(A185='Données projet'!$A$244,'Données projet'!$B$244,FZ184+FY185-GH184)))</f>
        <v>4.5474735088646412E-13</v>
      </c>
      <c r="GA185" s="17">
        <f>FZ185*VLOOKUP('Données projet'!$B$17,Paramètres!$A$1:$I$89,3,0)*VLOOKUP('Données projet'!$B$17,Paramètres!$A$1:$I$89,5,0)</f>
        <v>4.8949004849418999E-13</v>
      </c>
      <c r="GB185" s="13">
        <f t="shared" si="185"/>
        <v>6.1123715499968684E-12</v>
      </c>
      <c r="GC185" s="20">
        <f t="shared" si="186"/>
        <v>1.1498242284038591E-11</v>
      </c>
      <c r="GD185" s="59">
        <f t="shared" si="134"/>
        <v>293.3333333333448</v>
      </c>
      <c r="GE185" s="59">
        <f ca="1">AVERAGE(OFFSET($GD$3,0,0,'Données projet'!$E$17+1,1))-AVERAGE(OFFSET($H$3,0,0,'Données projet'!$E$17+1,1))</f>
        <v>286.77702855541287</v>
      </c>
      <c r="GF185" s="59">
        <f t="shared" si="158"/>
        <v>227.12211541860779</v>
      </c>
      <c r="GG185" s="15">
        <f>IF(ISNA(VLOOKUP(A185,'Données projet'!$A$243:$I$263,3,0)),0,VLOOKUP(A185,'Données projet'!$A$243:$I$263,3,0))</f>
        <v>0</v>
      </c>
      <c r="GH185" s="15">
        <f>IF(ISNA(VLOOKUP(A185,'Données projet'!$A$243:$I$263,4,0)),0,VLOOKUP(A185,'Données projet'!$A$243:$I$263,4,0))</f>
        <v>0</v>
      </c>
      <c r="GI185" s="16">
        <f>IF(ISNA(VLOOKUP(A185,'Données projet'!$A$243:$I$263,5,0)),0%,VLOOKUP(A185,'Données projet'!$A$243:$I$263,5,0)*VLOOKUP('Données projet'!$B$17,Paramètres!$A$1:$I$89,7,0))</f>
        <v>0</v>
      </c>
      <c r="GJ185" s="16">
        <f>IF(ISNA(VLOOKUP(A185,'Données projet'!$A$243:$I$263,6,0)),0%,VLOOKUP(A185,'Données projet'!$A$243:$I$263,6,0)*VLOOKUP('Données projet'!$B$17,Paramètres!$A$1:$I$89,7,0))</f>
        <v>0</v>
      </c>
      <c r="GK185" s="16">
        <f>IF(ISNA(VLOOKUP(A185,'Données projet'!$A$243:$I$263,7,0)),0%,VLOOKUP(A185,'Données projet'!$A$243:$I$263,7,0))</f>
        <v>0</v>
      </c>
      <c r="GL185" s="21">
        <f>EXP(-LN(2)/35)*GL184+(1-EXP(-LN(2)/35))/(LN(2)/35)*GH185*GI185*VLOOKUP('Données projet'!$B$17,Paramètres!$A$1:$I$89,3,0)*0.475*44/12</f>
        <v>0</v>
      </c>
      <c r="GM185" s="21">
        <f>EXP(-LN(2)/25)*GM184+(1-EXP(-LN(2)/25))/(LN(2)/25)*Calculateur!GH185*Calculateur!GJ185*VLOOKUP('Données projet'!$B$17,Paramètres!$A$1:$I$89,3,0)*0.475*44/12</f>
        <v>0</v>
      </c>
      <c r="GN185" s="21">
        <f>EXP(-LN(2)/2)*GN184+(1-EXP(-LN(2)/2))/(LN(2)/2)*GH185*GK185*VLOOKUP('Données projet'!$B$17,Paramètres!$A$1:$I$89,3,0)*0.475*44/12</f>
        <v>0</v>
      </c>
      <c r="GO185" s="21">
        <f t="shared" si="187"/>
        <v>0</v>
      </c>
      <c r="GP185" s="75">
        <f>('Scénario référence'!$F$8+'Scénario référence'!$F$9+'Scénario référence'!$B$17+'Scénario référence'!$B$9+'Scénario référence'!$B$10)*70+IF((45+25*(1-EXP(-0.0175*A185)))&lt;70,'Scénario référence'!$B$16*(45+25*(1-EXP(-0.0175*A185))),70*'Scénario référence'!$B$16)+IF((32+38*(1-EXP(-0.0175*A185)))&lt;70,'Scénario référence'!$B$18*(32+38*(1-EXP(-0.0175*A185))),70*'Scénario référence'!$B$18)</f>
        <v>70</v>
      </c>
      <c r="GQ185" s="12">
        <f>IF(A185&gt;30,10,('Scénario référence'!$B$16+'Scénario référence'!$B$17+'Scénario référence'!$B$18+'Scénario référence'!$B$9+'Scénario référence'!$B$10)*A185*10/30+('Scénario référence'!$F$8+'Scénario référence'!$F$9)*10)</f>
        <v>10</v>
      </c>
      <c r="GR185" s="12" t="e">
        <f>VLOOKUP(A185,'Données projet'!$A$269:$I$289,2,0)</f>
        <v>#N/A</v>
      </c>
      <c r="GS185" s="12" t="e">
        <f>VLOOKUP(A185,'Données projet'!$A$269:$I$289,9,0)</f>
        <v>#N/A</v>
      </c>
      <c r="GT185" s="12">
        <f t="array" ref="GT185">INDEX(GS:GS,MIN(IF(ISNUMBER(GS185:GS381),ROW(GS185:GS381),"")))</f>
        <v>0</v>
      </c>
      <c r="GU185" s="12">
        <f>IF('Données projet'!$A$270&gt;35,GU184+GT185-HC184,IF(A185&lt;'Données projet'!$A$270,$GR$205^A185,IF(A185='Données projet'!$A$270,'Données projet'!$B$270,GU184+GT185-HC184)))</f>
        <v>4.5474735088646412E-13</v>
      </c>
      <c r="GV185" s="17">
        <f>GU185*VLOOKUP('Données projet'!$B$18,Paramètres!$A$1:$I$89,3,0)*VLOOKUP('Données projet'!$B$18,Paramètres!$A$1:$I$89,5,0)</f>
        <v>4.8949004849418999E-13</v>
      </c>
      <c r="GW185" s="13">
        <f t="shared" si="188"/>
        <v>6.1123715499968684E-12</v>
      </c>
      <c r="GX185" s="20">
        <f t="shared" si="189"/>
        <v>1.1498242284038591E-11</v>
      </c>
      <c r="GY185" s="59">
        <f t="shared" si="137"/>
        <v>293.3333333333448</v>
      </c>
      <c r="GZ185" s="59">
        <f ca="1">AVERAGE(OFFSET($GY$3,0,0,'Données projet'!$E$18+1,1))-AVERAGE(OFFSET($H$3,0,0,'Données projet'!$E$18+1,1))</f>
        <v>286.77702855541287</v>
      </c>
      <c r="HA185" s="59">
        <f t="shared" si="160"/>
        <v>227.12211541860779</v>
      </c>
      <c r="HB185" s="15">
        <f>IF(ISNA(VLOOKUP(A185,'Données projet'!$A$269:$I$289,3,0)),0,VLOOKUP(A185,'Données projet'!$A$269:$I$289,3,0))</f>
        <v>0</v>
      </c>
      <c r="HC185" s="15">
        <f>IF(ISNA(VLOOKUP(A185,'Données projet'!$A$269:$I$289,4,0)),0,VLOOKUP(A185,'Données projet'!$A$269:$I$289,4,0))</f>
        <v>0</v>
      </c>
      <c r="HD185" s="16">
        <f>IF(ISNA(VLOOKUP(A185,'Données projet'!$A$269:$I$289,5,0)),0%,VLOOKUP(A185,'Données projet'!$A$269:$I$289,5,0)*VLOOKUP('Données projet'!$B$18,Paramètres!$A$1:$I$89,7,0))</f>
        <v>0</v>
      </c>
      <c r="HE185" s="16">
        <f>IF(ISNA(VLOOKUP(A185,'Données projet'!$A$269:$I$289,6,0)),0%,VLOOKUP(A185,'Données projet'!$A$269:$I$289,6,0)*VLOOKUP('Données projet'!$B$18,Paramètres!$A$1:$I$89,7,0))</f>
        <v>0</v>
      </c>
      <c r="HF185" s="16">
        <f>IF(ISNA(VLOOKUP(A185,'Données projet'!$A$269:$I$289,7,0)),0%,VLOOKUP(A185,'Données projet'!$A$269:$I$289,7,0))</f>
        <v>0</v>
      </c>
      <c r="HG185" s="21">
        <f>EXP(-LN(2)/35)*HG184+(1-EXP(-LN(2)/35))/(LN(2)/35)*HC185*HD185*VLOOKUP('Données projet'!$B$18,Paramètres!$A$1:$I$89,3,0)*0.475*44/12</f>
        <v>0</v>
      </c>
      <c r="HH185" s="21">
        <f>EXP(-LN(2)/25)*HH184+(1-EXP(-LN(2)/25))/(LN(2)/25)*Calculateur!HC185*Calculateur!HE185*VLOOKUP('Données projet'!$B$18,Paramètres!$A$1:$I$89,3,0)*0.475*44/12</f>
        <v>0</v>
      </c>
      <c r="HI185" s="21">
        <f>EXP(-LN(2)/2)*HI184+(1-EXP(-LN(2)/2))/(LN(2)/2)*HC185*HF185*VLOOKUP('Données projet'!$B$18,Paramètres!$A$1:$I$89,3,0)*0.475*44/12</f>
        <v>0</v>
      </c>
      <c r="HJ185" s="22">
        <f t="shared" si="190"/>
        <v>0</v>
      </c>
    </row>
    <row r="186" spans="1:218" x14ac:dyDescent="0.25">
      <c r="A186" s="10">
        <f t="shared" si="161"/>
        <v>183</v>
      </c>
      <c r="B186" s="73">
        <f>'Scénario référence'!$B$16*5+'Scénario référence'!$B$17*0+'Scénario référence'!$B$18*5</f>
        <v>0</v>
      </c>
      <c r="C186" s="19">
        <f>Calculateur!C185+'Scénario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162.72359999999978</v>
      </c>
      <c r="D186" s="11">
        <f t="shared" si="140"/>
        <v>41.456226201843137</v>
      </c>
      <c r="E18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86" s="11">
        <f>IF(OR('Scénario référence'!$F$8&gt;0,'Scénario référence'!$F$9&gt;0),('Scénario référence'!$F$8+'Scénario référence'!$F$9)*10,0)</f>
        <v>10</v>
      </c>
      <c r="G186" s="11">
        <f>'Scénario référence'!$B$8*B186*44/12+'Scénario référence'!$B$9*(C186+D186)/0.475*44/12+'Scénario référence'!$B$10*(C186+D186)/0.475*44/12+'Scénario référence'!$F$8*(C186+D186)/0.475*44/12+'Scénario référence'!$F$9*(C186+D186)/0.475*44/12</f>
        <v>1576.1249741896645</v>
      </c>
      <c r="H186" s="67">
        <f t="shared" si="110"/>
        <v>648.94653063487635</v>
      </c>
      <c r="I186" s="70">
        <f>('Scénario référence'!$F$8+'Scénario référence'!$F$9+'Scénario référence'!$B$17+'Scénario référence'!$B$9+'Scénario référence'!$B$10)*70+IF((45+25*(1-EXP(-0.0175*A186)))&lt;70,'Scénario référence'!$B$16*(45+25*(1-EXP(-0.0175*A186))),70*'Scénario référence'!$B$16)+IF((32+38*(1-EXP(-0.0175*A186)))&lt;70,'Scénario référence'!$B$18*(32+38*(1-EXP(-0.0175*A186))),70*'Scénario référence'!$B$18)</f>
        <v>70</v>
      </c>
      <c r="J186" s="13">
        <f>IF(A186&gt;30,10,('Scénario référence'!$B$16+'Scénario référence'!$B$17+'Scénario référence'!$B$18+'Scénario référence'!$B$9+'Scénario référence'!$B$10)*A186*10/30+('Scénario référence'!$F$8+'Scénario référence'!$F$9)*10)</f>
        <v>10</v>
      </c>
      <c r="K186" s="12" t="e">
        <f>VLOOKUP(A186,'Données projet'!$A$35:$I$55,2,0)</f>
        <v>#N/A</v>
      </c>
      <c r="L186" s="12" t="e">
        <f>VLOOKUP(A186,'Données projet'!$A$35:$I$55,9,0)</f>
        <v>#N/A</v>
      </c>
      <c r="M186" s="12">
        <f t="array" ref="M186">INDEX(L:L,MIN(IF(ISNUMBER(L186:L382),ROW(L186:L382),"")))</f>
        <v>0</v>
      </c>
      <c r="N186" s="13">
        <f>IF('Données projet'!$A$36&gt;35,N185+M186-V185,IF(A186&lt;'Données projet'!$A$36,$K$205^A186,IF(A186='Données projet'!$A$36,'Données projet'!$B$36,N185+M186-V185)))</f>
        <v>-2.2737367544323206E-13</v>
      </c>
      <c r="O186" s="13">
        <f>N186*VLOOKUP('Données projet'!$B$9,Paramètres!$A$1:$I$89,3,0)*VLOOKUP('Données projet'!$B$9,Paramètres!$A$1:$I$89,5,0)</f>
        <v>-1.2710188457276673E-13</v>
      </c>
      <c r="P186" s="13" t="e">
        <f t="shared" si="141"/>
        <v>#NUM!</v>
      </c>
      <c r="Q186" s="20" t="e">
        <f t="shared" si="162"/>
        <v>#NUM!</v>
      </c>
      <c r="R186" s="59" t="e">
        <f t="shared" si="109"/>
        <v>#NUM!</v>
      </c>
      <c r="S186" s="59">
        <f ca="1">AVERAGE(OFFSET($R$3,0,0,'Données projet'!$E$9+1,1))-AVERAGE(OFFSET($H$3,0,0,'Données projet'!$E$9+1,1))</f>
        <v>255.5374979188561</v>
      </c>
      <c r="T186" s="59">
        <f t="shared" si="142"/>
        <v>343.10418468620901</v>
      </c>
      <c r="U186" s="15">
        <f>IF(ISNA(VLOOKUP(A186,'Données projet'!$A$35:$I$55,3,0)),0,VLOOKUP(A186,'Données projet'!$A$35:$I$55,3,0))</f>
        <v>0</v>
      </c>
      <c r="V186" s="15">
        <f>IF(ISNA(VLOOKUP(A186,'Données projet'!$A$35:$I$55,4,0)),0,VLOOKUP(A186,'Données projet'!$A$35:$I$55,4,0))</f>
        <v>0</v>
      </c>
      <c r="W186" s="16">
        <f>IF(ISNA(VLOOKUP(A186,'Données projet'!$A$35:$I$55,5,0)),0%,VLOOKUP(A186,'Données projet'!$A$35:$I$55,5,0)*VLOOKUP('Données projet'!$B$9,Paramètres!$A$1:$I$89,7,0))</f>
        <v>0</v>
      </c>
      <c r="X186" s="16">
        <f>IF(ISNA(VLOOKUP(A186,'Données projet'!$A$35:$I$55,6,0)),0%,VLOOKUP(A186,'Données projet'!$A$35:$I$55,6,0)*VLOOKUP('Données projet'!$B$9,Paramètres!$A$1:$I$89,7,0))</f>
        <v>0</v>
      </c>
      <c r="Y186" s="16">
        <f>IF(ISNA(VLOOKUP(A186,'Données projet'!$A$35:$I$55,7,0)),0%,VLOOKUP(A186,'Données projet'!$A$35:$I$55,7,0))</f>
        <v>0</v>
      </c>
      <c r="Z186" s="21">
        <f>EXP(-LN(2)/35)*Z185+(1-EXP(-LN(2)/35))/(LN(2)/35)*V186*W186*VLOOKUP('Données projet'!$B$9,Paramètres!$A$1:$I$89,3,0)*0.475*44/12</f>
        <v>0.14929081757155571</v>
      </c>
      <c r="AA186" s="21">
        <f>EXP(-LN(2)/25)*AA185+(1-EXP(-LN(2)/25))/(LN(2)/25)*Calculateur!V186*Calculateur!X186*VLOOKUP('Données projet'!$B$9,Paramètres!$A$1:$I$89,3,0)*0.475*44/12</f>
        <v>0.22947552113196204</v>
      </c>
      <c r="AB186" s="21">
        <f>EXP(-LN(2)/2)*AB185+(1-EXP(-LN(2)/2))/(LN(2)/2)*V186*Y186*VLOOKUP('Données projet'!$B$9,Paramètres!$A$1:$I$89,3,0)*0.475*44/12</f>
        <v>1.5840651185072893E-23</v>
      </c>
      <c r="AC186" s="22">
        <f t="shared" si="163"/>
        <v>0.37876633870351772</v>
      </c>
      <c r="AD186" s="13">
        <f>('Scénario référence'!$F$8+'Scénario référence'!$F$9+'Scénario référence'!$B$17+'Scénario référence'!$B$9+'Scénario référence'!$B$10)*70+IF((45+25*(1-EXP(-0.0175*A186)))&lt;70,'Scénario référence'!$B$16*(45+25*(1-EXP(-0.0175*A186))),70*'Scénario référence'!$B$16)+IF((32+38*(1-EXP(-0.0175*A186)))&lt;70,'Scénario référence'!$B$18*(32+38*(1-EXP(-0.0175*A186))),70*'Scénario référence'!$B$18)</f>
        <v>70</v>
      </c>
      <c r="AE186" s="13">
        <f>IF(A186&gt;30,10,('Scénario référence'!$B$16+'Scénario référence'!$B$17+'Scénario référence'!$B$18+'Scénario référence'!$B$9+'Scénario référence'!$B$10)*A186*10/30+('Scénario référence'!$F$8+'Scénario référence'!$F$9)*10)</f>
        <v>10</v>
      </c>
      <c r="AF186" s="12" t="e">
        <f>VLOOKUP(A186,'Données projet'!$A$61:$I$81,2,0)</f>
        <v>#N/A</v>
      </c>
      <c r="AG186" s="12" t="e">
        <f>VLOOKUP(A186,'Données projet'!$A$61:$I$81,9,0)</f>
        <v>#N/A</v>
      </c>
      <c r="AH186" s="12">
        <f t="array" ref="AH186">INDEX(AG:AG,MIN(IF(ISNUMBER(AG186:AG382),ROW(AG186:AG382),"")))</f>
        <v>0</v>
      </c>
      <c r="AI186" s="13">
        <f>IF('Données projet'!$A$62&gt;35,AI185+AH186-AQ185,IF(A186&lt;'Données projet'!$A$62,$AF$205^A186,IF(A186='Données projet'!$A$62,'Données projet'!$B$62,AI185+AH186-AQ185)))</f>
        <v>0</v>
      </c>
      <c r="AJ186" s="13">
        <f>AI186*VLOOKUP('Données projet'!$B$10,Paramètres!$A$1:$I$89,3,0)*VLOOKUP('Données projet'!$B$10,Paramètres!$A$1:$I$89,5,0)</f>
        <v>0</v>
      </c>
      <c r="AK186" s="13" t="e">
        <f t="shared" si="164"/>
        <v>#NUM!</v>
      </c>
      <c r="AL186" s="20" t="e">
        <f t="shared" si="165"/>
        <v>#NUM!</v>
      </c>
      <c r="AM186" s="59" t="e">
        <f t="shared" si="113"/>
        <v>#NUM!</v>
      </c>
      <c r="AN186" s="59">
        <f ca="1">AVERAGE(OFFSET($AM$3,0,0,'Données projet'!$E$10+1,1))-AVERAGE(OFFSET($H$3,0,0,'Données projet'!$E$10+1,1))</f>
        <v>261.78489480911571</v>
      </c>
      <c r="AO186" s="59">
        <f t="shared" si="144"/>
        <v>297.50513563712764</v>
      </c>
      <c r="AP186" s="15">
        <f>IF(ISNA(VLOOKUP(A186,'Données projet'!$A$61:$I$81,3,0)),0,VLOOKUP(A186,'Données projet'!$A$61:$I$81,3,0))</f>
        <v>0</v>
      </c>
      <c r="AQ186" s="15">
        <f>IF(ISNA(VLOOKUP(A186,'Données projet'!$A$61:$I$81,4,0)),0,VLOOKUP(A186,'Données projet'!$A$61:$I$81,4,0))</f>
        <v>0</v>
      </c>
      <c r="AR186" s="16">
        <f>IF(ISNA(VLOOKUP(A186,'Données projet'!$A$61:$I$81,5,0)),0%,VLOOKUP(A186,'Données projet'!$A$61:$I$81,5,0)*VLOOKUP('Données projet'!$B$10,Paramètres!$A$1:$I$89,7,0))</f>
        <v>0</v>
      </c>
      <c r="AS186" s="16">
        <f>IF(ISNA(VLOOKUP(A186,'Données projet'!$A$61:$I$81,6,0)),0%,VLOOKUP(A186,'Données projet'!$A$61:$I$81,6,0)*VLOOKUP('Données projet'!$B$10,Paramètres!$A$1:$I$89,7,0))</f>
        <v>0</v>
      </c>
      <c r="AT186" s="16">
        <f>IF(ISNA(VLOOKUP(A186,'Données projet'!$A$61:$I$81,7,0)),0%,VLOOKUP(A186,'Données projet'!$A$61:$I$81,7,0))</f>
        <v>0</v>
      </c>
      <c r="AU186" s="21">
        <f>EXP(-LN(2)/35)*AU185+(1-EXP(-LN(2)/35))/(LN(2)/35)*AQ186*AR186*VLOOKUP('Données projet'!$B$10,Paramètres!$A$1:$I$89,3,0)*0.475*44/12</f>
        <v>0.40312743414841495</v>
      </c>
      <c r="AV186" s="21">
        <f>EXP(-LN(2)/25)*AV185+(1-EXP(-LN(2)/25))/(LN(2)/25)*Calculateur!AQ186*Calculateur!AS186*VLOOKUP('Données projet'!$B$10,Paramètres!$A$1:$I$89,3,0)*0.475*44/12</f>
        <v>0.40071106392440048</v>
      </c>
      <c r="AW186" s="21">
        <f>EXP(-LN(2)/2)*AW185+(1-EXP(-LN(2)/2))/(LN(2)/2)*AQ186*AT186*VLOOKUP('Données projet'!$B$10,Paramètres!$A$1:$I$89,3,0)*0.475*44/12</f>
        <v>2.2835806719640919E-22</v>
      </c>
      <c r="AX186" s="21">
        <f t="shared" si="166"/>
        <v>0.80383849807281549</v>
      </c>
      <c r="AY186" s="74">
        <f>('Scénario référence'!$F$8+'Scénario référence'!$F$9+'Scénario référence'!$B$17+'Scénario référence'!$B$9+'Scénario référence'!$B$10)*70+IF((45+25*(1-EXP(-0.0175*A186)))&lt;70,'Scénario référence'!$B$16*(45+25*(1-EXP(-0.0175*A186))),70*'Scénario référence'!$B$16)+IF((32+38*(1-EXP(-0.0175*A186)))&lt;70,'Scénario référence'!$B$18*(32+38*(1-EXP(-0.0175*A186))),70*'Scénario référence'!$B$18)</f>
        <v>70</v>
      </c>
      <c r="AZ186" s="12">
        <f>IF(A186&gt;30,10,('Scénario référence'!$B$16+'Scénario référence'!$B$17+'Scénario référence'!$B$18+'Scénario référence'!$B$9+'Scénario référence'!$B$10)*A186*10/30+('Scénario référence'!$F$8+'Scénario référence'!$F$9)*10)</f>
        <v>10</v>
      </c>
      <c r="BA186" s="12" t="e">
        <f>VLOOKUP(A186,'Données projet'!$A$87:$I$107,2,0)</f>
        <v>#N/A</v>
      </c>
      <c r="BB186" s="12" t="e">
        <f>VLOOKUP(A186,'Données projet'!$A$87:$I$107,9,0)</f>
        <v>#N/A</v>
      </c>
      <c r="BC186" s="12">
        <f t="array" ref="BC186">INDEX(BB:BB,MIN(IF(ISNUMBER(BB186:BB382),ROW(BB186:BB382),"")))</f>
        <v>0</v>
      </c>
      <c r="BD186" s="12">
        <f>IF('Données projet'!$A$88&gt;35,BD185+BC186-BL185,IF(A186&lt;'Données projet'!$A$88,$BA$205^A186,IF(A186='Données projet'!$A$88,'Données projet'!$B$88,BD185+BC186-BL185)))</f>
        <v>553.99999999999955</v>
      </c>
      <c r="BE186" s="13">
        <f>BD186*VLOOKUP('Données projet'!$B$11,Paramètres!$A$1:$I$89,3,0)*VLOOKUP('Données projet'!$B$11,Paramètres!$A$1:$I$89,5,0)</f>
        <v>331.29199999999975</v>
      </c>
      <c r="BF186" s="13">
        <f t="shared" si="167"/>
        <v>77.698110787752</v>
      </c>
      <c r="BG186" s="20">
        <f t="shared" si="168"/>
        <v>712.32444295533423</v>
      </c>
      <c r="BH186" s="59">
        <f t="shared" si="116"/>
        <v>1005.6577762886675</v>
      </c>
      <c r="BI186" s="59">
        <f ca="1">AVERAGE(OFFSET($BH$3,0,0,'Données projet'!$E$11+1,1))-AVERAGE(OFFSET($H$3,0,0,'Données projet'!$E$11+1,1))</f>
        <v>316.58509520829671</v>
      </c>
      <c r="BJ186" s="59">
        <f t="shared" si="146"/>
        <v>240.71332110643596</v>
      </c>
      <c r="BK186" s="15">
        <f>IF(ISNA(VLOOKUP(A186,'Données projet'!$A$87:$I$107,3,0)),0,VLOOKUP(A186,'Données projet'!$A$87:$I$107,3,0))</f>
        <v>0</v>
      </c>
      <c r="BL186" s="15">
        <f>IF(ISNA(VLOOKUP(A186,'Données projet'!$A$87:$I$107,4,0)),0,VLOOKUP(A186,'Données projet'!$A$87:$I$107,4,0))</f>
        <v>0</v>
      </c>
      <c r="BM186" s="16">
        <f>IF(ISNA(VLOOKUP(A186,'Données projet'!$A$87:$I$107,5,0)),0%,VLOOKUP(A186,'Données projet'!$A$87:$I$107,5,0)*VLOOKUP('Données projet'!$B$11,Paramètres!$A$1:$I$89,7,0))</f>
        <v>0</v>
      </c>
      <c r="BN186" s="16">
        <f>IF(ISNA(VLOOKUP(A186,'Données projet'!$A$87:$I$107,6,0)),0%,VLOOKUP(A186,'Données projet'!$A$87:$I$107,6,0)*VLOOKUP('Données projet'!$B$11,Paramètres!$A$1:$I$89,7,0))</f>
        <v>0</v>
      </c>
      <c r="BO186" s="16">
        <f>IF(ISNA(VLOOKUP(A186,'Données projet'!$A$87:$I$107,7,0)),0%,VLOOKUP(A186,'Données projet'!$A$87:$I$107,7,0))</f>
        <v>0</v>
      </c>
      <c r="BP186" s="21">
        <f>EXP(-LN(2)/35)*BP185+(1-EXP(-LN(2)/35))/(LN(2)/35)*BL186*BM186*VLOOKUP('Données projet'!$B$11,Paramètres!$A$1:$I$89,3,0)*0.475*44/12</f>
        <v>0.1224529575826567</v>
      </c>
      <c r="BQ186" s="21">
        <f>EXP(-LN(2)/25)*BQ185+(1-EXP(-LN(2)/25))/(LN(2)/25)*Calculateur!BL186*Calculateur!BN186*VLOOKUP('Données projet'!$B$11,Paramètres!$A$1:$I$89,3,0)*0.475*44/12</f>
        <v>0.21952121279589948</v>
      </c>
      <c r="BR186" s="21">
        <f>EXP(-LN(2)/2)*BR185+(1-EXP(-LN(2)/2))/(LN(2)/2)*BL186*BO186*VLOOKUP('Données projet'!$B$11,Paramètres!$A$1:$I$89,3,0)*0.475*44/12</f>
        <v>2.0531891049685728E-22</v>
      </c>
      <c r="BS186" s="22">
        <f t="shared" si="169"/>
        <v>0.34197417037855615</v>
      </c>
      <c r="BT186" s="75">
        <f>('Scénario référence'!$F$8+'Scénario référence'!$F$9+'Scénario référence'!$B$17+'Scénario référence'!$B$9+'Scénario référence'!$B$10)*70+IF((45+25*(1-EXP(-0.0175*A186)))&lt;70,'Scénario référence'!$B$16*(45+25*(1-EXP(-0.0175*A186))),70*'Scénario référence'!$B$16)+IF((32+38*(1-EXP(-0.0175*A186)))&lt;70,'Scénario référence'!$B$18*(32+38*(1-EXP(-0.0175*A186))),70*'Scénario référence'!$B$18)</f>
        <v>70</v>
      </c>
      <c r="BU186" s="12">
        <f>IF(A186&gt;30,10,('Scénario référence'!$B$16+'Scénario référence'!$B$17+'Scénario référence'!$B$18+'Scénario référence'!$B$9+'Scénario référence'!$B$10)*A186*10/30+('Scénario référence'!$F$8+'Scénario référence'!$F$9)*10)</f>
        <v>10</v>
      </c>
      <c r="BV186" s="12" t="e">
        <f>VLOOKUP(A186,'Données projet'!$A$113:$I$133,2,0)</f>
        <v>#N/A</v>
      </c>
      <c r="BW186" s="12" t="e">
        <f>VLOOKUP(A186,'Données projet'!$A$113:$I$133,9,0)</f>
        <v>#N/A</v>
      </c>
      <c r="BX186" s="12">
        <f t="array" ref="BX186">INDEX(BW:BW,MIN(IF(ISNUMBER(BW186:BW382),ROW(BW186:BW382),"")))</f>
        <v>0</v>
      </c>
      <c r="BY186" s="12">
        <f>IF('Données projet'!$A$114&gt;35,BY185+BX186-CG185,IF(A186&lt;'Données projet'!$A$114,$BV$205^A186,IF(A186='Données projet'!$A$114,'Données projet'!$B$114,BY185+BX186-CG185)))</f>
        <v>333.99999999999977</v>
      </c>
      <c r="BZ186" s="13">
        <f>BY186*VLOOKUP('Données projet'!$B$12,Paramètres!$A$1:$I$89,3,0)*VLOOKUP('Données projet'!$B$12,Paramètres!$A$1:$I$89,5,0)</f>
        <v>191.04799999999986</v>
      </c>
      <c r="CA186" s="13">
        <f t="shared" si="170"/>
        <v>47.771576544305155</v>
      </c>
      <c r="CB186" s="20">
        <f t="shared" si="171"/>
        <v>415.94409581466454</v>
      </c>
      <c r="CC186" s="59">
        <f t="shared" si="119"/>
        <v>709.27742914799785</v>
      </c>
      <c r="CD186" s="59">
        <f ca="1">AVERAGE(OFFSET($CC$3,0,0,'Données projet'!$E$12+1,1))-AVERAGE(OFFSET($H$3,0,0,'Données projet'!$E$12+1,1))</f>
        <v>188.64374818906128</v>
      </c>
      <c r="CE186" s="59">
        <f t="shared" si="148"/>
        <v>211.95157880548652</v>
      </c>
      <c r="CF186" s="15">
        <f>IF(ISNA(VLOOKUP(A186,'Données projet'!$A$113:$I$133,3,0)),0,VLOOKUP(A186,'Données projet'!$A$113:$I$133,3,0))</f>
        <v>0</v>
      </c>
      <c r="CG186" s="15">
        <f>IF(ISNA(VLOOKUP(A186,'Données projet'!$A$113:$I$133,4,0)),0,VLOOKUP(A186,'Données projet'!$A$113:$I$133,4,0))</f>
        <v>0</v>
      </c>
      <c r="CH186" s="16">
        <f>IF(ISNA(VLOOKUP(A186,'Données projet'!$A$113:$I$133,5,0)),0%,VLOOKUP(A186,'Données projet'!$A$113:$I$133,5,0)*VLOOKUP('Données projet'!$B$12,Paramètres!$A$1:$I$89,7,0))</f>
        <v>0</v>
      </c>
      <c r="CI186" s="16">
        <f>IF(ISNA(VLOOKUP(A186,'Données projet'!$A$113:$I$133,6,0)),0%,VLOOKUP(A186,'Données projet'!$A$113:$I$133,6,0)*VLOOKUP('Données projet'!$B$12,Paramètres!$A$1:$I$89,7,0))</f>
        <v>0</v>
      </c>
      <c r="CJ186" s="16">
        <f>IF(ISNA(VLOOKUP(A186,'Données projet'!$A$113:$I$133,7,0)),0%,VLOOKUP(A186,'Données projet'!$A$113:$I$133,7,0))</f>
        <v>0</v>
      </c>
      <c r="CK186" s="21">
        <f>EXP(-LN(2)/35)*CK185+(1-EXP(-LN(2)/35))/(LN(2)/35)*CG186*CH186*VLOOKUP('Données projet'!$B$12,Paramètres!$A$1:$I$89,3,0)*0.475*44/12</f>
        <v>0.11877861899015799</v>
      </c>
      <c r="CL186" s="21">
        <f>EXP(-LN(2)/25)*CL185+(1-EXP(-LN(2)/25))/(LN(2)/25)*Calculateur!CG186*Calculateur!CI186*VLOOKUP('Données projet'!$B$12,Paramètres!$A$1:$I$89,3,0)*0.475*44/12</f>
        <v>0.20661833583071407</v>
      </c>
      <c r="CM186" s="21">
        <f>EXP(-LN(2)/2)*CM185+(1-EXP(-LN(2)/2))/(LN(2)/2)*CG186*CJ186*VLOOKUP('Données projet'!$B$12,Paramètres!$A$1:$I$89,3,0)*0.475*44/12</f>
        <v>1.9883530042606925E-22</v>
      </c>
      <c r="CN186" s="22">
        <f t="shared" si="172"/>
        <v>0.32539695482087205</v>
      </c>
      <c r="CO186" s="75">
        <f>('Scénario référence'!$F$8+'Scénario référence'!$F$9+'Scénario référence'!$B$17+'Scénario référence'!$B$9+'Scénario référence'!$B$10)*70+IF((45+25*(1-EXP(-0.0175*A186)))&lt;70,'Scénario référence'!$B$16*(45+25*(1-EXP(-0.0175*A186))),70*'Scénario référence'!$B$16)+IF((32+38*(1-EXP(-0.0175*A186)))&lt;70,'Scénario référence'!$B$18*(32+38*(1-EXP(-0.0175*A186))),70*'Scénario référence'!$B$18)</f>
        <v>70</v>
      </c>
      <c r="CP186" s="12">
        <f>IF(A186&gt;30,10,('Scénario référence'!$B$16+'Scénario référence'!$B$17+'Scénario référence'!$B$18+'Scénario référence'!$B$9+'Scénario référence'!$B$10)*A186*10/30+('Scénario référence'!$F$8+'Scénario référence'!$F$9)*10)</f>
        <v>10</v>
      </c>
      <c r="CQ186" s="12" t="e">
        <f>VLOOKUP(A186,'Données projet'!$A$139:$I$159,2,0)</f>
        <v>#N/A</v>
      </c>
      <c r="CR186" s="12" t="e">
        <f>VLOOKUP(A186,'Données projet'!$A$139:$I$159,9,0)</f>
        <v>#N/A</v>
      </c>
      <c r="CS186" s="12">
        <f t="array" ref="CS186">INDEX(CR:CR,MIN(IF(ISNUMBER(CR186:CR382),ROW(CR186:CR382),"")))</f>
        <v>0</v>
      </c>
      <c r="CT186" s="12">
        <f>IF('Données projet'!$A$140&gt;35,CT185+CS186-DB185,IF(A186&lt;'Données projet'!$A$140,$CQ$205^A186,IF(A186='Données projet'!$A$140,'Données projet'!$B$140,CT185+CS186-DB185)))</f>
        <v>0</v>
      </c>
      <c r="CU186" s="17" t="e">
        <f>CT186*VLOOKUP('Données projet'!$B$13,Paramètres!$A$1:$I$89,3,0)*VLOOKUP('Données projet'!$B$13,Paramètres!$A$1:$I$89,5,0)</f>
        <v>#N/A</v>
      </c>
      <c r="CV186" s="13" t="e">
        <f t="shared" si="173"/>
        <v>#N/A</v>
      </c>
      <c r="CW186" s="20" t="e">
        <f t="shared" si="174"/>
        <v>#N/A</v>
      </c>
      <c r="CX186" s="59" t="e">
        <f t="shared" si="122"/>
        <v>#N/A</v>
      </c>
      <c r="CY186" s="59" t="e">
        <f ca="1">AVERAGE(OFFSET($CX$3,0,0,'Données projet'!$E$13+1,1))-AVERAGE(OFFSET($H$3,0,0,'Données projet'!$E$13+1,1))</f>
        <v>#N/A</v>
      </c>
      <c r="CZ186" s="59" t="e">
        <f t="shared" si="150"/>
        <v>#N/A</v>
      </c>
      <c r="DA186" s="15">
        <f>IF(ISNA(VLOOKUP(A186,'Données projet'!$A$139:$I$159,3,0)),0,VLOOKUP(A186,'Données projet'!$A$139:$I$159,3,0))</f>
        <v>0</v>
      </c>
      <c r="DB186" s="15">
        <f>IF(ISNA(VLOOKUP(A186,'Données projet'!$A$139:$I$159,4,0)),0,VLOOKUP(A186,'Données projet'!$A$139:$I$159,4,0))</f>
        <v>0</v>
      </c>
      <c r="DC186" s="16">
        <f>IF(ISNA(VLOOKUP(A186,'Données projet'!$A$139:$I$159,5,0)),0%,VLOOKUP(A186,'Données projet'!$A$139:$I$159,5,0)*VLOOKUP('Données projet'!$B$13,Paramètres!$A$1:$I$89,7,0))</f>
        <v>0</v>
      </c>
      <c r="DD186" s="16">
        <f>IF(ISNA(VLOOKUP(A186,'Données projet'!$A$139:$I$159,6,0)),0%,VLOOKUP(A186,'Données projet'!$A$139:$I$159,6,0)*VLOOKUP('Données projet'!$B$13,Paramètres!$A$1:$I$89,7,0))</f>
        <v>0</v>
      </c>
      <c r="DE186" s="16">
        <f>IF(ISNA(VLOOKUP(A186,'Données projet'!$A$139:$I$159,7,0)),0%,VLOOKUP(A186,'Données projet'!$A$139:$I$159,7,0))</f>
        <v>0</v>
      </c>
      <c r="DF186" s="21" t="e">
        <f>EXP(-LN(2)/35)*DF185+(1-EXP(-LN(2)/35))/(LN(2)/35)*DB186*DC186*VLOOKUP('Données projet'!$B$13,Paramètres!$A$1:$I$89,3,0)*0.475*44/12</f>
        <v>#N/A</v>
      </c>
      <c r="DG186" s="21" t="e">
        <f>EXP(-LN(2)/25)*DG185+(1-EXP(-LN(2)/25))/(LN(2)/25)*Calculateur!DB186*Calculateur!DD186*VLOOKUP('Données projet'!$B$13,Paramètres!$A$1:$I$89,3,0)*0.475*44/12</f>
        <v>#N/A</v>
      </c>
      <c r="DH186" s="21" t="e">
        <f>EXP(-LN(2)/2)*DH185+(1-EXP(-LN(2)/2))/(LN(2)/2)*DB186*DE186*VLOOKUP('Données projet'!$B$13,Paramètres!$A$1:$I$89,3,0)*0.475*44/12</f>
        <v>#N/A</v>
      </c>
      <c r="DI186" s="22" t="e">
        <f t="shared" si="175"/>
        <v>#N/A</v>
      </c>
      <c r="DJ186" s="75">
        <f>('Scénario référence'!$F$8+'Scénario référence'!$F$9+'Scénario référence'!$B$17+'Scénario référence'!$B$9+'Scénario référence'!$B$10)*70+IF((45+25*(1-EXP(-0.0175*A186)))&lt;70,'Scénario référence'!$B$16*(45+25*(1-EXP(-0.0175*A186))),70*'Scénario référence'!$B$16)+IF((32+38*(1-EXP(-0.0175*A186)))&lt;70,'Scénario référence'!$B$18*(32+38*(1-EXP(-0.0175*A186))),70*'Scénario référence'!$B$18)</f>
        <v>70</v>
      </c>
      <c r="DK186" s="12">
        <f>IF(A186&gt;30,10,('Scénario référence'!$B$16+'Scénario référence'!$B$17+'Scénario référence'!$B$18+'Scénario référence'!$B$9+'Scénario référence'!$B$10)*A186*10/30+('Scénario référence'!$F$8+'Scénario référence'!$F$9)*10)</f>
        <v>10</v>
      </c>
      <c r="DL186" s="12" t="e">
        <f>VLOOKUP(A186,'Données projet'!$A$165:$I$185,2,0)</f>
        <v>#N/A</v>
      </c>
      <c r="DM186" s="12" t="e">
        <f>VLOOKUP(A186,'Données projet'!$A$165:$I$185,9,0)</f>
        <v>#N/A</v>
      </c>
      <c r="DN186" s="12">
        <f t="array" ref="DN186">INDEX(DM:DM,MIN(IF(ISNUMBER(DM186:DM382),ROW(DM186:DM382),"")))</f>
        <v>0</v>
      </c>
      <c r="DO186" s="12">
        <f>IF('Données projet'!$A$166&gt;35,DO185+DN186-DW185,IF(A186&lt;'Données projet'!$A$166,$DL$205^A186,IF(A186='Données projet'!$A$166,'Données projet'!$B$166,DO185+DN186-DW185)))</f>
        <v>268.00000000000017</v>
      </c>
      <c r="DP186" s="17">
        <f>DO186*VLOOKUP('Données projet'!$B$14,Paramètres!$A$1:$I$89,3,0)*VLOOKUP('Données projet'!$B$14,Paramètres!$A$1:$I$89,5,0)</f>
        <v>175.59360000000012</v>
      </c>
      <c r="DQ186" s="13">
        <f t="shared" si="176"/>
        <v>44.340433728638573</v>
      </c>
      <c r="DR186" s="20">
        <f t="shared" si="177"/>
        <v>383.05177541071242</v>
      </c>
      <c r="DS186" s="59">
        <f t="shared" si="125"/>
        <v>676.38510874404574</v>
      </c>
      <c r="DT186" s="59">
        <f ca="1">AVERAGE(OFFSET($DS$3,0,0,'Données projet'!$E$14+1,1))-AVERAGE(OFFSET($H$3,0,0,'Données projet'!$E$14+1,1))</f>
        <v>188.68915783955595</v>
      </c>
      <c r="DU186" s="59">
        <f t="shared" si="152"/>
        <v>240.82467772396944</v>
      </c>
      <c r="DV186" s="15">
        <f>IF(ISNA(VLOOKUP(A186,'Données projet'!$A$165:$I$185,3,0)),0,VLOOKUP(A186,'Données projet'!$A$165:$I$185,3,0))</f>
        <v>0</v>
      </c>
      <c r="DW186" s="15">
        <f>IF(ISNA(VLOOKUP(A186,'Données projet'!$A$165:$I$185,4,0)),0,VLOOKUP(A186,'Données projet'!$A$165:$I$185,4,0))</f>
        <v>0</v>
      </c>
      <c r="DX186" s="16">
        <f>IF(ISNA(VLOOKUP(A186,'Données projet'!$A$165:$I$185,5,0)),0%,VLOOKUP(A186,'Données projet'!$A$165:$I$185,5,0)*VLOOKUP('Données projet'!$B$14,Paramètres!$A$1:$I$89,7,0))</f>
        <v>0</v>
      </c>
      <c r="DY186" s="16">
        <f>IF(ISNA(VLOOKUP(A186,'Données projet'!$A$165:$I$185,6,0)),0%,VLOOKUP(A186,'Données projet'!$A$165:$I$185,6,0)*VLOOKUP('Données projet'!$B$14,Paramètres!$A$1:$I$89,7,0))</f>
        <v>0</v>
      </c>
      <c r="DZ186" s="16">
        <f>IF(ISNA(VLOOKUP(A186,'Données projet'!$A$165:$I$185,7,0)),0%,VLOOKUP(A186,'Données projet'!$A$165:$I$185,7,0))</f>
        <v>0</v>
      </c>
      <c r="EA186" s="21">
        <f>EXP(-LN(2)/35)*EA185+(1-EXP(-LN(2)/35))/(LN(2)/35)*DW186*DX186*VLOOKUP('Données projet'!$B$14,Paramètres!$A$1:$I$89,3,0)*0.475*44/12</f>
        <v>7.5236456894018464E-2</v>
      </c>
      <c r="EB186" s="21">
        <f>EXP(-LN(2)/25)*EB185+(1-EXP(-LN(2)/25))/(LN(2)/25)*Calculateur!DW186*Calculateur!DY186*VLOOKUP('Données projet'!$B$14,Paramètres!$A$1:$I$89,3,0)*0.475*44/12</f>
        <v>0.11557023819601853</v>
      </c>
      <c r="EC186" s="21">
        <f>EXP(-LN(2)/2)*EC185+(1-EXP(-LN(2)/2))/(LN(2)/2)*DW186*DZ186*VLOOKUP('Données projet'!$B$14,Paramètres!$A$1:$I$89,3,0)*0.475*44/12</f>
        <v>1.3098510877969927E-22</v>
      </c>
      <c r="ED186" s="22">
        <f t="shared" si="178"/>
        <v>0.190806695090037</v>
      </c>
      <c r="EE186" s="75">
        <f>('Scénario référence'!$F$8+'Scénario référence'!$F$9+'Scénario référence'!$B$17+'Scénario référence'!$B$9+'Scénario référence'!$B$10)*70+IF((45+25*(1-EXP(-0.0175*A186)))&lt;70,'Scénario référence'!$B$16*(45+25*(1-EXP(-0.0175*A186))),70*'Scénario référence'!$B$16)+IF((32+38*(1-EXP(-0.0175*A186)))&lt;70,'Scénario référence'!$B$18*(32+38*(1-EXP(-0.0175*A186))),70*'Scénario référence'!$B$18)</f>
        <v>70</v>
      </c>
      <c r="EF186" s="12">
        <f>IF(A186&gt;30,10,('Scénario référence'!$B$16+'Scénario référence'!$B$17+'Scénario référence'!$B$18+'Scénario référence'!$B$9+'Scénario référence'!$B$10)*A186*10/30+('Scénario référence'!$F$8+'Scénario référence'!$F$9)*10)</f>
        <v>10</v>
      </c>
      <c r="EG186" s="12" t="e">
        <f>VLOOKUP(A186,'Données projet'!$A$191:$I$211,2,0)</f>
        <v>#N/A</v>
      </c>
      <c r="EH186" s="12" t="e">
        <f>VLOOKUP(A186,'Données projet'!$A$191:$I$211,9,0)</f>
        <v>#N/A</v>
      </c>
      <c r="EI186" s="12">
        <f t="array" ref="EI186">INDEX(EH:EH,MIN(IF(ISNUMBER(EH186:EH382),ROW(EH186:EH382),"")))</f>
        <v>0</v>
      </c>
      <c r="EJ186" s="12">
        <f>IF('Données projet'!$A$192&gt;35,EJ185+EI186-ER185,IF(A186&lt;'Données projet'!$A$192,$EG$205^A186,IF(A186='Données projet'!$A$192,'Données projet'!$B$192,EJ185+EI186-ER185)))</f>
        <v>275.99999999999972</v>
      </c>
      <c r="EK186" s="17">
        <f>EJ186*VLOOKUP('Données projet'!$B$15,Paramètres!$A$1:$I$89,3,0)*VLOOKUP('Données projet'!$B$15,Paramètres!$A$1:$I$89,5,0)</f>
        <v>223.8911999999998</v>
      </c>
      <c r="EL186" s="13">
        <f t="shared" si="179"/>
        <v>54.95975389514858</v>
      </c>
      <c r="EM186" s="20">
        <f t="shared" si="180"/>
        <v>485.66541136738346</v>
      </c>
      <c r="EN186" s="59">
        <f t="shared" si="128"/>
        <v>778.99874470071677</v>
      </c>
      <c r="EO186" s="59">
        <f ca="1">AVERAGE(OFFSET($EN$3,0,0,'Données projet'!$E$15+1,1))-AVERAGE(OFFSET($H$3,0,0,'Données projet'!$E$15+1,1))</f>
        <v>205.5272583787887</v>
      </c>
      <c r="EP186" s="59">
        <f t="shared" si="154"/>
        <v>180.54762778843178</v>
      </c>
      <c r="EQ186" s="15">
        <f>IF(ISNA(VLOOKUP(A186,'Données projet'!$A$191:$I$211,3,0)),0,VLOOKUP(A186,'Données projet'!$A$191:$I$211,3,0))</f>
        <v>0</v>
      </c>
      <c r="ER186" s="15">
        <f>IF(ISNA(VLOOKUP(A186,'Données projet'!$A$191:$I$211,4,0)),0,VLOOKUP(A186,'Données projet'!$A$191:$I$211,4,0))</f>
        <v>0</v>
      </c>
      <c r="ES186" s="16">
        <f>IF(ISNA(VLOOKUP(A186,'Données projet'!$A$191:$I$211,5,0)),0%,VLOOKUP(A186,'Données projet'!$A$191:$I$211,5,0)*VLOOKUP('Données projet'!$B$15,Paramètres!$A$1:$I$89,7,0))</f>
        <v>0</v>
      </c>
      <c r="ET186" s="16">
        <f>IF(ISNA(VLOOKUP(A186,'Données projet'!$A$191:$I$211,6,0)),0%,VLOOKUP(A186,'Données projet'!$A$191:$I$211,6,0)*VLOOKUP('Données projet'!$B$15,Paramètres!$A$1:$I$89,7,0))</f>
        <v>0</v>
      </c>
      <c r="EU186" s="16">
        <f>IF(ISNA(VLOOKUP(A186,'Données projet'!$A$191:$I$211,7,0)),0%,VLOOKUP(A186,'Données projet'!$A$191:$I$211,7,0))</f>
        <v>0</v>
      </c>
      <c r="EV186" s="21">
        <f>EXP(-LN(2)/35)*EV185+(1-EXP(-LN(2)/35))/(LN(2)/35)*ER186*ES186*VLOOKUP('Données projet'!$B$15,Paramètres!$A$1:$I$89,3,0)*0.475*44/12</f>
        <v>4.8437947486053776E-2</v>
      </c>
      <c r="EW186" s="21">
        <f>EXP(-LN(2)/25)*EW185+(1-EXP(-LN(2)/25))/(LN(2)/25)*Calculateur!ER186*Calculateur!ET186*VLOOKUP('Données projet'!$B$15,Paramètres!$A$1:$I$89,3,0)*0.475*44/12</f>
        <v>8.3445217912212405E-2</v>
      </c>
      <c r="EX186" s="21">
        <f>EXP(-LN(2)/2)*EX185+(1-EXP(-LN(2)/2))/(LN(2)/2)*ER186*EU186*VLOOKUP('Données projet'!$B$15,Paramètres!$A$1:$I$89,3,0)*0.475*44/12</f>
        <v>8.4812954788677294E-23</v>
      </c>
      <c r="EY186" s="22">
        <f t="shared" si="181"/>
        <v>0.13188316539826617</v>
      </c>
      <c r="EZ186" s="75">
        <f>('Scénario référence'!$F$8+'Scénario référence'!$F$9+'Scénario référence'!$B$17+'Scénario référence'!$B$9+'Scénario référence'!$B$10)*70+IF((45+25*(1-EXP(-0.0175*A186)))&lt;70,'Scénario référence'!$B$16*(45+25*(1-EXP(-0.0175*A186))),70*'Scénario référence'!$B$16)+IF((32+38*(1-EXP(-0.0175*A186)))&lt;70,'Scénario référence'!$B$18*(32+38*(1-EXP(-0.0175*A186))),70*'Scénario référence'!$B$18)</f>
        <v>70</v>
      </c>
      <c r="FA186" s="12">
        <f>IF(A186&gt;30,10,('Scénario référence'!$B$16+'Scénario référence'!$B$17+'Scénario référence'!$B$18+'Scénario référence'!$B$9+'Scénario référence'!$B$10)*A186*10/30+('Scénario référence'!$F$8+'Scénario référence'!$F$9)*10)</f>
        <v>10</v>
      </c>
      <c r="FB186" s="12" t="e">
        <f>VLOOKUP(A186,'Données projet'!$A$217:$I$237,2,0)</f>
        <v>#N/A</v>
      </c>
      <c r="FC186" s="12" t="e">
        <f>VLOOKUP(A186,'Données projet'!$A$217:$I$237,9,0)</f>
        <v>#N/A</v>
      </c>
      <c r="FD186" s="12">
        <f t="array" ref="FD186">INDEX(FC:FC,MIN(IF(ISNUMBER(FC186:FC382),ROW(FC186:FC382),"")))</f>
        <v>0</v>
      </c>
      <c r="FE186" s="12">
        <f>IF('Données projet'!$A$218&gt;35,FE185+FD186-FM185,IF(A186&lt;'Données projet'!$A$218,$FB$205^A186,IF(A186='Données projet'!$A$218,'Données projet'!$B$218,FE185+FD186-FM185)))</f>
        <v>418.99999999999983</v>
      </c>
      <c r="FF186" s="17">
        <f>FE186*VLOOKUP('Données projet'!$B$16,Paramètres!$A$1:$I$89,3,0)*VLOOKUP('Données projet'!$B$16,Paramètres!$A$1:$I$89,5,0)</f>
        <v>359.5019999999999</v>
      </c>
      <c r="FG186" s="13">
        <f t="shared" si="182"/>
        <v>83.516011055432813</v>
      </c>
      <c r="FH186" s="20">
        <f t="shared" si="183"/>
        <v>771.58970258821194</v>
      </c>
      <c r="FI186" s="59">
        <f t="shared" si="131"/>
        <v>1064.9230359215453</v>
      </c>
      <c r="FJ186" s="59">
        <f ca="1">AVERAGE(OFFSET($FI$3,0,0,'Données projet'!$E$16+1,1))-AVERAGE(OFFSET($H$3,0,0,'Données projet'!$E$16+1,1))</f>
        <v>383.97627237444709</v>
      </c>
      <c r="FK186" s="59">
        <f t="shared" si="156"/>
        <v>203.35476578922339</v>
      </c>
      <c r="FL186" s="15">
        <f>IF(ISNA(VLOOKUP(A186,'Données projet'!$A$217:$I$237,3,0)),0,VLOOKUP(A186,'Données projet'!$A$217:$I$237,3,0))</f>
        <v>0</v>
      </c>
      <c r="FM186" s="15">
        <f>IF(ISNA(VLOOKUP(A186,'Données projet'!$A$217:$I$237,4,0)),0,VLOOKUP(A186,'Données projet'!$A$217:$I$237,4,0))</f>
        <v>0</v>
      </c>
      <c r="FN186" s="16">
        <f>IF(ISNA(VLOOKUP(A186,'Données projet'!$A$217:$I$237,5,0)),0%,VLOOKUP(A186,'Données projet'!$A$217:$I$237,5,0)*VLOOKUP('Données projet'!$B$16,Paramètres!$A$1:$I$89,7,0))</f>
        <v>0</v>
      </c>
      <c r="FO186" s="16">
        <f>IF(ISNA(VLOOKUP(A186,'Données projet'!$A$217:$I$237,6,0)),0%,VLOOKUP(A186,'Données projet'!$A$217:$I$237,6,0)*VLOOKUP('Données projet'!$B$16,Paramètres!$A$1:$I$89,7,0))</f>
        <v>0</v>
      </c>
      <c r="FP186" s="16">
        <f>IF(ISNA(VLOOKUP(A186,'Données projet'!$A$217:$I$237,7,0)),0%,VLOOKUP(A186,'Données projet'!$A$217:$I$237,7,0))</f>
        <v>0</v>
      </c>
      <c r="FQ186" s="21">
        <f>EXP(-LN(2)/35)*FQ185+(1-EXP(-LN(2)/35))/(LN(2)/35)*FM186*FN186*VLOOKUP('Données projet'!$B$16,Paramètres!$A$1:$I$89,3,0)*0.475*44/12</f>
        <v>0.24894477147532237</v>
      </c>
      <c r="FR186" s="21">
        <f>EXP(-LN(2)/25)*FR185+(1-EXP(-LN(2)/25))/(LN(2)/25)*Calculateur!FM186*Calculateur!FO186*VLOOKUP('Données projet'!$B$16,Paramètres!$A$1:$I$89,3,0)*0.475*44/12</f>
        <v>8.4705521063850583E-2</v>
      </c>
      <c r="FS186" s="21">
        <f>EXP(-LN(2)/2)*FS185+(1-EXP(-LN(2)/2))/(LN(2)/2)*FM186*FP186*VLOOKUP('Données projet'!$B$16,Paramètres!$A$1:$I$89,3,0)*0.475*44/12</f>
        <v>1.5578399180838403E-22</v>
      </c>
      <c r="FT186" s="22">
        <f t="shared" si="184"/>
        <v>0.33365029253917294</v>
      </c>
      <c r="FU186" s="75">
        <f>('Scénario référence'!$F$8+'Scénario référence'!$F$9+'Scénario référence'!$B$17+'Scénario référence'!$B$9+'Scénario référence'!$B$10)*70+IF((45+25*(1-EXP(-0.0175*A186)))&lt;70,'Scénario référence'!$B$16*(45+25*(1-EXP(-0.0175*A186))),70*'Scénario référence'!$B$16)+IF((32+38*(1-EXP(-0.0175*A186)))&lt;70,'Scénario référence'!$B$18*(32+38*(1-EXP(-0.0175*A186))),70*'Scénario référence'!$B$18)</f>
        <v>70</v>
      </c>
      <c r="FV186" s="12">
        <f>IF(A186&gt;30,10,('Scénario référence'!$B$16+'Scénario référence'!$B$17+'Scénario référence'!$B$18+'Scénario référence'!$B$9+'Scénario référence'!$B$10)*A186*10/30+('Scénario référence'!$F$8+'Scénario référence'!$F$9)*10)</f>
        <v>10</v>
      </c>
      <c r="FW186" s="12" t="e">
        <f>VLOOKUP(A186,'Données projet'!$A$243:$I$263,2,0)</f>
        <v>#N/A</v>
      </c>
      <c r="FX186" s="12" t="e">
        <f>VLOOKUP(A186,'Données projet'!$A$243:$I$263,9,0)</f>
        <v>#N/A</v>
      </c>
      <c r="FY186" s="12">
        <f t="array" ref="FY186">INDEX(FX:FX,MIN(IF(ISNUMBER(FX186:FX382),ROW(FX186:FX382),"")))</f>
        <v>0</v>
      </c>
      <c r="FZ186" s="12">
        <f>IF('Données projet'!$A$244&gt;35,FZ185+FY186-GH185,IF(A186&lt;'Données projet'!$A$244,$FW$205^A186,IF(A186='Données projet'!$A$244,'Données projet'!$B$244,FZ185+FY186-GH185)))</f>
        <v>4.5474735088646412E-13</v>
      </c>
      <c r="GA186" s="17">
        <f>FZ186*VLOOKUP('Données projet'!$B$17,Paramètres!$A$1:$I$89,3,0)*VLOOKUP('Données projet'!$B$17,Paramètres!$A$1:$I$89,5,0)</f>
        <v>4.8949004849418999E-13</v>
      </c>
      <c r="GB186" s="13">
        <f t="shared" si="185"/>
        <v>6.1123715499968684E-12</v>
      </c>
      <c r="GC186" s="20">
        <f t="shared" si="186"/>
        <v>1.1498242284038591E-11</v>
      </c>
      <c r="GD186" s="59">
        <f t="shared" si="134"/>
        <v>293.3333333333448</v>
      </c>
      <c r="GE186" s="59">
        <f ca="1">AVERAGE(OFFSET($GD$3,0,0,'Données projet'!$E$17+1,1))-AVERAGE(OFFSET($H$3,0,0,'Données projet'!$E$17+1,1))</f>
        <v>286.77702855541287</v>
      </c>
      <c r="GF186" s="59">
        <f t="shared" si="158"/>
        <v>227.12211541860779</v>
      </c>
      <c r="GG186" s="15">
        <f>IF(ISNA(VLOOKUP(A186,'Données projet'!$A$243:$I$263,3,0)),0,VLOOKUP(A186,'Données projet'!$A$243:$I$263,3,0))</f>
        <v>0</v>
      </c>
      <c r="GH186" s="15">
        <f>IF(ISNA(VLOOKUP(A186,'Données projet'!$A$243:$I$263,4,0)),0,VLOOKUP(A186,'Données projet'!$A$243:$I$263,4,0))</f>
        <v>0</v>
      </c>
      <c r="GI186" s="16">
        <f>IF(ISNA(VLOOKUP(A186,'Données projet'!$A$243:$I$263,5,0)),0%,VLOOKUP(A186,'Données projet'!$A$243:$I$263,5,0)*VLOOKUP('Données projet'!$B$17,Paramètres!$A$1:$I$89,7,0))</f>
        <v>0</v>
      </c>
      <c r="GJ186" s="16">
        <f>IF(ISNA(VLOOKUP(A186,'Données projet'!$A$243:$I$263,6,0)),0%,VLOOKUP(A186,'Données projet'!$A$243:$I$263,6,0)*VLOOKUP('Données projet'!$B$17,Paramètres!$A$1:$I$89,7,0))</f>
        <v>0</v>
      </c>
      <c r="GK186" s="16">
        <f>IF(ISNA(VLOOKUP(A186,'Données projet'!$A$243:$I$263,7,0)),0%,VLOOKUP(A186,'Données projet'!$A$243:$I$263,7,0))</f>
        <v>0</v>
      </c>
      <c r="GL186" s="21">
        <f>EXP(-LN(2)/35)*GL185+(1-EXP(-LN(2)/35))/(LN(2)/35)*GH186*GI186*VLOOKUP('Données projet'!$B$17,Paramètres!$A$1:$I$89,3,0)*0.475*44/12</f>
        <v>0</v>
      </c>
      <c r="GM186" s="21">
        <f>EXP(-LN(2)/25)*GM185+(1-EXP(-LN(2)/25))/(LN(2)/25)*Calculateur!GH186*Calculateur!GJ186*VLOOKUP('Données projet'!$B$17,Paramètres!$A$1:$I$89,3,0)*0.475*44/12</f>
        <v>0</v>
      </c>
      <c r="GN186" s="21">
        <f>EXP(-LN(2)/2)*GN185+(1-EXP(-LN(2)/2))/(LN(2)/2)*GH186*GK186*VLOOKUP('Données projet'!$B$17,Paramètres!$A$1:$I$89,3,0)*0.475*44/12</f>
        <v>0</v>
      </c>
      <c r="GO186" s="21">
        <f t="shared" si="187"/>
        <v>0</v>
      </c>
      <c r="GP186" s="75">
        <f>('Scénario référence'!$F$8+'Scénario référence'!$F$9+'Scénario référence'!$B$17+'Scénario référence'!$B$9+'Scénario référence'!$B$10)*70+IF((45+25*(1-EXP(-0.0175*A186)))&lt;70,'Scénario référence'!$B$16*(45+25*(1-EXP(-0.0175*A186))),70*'Scénario référence'!$B$16)+IF((32+38*(1-EXP(-0.0175*A186)))&lt;70,'Scénario référence'!$B$18*(32+38*(1-EXP(-0.0175*A186))),70*'Scénario référence'!$B$18)</f>
        <v>70</v>
      </c>
      <c r="GQ186" s="12">
        <f>IF(A186&gt;30,10,('Scénario référence'!$B$16+'Scénario référence'!$B$17+'Scénario référence'!$B$18+'Scénario référence'!$B$9+'Scénario référence'!$B$10)*A186*10/30+('Scénario référence'!$F$8+'Scénario référence'!$F$9)*10)</f>
        <v>10</v>
      </c>
      <c r="GR186" s="12" t="e">
        <f>VLOOKUP(A186,'Données projet'!$A$269:$I$289,2,0)</f>
        <v>#N/A</v>
      </c>
      <c r="GS186" s="12" t="e">
        <f>VLOOKUP(A186,'Données projet'!$A$269:$I$289,9,0)</f>
        <v>#N/A</v>
      </c>
      <c r="GT186" s="12">
        <f t="array" ref="GT186">INDEX(GS:GS,MIN(IF(ISNUMBER(GS186:GS382),ROW(GS186:GS382),"")))</f>
        <v>0</v>
      </c>
      <c r="GU186" s="12">
        <f>IF('Données projet'!$A$270&gt;35,GU185+GT186-HC185,IF(A186&lt;'Données projet'!$A$270,$GR$205^A186,IF(A186='Données projet'!$A$270,'Données projet'!$B$270,GU185+GT186-HC185)))</f>
        <v>4.5474735088646412E-13</v>
      </c>
      <c r="GV186" s="17">
        <f>GU186*VLOOKUP('Données projet'!$B$18,Paramètres!$A$1:$I$89,3,0)*VLOOKUP('Données projet'!$B$18,Paramètres!$A$1:$I$89,5,0)</f>
        <v>4.8949004849418999E-13</v>
      </c>
      <c r="GW186" s="13">
        <f t="shared" si="188"/>
        <v>6.1123715499968684E-12</v>
      </c>
      <c r="GX186" s="20">
        <f t="shared" si="189"/>
        <v>1.1498242284038591E-11</v>
      </c>
      <c r="GY186" s="59">
        <f t="shared" si="137"/>
        <v>293.3333333333448</v>
      </c>
      <c r="GZ186" s="59">
        <f ca="1">AVERAGE(OFFSET($GY$3,0,0,'Données projet'!$E$18+1,1))-AVERAGE(OFFSET($H$3,0,0,'Données projet'!$E$18+1,1))</f>
        <v>286.77702855541287</v>
      </c>
      <c r="HA186" s="59">
        <f t="shared" si="160"/>
        <v>227.12211541860779</v>
      </c>
      <c r="HB186" s="15">
        <f>IF(ISNA(VLOOKUP(A186,'Données projet'!$A$269:$I$289,3,0)),0,VLOOKUP(A186,'Données projet'!$A$269:$I$289,3,0))</f>
        <v>0</v>
      </c>
      <c r="HC186" s="15">
        <f>IF(ISNA(VLOOKUP(A186,'Données projet'!$A$269:$I$289,4,0)),0,VLOOKUP(A186,'Données projet'!$A$269:$I$289,4,0))</f>
        <v>0</v>
      </c>
      <c r="HD186" s="16">
        <f>IF(ISNA(VLOOKUP(A186,'Données projet'!$A$269:$I$289,5,0)),0%,VLOOKUP(A186,'Données projet'!$A$269:$I$289,5,0)*VLOOKUP('Données projet'!$B$18,Paramètres!$A$1:$I$89,7,0))</f>
        <v>0</v>
      </c>
      <c r="HE186" s="16">
        <f>IF(ISNA(VLOOKUP(A186,'Données projet'!$A$269:$I$289,6,0)),0%,VLOOKUP(A186,'Données projet'!$A$269:$I$289,6,0)*VLOOKUP('Données projet'!$B$18,Paramètres!$A$1:$I$89,7,0))</f>
        <v>0</v>
      </c>
      <c r="HF186" s="16">
        <f>IF(ISNA(VLOOKUP(A186,'Données projet'!$A$269:$I$289,7,0)),0%,VLOOKUP(A186,'Données projet'!$A$269:$I$289,7,0))</f>
        <v>0</v>
      </c>
      <c r="HG186" s="21">
        <f>EXP(-LN(2)/35)*HG185+(1-EXP(-LN(2)/35))/(LN(2)/35)*HC186*HD186*VLOOKUP('Données projet'!$B$18,Paramètres!$A$1:$I$89,3,0)*0.475*44/12</f>
        <v>0</v>
      </c>
      <c r="HH186" s="21">
        <f>EXP(-LN(2)/25)*HH185+(1-EXP(-LN(2)/25))/(LN(2)/25)*Calculateur!HC186*Calculateur!HE186*VLOOKUP('Données projet'!$B$18,Paramètres!$A$1:$I$89,3,0)*0.475*44/12</f>
        <v>0</v>
      </c>
      <c r="HI186" s="21">
        <f>EXP(-LN(2)/2)*HI185+(1-EXP(-LN(2)/2))/(LN(2)/2)*HC186*HF186*VLOOKUP('Données projet'!$B$18,Paramètres!$A$1:$I$89,3,0)*0.475*44/12</f>
        <v>0</v>
      </c>
      <c r="HJ186" s="22">
        <f t="shared" si="190"/>
        <v>0</v>
      </c>
    </row>
    <row r="187" spans="1:218" x14ac:dyDescent="0.25">
      <c r="A187" s="10">
        <f t="shared" si="161"/>
        <v>184</v>
      </c>
      <c r="B187" s="73">
        <f>'Scénario référence'!$B$16*5+'Scénario référence'!$B$17*0+'Scénario référence'!$B$18*5</f>
        <v>0</v>
      </c>
      <c r="C187" s="19">
        <f>Calculateur!C186+'Scénario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163.61279999999977</v>
      </c>
      <c r="D187" s="11">
        <f t="shared" si="140"/>
        <v>41.656330547871768</v>
      </c>
      <c r="E18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87" s="11">
        <f>IF(OR('Scénario référence'!$F$8&gt;0,'Scénario référence'!$F$9&gt;0),('Scénario référence'!$F$8+'Scénario référence'!$F$9)*10,0)</f>
        <v>10</v>
      </c>
      <c r="G187" s="11">
        <f>'Scénario référence'!$B$8*B187*44/12+'Scénario référence'!$B$9*(C187+D187)/0.475*44/12+'Scénario référence'!$B$10*(C187+D187)/0.475*44/12+'Scénario référence'!$F$8*(C187+D187)/0.475*44/12+'Scénario référence'!$F$9*(C187+D187)/0.475*44/12</f>
        <v>1584.533639316903</v>
      </c>
      <c r="H187" s="67">
        <f t="shared" si="110"/>
        <v>650.84373570420951</v>
      </c>
      <c r="I187" s="70">
        <f>('Scénario référence'!$F$8+'Scénario référence'!$F$9+'Scénario référence'!$B$17+'Scénario référence'!$B$9+'Scénario référence'!$B$10)*70+IF((45+25*(1-EXP(-0.0175*A187)))&lt;70,'Scénario référence'!$B$16*(45+25*(1-EXP(-0.0175*A187))),70*'Scénario référence'!$B$16)+IF((32+38*(1-EXP(-0.0175*A187)))&lt;70,'Scénario référence'!$B$18*(32+38*(1-EXP(-0.0175*A187))),70*'Scénario référence'!$B$18)</f>
        <v>70</v>
      </c>
      <c r="J187" s="13">
        <f>IF(A187&gt;30,10,('Scénario référence'!$B$16+'Scénario référence'!$B$17+'Scénario référence'!$B$18+'Scénario référence'!$B$9+'Scénario référence'!$B$10)*A187*10/30+('Scénario référence'!$F$8+'Scénario référence'!$F$9)*10)</f>
        <v>10</v>
      </c>
      <c r="K187" s="12" t="e">
        <f>VLOOKUP(A187,'Données projet'!$A$35:$I$55,2,0)</f>
        <v>#N/A</v>
      </c>
      <c r="L187" s="12" t="e">
        <f>VLOOKUP(A187,'Données projet'!$A$35:$I$55,9,0)</f>
        <v>#N/A</v>
      </c>
      <c r="M187" s="12">
        <f t="array" ref="M187">INDEX(L:L,MIN(IF(ISNUMBER(L187:L383),ROW(L187:L383),"")))</f>
        <v>0</v>
      </c>
      <c r="N187" s="13">
        <f>IF('Données projet'!$A$36&gt;35,N186+M187-V186,IF(A187&lt;'Données projet'!$A$36,$K$205^A187,IF(A187='Données projet'!$A$36,'Données projet'!$B$36,N186+M187-V186)))</f>
        <v>-2.2737367544323206E-13</v>
      </c>
      <c r="O187" s="13">
        <f>N187*VLOOKUP('Données projet'!$B$9,Paramètres!$A$1:$I$89,3,0)*VLOOKUP('Données projet'!$B$9,Paramètres!$A$1:$I$89,5,0)</f>
        <v>-1.2710188457276673E-13</v>
      </c>
      <c r="P187" s="13" t="e">
        <f t="shared" si="141"/>
        <v>#NUM!</v>
      </c>
      <c r="Q187" s="20" t="e">
        <f t="shared" si="162"/>
        <v>#NUM!</v>
      </c>
      <c r="R187" s="59" t="e">
        <f t="shared" si="109"/>
        <v>#NUM!</v>
      </c>
      <c r="S187" s="59">
        <f ca="1">AVERAGE(OFFSET($R$3,0,0,'Données projet'!$E$9+1,1))-AVERAGE(OFFSET($H$3,0,0,'Données projet'!$E$9+1,1))</f>
        <v>255.5374979188561</v>
      </c>
      <c r="T187" s="59">
        <f t="shared" si="142"/>
        <v>343.10418468620901</v>
      </c>
      <c r="U187" s="15">
        <f>IF(ISNA(VLOOKUP(A187,'Données projet'!$A$35:$I$55,3,0)),0,VLOOKUP(A187,'Données projet'!$A$35:$I$55,3,0))</f>
        <v>0</v>
      </c>
      <c r="V187" s="15">
        <f>IF(ISNA(VLOOKUP(A187,'Données projet'!$A$35:$I$55,4,0)),0,VLOOKUP(A187,'Données projet'!$A$35:$I$55,4,0))</f>
        <v>0</v>
      </c>
      <c r="W187" s="16">
        <f>IF(ISNA(VLOOKUP(A187,'Données projet'!$A$35:$I$55,5,0)),0%,VLOOKUP(A187,'Données projet'!$A$35:$I$55,5,0)*VLOOKUP('Données projet'!$B$9,Paramètres!$A$1:$I$89,7,0))</f>
        <v>0</v>
      </c>
      <c r="X187" s="16">
        <f>IF(ISNA(VLOOKUP(A187,'Données projet'!$A$35:$I$55,6,0)),0%,VLOOKUP(A187,'Données projet'!$A$35:$I$55,6,0)*VLOOKUP('Données projet'!$B$9,Paramètres!$A$1:$I$89,7,0))</f>
        <v>0</v>
      </c>
      <c r="Y187" s="16">
        <f>IF(ISNA(VLOOKUP(A187,'Données projet'!$A$35:$I$55,7,0)),0%,VLOOKUP(A187,'Données projet'!$A$35:$I$55,7,0))</f>
        <v>0</v>
      </c>
      <c r="Z187" s="21">
        <f>EXP(-LN(2)/35)*Z186+(1-EXP(-LN(2)/35))/(LN(2)/35)*V187*W187*VLOOKUP('Données projet'!$B$9,Paramètres!$A$1:$I$89,3,0)*0.475*44/12</f>
        <v>0.14636331569738495</v>
      </c>
      <c r="AA187" s="21">
        <f>EXP(-LN(2)/25)*AA186+(1-EXP(-LN(2)/25))/(LN(2)/25)*Calculateur!V187*Calculateur!X187*VLOOKUP('Données projet'!$B$9,Paramètres!$A$1:$I$89,3,0)*0.475*44/12</f>
        <v>0.22320050093901536</v>
      </c>
      <c r="AB187" s="21">
        <f>EXP(-LN(2)/2)*AB186+(1-EXP(-LN(2)/2))/(LN(2)/2)*V187*Y187*VLOOKUP('Données projet'!$B$9,Paramètres!$A$1:$I$89,3,0)*0.475*44/12</f>
        <v>1.1201031871375763E-23</v>
      </c>
      <c r="AC187" s="22">
        <f t="shared" si="163"/>
        <v>0.36956381663640031</v>
      </c>
      <c r="AD187" s="13">
        <f>('Scénario référence'!$F$8+'Scénario référence'!$F$9+'Scénario référence'!$B$17+'Scénario référence'!$B$9+'Scénario référence'!$B$10)*70+IF((45+25*(1-EXP(-0.0175*A187)))&lt;70,'Scénario référence'!$B$16*(45+25*(1-EXP(-0.0175*A187))),70*'Scénario référence'!$B$16)+IF((32+38*(1-EXP(-0.0175*A187)))&lt;70,'Scénario référence'!$B$18*(32+38*(1-EXP(-0.0175*A187))),70*'Scénario référence'!$B$18)</f>
        <v>70</v>
      </c>
      <c r="AE187" s="13">
        <f>IF(A187&gt;30,10,('Scénario référence'!$B$16+'Scénario référence'!$B$17+'Scénario référence'!$B$18+'Scénario référence'!$B$9+'Scénario référence'!$B$10)*A187*10/30+('Scénario référence'!$F$8+'Scénario référence'!$F$9)*10)</f>
        <v>10</v>
      </c>
      <c r="AF187" s="12" t="e">
        <f>VLOOKUP(A187,'Données projet'!$A$61:$I$81,2,0)</f>
        <v>#N/A</v>
      </c>
      <c r="AG187" s="12" t="e">
        <f>VLOOKUP(A187,'Données projet'!$A$61:$I$81,9,0)</f>
        <v>#N/A</v>
      </c>
      <c r="AH187" s="12">
        <f t="array" ref="AH187">INDEX(AG:AG,MIN(IF(ISNUMBER(AG187:AG383),ROW(AG187:AG383),"")))</f>
        <v>0</v>
      </c>
      <c r="AI187" s="13">
        <f>IF('Données projet'!$A$62&gt;35,AI186+AH187-AQ186,IF(A187&lt;'Données projet'!$A$62,$AF$205^A187,IF(A187='Données projet'!$A$62,'Données projet'!$B$62,AI186+AH187-AQ186)))</f>
        <v>0</v>
      </c>
      <c r="AJ187" s="13">
        <f>AI187*VLOOKUP('Données projet'!$B$10,Paramètres!$A$1:$I$89,3,0)*VLOOKUP('Données projet'!$B$10,Paramètres!$A$1:$I$89,5,0)</f>
        <v>0</v>
      </c>
      <c r="AK187" s="13" t="e">
        <f t="shared" si="164"/>
        <v>#NUM!</v>
      </c>
      <c r="AL187" s="20" t="e">
        <f t="shared" si="165"/>
        <v>#NUM!</v>
      </c>
      <c r="AM187" s="59" t="e">
        <f t="shared" si="113"/>
        <v>#NUM!</v>
      </c>
      <c r="AN187" s="59">
        <f ca="1">AVERAGE(OFFSET($AM$3,0,0,'Données projet'!$E$10+1,1))-AVERAGE(OFFSET($H$3,0,0,'Données projet'!$E$10+1,1))</f>
        <v>261.78489480911571</v>
      </c>
      <c r="AO187" s="59">
        <f t="shared" si="144"/>
        <v>297.50513563712764</v>
      </c>
      <c r="AP187" s="15">
        <f>IF(ISNA(VLOOKUP(A187,'Données projet'!$A$61:$I$81,3,0)),0,VLOOKUP(A187,'Données projet'!$A$61:$I$81,3,0))</f>
        <v>0</v>
      </c>
      <c r="AQ187" s="15">
        <f>IF(ISNA(VLOOKUP(A187,'Données projet'!$A$61:$I$81,4,0)),0,VLOOKUP(A187,'Données projet'!$A$61:$I$81,4,0))</f>
        <v>0</v>
      </c>
      <c r="AR187" s="16">
        <f>IF(ISNA(VLOOKUP(A187,'Données projet'!$A$61:$I$81,5,0)),0%,VLOOKUP(A187,'Données projet'!$A$61:$I$81,5,0)*VLOOKUP('Données projet'!$B$10,Paramètres!$A$1:$I$89,7,0))</f>
        <v>0</v>
      </c>
      <c r="AS187" s="16">
        <f>IF(ISNA(VLOOKUP(A187,'Données projet'!$A$61:$I$81,6,0)),0%,VLOOKUP(A187,'Données projet'!$A$61:$I$81,6,0)*VLOOKUP('Données projet'!$B$10,Paramètres!$A$1:$I$89,7,0))</f>
        <v>0</v>
      </c>
      <c r="AT187" s="16">
        <f>IF(ISNA(VLOOKUP(A187,'Données projet'!$A$61:$I$81,7,0)),0%,VLOOKUP(A187,'Données projet'!$A$61:$I$81,7,0))</f>
        <v>0</v>
      </c>
      <c r="AU187" s="21">
        <f>EXP(-LN(2)/35)*AU186+(1-EXP(-LN(2)/35))/(LN(2)/35)*AQ187*AR187*VLOOKUP('Données projet'!$B$10,Paramètres!$A$1:$I$89,3,0)*0.475*44/12</f>
        <v>0.3952223510482204</v>
      </c>
      <c r="AV187" s="21">
        <f>EXP(-LN(2)/25)*AV186+(1-EXP(-LN(2)/25))/(LN(2)/25)*Calculateur!AQ187*Calculateur!AS187*VLOOKUP('Données projet'!$B$10,Paramètres!$A$1:$I$89,3,0)*0.475*44/12</f>
        <v>0.38975359880890875</v>
      </c>
      <c r="AW187" s="21">
        <f>EXP(-LN(2)/2)*AW186+(1-EXP(-LN(2)/2))/(LN(2)/2)*AQ187*AT187*VLOOKUP('Données projet'!$B$10,Paramètres!$A$1:$I$89,3,0)*0.475*44/12</f>
        <v>1.6147353785323423E-22</v>
      </c>
      <c r="AX187" s="21">
        <f t="shared" si="166"/>
        <v>0.78497594985712915</v>
      </c>
      <c r="AY187" s="74">
        <f>('Scénario référence'!$F$8+'Scénario référence'!$F$9+'Scénario référence'!$B$17+'Scénario référence'!$B$9+'Scénario référence'!$B$10)*70+IF((45+25*(1-EXP(-0.0175*A187)))&lt;70,'Scénario référence'!$B$16*(45+25*(1-EXP(-0.0175*A187))),70*'Scénario référence'!$B$16)+IF((32+38*(1-EXP(-0.0175*A187)))&lt;70,'Scénario référence'!$B$18*(32+38*(1-EXP(-0.0175*A187))),70*'Scénario référence'!$B$18)</f>
        <v>70</v>
      </c>
      <c r="AZ187" s="12">
        <f>IF(A187&gt;30,10,('Scénario référence'!$B$16+'Scénario référence'!$B$17+'Scénario référence'!$B$18+'Scénario référence'!$B$9+'Scénario référence'!$B$10)*A187*10/30+('Scénario référence'!$F$8+'Scénario référence'!$F$9)*10)</f>
        <v>10</v>
      </c>
      <c r="BA187" s="12" t="e">
        <f>VLOOKUP(A187,'Données projet'!$A$87:$I$107,2,0)</f>
        <v>#N/A</v>
      </c>
      <c r="BB187" s="12" t="e">
        <f>VLOOKUP(A187,'Données projet'!$A$87:$I$107,9,0)</f>
        <v>#N/A</v>
      </c>
      <c r="BC187" s="12">
        <f t="array" ref="BC187">INDEX(BB:BB,MIN(IF(ISNUMBER(BB187:BB383),ROW(BB187:BB383),"")))</f>
        <v>0</v>
      </c>
      <c r="BD187" s="12">
        <f>IF('Données projet'!$A$88&gt;35,BD186+BC187-BL186,IF(A187&lt;'Données projet'!$A$88,$BA$205^A187,IF(A187='Données projet'!$A$88,'Données projet'!$B$88,BD186+BC187-BL186)))</f>
        <v>553.99999999999955</v>
      </c>
      <c r="BE187" s="13">
        <f>BD187*VLOOKUP('Données projet'!$B$11,Paramètres!$A$1:$I$89,3,0)*VLOOKUP('Données projet'!$B$11,Paramètres!$A$1:$I$89,5,0)</f>
        <v>331.29199999999975</v>
      </c>
      <c r="BF187" s="13">
        <f t="shared" si="167"/>
        <v>77.698110787752</v>
      </c>
      <c r="BG187" s="20">
        <f t="shared" si="168"/>
        <v>712.32444295533423</v>
      </c>
      <c r="BH187" s="59">
        <f t="shared" si="116"/>
        <v>1005.6577762886675</v>
      </c>
      <c r="BI187" s="59">
        <f ca="1">AVERAGE(OFFSET($BH$3,0,0,'Données projet'!$E$11+1,1))-AVERAGE(OFFSET($H$3,0,0,'Données projet'!$E$11+1,1))</f>
        <v>316.58509520829671</v>
      </c>
      <c r="BJ187" s="59">
        <f t="shared" si="146"/>
        <v>240.71332110643596</v>
      </c>
      <c r="BK187" s="15">
        <f>IF(ISNA(VLOOKUP(A187,'Données projet'!$A$87:$I$107,3,0)),0,VLOOKUP(A187,'Données projet'!$A$87:$I$107,3,0))</f>
        <v>0</v>
      </c>
      <c r="BL187" s="15">
        <f>IF(ISNA(VLOOKUP(A187,'Données projet'!$A$87:$I$107,4,0)),0,VLOOKUP(A187,'Données projet'!$A$87:$I$107,4,0))</f>
        <v>0</v>
      </c>
      <c r="BM187" s="16">
        <f>IF(ISNA(VLOOKUP(A187,'Données projet'!$A$87:$I$107,5,0)),0%,VLOOKUP(A187,'Données projet'!$A$87:$I$107,5,0)*VLOOKUP('Données projet'!$B$11,Paramètres!$A$1:$I$89,7,0))</f>
        <v>0</v>
      </c>
      <c r="BN187" s="16">
        <f>IF(ISNA(VLOOKUP(A187,'Données projet'!$A$87:$I$107,6,0)),0%,VLOOKUP(A187,'Données projet'!$A$87:$I$107,6,0)*VLOOKUP('Données projet'!$B$11,Paramètres!$A$1:$I$89,7,0))</f>
        <v>0</v>
      </c>
      <c r="BO187" s="16">
        <f>IF(ISNA(VLOOKUP(A187,'Données projet'!$A$87:$I$107,7,0)),0%,VLOOKUP(A187,'Données projet'!$A$87:$I$107,7,0))</f>
        <v>0</v>
      </c>
      <c r="BP187" s="21">
        <f>EXP(-LN(2)/35)*BP186+(1-EXP(-LN(2)/35))/(LN(2)/35)*BL187*BM187*VLOOKUP('Données projet'!$B$11,Paramètres!$A$1:$I$89,3,0)*0.475*44/12</f>
        <v>0.12005172977339001</v>
      </c>
      <c r="BQ187" s="21">
        <f>EXP(-LN(2)/25)*BQ186+(1-EXP(-LN(2)/25))/(LN(2)/25)*Calculateur!BL187*Calculateur!BN187*VLOOKUP('Données projet'!$B$11,Paramètres!$A$1:$I$89,3,0)*0.475*44/12</f>
        <v>0.21351839368787676</v>
      </c>
      <c r="BR187" s="21">
        <f>EXP(-LN(2)/2)*BR186+(1-EXP(-LN(2)/2))/(LN(2)/2)*BL187*BO187*VLOOKUP('Données projet'!$B$11,Paramètres!$A$1:$I$89,3,0)*0.475*44/12</f>
        <v>1.4518239391816159E-22</v>
      </c>
      <c r="BS187" s="22">
        <f t="shared" si="169"/>
        <v>0.3335701234612668</v>
      </c>
      <c r="BT187" s="75">
        <f>('Scénario référence'!$F$8+'Scénario référence'!$F$9+'Scénario référence'!$B$17+'Scénario référence'!$B$9+'Scénario référence'!$B$10)*70+IF((45+25*(1-EXP(-0.0175*A187)))&lt;70,'Scénario référence'!$B$16*(45+25*(1-EXP(-0.0175*A187))),70*'Scénario référence'!$B$16)+IF((32+38*(1-EXP(-0.0175*A187)))&lt;70,'Scénario référence'!$B$18*(32+38*(1-EXP(-0.0175*A187))),70*'Scénario référence'!$B$18)</f>
        <v>70</v>
      </c>
      <c r="BU187" s="12">
        <f>IF(A187&gt;30,10,('Scénario référence'!$B$16+'Scénario référence'!$B$17+'Scénario référence'!$B$18+'Scénario référence'!$B$9+'Scénario référence'!$B$10)*A187*10/30+('Scénario référence'!$F$8+'Scénario référence'!$F$9)*10)</f>
        <v>10</v>
      </c>
      <c r="BV187" s="12" t="e">
        <f>VLOOKUP(A187,'Données projet'!$A$113:$I$133,2,0)</f>
        <v>#N/A</v>
      </c>
      <c r="BW187" s="12" t="e">
        <f>VLOOKUP(A187,'Données projet'!$A$113:$I$133,9,0)</f>
        <v>#N/A</v>
      </c>
      <c r="BX187" s="12">
        <f t="array" ref="BX187">INDEX(BW:BW,MIN(IF(ISNUMBER(BW187:BW383),ROW(BW187:BW383),"")))</f>
        <v>0</v>
      </c>
      <c r="BY187" s="12">
        <f>IF('Données projet'!$A$114&gt;35,BY186+BX187-CG186,IF(A187&lt;'Données projet'!$A$114,$BV$205^A187,IF(A187='Données projet'!$A$114,'Données projet'!$B$114,BY186+BX187-CG186)))</f>
        <v>333.99999999999977</v>
      </c>
      <c r="BZ187" s="13">
        <f>BY187*VLOOKUP('Données projet'!$B$12,Paramètres!$A$1:$I$89,3,0)*VLOOKUP('Données projet'!$B$12,Paramètres!$A$1:$I$89,5,0)</f>
        <v>191.04799999999986</v>
      </c>
      <c r="CA187" s="13">
        <f t="shared" si="170"/>
        <v>47.771576544305155</v>
      </c>
      <c r="CB187" s="20">
        <f t="shared" si="171"/>
        <v>415.94409581466454</v>
      </c>
      <c r="CC187" s="59">
        <f t="shared" si="119"/>
        <v>709.27742914799785</v>
      </c>
      <c r="CD187" s="59">
        <f ca="1">AVERAGE(OFFSET($CC$3,0,0,'Données projet'!$E$12+1,1))-AVERAGE(OFFSET($H$3,0,0,'Données projet'!$E$12+1,1))</f>
        <v>188.64374818906128</v>
      </c>
      <c r="CE187" s="59">
        <f t="shared" si="148"/>
        <v>211.95157880548652</v>
      </c>
      <c r="CF187" s="15">
        <f>IF(ISNA(VLOOKUP(A187,'Données projet'!$A$113:$I$133,3,0)),0,VLOOKUP(A187,'Données projet'!$A$113:$I$133,3,0))</f>
        <v>0</v>
      </c>
      <c r="CG187" s="15">
        <f>IF(ISNA(VLOOKUP(A187,'Données projet'!$A$113:$I$133,4,0)),0,VLOOKUP(A187,'Données projet'!$A$113:$I$133,4,0))</f>
        <v>0</v>
      </c>
      <c r="CH187" s="16">
        <f>IF(ISNA(VLOOKUP(A187,'Données projet'!$A$113:$I$133,5,0)),0%,VLOOKUP(A187,'Données projet'!$A$113:$I$133,5,0)*VLOOKUP('Données projet'!$B$12,Paramètres!$A$1:$I$89,7,0))</f>
        <v>0</v>
      </c>
      <c r="CI187" s="16">
        <f>IF(ISNA(VLOOKUP(A187,'Données projet'!$A$113:$I$133,6,0)),0%,VLOOKUP(A187,'Données projet'!$A$113:$I$133,6,0)*VLOOKUP('Données projet'!$B$12,Paramètres!$A$1:$I$89,7,0))</f>
        <v>0</v>
      </c>
      <c r="CJ187" s="16">
        <f>IF(ISNA(VLOOKUP(A187,'Données projet'!$A$113:$I$133,7,0)),0%,VLOOKUP(A187,'Données projet'!$A$113:$I$133,7,0))</f>
        <v>0</v>
      </c>
      <c r="CK187" s="21">
        <f>EXP(-LN(2)/35)*CK186+(1-EXP(-LN(2)/35))/(LN(2)/35)*CG187*CH187*VLOOKUP('Données projet'!$B$12,Paramètres!$A$1:$I$89,3,0)*0.475*44/12</f>
        <v>0.11644944271956495</v>
      </c>
      <c r="CL187" s="21">
        <f>EXP(-LN(2)/25)*CL186+(1-EXP(-LN(2)/25))/(LN(2)/25)*Calculateur!CG187*Calculateur!CI187*VLOOKUP('Données projet'!$B$12,Paramètres!$A$1:$I$89,3,0)*0.475*44/12</f>
        <v>0.20096834657183715</v>
      </c>
      <c r="CM187" s="21">
        <f>EXP(-LN(2)/2)*CM186+(1-EXP(-LN(2)/2))/(LN(2)/2)*CG187*CJ187*VLOOKUP('Données projet'!$B$12,Paramètres!$A$1:$I$89,3,0)*0.475*44/12</f>
        <v>1.4059778927053799E-22</v>
      </c>
      <c r="CN187" s="22">
        <f t="shared" si="172"/>
        <v>0.31741778929140207</v>
      </c>
      <c r="CO187" s="75">
        <f>('Scénario référence'!$F$8+'Scénario référence'!$F$9+'Scénario référence'!$B$17+'Scénario référence'!$B$9+'Scénario référence'!$B$10)*70+IF((45+25*(1-EXP(-0.0175*A187)))&lt;70,'Scénario référence'!$B$16*(45+25*(1-EXP(-0.0175*A187))),70*'Scénario référence'!$B$16)+IF((32+38*(1-EXP(-0.0175*A187)))&lt;70,'Scénario référence'!$B$18*(32+38*(1-EXP(-0.0175*A187))),70*'Scénario référence'!$B$18)</f>
        <v>70</v>
      </c>
      <c r="CP187" s="12">
        <f>IF(A187&gt;30,10,('Scénario référence'!$B$16+'Scénario référence'!$B$17+'Scénario référence'!$B$18+'Scénario référence'!$B$9+'Scénario référence'!$B$10)*A187*10/30+('Scénario référence'!$F$8+'Scénario référence'!$F$9)*10)</f>
        <v>10</v>
      </c>
      <c r="CQ187" s="12" t="e">
        <f>VLOOKUP(A187,'Données projet'!$A$139:$I$159,2,0)</f>
        <v>#N/A</v>
      </c>
      <c r="CR187" s="12" t="e">
        <f>VLOOKUP(A187,'Données projet'!$A$139:$I$159,9,0)</f>
        <v>#N/A</v>
      </c>
      <c r="CS187" s="12">
        <f t="array" ref="CS187">INDEX(CR:CR,MIN(IF(ISNUMBER(CR187:CR383),ROW(CR187:CR383),"")))</f>
        <v>0</v>
      </c>
      <c r="CT187" s="12">
        <f>IF('Données projet'!$A$140&gt;35,CT186+CS187-DB186,IF(A187&lt;'Données projet'!$A$140,$CQ$205^A187,IF(A187='Données projet'!$A$140,'Données projet'!$B$140,CT186+CS187-DB186)))</f>
        <v>0</v>
      </c>
      <c r="CU187" s="17" t="e">
        <f>CT187*VLOOKUP('Données projet'!$B$13,Paramètres!$A$1:$I$89,3,0)*VLOOKUP('Données projet'!$B$13,Paramètres!$A$1:$I$89,5,0)</f>
        <v>#N/A</v>
      </c>
      <c r="CV187" s="13" t="e">
        <f t="shared" si="173"/>
        <v>#N/A</v>
      </c>
      <c r="CW187" s="20" t="e">
        <f t="shared" si="174"/>
        <v>#N/A</v>
      </c>
      <c r="CX187" s="59" t="e">
        <f t="shared" si="122"/>
        <v>#N/A</v>
      </c>
      <c r="CY187" s="59" t="e">
        <f ca="1">AVERAGE(OFFSET($CX$3,0,0,'Données projet'!$E$13+1,1))-AVERAGE(OFFSET($H$3,0,0,'Données projet'!$E$13+1,1))</f>
        <v>#N/A</v>
      </c>
      <c r="CZ187" s="59" t="e">
        <f t="shared" si="150"/>
        <v>#N/A</v>
      </c>
      <c r="DA187" s="15">
        <f>IF(ISNA(VLOOKUP(A187,'Données projet'!$A$139:$I$159,3,0)),0,VLOOKUP(A187,'Données projet'!$A$139:$I$159,3,0))</f>
        <v>0</v>
      </c>
      <c r="DB187" s="15">
        <f>IF(ISNA(VLOOKUP(A187,'Données projet'!$A$139:$I$159,4,0)),0,VLOOKUP(A187,'Données projet'!$A$139:$I$159,4,0))</f>
        <v>0</v>
      </c>
      <c r="DC187" s="16">
        <f>IF(ISNA(VLOOKUP(A187,'Données projet'!$A$139:$I$159,5,0)),0%,VLOOKUP(A187,'Données projet'!$A$139:$I$159,5,0)*VLOOKUP('Données projet'!$B$13,Paramètres!$A$1:$I$89,7,0))</f>
        <v>0</v>
      </c>
      <c r="DD187" s="16">
        <f>IF(ISNA(VLOOKUP(A187,'Données projet'!$A$139:$I$159,6,0)),0%,VLOOKUP(A187,'Données projet'!$A$139:$I$159,6,0)*VLOOKUP('Données projet'!$B$13,Paramètres!$A$1:$I$89,7,0))</f>
        <v>0</v>
      </c>
      <c r="DE187" s="16">
        <f>IF(ISNA(VLOOKUP(A187,'Données projet'!$A$139:$I$159,7,0)),0%,VLOOKUP(A187,'Données projet'!$A$139:$I$159,7,0))</f>
        <v>0</v>
      </c>
      <c r="DF187" s="21" t="e">
        <f>EXP(-LN(2)/35)*DF186+(1-EXP(-LN(2)/35))/(LN(2)/35)*DB187*DC187*VLOOKUP('Données projet'!$B$13,Paramètres!$A$1:$I$89,3,0)*0.475*44/12</f>
        <v>#N/A</v>
      </c>
      <c r="DG187" s="21" t="e">
        <f>EXP(-LN(2)/25)*DG186+(1-EXP(-LN(2)/25))/(LN(2)/25)*Calculateur!DB187*Calculateur!DD187*VLOOKUP('Données projet'!$B$13,Paramètres!$A$1:$I$89,3,0)*0.475*44/12</f>
        <v>#N/A</v>
      </c>
      <c r="DH187" s="21" t="e">
        <f>EXP(-LN(2)/2)*DH186+(1-EXP(-LN(2)/2))/(LN(2)/2)*DB187*DE187*VLOOKUP('Données projet'!$B$13,Paramètres!$A$1:$I$89,3,0)*0.475*44/12</f>
        <v>#N/A</v>
      </c>
      <c r="DI187" s="22" t="e">
        <f t="shared" si="175"/>
        <v>#N/A</v>
      </c>
      <c r="DJ187" s="75">
        <f>('Scénario référence'!$F$8+'Scénario référence'!$F$9+'Scénario référence'!$B$17+'Scénario référence'!$B$9+'Scénario référence'!$B$10)*70+IF((45+25*(1-EXP(-0.0175*A187)))&lt;70,'Scénario référence'!$B$16*(45+25*(1-EXP(-0.0175*A187))),70*'Scénario référence'!$B$16)+IF((32+38*(1-EXP(-0.0175*A187)))&lt;70,'Scénario référence'!$B$18*(32+38*(1-EXP(-0.0175*A187))),70*'Scénario référence'!$B$18)</f>
        <v>70</v>
      </c>
      <c r="DK187" s="12">
        <f>IF(A187&gt;30,10,('Scénario référence'!$B$16+'Scénario référence'!$B$17+'Scénario référence'!$B$18+'Scénario référence'!$B$9+'Scénario référence'!$B$10)*A187*10/30+('Scénario référence'!$F$8+'Scénario référence'!$F$9)*10)</f>
        <v>10</v>
      </c>
      <c r="DL187" s="12" t="e">
        <f>VLOOKUP(A187,'Données projet'!$A$165:$I$185,2,0)</f>
        <v>#N/A</v>
      </c>
      <c r="DM187" s="12" t="e">
        <f>VLOOKUP(A187,'Données projet'!$A$165:$I$185,9,0)</f>
        <v>#N/A</v>
      </c>
      <c r="DN187" s="12">
        <f t="array" ref="DN187">INDEX(DM:DM,MIN(IF(ISNUMBER(DM187:DM383),ROW(DM187:DM383),"")))</f>
        <v>0</v>
      </c>
      <c r="DO187" s="12">
        <f>IF('Données projet'!$A$166&gt;35,DO186+DN187-DW186,IF(A187&lt;'Données projet'!$A$166,$DL$205^A187,IF(A187='Données projet'!$A$166,'Données projet'!$B$166,DO186+DN187-DW186)))</f>
        <v>268.00000000000017</v>
      </c>
      <c r="DP187" s="17">
        <f>DO187*VLOOKUP('Données projet'!$B$14,Paramètres!$A$1:$I$89,3,0)*VLOOKUP('Données projet'!$B$14,Paramètres!$A$1:$I$89,5,0)</f>
        <v>175.59360000000012</v>
      </c>
      <c r="DQ187" s="13">
        <f t="shared" si="176"/>
        <v>44.340433728638573</v>
      </c>
      <c r="DR187" s="20">
        <f t="shared" si="177"/>
        <v>383.05177541071242</v>
      </c>
      <c r="DS187" s="59">
        <f t="shared" si="125"/>
        <v>676.38510874404574</v>
      </c>
      <c r="DT187" s="59">
        <f ca="1">AVERAGE(OFFSET($DS$3,0,0,'Données projet'!$E$14+1,1))-AVERAGE(OFFSET($H$3,0,0,'Données projet'!$E$14+1,1))</f>
        <v>188.68915783955595</v>
      </c>
      <c r="DU187" s="59">
        <f t="shared" si="152"/>
        <v>240.82467772396944</v>
      </c>
      <c r="DV187" s="15">
        <f>IF(ISNA(VLOOKUP(A187,'Données projet'!$A$165:$I$185,3,0)),0,VLOOKUP(A187,'Données projet'!$A$165:$I$185,3,0))</f>
        <v>0</v>
      </c>
      <c r="DW187" s="15">
        <f>IF(ISNA(VLOOKUP(A187,'Données projet'!$A$165:$I$185,4,0)),0,VLOOKUP(A187,'Données projet'!$A$165:$I$185,4,0))</f>
        <v>0</v>
      </c>
      <c r="DX187" s="16">
        <f>IF(ISNA(VLOOKUP(A187,'Données projet'!$A$165:$I$185,5,0)),0%,VLOOKUP(A187,'Données projet'!$A$165:$I$185,5,0)*VLOOKUP('Données projet'!$B$14,Paramètres!$A$1:$I$89,7,0))</f>
        <v>0</v>
      </c>
      <c r="DY187" s="16">
        <f>IF(ISNA(VLOOKUP(A187,'Données projet'!$A$165:$I$185,6,0)),0%,VLOOKUP(A187,'Données projet'!$A$165:$I$185,6,0)*VLOOKUP('Données projet'!$B$14,Paramètres!$A$1:$I$89,7,0))</f>
        <v>0</v>
      </c>
      <c r="DZ187" s="16">
        <f>IF(ISNA(VLOOKUP(A187,'Données projet'!$A$165:$I$185,7,0)),0%,VLOOKUP(A187,'Données projet'!$A$165:$I$185,7,0))</f>
        <v>0</v>
      </c>
      <c r="EA187" s="21">
        <f>EXP(-LN(2)/35)*EA186+(1-EXP(-LN(2)/35))/(LN(2)/35)*DW187*DX187*VLOOKUP('Données projet'!$B$14,Paramètres!$A$1:$I$89,3,0)*0.475*44/12</f>
        <v>7.3761115864034235E-2</v>
      </c>
      <c r="EB187" s="21">
        <f>EXP(-LN(2)/25)*EB186+(1-EXP(-LN(2)/25))/(LN(2)/25)*Calculateur!DW187*Calculateur!DY187*VLOOKUP('Données projet'!$B$14,Paramètres!$A$1:$I$89,3,0)*0.475*44/12</f>
        <v>0.11240996395497371</v>
      </c>
      <c r="EC187" s="21">
        <f>EXP(-LN(2)/2)*EC186+(1-EXP(-LN(2)/2))/(LN(2)/2)*DW187*DZ187*VLOOKUP('Données projet'!$B$14,Paramètres!$A$1:$I$89,3,0)*0.475*44/12</f>
        <v>9.2620458652582935E-23</v>
      </c>
      <c r="ED187" s="22">
        <f t="shared" si="178"/>
        <v>0.18617107981900793</v>
      </c>
      <c r="EE187" s="75">
        <f>('Scénario référence'!$F$8+'Scénario référence'!$F$9+'Scénario référence'!$B$17+'Scénario référence'!$B$9+'Scénario référence'!$B$10)*70+IF((45+25*(1-EXP(-0.0175*A187)))&lt;70,'Scénario référence'!$B$16*(45+25*(1-EXP(-0.0175*A187))),70*'Scénario référence'!$B$16)+IF((32+38*(1-EXP(-0.0175*A187)))&lt;70,'Scénario référence'!$B$18*(32+38*(1-EXP(-0.0175*A187))),70*'Scénario référence'!$B$18)</f>
        <v>70</v>
      </c>
      <c r="EF187" s="12">
        <f>IF(A187&gt;30,10,('Scénario référence'!$B$16+'Scénario référence'!$B$17+'Scénario référence'!$B$18+'Scénario référence'!$B$9+'Scénario référence'!$B$10)*A187*10/30+('Scénario référence'!$F$8+'Scénario référence'!$F$9)*10)</f>
        <v>10</v>
      </c>
      <c r="EG187" s="12" t="e">
        <f>VLOOKUP(A187,'Données projet'!$A$191:$I$211,2,0)</f>
        <v>#N/A</v>
      </c>
      <c r="EH187" s="12" t="e">
        <f>VLOOKUP(A187,'Données projet'!$A$191:$I$211,9,0)</f>
        <v>#N/A</v>
      </c>
      <c r="EI187" s="12">
        <f t="array" ref="EI187">INDEX(EH:EH,MIN(IF(ISNUMBER(EH187:EH383),ROW(EH187:EH383),"")))</f>
        <v>0</v>
      </c>
      <c r="EJ187" s="12">
        <f>IF('Données projet'!$A$192&gt;35,EJ186+EI187-ER186,IF(A187&lt;'Données projet'!$A$192,$EG$205^A187,IF(A187='Données projet'!$A$192,'Données projet'!$B$192,EJ186+EI187-ER186)))</f>
        <v>275.99999999999972</v>
      </c>
      <c r="EK187" s="17">
        <f>EJ187*VLOOKUP('Données projet'!$B$15,Paramètres!$A$1:$I$89,3,0)*VLOOKUP('Données projet'!$B$15,Paramètres!$A$1:$I$89,5,0)</f>
        <v>223.8911999999998</v>
      </c>
      <c r="EL187" s="13">
        <f t="shared" si="179"/>
        <v>54.95975389514858</v>
      </c>
      <c r="EM187" s="20">
        <f t="shared" si="180"/>
        <v>485.66541136738346</v>
      </c>
      <c r="EN187" s="59">
        <f t="shared" si="128"/>
        <v>778.99874470071677</v>
      </c>
      <c r="EO187" s="59">
        <f ca="1">AVERAGE(OFFSET($EN$3,0,0,'Données projet'!$E$15+1,1))-AVERAGE(OFFSET($H$3,0,0,'Données projet'!$E$15+1,1))</f>
        <v>205.5272583787887</v>
      </c>
      <c r="EP187" s="59">
        <f t="shared" si="154"/>
        <v>180.54762778843178</v>
      </c>
      <c r="EQ187" s="15">
        <f>IF(ISNA(VLOOKUP(A187,'Données projet'!$A$191:$I$211,3,0)),0,VLOOKUP(A187,'Données projet'!$A$191:$I$211,3,0))</f>
        <v>0</v>
      </c>
      <c r="ER187" s="15">
        <f>IF(ISNA(VLOOKUP(A187,'Données projet'!$A$191:$I$211,4,0)),0,VLOOKUP(A187,'Données projet'!$A$191:$I$211,4,0))</f>
        <v>0</v>
      </c>
      <c r="ES187" s="16">
        <f>IF(ISNA(VLOOKUP(A187,'Données projet'!$A$191:$I$211,5,0)),0%,VLOOKUP(A187,'Données projet'!$A$191:$I$211,5,0)*VLOOKUP('Données projet'!$B$15,Paramètres!$A$1:$I$89,7,0))</f>
        <v>0</v>
      </c>
      <c r="ET187" s="16">
        <f>IF(ISNA(VLOOKUP(A187,'Données projet'!$A$191:$I$211,6,0)),0%,VLOOKUP(A187,'Données projet'!$A$191:$I$211,6,0)*VLOOKUP('Données projet'!$B$15,Paramètres!$A$1:$I$89,7,0))</f>
        <v>0</v>
      </c>
      <c r="EU187" s="16">
        <f>IF(ISNA(VLOOKUP(A187,'Données projet'!$A$191:$I$211,7,0)),0%,VLOOKUP(A187,'Données projet'!$A$191:$I$211,7,0))</f>
        <v>0</v>
      </c>
      <c r="EV187" s="21">
        <f>EXP(-LN(2)/35)*EV186+(1-EXP(-LN(2)/35))/(LN(2)/35)*ER187*ES187*VLOOKUP('Données projet'!$B$15,Paramètres!$A$1:$I$89,3,0)*0.475*44/12</f>
        <v>4.748810888008298E-2</v>
      </c>
      <c r="EW187" s="21">
        <f>EXP(-LN(2)/25)*EW186+(1-EXP(-LN(2)/25))/(LN(2)/25)*Calculateur!ER187*Calculateur!ET187*VLOOKUP('Données projet'!$B$15,Paramètres!$A$1:$I$89,3,0)*0.475*44/12</f>
        <v>8.1163404040209663E-2</v>
      </c>
      <c r="EX187" s="21">
        <f>EXP(-LN(2)/2)*EX186+(1-EXP(-LN(2)/2))/(LN(2)/2)*ER187*EU187*VLOOKUP('Données projet'!$B$15,Paramètres!$A$1:$I$89,3,0)*0.475*44/12</f>
        <v>5.9971815463541782E-23</v>
      </c>
      <c r="EY187" s="22">
        <f t="shared" si="181"/>
        <v>0.12865151292029264</v>
      </c>
      <c r="EZ187" s="75">
        <f>('Scénario référence'!$F$8+'Scénario référence'!$F$9+'Scénario référence'!$B$17+'Scénario référence'!$B$9+'Scénario référence'!$B$10)*70+IF((45+25*(1-EXP(-0.0175*A187)))&lt;70,'Scénario référence'!$B$16*(45+25*(1-EXP(-0.0175*A187))),70*'Scénario référence'!$B$16)+IF((32+38*(1-EXP(-0.0175*A187)))&lt;70,'Scénario référence'!$B$18*(32+38*(1-EXP(-0.0175*A187))),70*'Scénario référence'!$B$18)</f>
        <v>70</v>
      </c>
      <c r="FA187" s="12">
        <f>IF(A187&gt;30,10,('Scénario référence'!$B$16+'Scénario référence'!$B$17+'Scénario référence'!$B$18+'Scénario référence'!$B$9+'Scénario référence'!$B$10)*A187*10/30+('Scénario référence'!$F$8+'Scénario référence'!$F$9)*10)</f>
        <v>10</v>
      </c>
      <c r="FB187" s="12" t="e">
        <f>VLOOKUP(A187,'Données projet'!$A$217:$I$237,2,0)</f>
        <v>#N/A</v>
      </c>
      <c r="FC187" s="12" t="e">
        <f>VLOOKUP(A187,'Données projet'!$A$217:$I$237,9,0)</f>
        <v>#N/A</v>
      </c>
      <c r="FD187" s="12">
        <f t="array" ref="FD187">INDEX(FC:FC,MIN(IF(ISNUMBER(FC187:FC383),ROW(FC187:FC383),"")))</f>
        <v>0</v>
      </c>
      <c r="FE187" s="12">
        <f>IF('Données projet'!$A$218&gt;35,FE186+FD187-FM186,IF(A187&lt;'Données projet'!$A$218,$FB$205^A187,IF(A187='Données projet'!$A$218,'Données projet'!$B$218,FE186+FD187-FM186)))</f>
        <v>418.99999999999983</v>
      </c>
      <c r="FF187" s="17">
        <f>FE187*VLOOKUP('Données projet'!$B$16,Paramètres!$A$1:$I$89,3,0)*VLOOKUP('Données projet'!$B$16,Paramètres!$A$1:$I$89,5,0)</f>
        <v>359.5019999999999</v>
      </c>
      <c r="FG187" s="13">
        <f t="shared" si="182"/>
        <v>83.516011055432813</v>
      </c>
      <c r="FH187" s="20">
        <f t="shared" si="183"/>
        <v>771.58970258821194</v>
      </c>
      <c r="FI187" s="59">
        <f t="shared" si="131"/>
        <v>1064.9230359215453</v>
      </c>
      <c r="FJ187" s="59">
        <f ca="1">AVERAGE(OFFSET($FI$3,0,0,'Données projet'!$E$16+1,1))-AVERAGE(OFFSET($H$3,0,0,'Données projet'!$E$16+1,1))</f>
        <v>383.97627237444709</v>
      </c>
      <c r="FK187" s="59">
        <f t="shared" si="156"/>
        <v>203.35476578922339</v>
      </c>
      <c r="FL187" s="15">
        <f>IF(ISNA(VLOOKUP(A187,'Données projet'!$A$217:$I$237,3,0)),0,VLOOKUP(A187,'Données projet'!$A$217:$I$237,3,0))</f>
        <v>0</v>
      </c>
      <c r="FM187" s="15">
        <f>IF(ISNA(VLOOKUP(A187,'Données projet'!$A$217:$I$237,4,0)),0,VLOOKUP(A187,'Données projet'!$A$217:$I$237,4,0))</f>
        <v>0</v>
      </c>
      <c r="FN187" s="16">
        <f>IF(ISNA(VLOOKUP(A187,'Données projet'!$A$217:$I$237,5,0)),0%,VLOOKUP(A187,'Données projet'!$A$217:$I$237,5,0)*VLOOKUP('Données projet'!$B$16,Paramètres!$A$1:$I$89,7,0))</f>
        <v>0</v>
      </c>
      <c r="FO187" s="16">
        <f>IF(ISNA(VLOOKUP(A187,'Données projet'!$A$217:$I$237,6,0)),0%,VLOOKUP(A187,'Données projet'!$A$217:$I$237,6,0)*VLOOKUP('Données projet'!$B$16,Paramètres!$A$1:$I$89,7,0))</f>
        <v>0</v>
      </c>
      <c r="FP187" s="16">
        <f>IF(ISNA(VLOOKUP(A187,'Données projet'!$A$217:$I$237,7,0)),0%,VLOOKUP(A187,'Données projet'!$A$217:$I$237,7,0))</f>
        <v>0</v>
      </c>
      <c r="FQ187" s="21">
        <f>EXP(-LN(2)/35)*FQ186+(1-EXP(-LN(2)/35))/(LN(2)/35)*FM187*FN187*VLOOKUP('Données projet'!$B$16,Paramètres!$A$1:$I$89,3,0)*0.475*44/12</f>
        <v>0.24406311634800881</v>
      </c>
      <c r="FR187" s="21">
        <f>EXP(-LN(2)/25)*FR186+(1-EXP(-LN(2)/25))/(LN(2)/25)*Calculateur!FM187*Calculateur!FO187*VLOOKUP('Données projet'!$B$16,Paramètres!$A$1:$I$89,3,0)*0.475*44/12</f>
        <v>8.2389244135889828E-2</v>
      </c>
      <c r="FS187" s="21">
        <f>EXP(-LN(2)/2)*FS186+(1-EXP(-LN(2)/2))/(LN(2)/2)*FM187*FP187*VLOOKUP('Données projet'!$B$16,Paramètres!$A$1:$I$89,3,0)*0.475*44/12</f>
        <v>1.1015591700801792E-22</v>
      </c>
      <c r="FT187" s="22">
        <f t="shared" si="184"/>
        <v>0.32645236048389864</v>
      </c>
      <c r="FU187" s="75">
        <f>('Scénario référence'!$F$8+'Scénario référence'!$F$9+'Scénario référence'!$B$17+'Scénario référence'!$B$9+'Scénario référence'!$B$10)*70+IF((45+25*(1-EXP(-0.0175*A187)))&lt;70,'Scénario référence'!$B$16*(45+25*(1-EXP(-0.0175*A187))),70*'Scénario référence'!$B$16)+IF((32+38*(1-EXP(-0.0175*A187)))&lt;70,'Scénario référence'!$B$18*(32+38*(1-EXP(-0.0175*A187))),70*'Scénario référence'!$B$18)</f>
        <v>70</v>
      </c>
      <c r="FV187" s="12">
        <f>IF(A187&gt;30,10,('Scénario référence'!$B$16+'Scénario référence'!$B$17+'Scénario référence'!$B$18+'Scénario référence'!$B$9+'Scénario référence'!$B$10)*A187*10/30+('Scénario référence'!$F$8+'Scénario référence'!$F$9)*10)</f>
        <v>10</v>
      </c>
      <c r="FW187" s="12" t="e">
        <f>VLOOKUP(A187,'Données projet'!$A$243:$I$263,2,0)</f>
        <v>#N/A</v>
      </c>
      <c r="FX187" s="12" t="e">
        <f>VLOOKUP(A187,'Données projet'!$A$243:$I$263,9,0)</f>
        <v>#N/A</v>
      </c>
      <c r="FY187" s="12">
        <f t="array" ref="FY187">INDEX(FX:FX,MIN(IF(ISNUMBER(FX187:FX383),ROW(FX187:FX383),"")))</f>
        <v>0</v>
      </c>
      <c r="FZ187" s="12">
        <f>IF('Données projet'!$A$244&gt;35,FZ186+FY187-GH186,IF(A187&lt;'Données projet'!$A$244,$FW$205^A187,IF(A187='Données projet'!$A$244,'Données projet'!$B$244,FZ186+FY187-GH186)))</f>
        <v>4.5474735088646412E-13</v>
      </c>
      <c r="GA187" s="17">
        <f>FZ187*VLOOKUP('Données projet'!$B$17,Paramètres!$A$1:$I$89,3,0)*VLOOKUP('Données projet'!$B$17,Paramètres!$A$1:$I$89,5,0)</f>
        <v>4.8949004849418999E-13</v>
      </c>
      <c r="GB187" s="13">
        <f t="shared" si="185"/>
        <v>6.1123715499968684E-12</v>
      </c>
      <c r="GC187" s="20">
        <f t="shared" si="186"/>
        <v>1.1498242284038591E-11</v>
      </c>
      <c r="GD187" s="59">
        <f t="shared" si="134"/>
        <v>293.3333333333448</v>
      </c>
      <c r="GE187" s="59">
        <f ca="1">AVERAGE(OFFSET($GD$3,0,0,'Données projet'!$E$17+1,1))-AVERAGE(OFFSET($H$3,0,0,'Données projet'!$E$17+1,1))</f>
        <v>286.77702855541287</v>
      </c>
      <c r="GF187" s="59">
        <f t="shared" si="158"/>
        <v>227.12211541860779</v>
      </c>
      <c r="GG187" s="15">
        <f>IF(ISNA(VLOOKUP(A187,'Données projet'!$A$243:$I$263,3,0)),0,VLOOKUP(A187,'Données projet'!$A$243:$I$263,3,0))</f>
        <v>0</v>
      </c>
      <c r="GH187" s="15">
        <f>IF(ISNA(VLOOKUP(A187,'Données projet'!$A$243:$I$263,4,0)),0,VLOOKUP(A187,'Données projet'!$A$243:$I$263,4,0))</f>
        <v>0</v>
      </c>
      <c r="GI187" s="16">
        <f>IF(ISNA(VLOOKUP(A187,'Données projet'!$A$243:$I$263,5,0)),0%,VLOOKUP(A187,'Données projet'!$A$243:$I$263,5,0)*VLOOKUP('Données projet'!$B$17,Paramètres!$A$1:$I$89,7,0))</f>
        <v>0</v>
      </c>
      <c r="GJ187" s="16">
        <f>IF(ISNA(VLOOKUP(A187,'Données projet'!$A$243:$I$263,6,0)),0%,VLOOKUP(A187,'Données projet'!$A$243:$I$263,6,0)*VLOOKUP('Données projet'!$B$17,Paramètres!$A$1:$I$89,7,0))</f>
        <v>0</v>
      </c>
      <c r="GK187" s="16">
        <f>IF(ISNA(VLOOKUP(A187,'Données projet'!$A$243:$I$263,7,0)),0%,VLOOKUP(A187,'Données projet'!$A$243:$I$263,7,0))</f>
        <v>0</v>
      </c>
      <c r="GL187" s="21">
        <f>EXP(-LN(2)/35)*GL186+(1-EXP(-LN(2)/35))/(LN(2)/35)*GH187*GI187*VLOOKUP('Données projet'!$B$17,Paramètres!$A$1:$I$89,3,0)*0.475*44/12</f>
        <v>0</v>
      </c>
      <c r="GM187" s="21">
        <f>EXP(-LN(2)/25)*GM186+(1-EXP(-LN(2)/25))/(LN(2)/25)*Calculateur!GH187*Calculateur!GJ187*VLOOKUP('Données projet'!$B$17,Paramètres!$A$1:$I$89,3,0)*0.475*44/12</f>
        <v>0</v>
      </c>
      <c r="GN187" s="21">
        <f>EXP(-LN(2)/2)*GN186+(1-EXP(-LN(2)/2))/(LN(2)/2)*GH187*GK187*VLOOKUP('Données projet'!$B$17,Paramètres!$A$1:$I$89,3,0)*0.475*44/12</f>
        <v>0</v>
      </c>
      <c r="GO187" s="21">
        <f t="shared" si="187"/>
        <v>0</v>
      </c>
      <c r="GP187" s="75">
        <f>('Scénario référence'!$F$8+'Scénario référence'!$F$9+'Scénario référence'!$B$17+'Scénario référence'!$B$9+'Scénario référence'!$B$10)*70+IF((45+25*(1-EXP(-0.0175*A187)))&lt;70,'Scénario référence'!$B$16*(45+25*(1-EXP(-0.0175*A187))),70*'Scénario référence'!$B$16)+IF((32+38*(1-EXP(-0.0175*A187)))&lt;70,'Scénario référence'!$B$18*(32+38*(1-EXP(-0.0175*A187))),70*'Scénario référence'!$B$18)</f>
        <v>70</v>
      </c>
      <c r="GQ187" s="12">
        <f>IF(A187&gt;30,10,('Scénario référence'!$B$16+'Scénario référence'!$B$17+'Scénario référence'!$B$18+'Scénario référence'!$B$9+'Scénario référence'!$B$10)*A187*10/30+('Scénario référence'!$F$8+'Scénario référence'!$F$9)*10)</f>
        <v>10</v>
      </c>
      <c r="GR187" s="12" t="e">
        <f>VLOOKUP(A187,'Données projet'!$A$269:$I$289,2,0)</f>
        <v>#N/A</v>
      </c>
      <c r="GS187" s="12" t="e">
        <f>VLOOKUP(A187,'Données projet'!$A$269:$I$289,9,0)</f>
        <v>#N/A</v>
      </c>
      <c r="GT187" s="12">
        <f t="array" ref="GT187">INDEX(GS:GS,MIN(IF(ISNUMBER(GS187:GS383),ROW(GS187:GS383),"")))</f>
        <v>0</v>
      </c>
      <c r="GU187" s="12">
        <f>IF('Données projet'!$A$270&gt;35,GU186+GT187-HC186,IF(A187&lt;'Données projet'!$A$270,$GR$205^A187,IF(A187='Données projet'!$A$270,'Données projet'!$B$270,GU186+GT187-HC186)))</f>
        <v>4.5474735088646412E-13</v>
      </c>
      <c r="GV187" s="17">
        <f>GU187*VLOOKUP('Données projet'!$B$18,Paramètres!$A$1:$I$89,3,0)*VLOOKUP('Données projet'!$B$18,Paramètres!$A$1:$I$89,5,0)</f>
        <v>4.8949004849418999E-13</v>
      </c>
      <c r="GW187" s="13">
        <f t="shared" si="188"/>
        <v>6.1123715499968684E-12</v>
      </c>
      <c r="GX187" s="20">
        <f t="shared" si="189"/>
        <v>1.1498242284038591E-11</v>
      </c>
      <c r="GY187" s="59">
        <f t="shared" si="137"/>
        <v>293.3333333333448</v>
      </c>
      <c r="GZ187" s="59">
        <f ca="1">AVERAGE(OFFSET($GY$3,0,0,'Données projet'!$E$18+1,1))-AVERAGE(OFFSET($H$3,0,0,'Données projet'!$E$18+1,1))</f>
        <v>286.77702855541287</v>
      </c>
      <c r="HA187" s="59">
        <f t="shared" si="160"/>
        <v>227.12211541860779</v>
      </c>
      <c r="HB187" s="15">
        <f>IF(ISNA(VLOOKUP(A187,'Données projet'!$A$269:$I$289,3,0)),0,VLOOKUP(A187,'Données projet'!$A$269:$I$289,3,0))</f>
        <v>0</v>
      </c>
      <c r="HC187" s="15">
        <f>IF(ISNA(VLOOKUP(A187,'Données projet'!$A$269:$I$289,4,0)),0,VLOOKUP(A187,'Données projet'!$A$269:$I$289,4,0))</f>
        <v>0</v>
      </c>
      <c r="HD187" s="16">
        <f>IF(ISNA(VLOOKUP(A187,'Données projet'!$A$269:$I$289,5,0)),0%,VLOOKUP(A187,'Données projet'!$A$269:$I$289,5,0)*VLOOKUP('Données projet'!$B$18,Paramètres!$A$1:$I$89,7,0))</f>
        <v>0</v>
      </c>
      <c r="HE187" s="16">
        <f>IF(ISNA(VLOOKUP(A187,'Données projet'!$A$269:$I$289,6,0)),0%,VLOOKUP(A187,'Données projet'!$A$269:$I$289,6,0)*VLOOKUP('Données projet'!$B$18,Paramètres!$A$1:$I$89,7,0))</f>
        <v>0</v>
      </c>
      <c r="HF187" s="16">
        <f>IF(ISNA(VLOOKUP(A187,'Données projet'!$A$269:$I$289,7,0)),0%,VLOOKUP(A187,'Données projet'!$A$269:$I$289,7,0))</f>
        <v>0</v>
      </c>
      <c r="HG187" s="21">
        <f>EXP(-LN(2)/35)*HG186+(1-EXP(-LN(2)/35))/(LN(2)/35)*HC187*HD187*VLOOKUP('Données projet'!$B$18,Paramètres!$A$1:$I$89,3,0)*0.475*44/12</f>
        <v>0</v>
      </c>
      <c r="HH187" s="21">
        <f>EXP(-LN(2)/25)*HH186+(1-EXP(-LN(2)/25))/(LN(2)/25)*Calculateur!HC187*Calculateur!HE187*VLOOKUP('Données projet'!$B$18,Paramètres!$A$1:$I$89,3,0)*0.475*44/12</f>
        <v>0</v>
      </c>
      <c r="HI187" s="21">
        <f>EXP(-LN(2)/2)*HI186+(1-EXP(-LN(2)/2))/(LN(2)/2)*HC187*HF187*VLOOKUP('Données projet'!$B$18,Paramètres!$A$1:$I$89,3,0)*0.475*44/12</f>
        <v>0</v>
      </c>
      <c r="HJ187" s="22">
        <f t="shared" si="190"/>
        <v>0</v>
      </c>
    </row>
    <row r="188" spans="1:218" x14ac:dyDescent="0.25">
      <c r="A188" s="10">
        <f t="shared" si="161"/>
        <v>185</v>
      </c>
      <c r="B188" s="73">
        <f>'Scénario référence'!$B$16*5+'Scénario référence'!$B$17*0+'Scénario référence'!$B$18*5</f>
        <v>0</v>
      </c>
      <c r="C188" s="19">
        <f>Calculateur!C187+'Scénario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164.50199999999975</v>
      </c>
      <c r="D188" s="11">
        <f t="shared" si="140"/>
        <v>41.856308345523843</v>
      </c>
      <c r="E18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88" s="11">
        <f>IF(OR('Scénario référence'!$F$8&gt;0,'Scénario référence'!$F$9&gt;0),('Scénario référence'!$F$8+'Scénario référence'!$F$9)*10,0)</f>
        <v>10</v>
      </c>
      <c r="G188" s="11">
        <f>'Scénario référence'!$B$8*B188*44/12+'Scénario référence'!$B$9*(C188+D188)/0.475*44/12+'Scénario référence'!$B$10*(C188+D188)/0.475*44/12+'Scénario référence'!$F$8*(C188+D188)/0.475*44/12+'Scénario référence'!$F$9*(C188+D188)/0.475*44/12</f>
        <v>1592.9413275794805</v>
      </c>
      <c r="H188" s="67">
        <f t="shared" si="110"/>
        <v>652.74072036845359</v>
      </c>
      <c r="I188" s="70">
        <f>('Scénario référence'!$F$8+'Scénario référence'!$F$9+'Scénario référence'!$B$17+'Scénario référence'!$B$9+'Scénario référence'!$B$10)*70+IF((45+25*(1-EXP(-0.0175*A188)))&lt;70,'Scénario référence'!$B$16*(45+25*(1-EXP(-0.0175*A188))),70*'Scénario référence'!$B$16)+IF((32+38*(1-EXP(-0.0175*A188)))&lt;70,'Scénario référence'!$B$18*(32+38*(1-EXP(-0.0175*A188))),70*'Scénario référence'!$B$18)</f>
        <v>70</v>
      </c>
      <c r="J188" s="13">
        <f>IF(A188&gt;30,10,('Scénario référence'!$B$16+'Scénario référence'!$B$17+'Scénario référence'!$B$18+'Scénario référence'!$B$9+'Scénario référence'!$B$10)*A188*10/30+('Scénario référence'!$F$8+'Scénario référence'!$F$9)*10)</f>
        <v>10</v>
      </c>
      <c r="K188" s="12" t="e">
        <f>VLOOKUP(A188,'Données projet'!$A$35:$I$55,2,0)</f>
        <v>#N/A</v>
      </c>
      <c r="L188" s="12" t="e">
        <f>VLOOKUP(A188,'Données projet'!$A$35:$I$55,9,0)</f>
        <v>#N/A</v>
      </c>
      <c r="M188" s="12">
        <f t="array" ref="M188">INDEX(L:L,MIN(IF(ISNUMBER(L188:L384),ROW(L188:L384),"")))</f>
        <v>0</v>
      </c>
      <c r="N188" s="13">
        <f>IF('Données projet'!$A$36&gt;35,N187+M188-V187,IF(A188&lt;'Données projet'!$A$36,$K$205^A188,IF(A188='Données projet'!$A$36,'Données projet'!$B$36,N187+M188-V187)))</f>
        <v>-2.2737367544323206E-13</v>
      </c>
      <c r="O188" s="13">
        <f>N188*VLOOKUP('Données projet'!$B$9,Paramètres!$A$1:$I$89,3,0)*VLOOKUP('Données projet'!$B$9,Paramètres!$A$1:$I$89,5,0)</f>
        <v>-1.2710188457276673E-13</v>
      </c>
      <c r="P188" s="13" t="e">
        <f t="shared" si="141"/>
        <v>#NUM!</v>
      </c>
      <c r="Q188" s="20" t="e">
        <f t="shared" si="162"/>
        <v>#NUM!</v>
      </c>
      <c r="R188" s="59" t="e">
        <f t="shared" si="109"/>
        <v>#NUM!</v>
      </c>
      <c r="S188" s="59">
        <f ca="1">AVERAGE(OFFSET($R$3,0,0,'Données projet'!$E$9+1,1))-AVERAGE(OFFSET($H$3,0,0,'Données projet'!$E$9+1,1))</f>
        <v>255.5374979188561</v>
      </c>
      <c r="T188" s="59">
        <f t="shared" si="142"/>
        <v>343.10418468620901</v>
      </c>
      <c r="U188" s="15">
        <f>IF(ISNA(VLOOKUP(A188,'Données projet'!$A$35:$I$55,3,0)),0,VLOOKUP(A188,'Données projet'!$A$35:$I$55,3,0))</f>
        <v>0</v>
      </c>
      <c r="V188" s="15">
        <f>IF(ISNA(VLOOKUP(A188,'Données projet'!$A$35:$I$55,4,0)),0,VLOOKUP(A188,'Données projet'!$A$35:$I$55,4,0))</f>
        <v>0</v>
      </c>
      <c r="W188" s="16">
        <f>IF(ISNA(VLOOKUP(A188,'Données projet'!$A$35:$I$55,5,0)),0%,VLOOKUP(A188,'Données projet'!$A$35:$I$55,5,0)*VLOOKUP('Données projet'!$B$9,Paramètres!$A$1:$I$89,7,0))</f>
        <v>0</v>
      </c>
      <c r="X188" s="16">
        <f>IF(ISNA(VLOOKUP(A188,'Données projet'!$A$35:$I$55,6,0)),0%,VLOOKUP(A188,'Données projet'!$A$35:$I$55,6,0)*VLOOKUP('Données projet'!$B$9,Paramètres!$A$1:$I$89,7,0))</f>
        <v>0</v>
      </c>
      <c r="Y188" s="16">
        <f>IF(ISNA(VLOOKUP(A188,'Données projet'!$A$35:$I$55,7,0)),0%,VLOOKUP(A188,'Données projet'!$A$35:$I$55,7,0))</f>
        <v>0</v>
      </c>
      <c r="Z188" s="21">
        <f>EXP(-LN(2)/35)*Z187+(1-EXP(-LN(2)/35))/(LN(2)/35)*V188*W188*VLOOKUP('Données projet'!$B$9,Paramètres!$A$1:$I$89,3,0)*0.475*44/12</f>
        <v>0.14349322034936685</v>
      </c>
      <c r="AA188" s="21">
        <f>EXP(-LN(2)/25)*AA187+(1-EXP(-LN(2)/25))/(LN(2)/25)*Calculateur!V188*Calculateur!X188*VLOOKUP('Données projet'!$B$9,Paramètres!$A$1:$I$89,3,0)*0.475*44/12</f>
        <v>0.21709707150323376</v>
      </c>
      <c r="AB188" s="21">
        <f>EXP(-LN(2)/2)*AB187+(1-EXP(-LN(2)/2))/(LN(2)/2)*V188*Y188*VLOOKUP('Données projet'!$B$9,Paramètres!$A$1:$I$89,3,0)*0.475*44/12</f>
        <v>7.9203255925364467E-24</v>
      </c>
      <c r="AC188" s="22">
        <f t="shared" si="163"/>
        <v>0.36059029185260061</v>
      </c>
      <c r="AD188" s="13">
        <f>('Scénario référence'!$F$8+'Scénario référence'!$F$9+'Scénario référence'!$B$17+'Scénario référence'!$B$9+'Scénario référence'!$B$10)*70+IF((45+25*(1-EXP(-0.0175*A188)))&lt;70,'Scénario référence'!$B$16*(45+25*(1-EXP(-0.0175*A188))),70*'Scénario référence'!$B$16)+IF((32+38*(1-EXP(-0.0175*A188)))&lt;70,'Scénario référence'!$B$18*(32+38*(1-EXP(-0.0175*A188))),70*'Scénario référence'!$B$18)</f>
        <v>70</v>
      </c>
      <c r="AE188" s="13">
        <f>IF(A188&gt;30,10,('Scénario référence'!$B$16+'Scénario référence'!$B$17+'Scénario référence'!$B$18+'Scénario référence'!$B$9+'Scénario référence'!$B$10)*A188*10/30+('Scénario référence'!$F$8+'Scénario référence'!$F$9)*10)</f>
        <v>10</v>
      </c>
      <c r="AF188" s="12" t="e">
        <f>VLOOKUP(A188,'Données projet'!$A$61:$I$81,2,0)</f>
        <v>#N/A</v>
      </c>
      <c r="AG188" s="12" t="e">
        <f>VLOOKUP(A188,'Données projet'!$A$61:$I$81,9,0)</f>
        <v>#N/A</v>
      </c>
      <c r="AH188" s="12">
        <f t="array" ref="AH188">INDEX(AG:AG,MIN(IF(ISNUMBER(AG188:AG384),ROW(AG188:AG384),"")))</f>
        <v>0</v>
      </c>
      <c r="AI188" s="13">
        <f>IF('Données projet'!$A$62&gt;35,AI187+AH188-AQ187,IF(A188&lt;'Données projet'!$A$62,$AF$205^A188,IF(A188='Données projet'!$A$62,'Données projet'!$B$62,AI187+AH188-AQ187)))</f>
        <v>0</v>
      </c>
      <c r="AJ188" s="13">
        <f>AI188*VLOOKUP('Données projet'!$B$10,Paramètres!$A$1:$I$89,3,0)*VLOOKUP('Données projet'!$B$10,Paramètres!$A$1:$I$89,5,0)</f>
        <v>0</v>
      </c>
      <c r="AK188" s="13" t="e">
        <f t="shared" si="164"/>
        <v>#NUM!</v>
      </c>
      <c r="AL188" s="20" t="e">
        <f t="shared" si="165"/>
        <v>#NUM!</v>
      </c>
      <c r="AM188" s="59" t="e">
        <f t="shared" si="113"/>
        <v>#NUM!</v>
      </c>
      <c r="AN188" s="59">
        <f ca="1">AVERAGE(OFFSET($AM$3,0,0,'Données projet'!$E$10+1,1))-AVERAGE(OFFSET($H$3,0,0,'Données projet'!$E$10+1,1))</f>
        <v>261.78489480911571</v>
      </c>
      <c r="AO188" s="59">
        <f t="shared" si="144"/>
        <v>297.50513563712764</v>
      </c>
      <c r="AP188" s="15">
        <f>IF(ISNA(VLOOKUP(A188,'Données projet'!$A$61:$I$81,3,0)),0,VLOOKUP(A188,'Données projet'!$A$61:$I$81,3,0))</f>
        <v>0</v>
      </c>
      <c r="AQ188" s="15">
        <f>IF(ISNA(VLOOKUP(A188,'Données projet'!$A$61:$I$81,4,0)),0,VLOOKUP(A188,'Données projet'!$A$61:$I$81,4,0))</f>
        <v>0</v>
      </c>
      <c r="AR188" s="16">
        <f>IF(ISNA(VLOOKUP(A188,'Données projet'!$A$61:$I$81,5,0)),0%,VLOOKUP(A188,'Données projet'!$A$61:$I$81,5,0)*VLOOKUP('Données projet'!$B$10,Paramètres!$A$1:$I$89,7,0))</f>
        <v>0</v>
      </c>
      <c r="AS188" s="16">
        <f>IF(ISNA(VLOOKUP(A188,'Données projet'!$A$61:$I$81,6,0)),0%,VLOOKUP(A188,'Données projet'!$A$61:$I$81,6,0)*VLOOKUP('Données projet'!$B$10,Paramètres!$A$1:$I$89,7,0))</f>
        <v>0</v>
      </c>
      <c r="AT188" s="16">
        <f>IF(ISNA(VLOOKUP(A188,'Données projet'!$A$61:$I$81,7,0)),0%,VLOOKUP(A188,'Données projet'!$A$61:$I$81,7,0))</f>
        <v>0</v>
      </c>
      <c r="AU188" s="21">
        <f>EXP(-LN(2)/35)*AU187+(1-EXP(-LN(2)/35))/(LN(2)/35)*AQ188*AR188*VLOOKUP('Données projet'!$B$10,Paramètres!$A$1:$I$89,3,0)*0.475*44/12</f>
        <v>0.38747228180599608</v>
      </c>
      <c r="AV188" s="21">
        <f>EXP(-LN(2)/25)*AV187+(1-EXP(-LN(2)/25))/(LN(2)/25)*Calculateur!AQ188*Calculateur!AS188*VLOOKUP('Données projet'!$B$10,Paramètres!$A$1:$I$89,3,0)*0.475*44/12</f>
        <v>0.37909576615322815</v>
      </c>
      <c r="AW188" s="21">
        <f>EXP(-LN(2)/2)*AW187+(1-EXP(-LN(2)/2))/(LN(2)/2)*AQ188*AT188*VLOOKUP('Données projet'!$B$10,Paramètres!$A$1:$I$89,3,0)*0.475*44/12</f>
        <v>1.1417903359820459E-22</v>
      </c>
      <c r="AX188" s="21">
        <f t="shared" si="166"/>
        <v>0.76656804795922429</v>
      </c>
      <c r="AY188" s="74">
        <f>('Scénario référence'!$F$8+'Scénario référence'!$F$9+'Scénario référence'!$B$17+'Scénario référence'!$B$9+'Scénario référence'!$B$10)*70+IF((45+25*(1-EXP(-0.0175*A188)))&lt;70,'Scénario référence'!$B$16*(45+25*(1-EXP(-0.0175*A188))),70*'Scénario référence'!$B$16)+IF((32+38*(1-EXP(-0.0175*A188)))&lt;70,'Scénario référence'!$B$18*(32+38*(1-EXP(-0.0175*A188))),70*'Scénario référence'!$B$18)</f>
        <v>70</v>
      </c>
      <c r="AZ188" s="12">
        <f>IF(A188&gt;30,10,('Scénario référence'!$B$16+'Scénario référence'!$B$17+'Scénario référence'!$B$18+'Scénario référence'!$B$9+'Scénario référence'!$B$10)*A188*10/30+('Scénario référence'!$F$8+'Scénario référence'!$F$9)*10)</f>
        <v>10</v>
      </c>
      <c r="BA188" s="12" t="e">
        <f>VLOOKUP(A188,'Données projet'!$A$87:$I$107,2,0)</f>
        <v>#N/A</v>
      </c>
      <c r="BB188" s="12" t="e">
        <f>VLOOKUP(A188,'Données projet'!$A$87:$I$107,9,0)</f>
        <v>#N/A</v>
      </c>
      <c r="BC188" s="12">
        <f t="array" ref="BC188">INDEX(BB:BB,MIN(IF(ISNUMBER(BB188:BB384),ROW(BB188:BB384),"")))</f>
        <v>0</v>
      </c>
      <c r="BD188" s="12">
        <f>IF('Données projet'!$A$88&gt;35,BD187+BC188-BL187,IF(A188&lt;'Données projet'!$A$88,$BA$205^A188,IF(A188='Données projet'!$A$88,'Données projet'!$B$88,BD187+BC188-BL187)))</f>
        <v>553.99999999999955</v>
      </c>
      <c r="BE188" s="13">
        <f>BD188*VLOOKUP('Données projet'!$B$11,Paramètres!$A$1:$I$89,3,0)*VLOOKUP('Données projet'!$B$11,Paramètres!$A$1:$I$89,5,0)</f>
        <v>331.29199999999975</v>
      </c>
      <c r="BF188" s="13">
        <f t="shared" si="167"/>
        <v>77.698110787752</v>
      </c>
      <c r="BG188" s="20">
        <f t="shared" si="168"/>
        <v>712.32444295533423</v>
      </c>
      <c r="BH188" s="59">
        <f t="shared" si="116"/>
        <v>1005.6577762886675</v>
      </c>
      <c r="BI188" s="59">
        <f ca="1">AVERAGE(OFFSET($BH$3,0,0,'Données projet'!$E$11+1,1))-AVERAGE(OFFSET($H$3,0,0,'Données projet'!$E$11+1,1))</f>
        <v>316.58509520829671</v>
      </c>
      <c r="BJ188" s="59">
        <f t="shared" si="146"/>
        <v>240.71332110643596</v>
      </c>
      <c r="BK188" s="15">
        <f>IF(ISNA(VLOOKUP(A188,'Données projet'!$A$87:$I$107,3,0)),0,VLOOKUP(A188,'Données projet'!$A$87:$I$107,3,0))</f>
        <v>0</v>
      </c>
      <c r="BL188" s="15">
        <f>IF(ISNA(VLOOKUP(A188,'Données projet'!$A$87:$I$107,4,0)),0,VLOOKUP(A188,'Données projet'!$A$87:$I$107,4,0))</f>
        <v>0</v>
      </c>
      <c r="BM188" s="16">
        <f>IF(ISNA(VLOOKUP(A188,'Données projet'!$A$87:$I$107,5,0)),0%,VLOOKUP(A188,'Données projet'!$A$87:$I$107,5,0)*VLOOKUP('Données projet'!$B$11,Paramètres!$A$1:$I$89,7,0))</f>
        <v>0</v>
      </c>
      <c r="BN188" s="16">
        <f>IF(ISNA(VLOOKUP(A188,'Données projet'!$A$87:$I$107,6,0)),0%,VLOOKUP(A188,'Données projet'!$A$87:$I$107,6,0)*VLOOKUP('Données projet'!$B$11,Paramètres!$A$1:$I$89,7,0))</f>
        <v>0</v>
      </c>
      <c r="BO188" s="16">
        <f>IF(ISNA(VLOOKUP(A188,'Données projet'!$A$87:$I$107,7,0)),0%,VLOOKUP(A188,'Données projet'!$A$87:$I$107,7,0))</f>
        <v>0</v>
      </c>
      <c r="BP188" s="21">
        <f>EXP(-LN(2)/35)*BP187+(1-EXP(-LN(2)/35))/(LN(2)/35)*BL188*BM188*VLOOKUP('Données projet'!$B$11,Paramètres!$A$1:$I$89,3,0)*0.475*44/12</f>
        <v>0.11769758857685869</v>
      </c>
      <c r="BQ188" s="21">
        <f>EXP(-LN(2)/25)*BQ187+(1-EXP(-LN(2)/25))/(LN(2)/25)*Calculateur!BL188*Calculateur!BN188*VLOOKUP('Données projet'!$B$11,Paramètres!$A$1:$I$89,3,0)*0.475*44/12</f>
        <v>0.20767972198403745</v>
      </c>
      <c r="BR188" s="21">
        <f>EXP(-LN(2)/2)*BR187+(1-EXP(-LN(2)/2))/(LN(2)/2)*BL188*BO188*VLOOKUP('Données projet'!$B$11,Paramètres!$A$1:$I$89,3,0)*0.475*44/12</f>
        <v>1.0265945524842864E-22</v>
      </c>
      <c r="BS188" s="22">
        <f t="shared" si="169"/>
        <v>0.32537731056089614</v>
      </c>
      <c r="BT188" s="75">
        <f>('Scénario référence'!$F$8+'Scénario référence'!$F$9+'Scénario référence'!$B$17+'Scénario référence'!$B$9+'Scénario référence'!$B$10)*70+IF((45+25*(1-EXP(-0.0175*A188)))&lt;70,'Scénario référence'!$B$16*(45+25*(1-EXP(-0.0175*A188))),70*'Scénario référence'!$B$16)+IF((32+38*(1-EXP(-0.0175*A188)))&lt;70,'Scénario référence'!$B$18*(32+38*(1-EXP(-0.0175*A188))),70*'Scénario référence'!$B$18)</f>
        <v>70</v>
      </c>
      <c r="BU188" s="12">
        <f>IF(A188&gt;30,10,('Scénario référence'!$B$16+'Scénario référence'!$B$17+'Scénario référence'!$B$18+'Scénario référence'!$B$9+'Scénario référence'!$B$10)*A188*10/30+('Scénario référence'!$F$8+'Scénario référence'!$F$9)*10)</f>
        <v>10</v>
      </c>
      <c r="BV188" s="12" t="e">
        <f>VLOOKUP(A188,'Données projet'!$A$113:$I$133,2,0)</f>
        <v>#N/A</v>
      </c>
      <c r="BW188" s="12" t="e">
        <f>VLOOKUP(A188,'Données projet'!$A$113:$I$133,9,0)</f>
        <v>#N/A</v>
      </c>
      <c r="BX188" s="12">
        <f t="array" ref="BX188">INDEX(BW:BW,MIN(IF(ISNUMBER(BW188:BW384),ROW(BW188:BW384),"")))</f>
        <v>0</v>
      </c>
      <c r="BY188" s="12">
        <f>IF('Données projet'!$A$114&gt;35,BY187+BX188-CG187,IF(A188&lt;'Données projet'!$A$114,$BV$205^A188,IF(A188='Données projet'!$A$114,'Données projet'!$B$114,BY187+BX188-CG187)))</f>
        <v>333.99999999999977</v>
      </c>
      <c r="BZ188" s="13">
        <f>BY188*VLOOKUP('Données projet'!$B$12,Paramètres!$A$1:$I$89,3,0)*VLOOKUP('Données projet'!$B$12,Paramètres!$A$1:$I$89,5,0)</f>
        <v>191.04799999999986</v>
      </c>
      <c r="CA188" s="13">
        <f t="shared" si="170"/>
        <v>47.771576544305155</v>
      </c>
      <c r="CB188" s="20">
        <f t="shared" si="171"/>
        <v>415.94409581466454</v>
      </c>
      <c r="CC188" s="59">
        <f t="shared" si="119"/>
        <v>709.27742914799785</v>
      </c>
      <c r="CD188" s="59">
        <f ca="1">AVERAGE(OFFSET($CC$3,0,0,'Données projet'!$E$12+1,1))-AVERAGE(OFFSET($H$3,0,0,'Données projet'!$E$12+1,1))</f>
        <v>188.64374818906128</v>
      </c>
      <c r="CE188" s="59">
        <f t="shared" si="148"/>
        <v>211.95157880548652</v>
      </c>
      <c r="CF188" s="15">
        <f>IF(ISNA(VLOOKUP(A188,'Données projet'!$A$113:$I$133,3,0)),0,VLOOKUP(A188,'Données projet'!$A$113:$I$133,3,0))</f>
        <v>0</v>
      </c>
      <c r="CG188" s="15">
        <f>IF(ISNA(VLOOKUP(A188,'Données projet'!$A$113:$I$133,4,0)),0,VLOOKUP(A188,'Données projet'!$A$113:$I$133,4,0))</f>
        <v>0</v>
      </c>
      <c r="CH188" s="16">
        <f>IF(ISNA(VLOOKUP(A188,'Données projet'!$A$113:$I$133,5,0)),0%,VLOOKUP(A188,'Données projet'!$A$113:$I$133,5,0)*VLOOKUP('Données projet'!$B$12,Paramètres!$A$1:$I$89,7,0))</f>
        <v>0</v>
      </c>
      <c r="CI188" s="16">
        <f>IF(ISNA(VLOOKUP(A188,'Données projet'!$A$113:$I$133,6,0)),0%,VLOOKUP(A188,'Données projet'!$A$113:$I$133,6,0)*VLOOKUP('Données projet'!$B$12,Paramètres!$A$1:$I$89,7,0))</f>
        <v>0</v>
      </c>
      <c r="CJ188" s="16">
        <f>IF(ISNA(VLOOKUP(A188,'Données projet'!$A$113:$I$133,7,0)),0%,VLOOKUP(A188,'Données projet'!$A$113:$I$133,7,0))</f>
        <v>0</v>
      </c>
      <c r="CK188" s="21">
        <f>EXP(-LN(2)/35)*CK187+(1-EXP(-LN(2)/35))/(LN(2)/35)*CG188*CH188*VLOOKUP('Données projet'!$B$12,Paramètres!$A$1:$I$89,3,0)*0.475*44/12</f>
        <v>0.114165940174981</v>
      </c>
      <c r="CL188" s="21">
        <f>EXP(-LN(2)/25)*CL187+(1-EXP(-LN(2)/25))/(LN(2)/25)*Calculateur!CG188*Calculateur!CI188*VLOOKUP('Données projet'!$B$12,Paramètres!$A$1:$I$89,3,0)*0.475*44/12</f>
        <v>0.19547285656636423</v>
      </c>
      <c r="CM188" s="21">
        <f>EXP(-LN(2)/2)*CM187+(1-EXP(-LN(2)/2))/(LN(2)/2)*CG188*CJ188*VLOOKUP('Données projet'!$B$12,Paramètres!$A$1:$I$89,3,0)*0.475*44/12</f>
        <v>9.9417650213034624E-23</v>
      </c>
      <c r="CN188" s="22">
        <f t="shared" si="172"/>
        <v>0.3096387967413452</v>
      </c>
      <c r="CO188" s="75">
        <f>('Scénario référence'!$F$8+'Scénario référence'!$F$9+'Scénario référence'!$B$17+'Scénario référence'!$B$9+'Scénario référence'!$B$10)*70+IF((45+25*(1-EXP(-0.0175*A188)))&lt;70,'Scénario référence'!$B$16*(45+25*(1-EXP(-0.0175*A188))),70*'Scénario référence'!$B$16)+IF((32+38*(1-EXP(-0.0175*A188)))&lt;70,'Scénario référence'!$B$18*(32+38*(1-EXP(-0.0175*A188))),70*'Scénario référence'!$B$18)</f>
        <v>70</v>
      </c>
      <c r="CP188" s="12">
        <f>IF(A188&gt;30,10,('Scénario référence'!$B$16+'Scénario référence'!$B$17+'Scénario référence'!$B$18+'Scénario référence'!$B$9+'Scénario référence'!$B$10)*A188*10/30+('Scénario référence'!$F$8+'Scénario référence'!$F$9)*10)</f>
        <v>10</v>
      </c>
      <c r="CQ188" s="12" t="e">
        <f>VLOOKUP(A188,'Données projet'!$A$139:$I$159,2,0)</f>
        <v>#N/A</v>
      </c>
      <c r="CR188" s="12" t="e">
        <f>VLOOKUP(A188,'Données projet'!$A$139:$I$159,9,0)</f>
        <v>#N/A</v>
      </c>
      <c r="CS188" s="12">
        <f t="array" ref="CS188">INDEX(CR:CR,MIN(IF(ISNUMBER(CR188:CR384),ROW(CR188:CR384),"")))</f>
        <v>0</v>
      </c>
      <c r="CT188" s="12">
        <f>IF('Données projet'!$A$140&gt;35,CT187+CS188-DB187,IF(A188&lt;'Données projet'!$A$140,$CQ$205^A188,IF(A188='Données projet'!$A$140,'Données projet'!$B$140,CT187+CS188-DB187)))</f>
        <v>0</v>
      </c>
      <c r="CU188" s="17" t="e">
        <f>CT188*VLOOKUP('Données projet'!$B$13,Paramètres!$A$1:$I$89,3,0)*VLOOKUP('Données projet'!$B$13,Paramètres!$A$1:$I$89,5,0)</f>
        <v>#N/A</v>
      </c>
      <c r="CV188" s="13" t="e">
        <f t="shared" si="173"/>
        <v>#N/A</v>
      </c>
      <c r="CW188" s="20" t="e">
        <f t="shared" si="174"/>
        <v>#N/A</v>
      </c>
      <c r="CX188" s="59" t="e">
        <f t="shared" si="122"/>
        <v>#N/A</v>
      </c>
      <c r="CY188" s="59" t="e">
        <f ca="1">AVERAGE(OFFSET($CX$3,0,0,'Données projet'!$E$13+1,1))-AVERAGE(OFFSET($H$3,0,0,'Données projet'!$E$13+1,1))</f>
        <v>#N/A</v>
      </c>
      <c r="CZ188" s="59" t="e">
        <f t="shared" si="150"/>
        <v>#N/A</v>
      </c>
      <c r="DA188" s="15">
        <f>IF(ISNA(VLOOKUP(A188,'Données projet'!$A$139:$I$159,3,0)),0,VLOOKUP(A188,'Données projet'!$A$139:$I$159,3,0))</f>
        <v>0</v>
      </c>
      <c r="DB188" s="15">
        <f>IF(ISNA(VLOOKUP(A188,'Données projet'!$A$139:$I$159,4,0)),0,VLOOKUP(A188,'Données projet'!$A$139:$I$159,4,0))</f>
        <v>0</v>
      </c>
      <c r="DC188" s="16">
        <f>IF(ISNA(VLOOKUP(A188,'Données projet'!$A$139:$I$159,5,0)),0%,VLOOKUP(A188,'Données projet'!$A$139:$I$159,5,0)*VLOOKUP('Données projet'!$B$13,Paramètres!$A$1:$I$89,7,0))</f>
        <v>0</v>
      </c>
      <c r="DD188" s="16">
        <f>IF(ISNA(VLOOKUP(A188,'Données projet'!$A$139:$I$159,6,0)),0%,VLOOKUP(A188,'Données projet'!$A$139:$I$159,6,0)*VLOOKUP('Données projet'!$B$13,Paramètres!$A$1:$I$89,7,0))</f>
        <v>0</v>
      </c>
      <c r="DE188" s="16">
        <f>IF(ISNA(VLOOKUP(A188,'Données projet'!$A$139:$I$159,7,0)),0%,VLOOKUP(A188,'Données projet'!$A$139:$I$159,7,0))</f>
        <v>0</v>
      </c>
      <c r="DF188" s="21" t="e">
        <f>EXP(-LN(2)/35)*DF187+(1-EXP(-LN(2)/35))/(LN(2)/35)*DB188*DC188*VLOOKUP('Données projet'!$B$13,Paramètres!$A$1:$I$89,3,0)*0.475*44/12</f>
        <v>#N/A</v>
      </c>
      <c r="DG188" s="21" t="e">
        <f>EXP(-LN(2)/25)*DG187+(1-EXP(-LN(2)/25))/(LN(2)/25)*Calculateur!DB188*Calculateur!DD188*VLOOKUP('Données projet'!$B$13,Paramètres!$A$1:$I$89,3,0)*0.475*44/12</f>
        <v>#N/A</v>
      </c>
      <c r="DH188" s="21" t="e">
        <f>EXP(-LN(2)/2)*DH187+(1-EXP(-LN(2)/2))/(LN(2)/2)*DB188*DE188*VLOOKUP('Données projet'!$B$13,Paramètres!$A$1:$I$89,3,0)*0.475*44/12</f>
        <v>#N/A</v>
      </c>
      <c r="DI188" s="22" t="e">
        <f t="shared" si="175"/>
        <v>#N/A</v>
      </c>
      <c r="DJ188" s="75">
        <f>('Scénario référence'!$F$8+'Scénario référence'!$F$9+'Scénario référence'!$B$17+'Scénario référence'!$B$9+'Scénario référence'!$B$10)*70+IF((45+25*(1-EXP(-0.0175*A188)))&lt;70,'Scénario référence'!$B$16*(45+25*(1-EXP(-0.0175*A188))),70*'Scénario référence'!$B$16)+IF((32+38*(1-EXP(-0.0175*A188)))&lt;70,'Scénario référence'!$B$18*(32+38*(1-EXP(-0.0175*A188))),70*'Scénario référence'!$B$18)</f>
        <v>70</v>
      </c>
      <c r="DK188" s="12">
        <f>IF(A188&gt;30,10,('Scénario référence'!$B$16+'Scénario référence'!$B$17+'Scénario référence'!$B$18+'Scénario référence'!$B$9+'Scénario référence'!$B$10)*A188*10/30+('Scénario référence'!$F$8+'Scénario référence'!$F$9)*10)</f>
        <v>10</v>
      </c>
      <c r="DL188" s="12" t="e">
        <f>VLOOKUP(A188,'Données projet'!$A$165:$I$185,2,0)</f>
        <v>#N/A</v>
      </c>
      <c r="DM188" s="12" t="e">
        <f>VLOOKUP(A188,'Données projet'!$A$165:$I$185,9,0)</f>
        <v>#N/A</v>
      </c>
      <c r="DN188" s="12">
        <f t="array" ref="DN188">INDEX(DM:DM,MIN(IF(ISNUMBER(DM188:DM384),ROW(DM188:DM384),"")))</f>
        <v>0</v>
      </c>
      <c r="DO188" s="12">
        <f>IF('Données projet'!$A$166&gt;35,DO187+DN188-DW187,IF(A188&lt;'Données projet'!$A$166,$DL$205^A188,IF(A188='Données projet'!$A$166,'Données projet'!$B$166,DO187+DN188-DW187)))</f>
        <v>268.00000000000017</v>
      </c>
      <c r="DP188" s="17">
        <f>DO188*VLOOKUP('Données projet'!$B$14,Paramètres!$A$1:$I$89,3,0)*VLOOKUP('Données projet'!$B$14,Paramètres!$A$1:$I$89,5,0)</f>
        <v>175.59360000000012</v>
      </c>
      <c r="DQ188" s="13">
        <f t="shared" si="176"/>
        <v>44.340433728638573</v>
      </c>
      <c r="DR188" s="20">
        <f t="shared" si="177"/>
        <v>383.05177541071242</v>
      </c>
      <c r="DS188" s="59">
        <f t="shared" si="125"/>
        <v>676.38510874404574</v>
      </c>
      <c r="DT188" s="59">
        <f ca="1">AVERAGE(OFFSET($DS$3,0,0,'Données projet'!$E$14+1,1))-AVERAGE(OFFSET($H$3,0,0,'Données projet'!$E$14+1,1))</f>
        <v>188.68915783955595</v>
      </c>
      <c r="DU188" s="59">
        <f t="shared" si="152"/>
        <v>240.82467772396944</v>
      </c>
      <c r="DV188" s="15">
        <f>IF(ISNA(VLOOKUP(A188,'Données projet'!$A$165:$I$185,3,0)),0,VLOOKUP(A188,'Données projet'!$A$165:$I$185,3,0))</f>
        <v>0</v>
      </c>
      <c r="DW188" s="15">
        <f>IF(ISNA(VLOOKUP(A188,'Données projet'!$A$165:$I$185,4,0)),0,VLOOKUP(A188,'Données projet'!$A$165:$I$185,4,0))</f>
        <v>0</v>
      </c>
      <c r="DX188" s="16">
        <f>IF(ISNA(VLOOKUP(A188,'Données projet'!$A$165:$I$185,5,0)),0%,VLOOKUP(A188,'Données projet'!$A$165:$I$185,5,0)*VLOOKUP('Données projet'!$B$14,Paramètres!$A$1:$I$89,7,0))</f>
        <v>0</v>
      </c>
      <c r="DY188" s="16">
        <f>IF(ISNA(VLOOKUP(A188,'Données projet'!$A$165:$I$185,6,0)),0%,VLOOKUP(A188,'Données projet'!$A$165:$I$185,6,0)*VLOOKUP('Données projet'!$B$14,Paramètres!$A$1:$I$89,7,0))</f>
        <v>0</v>
      </c>
      <c r="DZ188" s="16">
        <f>IF(ISNA(VLOOKUP(A188,'Données projet'!$A$165:$I$185,7,0)),0%,VLOOKUP(A188,'Données projet'!$A$165:$I$185,7,0))</f>
        <v>0</v>
      </c>
      <c r="EA188" s="21">
        <f>EXP(-LN(2)/35)*EA187+(1-EXP(-LN(2)/35))/(LN(2)/35)*DW188*DX188*VLOOKUP('Données projet'!$B$14,Paramètres!$A$1:$I$89,3,0)*0.475*44/12</f>
        <v>7.2314705371778823E-2</v>
      </c>
      <c r="EB188" s="21">
        <f>EXP(-LN(2)/25)*EB187+(1-EXP(-LN(2)/25))/(LN(2)/25)*Calculateur!DW188*Calculateur!DY188*VLOOKUP('Données projet'!$B$14,Paramètres!$A$1:$I$89,3,0)*0.475*44/12</f>
        <v>0.10933610757924186</v>
      </c>
      <c r="EC188" s="21">
        <f>EXP(-LN(2)/2)*EC187+(1-EXP(-LN(2)/2))/(LN(2)/2)*DW188*DZ188*VLOOKUP('Données projet'!$B$14,Paramètres!$A$1:$I$89,3,0)*0.475*44/12</f>
        <v>6.5492554389849633E-23</v>
      </c>
      <c r="ED188" s="22">
        <f t="shared" si="178"/>
        <v>0.1816508129510207</v>
      </c>
      <c r="EE188" s="75">
        <f>('Scénario référence'!$F$8+'Scénario référence'!$F$9+'Scénario référence'!$B$17+'Scénario référence'!$B$9+'Scénario référence'!$B$10)*70+IF((45+25*(1-EXP(-0.0175*A188)))&lt;70,'Scénario référence'!$B$16*(45+25*(1-EXP(-0.0175*A188))),70*'Scénario référence'!$B$16)+IF((32+38*(1-EXP(-0.0175*A188)))&lt;70,'Scénario référence'!$B$18*(32+38*(1-EXP(-0.0175*A188))),70*'Scénario référence'!$B$18)</f>
        <v>70</v>
      </c>
      <c r="EF188" s="12">
        <f>IF(A188&gt;30,10,('Scénario référence'!$B$16+'Scénario référence'!$B$17+'Scénario référence'!$B$18+'Scénario référence'!$B$9+'Scénario référence'!$B$10)*A188*10/30+('Scénario référence'!$F$8+'Scénario référence'!$F$9)*10)</f>
        <v>10</v>
      </c>
      <c r="EG188" s="12" t="e">
        <f>VLOOKUP(A188,'Données projet'!$A$191:$I$211,2,0)</f>
        <v>#N/A</v>
      </c>
      <c r="EH188" s="12" t="e">
        <f>VLOOKUP(A188,'Données projet'!$A$191:$I$211,9,0)</f>
        <v>#N/A</v>
      </c>
      <c r="EI188" s="12">
        <f t="array" ref="EI188">INDEX(EH:EH,MIN(IF(ISNUMBER(EH188:EH384),ROW(EH188:EH384),"")))</f>
        <v>0</v>
      </c>
      <c r="EJ188" s="12">
        <f>IF('Données projet'!$A$192&gt;35,EJ187+EI188-ER187,IF(A188&lt;'Données projet'!$A$192,$EG$205^A188,IF(A188='Données projet'!$A$192,'Données projet'!$B$192,EJ187+EI188-ER187)))</f>
        <v>275.99999999999972</v>
      </c>
      <c r="EK188" s="17">
        <f>EJ188*VLOOKUP('Données projet'!$B$15,Paramètres!$A$1:$I$89,3,0)*VLOOKUP('Données projet'!$B$15,Paramètres!$A$1:$I$89,5,0)</f>
        <v>223.8911999999998</v>
      </c>
      <c r="EL188" s="13">
        <f t="shared" si="179"/>
        <v>54.95975389514858</v>
      </c>
      <c r="EM188" s="20">
        <f t="shared" si="180"/>
        <v>485.66541136738346</v>
      </c>
      <c r="EN188" s="59">
        <f t="shared" si="128"/>
        <v>778.99874470071677</v>
      </c>
      <c r="EO188" s="59">
        <f ca="1">AVERAGE(OFFSET($EN$3,0,0,'Données projet'!$E$15+1,1))-AVERAGE(OFFSET($H$3,0,0,'Données projet'!$E$15+1,1))</f>
        <v>205.5272583787887</v>
      </c>
      <c r="EP188" s="59">
        <f t="shared" si="154"/>
        <v>180.54762778843178</v>
      </c>
      <c r="EQ188" s="15">
        <f>IF(ISNA(VLOOKUP(A188,'Données projet'!$A$191:$I$211,3,0)),0,VLOOKUP(A188,'Données projet'!$A$191:$I$211,3,0))</f>
        <v>0</v>
      </c>
      <c r="ER188" s="15">
        <f>IF(ISNA(VLOOKUP(A188,'Données projet'!$A$191:$I$211,4,0)),0,VLOOKUP(A188,'Données projet'!$A$191:$I$211,4,0))</f>
        <v>0</v>
      </c>
      <c r="ES188" s="16">
        <f>IF(ISNA(VLOOKUP(A188,'Données projet'!$A$191:$I$211,5,0)),0%,VLOOKUP(A188,'Données projet'!$A$191:$I$211,5,0)*VLOOKUP('Données projet'!$B$15,Paramètres!$A$1:$I$89,7,0))</f>
        <v>0</v>
      </c>
      <c r="ET188" s="16">
        <f>IF(ISNA(VLOOKUP(A188,'Données projet'!$A$191:$I$211,6,0)),0%,VLOOKUP(A188,'Données projet'!$A$191:$I$211,6,0)*VLOOKUP('Données projet'!$B$15,Paramètres!$A$1:$I$89,7,0))</f>
        <v>0</v>
      </c>
      <c r="EU188" s="16">
        <f>IF(ISNA(VLOOKUP(A188,'Données projet'!$A$191:$I$211,7,0)),0%,VLOOKUP(A188,'Données projet'!$A$191:$I$211,7,0))</f>
        <v>0</v>
      </c>
      <c r="EV188" s="21">
        <f>EXP(-LN(2)/35)*EV187+(1-EXP(-LN(2)/35))/(LN(2)/35)*ER188*ES188*VLOOKUP('Données projet'!$B$15,Paramètres!$A$1:$I$89,3,0)*0.475*44/12</f>
        <v>4.6556896029830923E-2</v>
      </c>
      <c r="EW188" s="21">
        <f>EXP(-LN(2)/25)*EW187+(1-EXP(-LN(2)/25))/(LN(2)/25)*Calculateur!ER188*Calculateur!ET188*VLOOKUP('Données projet'!$B$15,Paramètres!$A$1:$I$89,3,0)*0.475*44/12</f>
        <v>7.8943986488532208E-2</v>
      </c>
      <c r="EX188" s="21">
        <f>EXP(-LN(2)/2)*EX187+(1-EXP(-LN(2)/2))/(LN(2)/2)*ER188*EU188*VLOOKUP('Données projet'!$B$15,Paramètres!$A$1:$I$89,3,0)*0.475*44/12</f>
        <v>4.2406477394338647E-23</v>
      </c>
      <c r="EY188" s="22">
        <f t="shared" si="181"/>
        <v>0.12550088251836314</v>
      </c>
      <c r="EZ188" s="75">
        <f>('Scénario référence'!$F$8+'Scénario référence'!$F$9+'Scénario référence'!$B$17+'Scénario référence'!$B$9+'Scénario référence'!$B$10)*70+IF((45+25*(1-EXP(-0.0175*A188)))&lt;70,'Scénario référence'!$B$16*(45+25*(1-EXP(-0.0175*A188))),70*'Scénario référence'!$B$16)+IF((32+38*(1-EXP(-0.0175*A188)))&lt;70,'Scénario référence'!$B$18*(32+38*(1-EXP(-0.0175*A188))),70*'Scénario référence'!$B$18)</f>
        <v>70</v>
      </c>
      <c r="FA188" s="12">
        <f>IF(A188&gt;30,10,('Scénario référence'!$B$16+'Scénario référence'!$B$17+'Scénario référence'!$B$18+'Scénario référence'!$B$9+'Scénario référence'!$B$10)*A188*10/30+('Scénario référence'!$F$8+'Scénario référence'!$F$9)*10)</f>
        <v>10</v>
      </c>
      <c r="FB188" s="12" t="e">
        <f>VLOOKUP(A188,'Données projet'!$A$217:$I$237,2,0)</f>
        <v>#N/A</v>
      </c>
      <c r="FC188" s="12" t="e">
        <f>VLOOKUP(A188,'Données projet'!$A$217:$I$237,9,0)</f>
        <v>#N/A</v>
      </c>
      <c r="FD188" s="12">
        <f t="array" ref="FD188">INDEX(FC:FC,MIN(IF(ISNUMBER(FC188:FC384),ROW(FC188:FC384),"")))</f>
        <v>0</v>
      </c>
      <c r="FE188" s="12">
        <f>IF('Données projet'!$A$218&gt;35,FE187+FD188-FM187,IF(A188&lt;'Données projet'!$A$218,$FB$205^A188,IF(A188='Données projet'!$A$218,'Données projet'!$B$218,FE187+FD188-FM187)))</f>
        <v>418.99999999999983</v>
      </c>
      <c r="FF188" s="17">
        <f>FE188*VLOOKUP('Données projet'!$B$16,Paramètres!$A$1:$I$89,3,0)*VLOOKUP('Données projet'!$B$16,Paramètres!$A$1:$I$89,5,0)</f>
        <v>359.5019999999999</v>
      </c>
      <c r="FG188" s="13">
        <f t="shared" si="182"/>
        <v>83.516011055432813</v>
      </c>
      <c r="FH188" s="20">
        <f t="shared" si="183"/>
        <v>771.58970258821194</v>
      </c>
      <c r="FI188" s="59">
        <f t="shared" si="131"/>
        <v>1064.9230359215453</v>
      </c>
      <c r="FJ188" s="59">
        <f ca="1">AVERAGE(OFFSET($FI$3,0,0,'Données projet'!$E$16+1,1))-AVERAGE(OFFSET($H$3,0,0,'Données projet'!$E$16+1,1))</f>
        <v>383.97627237444709</v>
      </c>
      <c r="FK188" s="59">
        <f t="shared" si="156"/>
        <v>203.35476578922339</v>
      </c>
      <c r="FL188" s="15">
        <f>IF(ISNA(VLOOKUP(A188,'Données projet'!$A$217:$I$237,3,0)),0,VLOOKUP(A188,'Données projet'!$A$217:$I$237,3,0))</f>
        <v>0</v>
      </c>
      <c r="FM188" s="15">
        <f>IF(ISNA(VLOOKUP(A188,'Données projet'!$A$217:$I$237,4,0)),0,VLOOKUP(A188,'Données projet'!$A$217:$I$237,4,0))</f>
        <v>0</v>
      </c>
      <c r="FN188" s="16">
        <f>IF(ISNA(VLOOKUP(A188,'Données projet'!$A$217:$I$237,5,0)),0%,VLOOKUP(A188,'Données projet'!$A$217:$I$237,5,0)*VLOOKUP('Données projet'!$B$16,Paramètres!$A$1:$I$89,7,0))</f>
        <v>0</v>
      </c>
      <c r="FO188" s="16">
        <f>IF(ISNA(VLOOKUP(A188,'Données projet'!$A$217:$I$237,6,0)),0%,VLOOKUP(A188,'Données projet'!$A$217:$I$237,6,0)*VLOOKUP('Données projet'!$B$16,Paramètres!$A$1:$I$89,7,0))</f>
        <v>0</v>
      </c>
      <c r="FP188" s="16">
        <f>IF(ISNA(VLOOKUP(A188,'Données projet'!$A$217:$I$237,7,0)),0%,VLOOKUP(A188,'Données projet'!$A$217:$I$237,7,0))</f>
        <v>0</v>
      </c>
      <c r="FQ188" s="21">
        <f>EXP(-LN(2)/35)*FQ187+(1-EXP(-LN(2)/35))/(LN(2)/35)*FM188*FN188*VLOOKUP('Données projet'!$B$16,Paramètres!$A$1:$I$89,3,0)*0.475*44/12</f>
        <v>0.23927718750022625</v>
      </c>
      <c r="FR188" s="21">
        <f>EXP(-LN(2)/25)*FR187+(1-EXP(-LN(2)/25))/(LN(2)/25)*Calculateur!FM188*Calculateur!FO188*VLOOKUP('Données projet'!$B$16,Paramètres!$A$1:$I$89,3,0)*0.475*44/12</f>
        <v>8.0136305922331869E-2</v>
      </c>
      <c r="FS188" s="21">
        <f>EXP(-LN(2)/2)*FS187+(1-EXP(-LN(2)/2))/(LN(2)/2)*FM188*FP188*VLOOKUP('Données projet'!$B$16,Paramètres!$A$1:$I$89,3,0)*0.475*44/12</f>
        <v>7.7891995904192017E-23</v>
      </c>
      <c r="FT188" s="22">
        <f t="shared" si="184"/>
        <v>0.31941349342255809</v>
      </c>
      <c r="FU188" s="75">
        <f>('Scénario référence'!$F$8+'Scénario référence'!$F$9+'Scénario référence'!$B$17+'Scénario référence'!$B$9+'Scénario référence'!$B$10)*70+IF((45+25*(1-EXP(-0.0175*A188)))&lt;70,'Scénario référence'!$B$16*(45+25*(1-EXP(-0.0175*A188))),70*'Scénario référence'!$B$16)+IF((32+38*(1-EXP(-0.0175*A188)))&lt;70,'Scénario référence'!$B$18*(32+38*(1-EXP(-0.0175*A188))),70*'Scénario référence'!$B$18)</f>
        <v>70</v>
      </c>
      <c r="FV188" s="12">
        <f>IF(A188&gt;30,10,('Scénario référence'!$B$16+'Scénario référence'!$B$17+'Scénario référence'!$B$18+'Scénario référence'!$B$9+'Scénario référence'!$B$10)*A188*10/30+('Scénario référence'!$F$8+'Scénario référence'!$F$9)*10)</f>
        <v>10</v>
      </c>
      <c r="FW188" s="12" t="e">
        <f>VLOOKUP(A188,'Données projet'!$A$243:$I$263,2,0)</f>
        <v>#N/A</v>
      </c>
      <c r="FX188" s="12" t="e">
        <f>VLOOKUP(A188,'Données projet'!$A$243:$I$263,9,0)</f>
        <v>#N/A</v>
      </c>
      <c r="FY188" s="12">
        <f t="array" ref="FY188">INDEX(FX:FX,MIN(IF(ISNUMBER(FX188:FX384),ROW(FX188:FX384),"")))</f>
        <v>0</v>
      </c>
      <c r="FZ188" s="12">
        <f>IF('Données projet'!$A$244&gt;35,FZ187+FY188-GH187,IF(A188&lt;'Données projet'!$A$244,$FW$205^A188,IF(A188='Données projet'!$A$244,'Données projet'!$B$244,FZ187+FY188-GH187)))</f>
        <v>4.5474735088646412E-13</v>
      </c>
      <c r="GA188" s="17">
        <f>FZ188*VLOOKUP('Données projet'!$B$17,Paramètres!$A$1:$I$89,3,0)*VLOOKUP('Données projet'!$B$17,Paramètres!$A$1:$I$89,5,0)</f>
        <v>4.8949004849418999E-13</v>
      </c>
      <c r="GB188" s="13">
        <f t="shared" si="185"/>
        <v>6.1123715499968684E-12</v>
      </c>
      <c r="GC188" s="20">
        <f t="shared" si="186"/>
        <v>1.1498242284038591E-11</v>
      </c>
      <c r="GD188" s="59">
        <f t="shared" si="134"/>
        <v>293.3333333333448</v>
      </c>
      <c r="GE188" s="59">
        <f ca="1">AVERAGE(OFFSET($GD$3,0,0,'Données projet'!$E$17+1,1))-AVERAGE(OFFSET($H$3,0,0,'Données projet'!$E$17+1,1))</f>
        <v>286.77702855541287</v>
      </c>
      <c r="GF188" s="59">
        <f t="shared" si="158"/>
        <v>227.12211541860779</v>
      </c>
      <c r="GG188" s="15">
        <f>IF(ISNA(VLOOKUP(A188,'Données projet'!$A$243:$I$263,3,0)),0,VLOOKUP(A188,'Données projet'!$A$243:$I$263,3,0))</f>
        <v>0</v>
      </c>
      <c r="GH188" s="15">
        <f>IF(ISNA(VLOOKUP(A188,'Données projet'!$A$243:$I$263,4,0)),0,VLOOKUP(A188,'Données projet'!$A$243:$I$263,4,0))</f>
        <v>0</v>
      </c>
      <c r="GI188" s="16">
        <f>IF(ISNA(VLOOKUP(A188,'Données projet'!$A$243:$I$263,5,0)),0%,VLOOKUP(A188,'Données projet'!$A$243:$I$263,5,0)*VLOOKUP('Données projet'!$B$17,Paramètres!$A$1:$I$89,7,0))</f>
        <v>0</v>
      </c>
      <c r="GJ188" s="16">
        <f>IF(ISNA(VLOOKUP(A188,'Données projet'!$A$243:$I$263,6,0)),0%,VLOOKUP(A188,'Données projet'!$A$243:$I$263,6,0)*VLOOKUP('Données projet'!$B$17,Paramètres!$A$1:$I$89,7,0))</f>
        <v>0</v>
      </c>
      <c r="GK188" s="16">
        <f>IF(ISNA(VLOOKUP(A188,'Données projet'!$A$243:$I$263,7,0)),0%,VLOOKUP(A188,'Données projet'!$A$243:$I$263,7,0))</f>
        <v>0</v>
      </c>
      <c r="GL188" s="21">
        <f>EXP(-LN(2)/35)*GL187+(1-EXP(-LN(2)/35))/(LN(2)/35)*GH188*GI188*VLOOKUP('Données projet'!$B$17,Paramètres!$A$1:$I$89,3,0)*0.475*44/12</f>
        <v>0</v>
      </c>
      <c r="GM188" s="21">
        <f>EXP(-LN(2)/25)*GM187+(1-EXP(-LN(2)/25))/(LN(2)/25)*Calculateur!GH188*Calculateur!GJ188*VLOOKUP('Données projet'!$B$17,Paramètres!$A$1:$I$89,3,0)*0.475*44/12</f>
        <v>0</v>
      </c>
      <c r="GN188" s="21">
        <f>EXP(-LN(2)/2)*GN187+(1-EXP(-LN(2)/2))/(LN(2)/2)*GH188*GK188*VLOOKUP('Données projet'!$B$17,Paramètres!$A$1:$I$89,3,0)*0.475*44/12</f>
        <v>0</v>
      </c>
      <c r="GO188" s="21">
        <f t="shared" si="187"/>
        <v>0</v>
      </c>
      <c r="GP188" s="75">
        <f>('Scénario référence'!$F$8+'Scénario référence'!$F$9+'Scénario référence'!$B$17+'Scénario référence'!$B$9+'Scénario référence'!$B$10)*70+IF((45+25*(1-EXP(-0.0175*A188)))&lt;70,'Scénario référence'!$B$16*(45+25*(1-EXP(-0.0175*A188))),70*'Scénario référence'!$B$16)+IF((32+38*(1-EXP(-0.0175*A188)))&lt;70,'Scénario référence'!$B$18*(32+38*(1-EXP(-0.0175*A188))),70*'Scénario référence'!$B$18)</f>
        <v>70</v>
      </c>
      <c r="GQ188" s="12">
        <f>IF(A188&gt;30,10,('Scénario référence'!$B$16+'Scénario référence'!$B$17+'Scénario référence'!$B$18+'Scénario référence'!$B$9+'Scénario référence'!$B$10)*A188*10/30+('Scénario référence'!$F$8+'Scénario référence'!$F$9)*10)</f>
        <v>10</v>
      </c>
      <c r="GR188" s="12" t="e">
        <f>VLOOKUP(A188,'Données projet'!$A$269:$I$289,2,0)</f>
        <v>#N/A</v>
      </c>
      <c r="GS188" s="12" t="e">
        <f>VLOOKUP(A188,'Données projet'!$A$269:$I$289,9,0)</f>
        <v>#N/A</v>
      </c>
      <c r="GT188" s="12">
        <f t="array" ref="GT188">INDEX(GS:GS,MIN(IF(ISNUMBER(GS188:GS384),ROW(GS188:GS384),"")))</f>
        <v>0</v>
      </c>
      <c r="GU188" s="12">
        <f>IF('Données projet'!$A$270&gt;35,GU187+GT188-HC187,IF(A188&lt;'Données projet'!$A$270,$GR$205^A188,IF(A188='Données projet'!$A$270,'Données projet'!$B$270,GU187+GT188-HC187)))</f>
        <v>4.5474735088646412E-13</v>
      </c>
      <c r="GV188" s="17">
        <f>GU188*VLOOKUP('Données projet'!$B$18,Paramètres!$A$1:$I$89,3,0)*VLOOKUP('Données projet'!$B$18,Paramètres!$A$1:$I$89,5,0)</f>
        <v>4.8949004849418999E-13</v>
      </c>
      <c r="GW188" s="13">
        <f t="shared" si="188"/>
        <v>6.1123715499968684E-12</v>
      </c>
      <c r="GX188" s="20">
        <f t="shared" si="189"/>
        <v>1.1498242284038591E-11</v>
      </c>
      <c r="GY188" s="59">
        <f t="shared" si="137"/>
        <v>293.3333333333448</v>
      </c>
      <c r="GZ188" s="59">
        <f ca="1">AVERAGE(OFFSET($GY$3,0,0,'Données projet'!$E$18+1,1))-AVERAGE(OFFSET($H$3,0,0,'Données projet'!$E$18+1,1))</f>
        <v>286.77702855541287</v>
      </c>
      <c r="HA188" s="59">
        <f t="shared" si="160"/>
        <v>227.12211541860779</v>
      </c>
      <c r="HB188" s="15">
        <f>IF(ISNA(VLOOKUP(A188,'Données projet'!$A$269:$I$289,3,0)),0,VLOOKUP(A188,'Données projet'!$A$269:$I$289,3,0))</f>
        <v>0</v>
      </c>
      <c r="HC188" s="15">
        <f>IF(ISNA(VLOOKUP(A188,'Données projet'!$A$269:$I$289,4,0)),0,VLOOKUP(A188,'Données projet'!$A$269:$I$289,4,0))</f>
        <v>0</v>
      </c>
      <c r="HD188" s="16">
        <f>IF(ISNA(VLOOKUP(A188,'Données projet'!$A$269:$I$289,5,0)),0%,VLOOKUP(A188,'Données projet'!$A$269:$I$289,5,0)*VLOOKUP('Données projet'!$B$18,Paramètres!$A$1:$I$89,7,0))</f>
        <v>0</v>
      </c>
      <c r="HE188" s="16">
        <f>IF(ISNA(VLOOKUP(A188,'Données projet'!$A$269:$I$289,6,0)),0%,VLOOKUP(A188,'Données projet'!$A$269:$I$289,6,0)*VLOOKUP('Données projet'!$B$18,Paramètres!$A$1:$I$89,7,0))</f>
        <v>0</v>
      </c>
      <c r="HF188" s="16">
        <f>IF(ISNA(VLOOKUP(A188,'Données projet'!$A$269:$I$289,7,0)),0%,VLOOKUP(A188,'Données projet'!$A$269:$I$289,7,0))</f>
        <v>0</v>
      </c>
      <c r="HG188" s="21">
        <f>EXP(-LN(2)/35)*HG187+(1-EXP(-LN(2)/35))/(LN(2)/35)*HC188*HD188*VLOOKUP('Données projet'!$B$18,Paramètres!$A$1:$I$89,3,0)*0.475*44/12</f>
        <v>0</v>
      </c>
      <c r="HH188" s="21">
        <f>EXP(-LN(2)/25)*HH187+(1-EXP(-LN(2)/25))/(LN(2)/25)*Calculateur!HC188*Calculateur!HE188*VLOOKUP('Données projet'!$B$18,Paramètres!$A$1:$I$89,3,0)*0.475*44/12</f>
        <v>0</v>
      </c>
      <c r="HI188" s="21">
        <f>EXP(-LN(2)/2)*HI187+(1-EXP(-LN(2)/2))/(LN(2)/2)*HC188*HF188*VLOOKUP('Données projet'!$B$18,Paramètres!$A$1:$I$89,3,0)*0.475*44/12</f>
        <v>0</v>
      </c>
      <c r="HJ188" s="22">
        <f t="shared" si="190"/>
        <v>0</v>
      </c>
    </row>
    <row r="189" spans="1:218" x14ac:dyDescent="0.25">
      <c r="A189" s="10">
        <f t="shared" si="161"/>
        <v>186</v>
      </c>
      <c r="B189" s="73">
        <f>'Scénario référence'!$B$16*5+'Scénario référence'!$B$17*0+'Scénario référence'!$B$18*5</f>
        <v>0</v>
      </c>
      <c r="C189" s="19">
        <f>Calculateur!C188+'Scénario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165.39119999999974</v>
      </c>
      <c r="D189" s="11">
        <f t="shared" si="140"/>
        <v>42.056160358234798</v>
      </c>
      <c r="E18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89" s="11">
        <f>IF(OR('Scénario référence'!$F$8&gt;0,'Scénario référence'!$F$9&gt;0),('Scénario référence'!$F$8+'Scénario référence'!$F$9)*10,0)</f>
        <v>10</v>
      </c>
      <c r="G189" s="11">
        <f>'Scénario référence'!$B$8*B189*44/12+'Scénario référence'!$B$9*(C189+D189)/0.475*44/12+'Scénario référence'!$B$10*(C189+D189)/0.475*44/12+'Scénario référence'!$F$8*(C189+D189)/0.475*44/12+'Scénario référence'!$F$9*(C189+D189)/0.475*44/12</f>
        <v>1601.3480448705823</v>
      </c>
      <c r="H189" s="67">
        <f t="shared" si="110"/>
        <v>654.63748595725838</v>
      </c>
      <c r="I189" s="70">
        <f>('Scénario référence'!$F$8+'Scénario référence'!$F$9+'Scénario référence'!$B$17+'Scénario référence'!$B$9+'Scénario référence'!$B$10)*70+IF((45+25*(1-EXP(-0.0175*A189)))&lt;70,'Scénario référence'!$B$16*(45+25*(1-EXP(-0.0175*A189))),70*'Scénario référence'!$B$16)+IF((32+38*(1-EXP(-0.0175*A189)))&lt;70,'Scénario référence'!$B$18*(32+38*(1-EXP(-0.0175*A189))),70*'Scénario référence'!$B$18)</f>
        <v>70</v>
      </c>
      <c r="J189" s="13">
        <f>IF(A189&gt;30,10,('Scénario référence'!$B$16+'Scénario référence'!$B$17+'Scénario référence'!$B$18+'Scénario référence'!$B$9+'Scénario référence'!$B$10)*A189*10/30+('Scénario référence'!$F$8+'Scénario référence'!$F$9)*10)</f>
        <v>10</v>
      </c>
      <c r="K189" s="12" t="e">
        <f>VLOOKUP(A189,'Données projet'!$A$35:$I$55,2,0)</f>
        <v>#N/A</v>
      </c>
      <c r="L189" s="12" t="e">
        <f>VLOOKUP(A189,'Données projet'!$A$35:$I$55,9,0)</f>
        <v>#N/A</v>
      </c>
      <c r="M189" s="12">
        <f t="array" ref="M189">INDEX(L:L,MIN(IF(ISNUMBER(L189:L385),ROW(L189:L385),"")))</f>
        <v>0</v>
      </c>
      <c r="N189" s="13">
        <f>IF('Données projet'!$A$36&gt;35,N188+M189-V188,IF(A189&lt;'Données projet'!$A$36,$K$205^A189,IF(A189='Données projet'!$A$36,'Données projet'!$B$36,N188+M189-V188)))</f>
        <v>-2.2737367544323206E-13</v>
      </c>
      <c r="O189" s="13">
        <f>N189*VLOOKUP('Données projet'!$B$9,Paramètres!$A$1:$I$89,3,0)*VLOOKUP('Données projet'!$B$9,Paramètres!$A$1:$I$89,5,0)</f>
        <v>-1.2710188457276673E-13</v>
      </c>
      <c r="P189" s="13" t="e">
        <f t="shared" si="141"/>
        <v>#NUM!</v>
      </c>
      <c r="Q189" s="20" t="e">
        <f t="shared" si="162"/>
        <v>#NUM!</v>
      </c>
      <c r="R189" s="59" t="e">
        <f t="shared" si="109"/>
        <v>#NUM!</v>
      </c>
      <c r="S189" s="59">
        <f ca="1">AVERAGE(OFFSET($R$3,0,0,'Données projet'!$E$9+1,1))-AVERAGE(OFFSET($H$3,0,0,'Données projet'!$E$9+1,1))</f>
        <v>255.5374979188561</v>
      </c>
      <c r="T189" s="59">
        <f t="shared" si="142"/>
        <v>343.10418468620901</v>
      </c>
      <c r="U189" s="15">
        <f>IF(ISNA(VLOOKUP(A189,'Données projet'!$A$35:$I$55,3,0)),0,VLOOKUP(A189,'Données projet'!$A$35:$I$55,3,0))</f>
        <v>0</v>
      </c>
      <c r="V189" s="15">
        <f>IF(ISNA(VLOOKUP(A189,'Données projet'!$A$35:$I$55,4,0)),0,VLOOKUP(A189,'Données projet'!$A$35:$I$55,4,0))</f>
        <v>0</v>
      </c>
      <c r="W189" s="16">
        <f>IF(ISNA(VLOOKUP(A189,'Données projet'!$A$35:$I$55,5,0)),0%,VLOOKUP(A189,'Données projet'!$A$35:$I$55,5,0)*VLOOKUP('Données projet'!$B$9,Paramètres!$A$1:$I$89,7,0))</f>
        <v>0</v>
      </c>
      <c r="X189" s="16">
        <f>IF(ISNA(VLOOKUP(A189,'Données projet'!$A$35:$I$55,6,0)),0%,VLOOKUP(A189,'Données projet'!$A$35:$I$55,6,0)*VLOOKUP('Données projet'!$B$9,Paramètres!$A$1:$I$89,7,0))</f>
        <v>0</v>
      </c>
      <c r="Y189" s="16">
        <f>IF(ISNA(VLOOKUP(A189,'Données projet'!$A$35:$I$55,7,0)),0%,VLOOKUP(A189,'Données projet'!$A$35:$I$55,7,0))</f>
        <v>0</v>
      </c>
      <c r="Z189" s="21">
        <f>EXP(-LN(2)/35)*Z188+(1-EXP(-LN(2)/35))/(LN(2)/35)*V189*W189*VLOOKUP('Données projet'!$B$9,Paramètres!$A$1:$I$89,3,0)*0.475*44/12</f>
        <v>0.14067940582053806</v>
      </c>
      <c r="AA189" s="21">
        <f>EXP(-LN(2)/25)*AA188+(1-EXP(-LN(2)/25))/(LN(2)/25)*Calculateur!V189*Calculateur!X189*VLOOKUP('Données projet'!$B$9,Paramètres!$A$1:$I$89,3,0)*0.475*44/12</f>
        <v>0.21116054066633902</v>
      </c>
      <c r="AB189" s="21">
        <f>EXP(-LN(2)/2)*AB188+(1-EXP(-LN(2)/2))/(LN(2)/2)*V189*Y189*VLOOKUP('Données projet'!$B$9,Paramètres!$A$1:$I$89,3,0)*0.475*44/12</f>
        <v>5.6005159356878817E-24</v>
      </c>
      <c r="AC189" s="22">
        <f t="shared" si="163"/>
        <v>0.35183994648687711</v>
      </c>
      <c r="AD189" s="13">
        <f>('Scénario référence'!$F$8+'Scénario référence'!$F$9+'Scénario référence'!$B$17+'Scénario référence'!$B$9+'Scénario référence'!$B$10)*70+IF((45+25*(1-EXP(-0.0175*A189)))&lt;70,'Scénario référence'!$B$16*(45+25*(1-EXP(-0.0175*A189))),70*'Scénario référence'!$B$16)+IF((32+38*(1-EXP(-0.0175*A189)))&lt;70,'Scénario référence'!$B$18*(32+38*(1-EXP(-0.0175*A189))),70*'Scénario référence'!$B$18)</f>
        <v>70</v>
      </c>
      <c r="AE189" s="13">
        <f>IF(A189&gt;30,10,('Scénario référence'!$B$16+'Scénario référence'!$B$17+'Scénario référence'!$B$18+'Scénario référence'!$B$9+'Scénario référence'!$B$10)*A189*10/30+('Scénario référence'!$F$8+'Scénario référence'!$F$9)*10)</f>
        <v>10</v>
      </c>
      <c r="AF189" s="12" t="e">
        <f>VLOOKUP(A189,'Données projet'!$A$61:$I$81,2,0)</f>
        <v>#N/A</v>
      </c>
      <c r="AG189" s="12" t="e">
        <f>VLOOKUP(A189,'Données projet'!$A$61:$I$81,9,0)</f>
        <v>#N/A</v>
      </c>
      <c r="AH189" s="12">
        <f t="array" ref="AH189">INDEX(AG:AG,MIN(IF(ISNUMBER(AG189:AG385),ROW(AG189:AG385),"")))</f>
        <v>0</v>
      </c>
      <c r="AI189" s="13">
        <f>IF('Données projet'!$A$62&gt;35,AI188+AH189-AQ188,IF(A189&lt;'Données projet'!$A$62,$AF$205^A189,IF(A189='Données projet'!$A$62,'Données projet'!$B$62,AI188+AH189-AQ188)))</f>
        <v>0</v>
      </c>
      <c r="AJ189" s="13">
        <f>AI189*VLOOKUP('Données projet'!$B$10,Paramètres!$A$1:$I$89,3,0)*VLOOKUP('Données projet'!$B$10,Paramètres!$A$1:$I$89,5,0)</f>
        <v>0</v>
      </c>
      <c r="AK189" s="13" t="e">
        <f t="shared" si="164"/>
        <v>#NUM!</v>
      </c>
      <c r="AL189" s="20" t="e">
        <f t="shared" si="165"/>
        <v>#NUM!</v>
      </c>
      <c r="AM189" s="59" t="e">
        <f t="shared" si="113"/>
        <v>#NUM!</v>
      </c>
      <c r="AN189" s="59">
        <f ca="1">AVERAGE(OFFSET($AM$3,0,0,'Données projet'!$E$10+1,1))-AVERAGE(OFFSET($H$3,0,0,'Données projet'!$E$10+1,1))</f>
        <v>261.78489480911571</v>
      </c>
      <c r="AO189" s="59">
        <f t="shared" si="144"/>
        <v>297.50513563712764</v>
      </c>
      <c r="AP189" s="15">
        <f>IF(ISNA(VLOOKUP(A189,'Données projet'!$A$61:$I$81,3,0)),0,VLOOKUP(A189,'Données projet'!$A$61:$I$81,3,0))</f>
        <v>0</v>
      </c>
      <c r="AQ189" s="15">
        <f>IF(ISNA(VLOOKUP(A189,'Données projet'!$A$61:$I$81,4,0)),0,VLOOKUP(A189,'Données projet'!$A$61:$I$81,4,0))</f>
        <v>0</v>
      </c>
      <c r="AR189" s="16">
        <f>IF(ISNA(VLOOKUP(A189,'Données projet'!$A$61:$I$81,5,0)),0%,VLOOKUP(A189,'Données projet'!$A$61:$I$81,5,0)*VLOOKUP('Données projet'!$B$10,Paramètres!$A$1:$I$89,7,0))</f>
        <v>0</v>
      </c>
      <c r="AS189" s="16">
        <f>IF(ISNA(VLOOKUP(A189,'Données projet'!$A$61:$I$81,6,0)),0%,VLOOKUP(A189,'Données projet'!$A$61:$I$81,6,0)*VLOOKUP('Données projet'!$B$10,Paramètres!$A$1:$I$89,7,0))</f>
        <v>0</v>
      </c>
      <c r="AT189" s="16">
        <f>IF(ISNA(VLOOKUP(A189,'Données projet'!$A$61:$I$81,7,0)),0%,VLOOKUP(A189,'Données projet'!$A$61:$I$81,7,0))</f>
        <v>0</v>
      </c>
      <c r="AU189" s="21">
        <f>EXP(-LN(2)/35)*AU188+(1-EXP(-LN(2)/35))/(LN(2)/35)*AQ189*AR189*VLOOKUP('Données projet'!$B$10,Paramètres!$A$1:$I$89,3,0)*0.475*44/12</f>
        <v>0.37987418669453626</v>
      </c>
      <c r="AV189" s="21">
        <f>EXP(-LN(2)/25)*AV188+(1-EXP(-LN(2)/25))/(LN(2)/25)*Calculateur!AQ189*Calculateur!AS189*VLOOKUP('Données projet'!$B$10,Paramètres!$A$1:$I$89,3,0)*0.475*44/12</f>
        <v>0.36872937249198823</v>
      </c>
      <c r="AW189" s="21">
        <f>EXP(-LN(2)/2)*AW188+(1-EXP(-LN(2)/2))/(LN(2)/2)*AQ189*AT189*VLOOKUP('Données projet'!$B$10,Paramètres!$A$1:$I$89,3,0)*0.475*44/12</f>
        <v>8.0736768926617114E-23</v>
      </c>
      <c r="AX189" s="21">
        <f t="shared" si="166"/>
        <v>0.74860355918652455</v>
      </c>
      <c r="AY189" s="74">
        <f>('Scénario référence'!$F$8+'Scénario référence'!$F$9+'Scénario référence'!$B$17+'Scénario référence'!$B$9+'Scénario référence'!$B$10)*70+IF((45+25*(1-EXP(-0.0175*A189)))&lt;70,'Scénario référence'!$B$16*(45+25*(1-EXP(-0.0175*A189))),70*'Scénario référence'!$B$16)+IF((32+38*(1-EXP(-0.0175*A189)))&lt;70,'Scénario référence'!$B$18*(32+38*(1-EXP(-0.0175*A189))),70*'Scénario référence'!$B$18)</f>
        <v>70</v>
      </c>
      <c r="AZ189" s="12">
        <f>IF(A189&gt;30,10,('Scénario référence'!$B$16+'Scénario référence'!$B$17+'Scénario référence'!$B$18+'Scénario référence'!$B$9+'Scénario référence'!$B$10)*A189*10/30+('Scénario référence'!$F$8+'Scénario référence'!$F$9)*10)</f>
        <v>10</v>
      </c>
      <c r="BA189" s="12" t="e">
        <f>VLOOKUP(A189,'Données projet'!$A$87:$I$107,2,0)</f>
        <v>#N/A</v>
      </c>
      <c r="BB189" s="12" t="e">
        <f>VLOOKUP(A189,'Données projet'!$A$87:$I$107,9,0)</f>
        <v>#N/A</v>
      </c>
      <c r="BC189" s="12">
        <f t="array" ref="BC189">INDEX(BB:BB,MIN(IF(ISNUMBER(BB189:BB385),ROW(BB189:BB385),"")))</f>
        <v>0</v>
      </c>
      <c r="BD189" s="12">
        <f>IF('Données projet'!$A$88&gt;35,BD188+BC189-BL188,IF(A189&lt;'Données projet'!$A$88,$BA$205^A189,IF(A189='Données projet'!$A$88,'Données projet'!$B$88,BD188+BC189-BL188)))</f>
        <v>553.99999999999955</v>
      </c>
      <c r="BE189" s="13">
        <f>BD189*VLOOKUP('Données projet'!$B$11,Paramètres!$A$1:$I$89,3,0)*VLOOKUP('Données projet'!$B$11,Paramètres!$A$1:$I$89,5,0)</f>
        <v>331.29199999999975</v>
      </c>
      <c r="BF189" s="13">
        <f t="shared" si="167"/>
        <v>77.698110787752</v>
      </c>
      <c r="BG189" s="20">
        <f t="shared" si="168"/>
        <v>712.32444295533423</v>
      </c>
      <c r="BH189" s="59">
        <f t="shared" si="116"/>
        <v>1005.6577762886675</v>
      </c>
      <c r="BI189" s="59">
        <f ca="1">AVERAGE(OFFSET($BH$3,0,0,'Données projet'!$E$11+1,1))-AVERAGE(OFFSET($H$3,0,0,'Données projet'!$E$11+1,1))</f>
        <v>316.58509520829671</v>
      </c>
      <c r="BJ189" s="59">
        <f t="shared" si="146"/>
        <v>240.71332110643596</v>
      </c>
      <c r="BK189" s="15">
        <f>IF(ISNA(VLOOKUP(A189,'Données projet'!$A$87:$I$107,3,0)),0,VLOOKUP(A189,'Données projet'!$A$87:$I$107,3,0))</f>
        <v>0</v>
      </c>
      <c r="BL189" s="15">
        <f>IF(ISNA(VLOOKUP(A189,'Données projet'!$A$87:$I$107,4,0)),0,VLOOKUP(A189,'Données projet'!$A$87:$I$107,4,0))</f>
        <v>0</v>
      </c>
      <c r="BM189" s="16">
        <f>IF(ISNA(VLOOKUP(A189,'Données projet'!$A$87:$I$107,5,0)),0%,VLOOKUP(A189,'Données projet'!$A$87:$I$107,5,0)*VLOOKUP('Données projet'!$B$11,Paramètres!$A$1:$I$89,7,0))</f>
        <v>0</v>
      </c>
      <c r="BN189" s="16">
        <f>IF(ISNA(VLOOKUP(A189,'Données projet'!$A$87:$I$107,6,0)),0%,VLOOKUP(A189,'Données projet'!$A$87:$I$107,6,0)*VLOOKUP('Données projet'!$B$11,Paramètres!$A$1:$I$89,7,0))</f>
        <v>0</v>
      </c>
      <c r="BO189" s="16">
        <f>IF(ISNA(VLOOKUP(A189,'Données projet'!$A$87:$I$107,7,0)),0%,VLOOKUP(A189,'Données projet'!$A$87:$I$107,7,0))</f>
        <v>0</v>
      </c>
      <c r="BP189" s="21">
        <f>EXP(-LN(2)/35)*BP188+(1-EXP(-LN(2)/35))/(LN(2)/35)*BL189*BM189*VLOOKUP('Données projet'!$B$11,Paramètres!$A$1:$I$89,3,0)*0.475*44/12</f>
        <v>0.11538961065330701</v>
      </c>
      <c r="BQ189" s="21">
        <f>EXP(-LN(2)/25)*BQ188+(1-EXP(-LN(2)/25))/(LN(2)/25)*Calculateur!BL189*Calculateur!BN189*VLOOKUP('Données projet'!$B$11,Paramètres!$A$1:$I$89,3,0)*0.475*44/12</f>
        <v>0.20200070906498202</v>
      </c>
      <c r="BR189" s="21">
        <f>EXP(-LN(2)/2)*BR188+(1-EXP(-LN(2)/2))/(LN(2)/2)*BL189*BO189*VLOOKUP('Données projet'!$B$11,Paramètres!$A$1:$I$89,3,0)*0.475*44/12</f>
        <v>7.2591196959080796E-23</v>
      </c>
      <c r="BS189" s="22">
        <f t="shared" si="169"/>
        <v>0.31739031971828902</v>
      </c>
      <c r="BT189" s="75">
        <f>('Scénario référence'!$F$8+'Scénario référence'!$F$9+'Scénario référence'!$B$17+'Scénario référence'!$B$9+'Scénario référence'!$B$10)*70+IF((45+25*(1-EXP(-0.0175*A189)))&lt;70,'Scénario référence'!$B$16*(45+25*(1-EXP(-0.0175*A189))),70*'Scénario référence'!$B$16)+IF((32+38*(1-EXP(-0.0175*A189)))&lt;70,'Scénario référence'!$B$18*(32+38*(1-EXP(-0.0175*A189))),70*'Scénario référence'!$B$18)</f>
        <v>70</v>
      </c>
      <c r="BU189" s="12">
        <f>IF(A189&gt;30,10,('Scénario référence'!$B$16+'Scénario référence'!$B$17+'Scénario référence'!$B$18+'Scénario référence'!$B$9+'Scénario référence'!$B$10)*A189*10/30+('Scénario référence'!$F$8+'Scénario référence'!$F$9)*10)</f>
        <v>10</v>
      </c>
      <c r="BV189" s="12" t="e">
        <f>VLOOKUP(A189,'Données projet'!$A$113:$I$133,2,0)</f>
        <v>#N/A</v>
      </c>
      <c r="BW189" s="12" t="e">
        <f>VLOOKUP(A189,'Données projet'!$A$113:$I$133,9,0)</f>
        <v>#N/A</v>
      </c>
      <c r="BX189" s="12">
        <f t="array" ref="BX189">INDEX(BW:BW,MIN(IF(ISNUMBER(BW189:BW385),ROW(BW189:BW385),"")))</f>
        <v>0</v>
      </c>
      <c r="BY189" s="12">
        <f>IF('Données projet'!$A$114&gt;35,BY188+BX189-CG188,IF(A189&lt;'Données projet'!$A$114,$BV$205^A189,IF(A189='Données projet'!$A$114,'Données projet'!$B$114,BY188+BX189-CG188)))</f>
        <v>333.99999999999977</v>
      </c>
      <c r="BZ189" s="13">
        <f>BY189*VLOOKUP('Données projet'!$B$12,Paramètres!$A$1:$I$89,3,0)*VLOOKUP('Données projet'!$B$12,Paramètres!$A$1:$I$89,5,0)</f>
        <v>191.04799999999986</v>
      </c>
      <c r="CA189" s="13">
        <f t="shared" si="170"/>
        <v>47.771576544305155</v>
      </c>
      <c r="CB189" s="20">
        <f t="shared" si="171"/>
        <v>415.94409581466454</v>
      </c>
      <c r="CC189" s="59">
        <f t="shared" si="119"/>
        <v>709.27742914799785</v>
      </c>
      <c r="CD189" s="59">
        <f ca="1">AVERAGE(OFFSET($CC$3,0,0,'Données projet'!$E$12+1,1))-AVERAGE(OFFSET($H$3,0,0,'Données projet'!$E$12+1,1))</f>
        <v>188.64374818906128</v>
      </c>
      <c r="CE189" s="59">
        <f t="shared" si="148"/>
        <v>211.95157880548652</v>
      </c>
      <c r="CF189" s="15">
        <f>IF(ISNA(VLOOKUP(A189,'Données projet'!$A$113:$I$133,3,0)),0,VLOOKUP(A189,'Données projet'!$A$113:$I$133,3,0))</f>
        <v>0</v>
      </c>
      <c r="CG189" s="15">
        <f>IF(ISNA(VLOOKUP(A189,'Données projet'!$A$113:$I$133,4,0)),0,VLOOKUP(A189,'Données projet'!$A$113:$I$133,4,0))</f>
        <v>0</v>
      </c>
      <c r="CH189" s="16">
        <f>IF(ISNA(VLOOKUP(A189,'Données projet'!$A$113:$I$133,5,0)),0%,VLOOKUP(A189,'Données projet'!$A$113:$I$133,5,0)*VLOOKUP('Données projet'!$B$12,Paramètres!$A$1:$I$89,7,0))</f>
        <v>0</v>
      </c>
      <c r="CI189" s="16">
        <f>IF(ISNA(VLOOKUP(A189,'Données projet'!$A$113:$I$133,6,0)),0%,VLOOKUP(A189,'Données projet'!$A$113:$I$133,6,0)*VLOOKUP('Données projet'!$B$12,Paramètres!$A$1:$I$89,7,0))</f>
        <v>0</v>
      </c>
      <c r="CJ189" s="16">
        <f>IF(ISNA(VLOOKUP(A189,'Données projet'!$A$113:$I$133,7,0)),0%,VLOOKUP(A189,'Données projet'!$A$113:$I$133,7,0))</f>
        <v>0</v>
      </c>
      <c r="CK189" s="21">
        <f>EXP(-LN(2)/35)*CK188+(1-EXP(-LN(2)/35))/(LN(2)/35)*CG189*CH189*VLOOKUP('Données projet'!$B$12,Paramètres!$A$1:$I$89,3,0)*0.475*44/12</f>
        <v>0.11192721572249731</v>
      </c>
      <c r="CL189" s="21">
        <f>EXP(-LN(2)/25)*CL188+(1-EXP(-LN(2)/25))/(LN(2)/25)*Calculateur!CG189*Calculateur!CI189*VLOOKUP('Données projet'!$B$12,Paramètres!$A$1:$I$89,3,0)*0.475*44/12</f>
        <v>0.19012764102408625</v>
      </c>
      <c r="CM189" s="21">
        <f>EXP(-LN(2)/2)*CM188+(1-EXP(-LN(2)/2))/(LN(2)/2)*CG189*CJ189*VLOOKUP('Données projet'!$B$12,Paramètres!$A$1:$I$89,3,0)*0.475*44/12</f>
        <v>7.0298894635268993E-23</v>
      </c>
      <c r="CN189" s="22">
        <f t="shared" si="172"/>
        <v>0.30205485674658356</v>
      </c>
      <c r="CO189" s="75">
        <f>('Scénario référence'!$F$8+'Scénario référence'!$F$9+'Scénario référence'!$B$17+'Scénario référence'!$B$9+'Scénario référence'!$B$10)*70+IF((45+25*(1-EXP(-0.0175*A189)))&lt;70,'Scénario référence'!$B$16*(45+25*(1-EXP(-0.0175*A189))),70*'Scénario référence'!$B$16)+IF((32+38*(1-EXP(-0.0175*A189)))&lt;70,'Scénario référence'!$B$18*(32+38*(1-EXP(-0.0175*A189))),70*'Scénario référence'!$B$18)</f>
        <v>70</v>
      </c>
      <c r="CP189" s="12">
        <f>IF(A189&gt;30,10,('Scénario référence'!$B$16+'Scénario référence'!$B$17+'Scénario référence'!$B$18+'Scénario référence'!$B$9+'Scénario référence'!$B$10)*A189*10/30+('Scénario référence'!$F$8+'Scénario référence'!$F$9)*10)</f>
        <v>10</v>
      </c>
      <c r="CQ189" s="12" t="e">
        <f>VLOOKUP(A189,'Données projet'!$A$139:$I$159,2,0)</f>
        <v>#N/A</v>
      </c>
      <c r="CR189" s="12" t="e">
        <f>VLOOKUP(A189,'Données projet'!$A$139:$I$159,9,0)</f>
        <v>#N/A</v>
      </c>
      <c r="CS189" s="12">
        <f t="array" ref="CS189">INDEX(CR:CR,MIN(IF(ISNUMBER(CR189:CR385),ROW(CR189:CR385),"")))</f>
        <v>0</v>
      </c>
      <c r="CT189" s="12">
        <f>IF('Données projet'!$A$140&gt;35,CT188+CS189-DB188,IF(A189&lt;'Données projet'!$A$140,$CQ$205^A189,IF(A189='Données projet'!$A$140,'Données projet'!$B$140,CT188+CS189-DB188)))</f>
        <v>0</v>
      </c>
      <c r="CU189" s="17" t="e">
        <f>CT189*VLOOKUP('Données projet'!$B$13,Paramètres!$A$1:$I$89,3,0)*VLOOKUP('Données projet'!$B$13,Paramètres!$A$1:$I$89,5,0)</f>
        <v>#N/A</v>
      </c>
      <c r="CV189" s="13" t="e">
        <f t="shared" si="173"/>
        <v>#N/A</v>
      </c>
      <c r="CW189" s="20" t="e">
        <f t="shared" si="174"/>
        <v>#N/A</v>
      </c>
      <c r="CX189" s="59" t="e">
        <f t="shared" si="122"/>
        <v>#N/A</v>
      </c>
      <c r="CY189" s="59" t="e">
        <f ca="1">AVERAGE(OFFSET($CX$3,0,0,'Données projet'!$E$13+1,1))-AVERAGE(OFFSET($H$3,0,0,'Données projet'!$E$13+1,1))</f>
        <v>#N/A</v>
      </c>
      <c r="CZ189" s="59" t="e">
        <f t="shared" si="150"/>
        <v>#N/A</v>
      </c>
      <c r="DA189" s="15">
        <f>IF(ISNA(VLOOKUP(A189,'Données projet'!$A$139:$I$159,3,0)),0,VLOOKUP(A189,'Données projet'!$A$139:$I$159,3,0))</f>
        <v>0</v>
      </c>
      <c r="DB189" s="15">
        <f>IF(ISNA(VLOOKUP(A189,'Données projet'!$A$139:$I$159,4,0)),0,VLOOKUP(A189,'Données projet'!$A$139:$I$159,4,0))</f>
        <v>0</v>
      </c>
      <c r="DC189" s="16">
        <f>IF(ISNA(VLOOKUP(A189,'Données projet'!$A$139:$I$159,5,0)),0%,VLOOKUP(A189,'Données projet'!$A$139:$I$159,5,0)*VLOOKUP('Données projet'!$B$13,Paramètres!$A$1:$I$89,7,0))</f>
        <v>0</v>
      </c>
      <c r="DD189" s="16">
        <f>IF(ISNA(VLOOKUP(A189,'Données projet'!$A$139:$I$159,6,0)),0%,VLOOKUP(A189,'Données projet'!$A$139:$I$159,6,0)*VLOOKUP('Données projet'!$B$13,Paramètres!$A$1:$I$89,7,0))</f>
        <v>0</v>
      </c>
      <c r="DE189" s="16">
        <f>IF(ISNA(VLOOKUP(A189,'Données projet'!$A$139:$I$159,7,0)),0%,VLOOKUP(A189,'Données projet'!$A$139:$I$159,7,0))</f>
        <v>0</v>
      </c>
      <c r="DF189" s="21" t="e">
        <f>EXP(-LN(2)/35)*DF188+(1-EXP(-LN(2)/35))/(LN(2)/35)*DB189*DC189*VLOOKUP('Données projet'!$B$13,Paramètres!$A$1:$I$89,3,0)*0.475*44/12</f>
        <v>#N/A</v>
      </c>
      <c r="DG189" s="21" t="e">
        <f>EXP(-LN(2)/25)*DG188+(1-EXP(-LN(2)/25))/(LN(2)/25)*Calculateur!DB189*Calculateur!DD189*VLOOKUP('Données projet'!$B$13,Paramètres!$A$1:$I$89,3,0)*0.475*44/12</f>
        <v>#N/A</v>
      </c>
      <c r="DH189" s="21" t="e">
        <f>EXP(-LN(2)/2)*DH188+(1-EXP(-LN(2)/2))/(LN(2)/2)*DB189*DE189*VLOOKUP('Données projet'!$B$13,Paramètres!$A$1:$I$89,3,0)*0.475*44/12</f>
        <v>#N/A</v>
      </c>
      <c r="DI189" s="22" t="e">
        <f t="shared" si="175"/>
        <v>#N/A</v>
      </c>
      <c r="DJ189" s="75">
        <f>('Scénario référence'!$F$8+'Scénario référence'!$F$9+'Scénario référence'!$B$17+'Scénario référence'!$B$9+'Scénario référence'!$B$10)*70+IF((45+25*(1-EXP(-0.0175*A189)))&lt;70,'Scénario référence'!$B$16*(45+25*(1-EXP(-0.0175*A189))),70*'Scénario référence'!$B$16)+IF((32+38*(1-EXP(-0.0175*A189)))&lt;70,'Scénario référence'!$B$18*(32+38*(1-EXP(-0.0175*A189))),70*'Scénario référence'!$B$18)</f>
        <v>70</v>
      </c>
      <c r="DK189" s="12">
        <f>IF(A189&gt;30,10,('Scénario référence'!$B$16+'Scénario référence'!$B$17+'Scénario référence'!$B$18+'Scénario référence'!$B$9+'Scénario référence'!$B$10)*A189*10/30+('Scénario référence'!$F$8+'Scénario référence'!$F$9)*10)</f>
        <v>10</v>
      </c>
      <c r="DL189" s="12" t="e">
        <f>VLOOKUP(A189,'Données projet'!$A$165:$I$185,2,0)</f>
        <v>#N/A</v>
      </c>
      <c r="DM189" s="12" t="e">
        <f>VLOOKUP(A189,'Données projet'!$A$165:$I$185,9,0)</f>
        <v>#N/A</v>
      </c>
      <c r="DN189" s="12">
        <f t="array" ref="DN189">INDEX(DM:DM,MIN(IF(ISNUMBER(DM189:DM385),ROW(DM189:DM385),"")))</f>
        <v>0</v>
      </c>
      <c r="DO189" s="12">
        <f>IF('Données projet'!$A$166&gt;35,DO188+DN189-DW188,IF(A189&lt;'Données projet'!$A$166,$DL$205^A189,IF(A189='Données projet'!$A$166,'Données projet'!$B$166,DO188+DN189-DW188)))</f>
        <v>268.00000000000017</v>
      </c>
      <c r="DP189" s="17">
        <f>DO189*VLOOKUP('Données projet'!$B$14,Paramètres!$A$1:$I$89,3,0)*VLOOKUP('Données projet'!$B$14,Paramètres!$A$1:$I$89,5,0)</f>
        <v>175.59360000000012</v>
      </c>
      <c r="DQ189" s="13">
        <f t="shared" si="176"/>
        <v>44.340433728638573</v>
      </c>
      <c r="DR189" s="20">
        <f t="shared" si="177"/>
        <v>383.05177541071242</v>
      </c>
      <c r="DS189" s="59">
        <f t="shared" si="125"/>
        <v>676.38510874404574</v>
      </c>
      <c r="DT189" s="59">
        <f ca="1">AVERAGE(OFFSET($DS$3,0,0,'Données projet'!$E$14+1,1))-AVERAGE(OFFSET($H$3,0,0,'Données projet'!$E$14+1,1))</f>
        <v>188.68915783955595</v>
      </c>
      <c r="DU189" s="59">
        <f t="shared" si="152"/>
        <v>240.82467772396944</v>
      </c>
      <c r="DV189" s="15">
        <f>IF(ISNA(VLOOKUP(A189,'Données projet'!$A$165:$I$185,3,0)),0,VLOOKUP(A189,'Données projet'!$A$165:$I$185,3,0))</f>
        <v>0</v>
      </c>
      <c r="DW189" s="15">
        <f>IF(ISNA(VLOOKUP(A189,'Données projet'!$A$165:$I$185,4,0)),0,VLOOKUP(A189,'Données projet'!$A$165:$I$185,4,0))</f>
        <v>0</v>
      </c>
      <c r="DX189" s="16">
        <f>IF(ISNA(VLOOKUP(A189,'Données projet'!$A$165:$I$185,5,0)),0%,VLOOKUP(A189,'Données projet'!$A$165:$I$185,5,0)*VLOOKUP('Données projet'!$B$14,Paramètres!$A$1:$I$89,7,0))</f>
        <v>0</v>
      </c>
      <c r="DY189" s="16">
        <f>IF(ISNA(VLOOKUP(A189,'Données projet'!$A$165:$I$185,6,0)),0%,VLOOKUP(A189,'Données projet'!$A$165:$I$185,6,0)*VLOOKUP('Données projet'!$B$14,Paramètres!$A$1:$I$89,7,0))</f>
        <v>0</v>
      </c>
      <c r="DZ189" s="16">
        <f>IF(ISNA(VLOOKUP(A189,'Données projet'!$A$165:$I$185,7,0)),0%,VLOOKUP(A189,'Données projet'!$A$165:$I$185,7,0))</f>
        <v>0</v>
      </c>
      <c r="EA189" s="21">
        <f>EXP(-LN(2)/35)*EA188+(1-EXP(-LN(2)/35))/(LN(2)/35)*DW189*DX189*VLOOKUP('Données projet'!$B$14,Paramètres!$A$1:$I$89,3,0)*0.475*44/12</f>
        <v>7.0896658107053256E-2</v>
      </c>
      <c r="EB189" s="21">
        <f>EXP(-LN(2)/25)*EB188+(1-EXP(-LN(2)/25))/(LN(2)/25)*Calculateur!DW189*Calculateur!DY189*VLOOKUP('Données projet'!$B$14,Paramètres!$A$1:$I$89,3,0)*0.475*44/12</f>
        <v>0.10634630596775149</v>
      </c>
      <c r="EC189" s="21">
        <f>EXP(-LN(2)/2)*EC188+(1-EXP(-LN(2)/2))/(LN(2)/2)*DW189*DZ189*VLOOKUP('Données projet'!$B$14,Paramètres!$A$1:$I$89,3,0)*0.475*44/12</f>
        <v>4.6310229326291467E-23</v>
      </c>
      <c r="ED189" s="22">
        <f t="shared" si="178"/>
        <v>0.17724296407480475</v>
      </c>
      <c r="EE189" s="75">
        <f>('Scénario référence'!$F$8+'Scénario référence'!$F$9+'Scénario référence'!$B$17+'Scénario référence'!$B$9+'Scénario référence'!$B$10)*70+IF((45+25*(1-EXP(-0.0175*A189)))&lt;70,'Scénario référence'!$B$16*(45+25*(1-EXP(-0.0175*A189))),70*'Scénario référence'!$B$16)+IF((32+38*(1-EXP(-0.0175*A189)))&lt;70,'Scénario référence'!$B$18*(32+38*(1-EXP(-0.0175*A189))),70*'Scénario référence'!$B$18)</f>
        <v>70</v>
      </c>
      <c r="EF189" s="12">
        <f>IF(A189&gt;30,10,('Scénario référence'!$B$16+'Scénario référence'!$B$17+'Scénario référence'!$B$18+'Scénario référence'!$B$9+'Scénario référence'!$B$10)*A189*10/30+('Scénario référence'!$F$8+'Scénario référence'!$F$9)*10)</f>
        <v>10</v>
      </c>
      <c r="EG189" s="12" t="e">
        <f>VLOOKUP(A189,'Données projet'!$A$191:$I$211,2,0)</f>
        <v>#N/A</v>
      </c>
      <c r="EH189" s="12" t="e">
        <f>VLOOKUP(A189,'Données projet'!$A$191:$I$211,9,0)</f>
        <v>#N/A</v>
      </c>
      <c r="EI189" s="12">
        <f t="array" ref="EI189">INDEX(EH:EH,MIN(IF(ISNUMBER(EH189:EH385),ROW(EH189:EH385),"")))</f>
        <v>0</v>
      </c>
      <c r="EJ189" s="12">
        <f>IF('Données projet'!$A$192&gt;35,EJ188+EI189-ER188,IF(A189&lt;'Données projet'!$A$192,$EG$205^A189,IF(A189='Données projet'!$A$192,'Données projet'!$B$192,EJ188+EI189-ER188)))</f>
        <v>275.99999999999972</v>
      </c>
      <c r="EK189" s="17">
        <f>EJ189*VLOOKUP('Données projet'!$B$15,Paramètres!$A$1:$I$89,3,0)*VLOOKUP('Données projet'!$B$15,Paramètres!$A$1:$I$89,5,0)</f>
        <v>223.8911999999998</v>
      </c>
      <c r="EL189" s="13">
        <f t="shared" si="179"/>
        <v>54.95975389514858</v>
      </c>
      <c r="EM189" s="20">
        <f t="shared" si="180"/>
        <v>485.66541136738346</v>
      </c>
      <c r="EN189" s="59">
        <f t="shared" si="128"/>
        <v>778.99874470071677</v>
      </c>
      <c r="EO189" s="59">
        <f ca="1">AVERAGE(OFFSET($EN$3,0,0,'Données projet'!$E$15+1,1))-AVERAGE(OFFSET($H$3,0,0,'Données projet'!$E$15+1,1))</f>
        <v>205.5272583787887</v>
      </c>
      <c r="EP189" s="59">
        <f t="shared" si="154"/>
        <v>180.54762778843178</v>
      </c>
      <c r="EQ189" s="15">
        <f>IF(ISNA(VLOOKUP(A189,'Données projet'!$A$191:$I$211,3,0)),0,VLOOKUP(A189,'Données projet'!$A$191:$I$211,3,0))</f>
        <v>0</v>
      </c>
      <c r="ER189" s="15">
        <f>IF(ISNA(VLOOKUP(A189,'Données projet'!$A$191:$I$211,4,0)),0,VLOOKUP(A189,'Données projet'!$A$191:$I$211,4,0))</f>
        <v>0</v>
      </c>
      <c r="ES189" s="16">
        <f>IF(ISNA(VLOOKUP(A189,'Données projet'!$A$191:$I$211,5,0)),0%,VLOOKUP(A189,'Données projet'!$A$191:$I$211,5,0)*VLOOKUP('Données projet'!$B$15,Paramètres!$A$1:$I$89,7,0))</f>
        <v>0</v>
      </c>
      <c r="ET189" s="16">
        <f>IF(ISNA(VLOOKUP(A189,'Données projet'!$A$191:$I$211,6,0)),0%,VLOOKUP(A189,'Données projet'!$A$191:$I$211,6,0)*VLOOKUP('Données projet'!$B$15,Paramètres!$A$1:$I$89,7,0))</f>
        <v>0</v>
      </c>
      <c r="EU189" s="16">
        <f>IF(ISNA(VLOOKUP(A189,'Données projet'!$A$191:$I$211,7,0)),0%,VLOOKUP(A189,'Données projet'!$A$191:$I$211,7,0))</f>
        <v>0</v>
      </c>
      <c r="EV189" s="21">
        <f>EXP(-LN(2)/35)*EV188+(1-EXP(-LN(2)/35))/(LN(2)/35)*ER189*ES189*VLOOKUP('Données projet'!$B$15,Paramètres!$A$1:$I$89,3,0)*0.475*44/12</f>
        <v>4.5643943695588558E-2</v>
      </c>
      <c r="EW189" s="21">
        <f>EXP(-LN(2)/25)*EW188+(1-EXP(-LN(2)/25))/(LN(2)/25)*Calculateur!ER189*Calculateur!ET189*VLOOKUP('Données projet'!$B$15,Paramètres!$A$1:$I$89,3,0)*0.475*44/12</f>
        <v>7.6785259026519476E-2</v>
      </c>
      <c r="EX189" s="21">
        <f>EXP(-LN(2)/2)*EX188+(1-EXP(-LN(2)/2))/(LN(2)/2)*ER189*EU189*VLOOKUP('Données projet'!$B$15,Paramètres!$A$1:$I$89,3,0)*0.475*44/12</f>
        <v>2.9985907731770891E-23</v>
      </c>
      <c r="EY189" s="22">
        <f t="shared" si="181"/>
        <v>0.12242920272210803</v>
      </c>
      <c r="EZ189" s="75">
        <f>('Scénario référence'!$F$8+'Scénario référence'!$F$9+'Scénario référence'!$B$17+'Scénario référence'!$B$9+'Scénario référence'!$B$10)*70+IF((45+25*(1-EXP(-0.0175*A189)))&lt;70,'Scénario référence'!$B$16*(45+25*(1-EXP(-0.0175*A189))),70*'Scénario référence'!$B$16)+IF((32+38*(1-EXP(-0.0175*A189)))&lt;70,'Scénario référence'!$B$18*(32+38*(1-EXP(-0.0175*A189))),70*'Scénario référence'!$B$18)</f>
        <v>70</v>
      </c>
      <c r="FA189" s="12">
        <f>IF(A189&gt;30,10,('Scénario référence'!$B$16+'Scénario référence'!$B$17+'Scénario référence'!$B$18+'Scénario référence'!$B$9+'Scénario référence'!$B$10)*A189*10/30+('Scénario référence'!$F$8+'Scénario référence'!$F$9)*10)</f>
        <v>10</v>
      </c>
      <c r="FB189" s="12" t="e">
        <f>VLOOKUP(A189,'Données projet'!$A$217:$I$237,2,0)</f>
        <v>#N/A</v>
      </c>
      <c r="FC189" s="12" t="e">
        <f>VLOOKUP(A189,'Données projet'!$A$217:$I$237,9,0)</f>
        <v>#N/A</v>
      </c>
      <c r="FD189" s="12">
        <f t="array" ref="FD189">INDEX(FC:FC,MIN(IF(ISNUMBER(FC189:FC385),ROW(FC189:FC385),"")))</f>
        <v>0</v>
      </c>
      <c r="FE189" s="12">
        <f>IF('Données projet'!$A$218&gt;35,FE188+FD189-FM188,IF(A189&lt;'Données projet'!$A$218,$FB$205^A189,IF(A189='Données projet'!$A$218,'Données projet'!$B$218,FE188+FD189-FM188)))</f>
        <v>418.99999999999983</v>
      </c>
      <c r="FF189" s="17">
        <f>FE189*VLOOKUP('Données projet'!$B$16,Paramètres!$A$1:$I$89,3,0)*VLOOKUP('Données projet'!$B$16,Paramètres!$A$1:$I$89,5,0)</f>
        <v>359.5019999999999</v>
      </c>
      <c r="FG189" s="13">
        <f t="shared" si="182"/>
        <v>83.516011055432813</v>
      </c>
      <c r="FH189" s="20">
        <f t="shared" si="183"/>
        <v>771.58970258821194</v>
      </c>
      <c r="FI189" s="59">
        <f t="shared" si="131"/>
        <v>1064.9230359215453</v>
      </c>
      <c r="FJ189" s="59">
        <f ca="1">AVERAGE(OFFSET($FI$3,0,0,'Données projet'!$E$16+1,1))-AVERAGE(OFFSET($H$3,0,0,'Données projet'!$E$16+1,1))</f>
        <v>383.97627237444709</v>
      </c>
      <c r="FK189" s="59">
        <f t="shared" si="156"/>
        <v>203.35476578922339</v>
      </c>
      <c r="FL189" s="15">
        <f>IF(ISNA(VLOOKUP(A189,'Données projet'!$A$217:$I$237,3,0)),0,VLOOKUP(A189,'Données projet'!$A$217:$I$237,3,0))</f>
        <v>0</v>
      </c>
      <c r="FM189" s="15">
        <f>IF(ISNA(VLOOKUP(A189,'Données projet'!$A$217:$I$237,4,0)),0,VLOOKUP(A189,'Données projet'!$A$217:$I$237,4,0))</f>
        <v>0</v>
      </c>
      <c r="FN189" s="16">
        <f>IF(ISNA(VLOOKUP(A189,'Données projet'!$A$217:$I$237,5,0)),0%,VLOOKUP(A189,'Données projet'!$A$217:$I$237,5,0)*VLOOKUP('Données projet'!$B$16,Paramètres!$A$1:$I$89,7,0))</f>
        <v>0</v>
      </c>
      <c r="FO189" s="16">
        <f>IF(ISNA(VLOOKUP(A189,'Données projet'!$A$217:$I$237,6,0)),0%,VLOOKUP(A189,'Données projet'!$A$217:$I$237,6,0)*VLOOKUP('Données projet'!$B$16,Paramètres!$A$1:$I$89,7,0))</f>
        <v>0</v>
      </c>
      <c r="FP189" s="16">
        <f>IF(ISNA(VLOOKUP(A189,'Données projet'!$A$217:$I$237,7,0)),0%,VLOOKUP(A189,'Données projet'!$A$217:$I$237,7,0))</f>
        <v>0</v>
      </c>
      <c r="FQ189" s="21">
        <f>EXP(-LN(2)/35)*FQ188+(1-EXP(-LN(2)/35))/(LN(2)/35)*FM189*FN189*VLOOKUP('Données projet'!$B$16,Paramètres!$A$1:$I$89,3,0)*0.475*44/12</f>
        <v>0.23458510779802036</v>
      </c>
      <c r="FR189" s="21">
        <f>EXP(-LN(2)/25)*FR188+(1-EXP(-LN(2)/25))/(LN(2)/25)*Calculateur!FM189*Calculateur!FO189*VLOOKUP('Données projet'!$B$16,Paramètres!$A$1:$I$89,3,0)*0.475*44/12</f>
        <v>7.7944974422700528E-2</v>
      </c>
      <c r="FS189" s="21">
        <f>EXP(-LN(2)/2)*FS188+(1-EXP(-LN(2)/2))/(LN(2)/2)*FM189*FP189*VLOOKUP('Données projet'!$B$16,Paramètres!$A$1:$I$89,3,0)*0.475*44/12</f>
        <v>5.507795850400896E-23</v>
      </c>
      <c r="FT189" s="22">
        <f t="shared" si="184"/>
        <v>0.31253008222072087</v>
      </c>
      <c r="FU189" s="75">
        <f>('Scénario référence'!$F$8+'Scénario référence'!$F$9+'Scénario référence'!$B$17+'Scénario référence'!$B$9+'Scénario référence'!$B$10)*70+IF((45+25*(1-EXP(-0.0175*A189)))&lt;70,'Scénario référence'!$B$16*(45+25*(1-EXP(-0.0175*A189))),70*'Scénario référence'!$B$16)+IF((32+38*(1-EXP(-0.0175*A189)))&lt;70,'Scénario référence'!$B$18*(32+38*(1-EXP(-0.0175*A189))),70*'Scénario référence'!$B$18)</f>
        <v>70</v>
      </c>
      <c r="FV189" s="12">
        <f>IF(A189&gt;30,10,('Scénario référence'!$B$16+'Scénario référence'!$B$17+'Scénario référence'!$B$18+'Scénario référence'!$B$9+'Scénario référence'!$B$10)*A189*10/30+('Scénario référence'!$F$8+'Scénario référence'!$F$9)*10)</f>
        <v>10</v>
      </c>
      <c r="FW189" s="12" t="e">
        <f>VLOOKUP(A189,'Données projet'!$A$243:$I$263,2,0)</f>
        <v>#N/A</v>
      </c>
      <c r="FX189" s="12" t="e">
        <f>VLOOKUP(A189,'Données projet'!$A$243:$I$263,9,0)</f>
        <v>#N/A</v>
      </c>
      <c r="FY189" s="12">
        <f t="array" ref="FY189">INDEX(FX:FX,MIN(IF(ISNUMBER(FX189:FX385),ROW(FX189:FX385),"")))</f>
        <v>0</v>
      </c>
      <c r="FZ189" s="12">
        <f>IF('Données projet'!$A$244&gt;35,FZ188+FY189-GH188,IF(A189&lt;'Données projet'!$A$244,$FW$205^A189,IF(A189='Données projet'!$A$244,'Données projet'!$B$244,FZ188+FY189-GH188)))</f>
        <v>4.5474735088646412E-13</v>
      </c>
      <c r="GA189" s="17">
        <f>FZ189*VLOOKUP('Données projet'!$B$17,Paramètres!$A$1:$I$89,3,0)*VLOOKUP('Données projet'!$B$17,Paramètres!$A$1:$I$89,5,0)</f>
        <v>4.8949004849418999E-13</v>
      </c>
      <c r="GB189" s="13">
        <f t="shared" si="185"/>
        <v>6.1123715499968684E-12</v>
      </c>
      <c r="GC189" s="20">
        <f t="shared" si="186"/>
        <v>1.1498242284038591E-11</v>
      </c>
      <c r="GD189" s="59">
        <f t="shared" si="134"/>
        <v>293.3333333333448</v>
      </c>
      <c r="GE189" s="59">
        <f ca="1">AVERAGE(OFFSET($GD$3,0,0,'Données projet'!$E$17+1,1))-AVERAGE(OFFSET($H$3,0,0,'Données projet'!$E$17+1,1))</f>
        <v>286.77702855541287</v>
      </c>
      <c r="GF189" s="59">
        <f t="shared" si="158"/>
        <v>227.12211541860779</v>
      </c>
      <c r="GG189" s="15">
        <f>IF(ISNA(VLOOKUP(A189,'Données projet'!$A$243:$I$263,3,0)),0,VLOOKUP(A189,'Données projet'!$A$243:$I$263,3,0))</f>
        <v>0</v>
      </c>
      <c r="GH189" s="15">
        <f>IF(ISNA(VLOOKUP(A189,'Données projet'!$A$243:$I$263,4,0)),0,VLOOKUP(A189,'Données projet'!$A$243:$I$263,4,0))</f>
        <v>0</v>
      </c>
      <c r="GI189" s="16">
        <f>IF(ISNA(VLOOKUP(A189,'Données projet'!$A$243:$I$263,5,0)),0%,VLOOKUP(A189,'Données projet'!$A$243:$I$263,5,0)*VLOOKUP('Données projet'!$B$17,Paramètres!$A$1:$I$89,7,0))</f>
        <v>0</v>
      </c>
      <c r="GJ189" s="16">
        <f>IF(ISNA(VLOOKUP(A189,'Données projet'!$A$243:$I$263,6,0)),0%,VLOOKUP(A189,'Données projet'!$A$243:$I$263,6,0)*VLOOKUP('Données projet'!$B$17,Paramètres!$A$1:$I$89,7,0))</f>
        <v>0</v>
      </c>
      <c r="GK189" s="16">
        <f>IF(ISNA(VLOOKUP(A189,'Données projet'!$A$243:$I$263,7,0)),0%,VLOOKUP(A189,'Données projet'!$A$243:$I$263,7,0))</f>
        <v>0</v>
      </c>
      <c r="GL189" s="21">
        <f>EXP(-LN(2)/35)*GL188+(1-EXP(-LN(2)/35))/(LN(2)/35)*GH189*GI189*VLOOKUP('Données projet'!$B$17,Paramètres!$A$1:$I$89,3,0)*0.475*44/12</f>
        <v>0</v>
      </c>
      <c r="GM189" s="21">
        <f>EXP(-LN(2)/25)*GM188+(1-EXP(-LN(2)/25))/(LN(2)/25)*Calculateur!GH189*Calculateur!GJ189*VLOOKUP('Données projet'!$B$17,Paramètres!$A$1:$I$89,3,0)*0.475*44/12</f>
        <v>0</v>
      </c>
      <c r="GN189" s="21">
        <f>EXP(-LN(2)/2)*GN188+(1-EXP(-LN(2)/2))/(LN(2)/2)*GH189*GK189*VLOOKUP('Données projet'!$B$17,Paramètres!$A$1:$I$89,3,0)*0.475*44/12</f>
        <v>0</v>
      </c>
      <c r="GO189" s="21">
        <f t="shared" si="187"/>
        <v>0</v>
      </c>
      <c r="GP189" s="75">
        <f>('Scénario référence'!$F$8+'Scénario référence'!$F$9+'Scénario référence'!$B$17+'Scénario référence'!$B$9+'Scénario référence'!$B$10)*70+IF((45+25*(1-EXP(-0.0175*A189)))&lt;70,'Scénario référence'!$B$16*(45+25*(1-EXP(-0.0175*A189))),70*'Scénario référence'!$B$16)+IF((32+38*(1-EXP(-0.0175*A189)))&lt;70,'Scénario référence'!$B$18*(32+38*(1-EXP(-0.0175*A189))),70*'Scénario référence'!$B$18)</f>
        <v>70</v>
      </c>
      <c r="GQ189" s="12">
        <f>IF(A189&gt;30,10,('Scénario référence'!$B$16+'Scénario référence'!$B$17+'Scénario référence'!$B$18+'Scénario référence'!$B$9+'Scénario référence'!$B$10)*A189*10/30+('Scénario référence'!$F$8+'Scénario référence'!$F$9)*10)</f>
        <v>10</v>
      </c>
      <c r="GR189" s="12" t="e">
        <f>VLOOKUP(A189,'Données projet'!$A$269:$I$289,2,0)</f>
        <v>#N/A</v>
      </c>
      <c r="GS189" s="12" t="e">
        <f>VLOOKUP(A189,'Données projet'!$A$269:$I$289,9,0)</f>
        <v>#N/A</v>
      </c>
      <c r="GT189" s="12">
        <f t="array" ref="GT189">INDEX(GS:GS,MIN(IF(ISNUMBER(GS189:GS385),ROW(GS189:GS385),"")))</f>
        <v>0</v>
      </c>
      <c r="GU189" s="12">
        <f>IF('Données projet'!$A$270&gt;35,GU188+GT189-HC188,IF(A189&lt;'Données projet'!$A$270,$GR$205^A189,IF(A189='Données projet'!$A$270,'Données projet'!$B$270,GU188+GT189-HC188)))</f>
        <v>4.5474735088646412E-13</v>
      </c>
      <c r="GV189" s="17">
        <f>GU189*VLOOKUP('Données projet'!$B$18,Paramètres!$A$1:$I$89,3,0)*VLOOKUP('Données projet'!$B$18,Paramètres!$A$1:$I$89,5,0)</f>
        <v>4.8949004849418999E-13</v>
      </c>
      <c r="GW189" s="13">
        <f t="shared" si="188"/>
        <v>6.1123715499968684E-12</v>
      </c>
      <c r="GX189" s="20">
        <f t="shared" si="189"/>
        <v>1.1498242284038591E-11</v>
      </c>
      <c r="GY189" s="59">
        <f t="shared" si="137"/>
        <v>293.3333333333448</v>
      </c>
      <c r="GZ189" s="59">
        <f ca="1">AVERAGE(OFFSET($GY$3,0,0,'Données projet'!$E$18+1,1))-AVERAGE(OFFSET($H$3,0,0,'Données projet'!$E$18+1,1))</f>
        <v>286.77702855541287</v>
      </c>
      <c r="HA189" s="59">
        <f t="shared" si="160"/>
        <v>227.12211541860779</v>
      </c>
      <c r="HB189" s="15">
        <f>IF(ISNA(VLOOKUP(A189,'Données projet'!$A$269:$I$289,3,0)),0,VLOOKUP(A189,'Données projet'!$A$269:$I$289,3,0))</f>
        <v>0</v>
      </c>
      <c r="HC189" s="15">
        <f>IF(ISNA(VLOOKUP(A189,'Données projet'!$A$269:$I$289,4,0)),0,VLOOKUP(A189,'Données projet'!$A$269:$I$289,4,0))</f>
        <v>0</v>
      </c>
      <c r="HD189" s="16">
        <f>IF(ISNA(VLOOKUP(A189,'Données projet'!$A$269:$I$289,5,0)),0%,VLOOKUP(A189,'Données projet'!$A$269:$I$289,5,0)*VLOOKUP('Données projet'!$B$18,Paramètres!$A$1:$I$89,7,0))</f>
        <v>0</v>
      </c>
      <c r="HE189" s="16">
        <f>IF(ISNA(VLOOKUP(A189,'Données projet'!$A$269:$I$289,6,0)),0%,VLOOKUP(A189,'Données projet'!$A$269:$I$289,6,0)*VLOOKUP('Données projet'!$B$18,Paramètres!$A$1:$I$89,7,0))</f>
        <v>0</v>
      </c>
      <c r="HF189" s="16">
        <f>IF(ISNA(VLOOKUP(A189,'Données projet'!$A$269:$I$289,7,0)),0%,VLOOKUP(A189,'Données projet'!$A$269:$I$289,7,0))</f>
        <v>0</v>
      </c>
      <c r="HG189" s="21">
        <f>EXP(-LN(2)/35)*HG188+(1-EXP(-LN(2)/35))/(LN(2)/35)*HC189*HD189*VLOOKUP('Données projet'!$B$18,Paramètres!$A$1:$I$89,3,0)*0.475*44/12</f>
        <v>0</v>
      </c>
      <c r="HH189" s="21">
        <f>EXP(-LN(2)/25)*HH188+(1-EXP(-LN(2)/25))/(LN(2)/25)*Calculateur!HC189*Calculateur!HE189*VLOOKUP('Données projet'!$B$18,Paramètres!$A$1:$I$89,3,0)*0.475*44/12</f>
        <v>0</v>
      </c>
      <c r="HI189" s="21">
        <f>EXP(-LN(2)/2)*HI188+(1-EXP(-LN(2)/2))/(LN(2)/2)*HC189*HF189*VLOOKUP('Données projet'!$B$18,Paramètres!$A$1:$I$89,3,0)*0.475*44/12</f>
        <v>0</v>
      </c>
      <c r="HJ189" s="22">
        <f t="shared" si="190"/>
        <v>0</v>
      </c>
    </row>
    <row r="190" spans="1:218" x14ac:dyDescent="0.25">
      <c r="A190" s="10">
        <f t="shared" si="161"/>
        <v>187</v>
      </c>
      <c r="B190" s="73">
        <f>'Scénario référence'!$B$16*5+'Scénario référence'!$B$17*0+'Scénario référence'!$B$18*5</f>
        <v>0</v>
      </c>
      <c r="C190" s="19">
        <f>Calculateur!C189+'Scénario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166.28039999999973</v>
      </c>
      <c r="D190" s="11">
        <f t="shared" si="140"/>
        <v>42.255887340755834</v>
      </c>
      <c r="E19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90" s="11">
        <f>IF(OR('Scénario référence'!$F$8&gt;0,'Scénario référence'!$F$9&gt;0),('Scénario référence'!$F$8+'Scénario référence'!$F$9)*10,0)</f>
        <v>10</v>
      </c>
      <c r="G190" s="11">
        <f>'Scénario référence'!$B$8*B190*44/12+'Scénario référence'!$B$9*(C190+D190)/0.475*44/12+'Scénario référence'!$B$10*(C190+D190)/0.475*44/12+'Scénario référence'!$F$8*(C190+D190)/0.475*44/12+'Scénario référence'!$F$9*(C190+D190)/0.475*44/12</f>
        <v>1609.7537970163587</v>
      </c>
      <c r="H190" s="67">
        <f t="shared" si="110"/>
        <v>656.53403378514918</v>
      </c>
      <c r="I190" s="70">
        <f>('Scénario référence'!$F$8+'Scénario référence'!$F$9+'Scénario référence'!$B$17+'Scénario référence'!$B$9+'Scénario référence'!$B$10)*70+IF((45+25*(1-EXP(-0.0175*A190)))&lt;70,'Scénario référence'!$B$16*(45+25*(1-EXP(-0.0175*A190))),70*'Scénario référence'!$B$16)+IF((32+38*(1-EXP(-0.0175*A190)))&lt;70,'Scénario référence'!$B$18*(32+38*(1-EXP(-0.0175*A190))),70*'Scénario référence'!$B$18)</f>
        <v>70</v>
      </c>
      <c r="J190" s="13">
        <f>IF(A190&gt;30,10,('Scénario référence'!$B$16+'Scénario référence'!$B$17+'Scénario référence'!$B$18+'Scénario référence'!$B$9+'Scénario référence'!$B$10)*A190*10/30+('Scénario référence'!$F$8+'Scénario référence'!$F$9)*10)</f>
        <v>10</v>
      </c>
      <c r="K190" s="12" t="e">
        <f>VLOOKUP(A190,'Données projet'!$A$35:$I$55,2,0)</f>
        <v>#N/A</v>
      </c>
      <c r="L190" s="12" t="e">
        <f>VLOOKUP(A190,'Données projet'!$A$35:$I$55,9,0)</f>
        <v>#N/A</v>
      </c>
      <c r="M190" s="12">
        <f t="array" ref="M190">INDEX(L:L,MIN(IF(ISNUMBER(L190:L386),ROW(L190:L386),"")))</f>
        <v>0</v>
      </c>
      <c r="N190" s="13">
        <f>IF('Données projet'!$A$36&gt;35,N189+M190-V189,IF(A190&lt;'Données projet'!$A$36,$K$205^A190,IF(A190='Données projet'!$A$36,'Données projet'!$B$36,N189+M190-V189)))</f>
        <v>-2.2737367544323206E-13</v>
      </c>
      <c r="O190" s="13">
        <f>N190*VLOOKUP('Données projet'!$B$9,Paramètres!$A$1:$I$89,3,0)*VLOOKUP('Données projet'!$B$9,Paramètres!$A$1:$I$89,5,0)</f>
        <v>-1.2710188457276673E-13</v>
      </c>
      <c r="P190" s="13" t="e">
        <f t="shared" si="141"/>
        <v>#NUM!</v>
      </c>
      <c r="Q190" s="20" t="e">
        <f t="shared" si="162"/>
        <v>#NUM!</v>
      </c>
      <c r="R190" s="59" t="e">
        <f t="shared" si="109"/>
        <v>#NUM!</v>
      </c>
      <c r="S190" s="59">
        <f ca="1">AVERAGE(OFFSET($R$3,0,0,'Données projet'!$E$9+1,1))-AVERAGE(OFFSET($H$3,0,0,'Données projet'!$E$9+1,1))</f>
        <v>255.5374979188561</v>
      </c>
      <c r="T190" s="59">
        <f t="shared" si="142"/>
        <v>343.10418468620901</v>
      </c>
      <c r="U190" s="15">
        <f>IF(ISNA(VLOOKUP(A190,'Données projet'!$A$35:$I$55,3,0)),0,VLOOKUP(A190,'Données projet'!$A$35:$I$55,3,0))</f>
        <v>0</v>
      </c>
      <c r="V190" s="15">
        <f>IF(ISNA(VLOOKUP(A190,'Données projet'!$A$35:$I$55,4,0)),0,VLOOKUP(A190,'Données projet'!$A$35:$I$55,4,0))</f>
        <v>0</v>
      </c>
      <c r="W190" s="16">
        <f>IF(ISNA(VLOOKUP(A190,'Données projet'!$A$35:$I$55,5,0)),0%,VLOOKUP(A190,'Données projet'!$A$35:$I$55,5,0)*VLOOKUP('Données projet'!$B$9,Paramètres!$A$1:$I$89,7,0))</f>
        <v>0</v>
      </c>
      <c r="X190" s="16">
        <f>IF(ISNA(VLOOKUP(A190,'Données projet'!$A$35:$I$55,6,0)),0%,VLOOKUP(A190,'Données projet'!$A$35:$I$55,6,0)*VLOOKUP('Données projet'!$B$9,Paramètres!$A$1:$I$89,7,0))</f>
        <v>0</v>
      </c>
      <c r="Y190" s="16">
        <f>IF(ISNA(VLOOKUP(A190,'Données projet'!$A$35:$I$55,7,0)),0%,VLOOKUP(A190,'Données projet'!$A$35:$I$55,7,0))</f>
        <v>0</v>
      </c>
      <c r="Z190" s="21">
        <f>EXP(-LN(2)/35)*Z189+(1-EXP(-LN(2)/35))/(LN(2)/35)*V190*W190*VLOOKUP('Données projet'!$B$9,Paramètres!$A$1:$I$89,3,0)*0.475*44/12</f>
        <v>0.13792076847836224</v>
      </c>
      <c r="AA190" s="21">
        <f>EXP(-LN(2)/25)*AA189+(1-EXP(-LN(2)/25))/(LN(2)/25)*Calculateur!V190*Calculateur!X190*VLOOKUP('Données projet'!$B$9,Paramètres!$A$1:$I$89,3,0)*0.475*44/12</f>
        <v>0.20538634457736776</v>
      </c>
      <c r="AB190" s="21">
        <f>EXP(-LN(2)/2)*AB189+(1-EXP(-LN(2)/2))/(LN(2)/2)*V190*Y190*VLOOKUP('Données projet'!$B$9,Paramètres!$A$1:$I$89,3,0)*0.475*44/12</f>
        <v>3.9601627962682233E-24</v>
      </c>
      <c r="AC190" s="22">
        <f t="shared" si="163"/>
        <v>0.34330711305573003</v>
      </c>
      <c r="AD190" s="13">
        <f>('Scénario référence'!$F$8+'Scénario référence'!$F$9+'Scénario référence'!$B$17+'Scénario référence'!$B$9+'Scénario référence'!$B$10)*70+IF((45+25*(1-EXP(-0.0175*A190)))&lt;70,'Scénario référence'!$B$16*(45+25*(1-EXP(-0.0175*A190))),70*'Scénario référence'!$B$16)+IF((32+38*(1-EXP(-0.0175*A190)))&lt;70,'Scénario référence'!$B$18*(32+38*(1-EXP(-0.0175*A190))),70*'Scénario référence'!$B$18)</f>
        <v>70</v>
      </c>
      <c r="AE190" s="13">
        <f>IF(A190&gt;30,10,('Scénario référence'!$B$16+'Scénario référence'!$B$17+'Scénario référence'!$B$18+'Scénario référence'!$B$9+'Scénario référence'!$B$10)*A190*10/30+('Scénario référence'!$F$8+'Scénario référence'!$F$9)*10)</f>
        <v>10</v>
      </c>
      <c r="AF190" s="12" t="e">
        <f>VLOOKUP(A190,'Données projet'!$A$61:$I$81,2,0)</f>
        <v>#N/A</v>
      </c>
      <c r="AG190" s="12" t="e">
        <f>VLOOKUP(A190,'Données projet'!$A$61:$I$81,9,0)</f>
        <v>#N/A</v>
      </c>
      <c r="AH190" s="12">
        <f t="array" ref="AH190">INDEX(AG:AG,MIN(IF(ISNUMBER(AG190:AG386),ROW(AG190:AG386),"")))</f>
        <v>0</v>
      </c>
      <c r="AI190" s="13">
        <f>IF('Données projet'!$A$62&gt;35,AI189+AH190-AQ189,IF(A190&lt;'Données projet'!$A$62,$AF$205^A190,IF(A190='Données projet'!$A$62,'Données projet'!$B$62,AI189+AH190-AQ189)))</f>
        <v>0</v>
      </c>
      <c r="AJ190" s="13">
        <f>AI190*VLOOKUP('Données projet'!$B$10,Paramètres!$A$1:$I$89,3,0)*VLOOKUP('Données projet'!$B$10,Paramètres!$A$1:$I$89,5,0)</f>
        <v>0</v>
      </c>
      <c r="AK190" s="13" t="e">
        <f t="shared" si="164"/>
        <v>#NUM!</v>
      </c>
      <c r="AL190" s="20" t="e">
        <f t="shared" si="165"/>
        <v>#NUM!</v>
      </c>
      <c r="AM190" s="59" t="e">
        <f t="shared" si="113"/>
        <v>#NUM!</v>
      </c>
      <c r="AN190" s="59">
        <f ca="1">AVERAGE(OFFSET($AM$3,0,0,'Données projet'!$E$10+1,1))-AVERAGE(OFFSET($H$3,0,0,'Données projet'!$E$10+1,1))</f>
        <v>261.78489480911571</v>
      </c>
      <c r="AO190" s="59">
        <f t="shared" si="144"/>
        <v>297.50513563712764</v>
      </c>
      <c r="AP190" s="15">
        <f>IF(ISNA(VLOOKUP(A190,'Données projet'!$A$61:$I$81,3,0)),0,VLOOKUP(A190,'Données projet'!$A$61:$I$81,3,0))</f>
        <v>0</v>
      </c>
      <c r="AQ190" s="15">
        <f>IF(ISNA(VLOOKUP(A190,'Données projet'!$A$61:$I$81,4,0)),0,VLOOKUP(A190,'Données projet'!$A$61:$I$81,4,0))</f>
        <v>0</v>
      </c>
      <c r="AR190" s="16">
        <f>IF(ISNA(VLOOKUP(A190,'Données projet'!$A$61:$I$81,5,0)),0%,VLOOKUP(A190,'Données projet'!$A$61:$I$81,5,0)*VLOOKUP('Données projet'!$B$10,Paramètres!$A$1:$I$89,7,0))</f>
        <v>0</v>
      </c>
      <c r="AS190" s="16">
        <f>IF(ISNA(VLOOKUP(A190,'Données projet'!$A$61:$I$81,6,0)),0%,VLOOKUP(A190,'Données projet'!$A$61:$I$81,6,0)*VLOOKUP('Données projet'!$B$10,Paramètres!$A$1:$I$89,7,0))</f>
        <v>0</v>
      </c>
      <c r="AT190" s="16">
        <f>IF(ISNA(VLOOKUP(A190,'Données projet'!$A$61:$I$81,7,0)),0%,VLOOKUP(A190,'Données projet'!$A$61:$I$81,7,0))</f>
        <v>0</v>
      </c>
      <c r="AU190" s="21">
        <f>EXP(-LN(2)/35)*AU189+(1-EXP(-LN(2)/35))/(LN(2)/35)*AQ190*AR190*VLOOKUP('Données projet'!$B$10,Paramètres!$A$1:$I$89,3,0)*0.475*44/12</f>
        <v>0.37242508559383181</v>
      </c>
      <c r="AV190" s="21">
        <f>EXP(-LN(2)/25)*AV189+(1-EXP(-LN(2)/25))/(LN(2)/25)*Calculateur!AQ190*Calculateur!AS190*VLOOKUP('Données projet'!$B$10,Paramètres!$A$1:$I$89,3,0)*0.475*44/12</f>
        <v>0.35864644841055987</v>
      </c>
      <c r="AW190" s="21">
        <f>EXP(-LN(2)/2)*AW189+(1-EXP(-LN(2)/2))/(LN(2)/2)*AQ190*AT190*VLOOKUP('Données projet'!$B$10,Paramètres!$A$1:$I$89,3,0)*0.475*44/12</f>
        <v>5.7089516799102296E-23</v>
      </c>
      <c r="AX190" s="21">
        <f t="shared" si="166"/>
        <v>0.73107153400439162</v>
      </c>
      <c r="AY190" s="74">
        <f>('Scénario référence'!$F$8+'Scénario référence'!$F$9+'Scénario référence'!$B$17+'Scénario référence'!$B$9+'Scénario référence'!$B$10)*70+IF((45+25*(1-EXP(-0.0175*A190)))&lt;70,'Scénario référence'!$B$16*(45+25*(1-EXP(-0.0175*A190))),70*'Scénario référence'!$B$16)+IF((32+38*(1-EXP(-0.0175*A190)))&lt;70,'Scénario référence'!$B$18*(32+38*(1-EXP(-0.0175*A190))),70*'Scénario référence'!$B$18)</f>
        <v>70</v>
      </c>
      <c r="AZ190" s="12">
        <f>IF(A190&gt;30,10,('Scénario référence'!$B$16+'Scénario référence'!$B$17+'Scénario référence'!$B$18+'Scénario référence'!$B$9+'Scénario référence'!$B$10)*A190*10/30+('Scénario référence'!$F$8+'Scénario référence'!$F$9)*10)</f>
        <v>10</v>
      </c>
      <c r="BA190" s="12" t="e">
        <f>VLOOKUP(A190,'Données projet'!$A$87:$I$107,2,0)</f>
        <v>#N/A</v>
      </c>
      <c r="BB190" s="12" t="e">
        <f>VLOOKUP(A190,'Données projet'!$A$87:$I$107,9,0)</f>
        <v>#N/A</v>
      </c>
      <c r="BC190" s="12">
        <f t="array" ref="BC190">INDEX(BB:BB,MIN(IF(ISNUMBER(BB190:BB386),ROW(BB190:BB386),"")))</f>
        <v>0</v>
      </c>
      <c r="BD190" s="12">
        <f>IF('Données projet'!$A$88&gt;35,BD189+BC190-BL189,IF(A190&lt;'Données projet'!$A$88,$BA$205^A190,IF(A190='Données projet'!$A$88,'Données projet'!$B$88,BD189+BC190-BL189)))</f>
        <v>553.99999999999955</v>
      </c>
      <c r="BE190" s="13">
        <f>BD190*VLOOKUP('Données projet'!$B$11,Paramètres!$A$1:$I$89,3,0)*VLOOKUP('Données projet'!$B$11,Paramètres!$A$1:$I$89,5,0)</f>
        <v>331.29199999999975</v>
      </c>
      <c r="BF190" s="13">
        <f t="shared" si="167"/>
        <v>77.698110787752</v>
      </c>
      <c r="BG190" s="20">
        <f t="shared" si="168"/>
        <v>712.32444295533423</v>
      </c>
      <c r="BH190" s="59">
        <f t="shared" si="116"/>
        <v>1005.6577762886675</v>
      </c>
      <c r="BI190" s="59">
        <f ca="1">AVERAGE(OFFSET($BH$3,0,0,'Données projet'!$E$11+1,1))-AVERAGE(OFFSET($H$3,0,0,'Données projet'!$E$11+1,1))</f>
        <v>316.58509520829671</v>
      </c>
      <c r="BJ190" s="59">
        <f t="shared" si="146"/>
        <v>240.71332110643596</v>
      </c>
      <c r="BK190" s="15">
        <f>IF(ISNA(VLOOKUP(A190,'Données projet'!$A$87:$I$107,3,0)),0,VLOOKUP(A190,'Données projet'!$A$87:$I$107,3,0))</f>
        <v>0</v>
      </c>
      <c r="BL190" s="15">
        <f>IF(ISNA(VLOOKUP(A190,'Données projet'!$A$87:$I$107,4,0)),0,VLOOKUP(A190,'Données projet'!$A$87:$I$107,4,0))</f>
        <v>0</v>
      </c>
      <c r="BM190" s="16">
        <f>IF(ISNA(VLOOKUP(A190,'Données projet'!$A$87:$I$107,5,0)),0%,VLOOKUP(A190,'Données projet'!$A$87:$I$107,5,0)*VLOOKUP('Données projet'!$B$11,Paramètres!$A$1:$I$89,7,0))</f>
        <v>0</v>
      </c>
      <c r="BN190" s="16">
        <f>IF(ISNA(VLOOKUP(A190,'Données projet'!$A$87:$I$107,6,0)),0%,VLOOKUP(A190,'Données projet'!$A$87:$I$107,6,0)*VLOOKUP('Données projet'!$B$11,Paramètres!$A$1:$I$89,7,0))</f>
        <v>0</v>
      </c>
      <c r="BO190" s="16">
        <f>IF(ISNA(VLOOKUP(A190,'Données projet'!$A$87:$I$107,7,0)),0%,VLOOKUP(A190,'Données projet'!$A$87:$I$107,7,0))</f>
        <v>0</v>
      </c>
      <c r="BP190" s="21">
        <f>EXP(-LN(2)/35)*BP189+(1-EXP(-LN(2)/35))/(LN(2)/35)*BL190*BM190*VLOOKUP('Données projet'!$B$11,Paramètres!$A$1:$I$89,3,0)*0.475*44/12</f>
        <v>0.11312689076910865</v>
      </c>
      <c r="BQ190" s="21">
        <f>EXP(-LN(2)/25)*BQ189+(1-EXP(-LN(2)/25))/(LN(2)/25)*Calculateur!BL190*Calculateur!BN190*VLOOKUP('Données projet'!$B$11,Paramètres!$A$1:$I$89,3,0)*0.475*44/12</f>
        <v>0.19647698905284447</v>
      </c>
      <c r="BR190" s="21">
        <f>EXP(-LN(2)/2)*BR189+(1-EXP(-LN(2)/2))/(LN(2)/2)*BL190*BO190*VLOOKUP('Données projet'!$B$11,Paramètres!$A$1:$I$89,3,0)*0.475*44/12</f>
        <v>5.1329727624214319E-23</v>
      </c>
      <c r="BS190" s="22">
        <f t="shared" si="169"/>
        <v>0.30960387982195314</v>
      </c>
      <c r="BT190" s="75">
        <f>('Scénario référence'!$F$8+'Scénario référence'!$F$9+'Scénario référence'!$B$17+'Scénario référence'!$B$9+'Scénario référence'!$B$10)*70+IF((45+25*(1-EXP(-0.0175*A190)))&lt;70,'Scénario référence'!$B$16*(45+25*(1-EXP(-0.0175*A190))),70*'Scénario référence'!$B$16)+IF((32+38*(1-EXP(-0.0175*A190)))&lt;70,'Scénario référence'!$B$18*(32+38*(1-EXP(-0.0175*A190))),70*'Scénario référence'!$B$18)</f>
        <v>70</v>
      </c>
      <c r="BU190" s="12">
        <f>IF(A190&gt;30,10,('Scénario référence'!$B$16+'Scénario référence'!$B$17+'Scénario référence'!$B$18+'Scénario référence'!$B$9+'Scénario référence'!$B$10)*A190*10/30+('Scénario référence'!$F$8+'Scénario référence'!$F$9)*10)</f>
        <v>10</v>
      </c>
      <c r="BV190" s="12" t="e">
        <f>VLOOKUP(A190,'Données projet'!$A$113:$I$133,2,0)</f>
        <v>#N/A</v>
      </c>
      <c r="BW190" s="12" t="e">
        <f>VLOOKUP(A190,'Données projet'!$A$113:$I$133,9,0)</f>
        <v>#N/A</v>
      </c>
      <c r="BX190" s="12">
        <f t="array" ref="BX190">INDEX(BW:BW,MIN(IF(ISNUMBER(BW190:BW386),ROW(BW190:BW386),"")))</f>
        <v>0</v>
      </c>
      <c r="BY190" s="12">
        <f>IF('Données projet'!$A$114&gt;35,BY189+BX190-CG189,IF(A190&lt;'Données projet'!$A$114,$BV$205^A190,IF(A190='Données projet'!$A$114,'Données projet'!$B$114,BY189+BX190-CG189)))</f>
        <v>333.99999999999977</v>
      </c>
      <c r="BZ190" s="13">
        <f>BY190*VLOOKUP('Données projet'!$B$12,Paramètres!$A$1:$I$89,3,0)*VLOOKUP('Données projet'!$B$12,Paramètres!$A$1:$I$89,5,0)</f>
        <v>191.04799999999986</v>
      </c>
      <c r="CA190" s="13">
        <f t="shared" si="170"/>
        <v>47.771576544305155</v>
      </c>
      <c r="CB190" s="20">
        <f t="shared" si="171"/>
        <v>415.94409581466454</v>
      </c>
      <c r="CC190" s="59">
        <f t="shared" si="119"/>
        <v>709.27742914799785</v>
      </c>
      <c r="CD190" s="59">
        <f ca="1">AVERAGE(OFFSET($CC$3,0,0,'Données projet'!$E$12+1,1))-AVERAGE(OFFSET($H$3,0,0,'Données projet'!$E$12+1,1))</f>
        <v>188.64374818906128</v>
      </c>
      <c r="CE190" s="59">
        <f t="shared" si="148"/>
        <v>211.95157880548652</v>
      </c>
      <c r="CF190" s="15">
        <f>IF(ISNA(VLOOKUP(A190,'Données projet'!$A$113:$I$133,3,0)),0,VLOOKUP(A190,'Données projet'!$A$113:$I$133,3,0))</f>
        <v>0</v>
      </c>
      <c r="CG190" s="15">
        <f>IF(ISNA(VLOOKUP(A190,'Données projet'!$A$113:$I$133,4,0)),0,VLOOKUP(A190,'Données projet'!$A$113:$I$133,4,0))</f>
        <v>0</v>
      </c>
      <c r="CH190" s="16">
        <f>IF(ISNA(VLOOKUP(A190,'Données projet'!$A$113:$I$133,5,0)),0%,VLOOKUP(A190,'Données projet'!$A$113:$I$133,5,0)*VLOOKUP('Données projet'!$B$12,Paramètres!$A$1:$I$89,7,0))</f>
        <v>0</v>
      </c>
      <c r="CI190" s="16">
        <f>IF(ISNA(VLOOKUP(A190,'Données projet'!$A$113:$I$133,6,0)),0%,VLOOKUP(A190,'Données projet'!$A$113:$I$133,6,0)*VLOOKUP('Données projet'!$B$12,Paramètres!$A$1:$I$89,7,0))</f>
        <v>0</v>
      </c>
      <c r="CJ190" s="16">
        <f>IF(ISNA(VLOOKUP(A190,'Données projet'!$A$113:$I$133,7,0)),0%,VLOOKUP(A190,'Données projet'!$A$113:$I$133,7,0))</f>
        <v>0</v>
      </c>
      <c r="CK190" s="21">
        <f>EXP(-LN(2)/35)*CK189+(1-EXP(-LN(2)/35))/(LN(2)/35)*CG190*CH190*VLOOKUP('Données projet'!$B$12,Paramètres!$A$1:$I$89,3,0)*0.475*44/12</f>
        <v>0.10973239129103973</v>
      </c>
      <c r="CL190" s="21">
        <f>EXP(-LN(2)/25)*CL189+(1-EXP(-LN(2)/25))/(LN(2)/25)*Calculateur!CG190*Calculateur!CI190*VLOOKUP('Données projet'!$B$12,Paramètres!$A$1:$I$89,3,0)*0.475*44/12</f>
        <v>0.18492859068190451</v>
      </c>
      <c r="CM190" s="21">
        <f>EXP(-LN(2)/2)*CM189+(1-EXP(-LN(2)/2))/(LN(2)/2)*CG190*CJ190*VLOOKUP('Données projet'!$B$12,Paramètres!$A$1:$I$89,3,0)*0.475*44/12</f>
        <v>4.9708825106517312E-23</v>
      </c>
      <c r="CN190" s="22">
        <f t="shared" si="172"/>
        <v>0.29466098197294421</v>
      </c>
      <c r="CO190" s="75">
        <f>('Scénario référence'!$F$8+'Scénario référence'!$F$9+'Scénario référence'!$B$17+'Scénario référence'!$B$9+'Scénario référence'!$B$10)*70+IF((45+25*(1-EXP(-0.0175*A190)))&lt;70,'Scénario référence'!$B$16*(45+25*(1-EXP(-0.0175*A190))),70*'Scénario référence'!$B$16)+IF((32+38*(1-EXP(-0.0175*A190)))&lt;70,'Scénario référence'!$B$18*(32+38*(1-EXP(-0.0175*A190))),70*'Scénario référence'!$B$18)</f>
        <v>70</v>
      </c>
      <c r="CP190" s="12">
        <f>IF(A190&gt;30,10,('Scénario référence'!$B$16+'Scénario référence'!$B$17+'Scénario référence'!$B$18+'Scénario référence'!$B$9+'Scénario référence'!$B$10)*A190*10/30+('Scénario référence'!$F$8+'Scénario référence'!$F$9)*10)</f>
        <v>10</v>
      </c>
      <c r="CQ190" s="12" t="e">
        <f>VLOOKUP(A190,'Données projet'!$A$139:$I$159,2,0)</f>
        <v>#N/A</v>
      </c>
      <c r="CR190" s="12" t="e">
        <f>VLOOKUP(A190,'Données projet'!$A$139:$I$159,9,0)</f>
        <v>#N/A</v>
      </c>
      <c r="CS190" s="12">
        <f t="array" ref="CS190">INDEX(CR:CR,MIN(IF(ISNUMBER(CR190:CR386),ROW(CR190:CR386),"")))</f>
        <v>0</v>
      </c>
      <c r="CT190" s="12">
        <f>IF('Données projet'!$A$140&gt;35,CT189+CS190-DB189,IF(A190&lt;'Données projet'!$A$140,$CQ$205^A190,IF(A190='Données projet'!$A$140,'Données projet'!$B$140,CT189+CS190-DB189)))</f>
        <v>0</v>
      </c>
      <c r="CU190" s="17" t="e">
        <f>CT190*VLOOKUP('Données projet'!$B$13,Paramètres!$A$1:$I$89,3,0)*VLOOKUP('Données projet'!$B$13,Paramètres!$A$1:$I$89,5,0)</f>
        <v>#N/A</v>
      </c>
      <c r="CV190" s="13" t="e">
        <f t="shared" si="173"/>
        <v>#N/A</v>
      </c>
      <c r="CW190" s="20" t="e">
        <f t="shared" si="174"/>
        <v>#N/A</v>
      </c>
      <c r="CX190" s="59" t="e">
        <f t="shared" si="122"/>
        <v>#N/A</v>
      </c>
      <c r="CY190" s="59" t="e">
        <f ca="1">AVERAGE(OFFSET($CX$3,0,0,'Données projet'!$E$13+1,1))-AVERAGE(OFFSET($H$3,0,0,'Données projet'!$E$13+1,1))</f>
        <v>#N/A</v>
      </c>
      <c r="CZ190" s="59" t="e">
        <f t="shared" si="150"/>
        <v>#N/A</v>
      </c>
      <c r="DA190" s="15">
        <f>IF(ISNA(VLOOKUP(A190,'Données projet'!$A$139:$I$159,3,0)),0,VLOOKUP(A190,'Données projet'!$A$139:$I$159,3,0))</f>
        <v>0</v>
      </c>
      <c r="DB190" s="15">
        <f>IF(ISNA(VLOOKUP(A190,'Données projet'!$A$139:$I$159,4,0)),0,VLOOKUP(A190,'Données projet'!$A$139:$I$159,4,0))</f>
        <v>0</v>
      </c>
      <c r="DC190" s="16">
        <f>IF(ISNA(VLOOKUP(A190,'Données projet'!$A$139:$I$159,5,0)),0%,VLOOKUP(A190,'Données projet'!$A$139:$I$159,5,0)*VLOOKUP('Données projet'!$B$13,Paramètres!$A$1:$I$89,7,0))</f>
        <v>0</v>
      </c>
      <c r="DD190" s="16">
        <f>IF(ISNA(VLOOKUP(A190,'Données projet'!$A$139:$I$159,6,0)),0%,VLOOKUP(A190,'Données projet'!$A$139:$I$159,6,0)*VLOOKUP('Données projet'!$B$13,Paramètres!$A$1:$I$89,7,0))</f>
        <v>0</v>
      </c>
      <c r="DE190" s="16">
        <f>IF(ISNA(VLOOKUP(A190,'Données projet'!$A$139:$I$159,7,0)),0%,VLOOKUP(A190,'Données projet'!$A$139:$I$159,7,0))</f>
        <v>0</v>
      </c>
      <c r="DF190" s="21" t="e">
        <f>EXP(-LN(2)/35)*DF189+(1-EXP(-LN(2)/35))/(LN(2)/35)*DB190*DC190*VLOOKUP('Données projet'!$B$13,Paramètres!$A$1:$I$89,3,0)*0.475*44/12</f>
        <v>#N/A</v>
      </c>
      <c r="DG190" s="21" t="e">
        <f>EXP(-LN(2)/25)*DG189+(1-EXP(-LN(2)/25))/(LN(2)/25)*Calculateur!DB190*Calculateur!DD190*VLOOKUP('Données projet'!$B$13,Paramètres!$A$1:$I$89,3,0)*0.475*44/12</f>
        <v>#N/A</v>
      </c>
      <c r="DH190" s="21" t="e">
        <f>EXP(-LN(2)/2)*DH189+(1-EXP(-LN(2)/2))/(LN(2)/2)*DB190*DE190*VLOOKUP('Données projet'!$B$13,Paramètres!$A$1:$I$89,3,0)*0.475*44/12</f>
        <v>#N/A</v>
      </c>
      <c r="DI190" s="22" t="e">
        <f t="shared" si="175"/>
        <v>#N/A</v>
      </c>
      <c r="DJ190" s="75">
        <f>('Scénario référence'!$F$8+'Scénario référence'!$F$9+'Scénario référence'!$B$17+'Scénario référence'!$B$9+'Scénario référence'!$B$10)*70+IF((45+25*(1-EXP(-0.0175*A190)))&lt;70,'Scénario référence'!$B$16*(45+25*(1-EXP(-0.0175*A190))),70*'Scénario référence'!$B$16)+IF((32+38*(1-EXP(-0.0175*A190)))&lt;70,'Scénario référence'!$B$18*(32+38*(1-EXP(-0.0175*A190))),70*'Scénario référence'!$B$18)</f>
        <v>70</v>
      </c>
      <c r="DK190" s="12">
        <f>IF(A190&gt;30,10,('Scénario référence'!$B$16+'Scénario référence'!$B$17+'Scénario référence'!$B$18+'Scénario référence'!$B$9+'Scénario référence'!$B$10)*A190*10/30+('Scénario référence'!$F$8+'Scénario référence'!$F$9)*10)</f>
        <v>10</v>
      </c>
      <c r="DL190" s="12" t="e">
        <f>VLOOKUP(A190,'Données projet'!$A$165:$I$185,2,0)</f>
        <v>#N/A</v>
      </c>
      <c r="DM190" s="12" t="e">
        <f>VLOOKUP(A190,'Données projet'!$A$165:$I$185,9,0)</f>
        <v>#N/A</v>
      </c>
      <c r="DN190" s="12">
        <f t="array" ref="DN190">INDEX(DM:DM,MIN(IF(ISNUMBER(DM190:DM386),ROW(DM190:DM386),"")))</f>
        <v>0</v>
      </c>
      <c r="DO190" s="12">
        <f>IF('Données projet'!$A$166&gt;35,DO189+DN190-DW189,IF(A190&lt;'Données projet'!$A$166,$DL$205^A190,IF(A190='Données projet'!$A$166,'Données projet'!$B$166,DO189+DN190-DW189)))</f>
        <v>268.00000000000017</v>
      </c>
      <c r="DP190" s="17">
        <f>DO190*VLOOKUP('Données projet'!$B$14,Paramètres!$A$1:$I$89,3,0)*VLOOKUP('Données projet'!$B$14,Paramètres!$A$1:$I$89,5,0)</f>
        <v>175.59360000000012</v>
      </c>
      <c r="DQ190" s="13">
        <f t="shared" si="176"/>
        <v>44.340433728638573</v>
      </c>
      <c r="DR190" s="20">
        <f t="shared" si="177"/>
        <v>383.05177541071242</v>
      </c>
      <c r="DS190" s="59">
        <f t="shared" si="125"/>
        <v>676.38510874404574</v>
      </c>
      <c r="DT190" s="59">
        <f ca="1">AVERAGE(OFFSET($DS$3,0,0,'Données projet'!$E$14+1,1))-AVERAGE(OFFSET($H$3,0,0,'Données projet'!$E$14+1,1))</f>
        <v>188.68915783955595</v>
      </c>
      <c r="DU190" s="59">
        <f t="shared" si="152"/>
        <v>240.82467772396944</v>
      </c>
      <c r="DV190" s="15">
        <f>IF(ISNA(VLOOKUP(A190,'Données projet'!$A$165:$I$185,3,0)),0,VLOOKUP(A190,'Données projet'!$A$165:$I$185,3,0))</f>
        <v>0</v>
      </c>
      <c r="DW190" s="15">
        <f>IF(ISNA(VLOOKUP(A190,'Données projet'!$A$165:$I$185,4,0)),0,VLOOKUP(A190,'Données projet'!$A$165:$I$185,4,0))</f>
        <v>0</v>
      </c>
      <c r="DX190" s="16">
        <f>IF(ISNA(VLOOKUP(A190,'Données projet'!$A$165:$I$185,5,0)),0%,VLOOKUP(A190,'Données projet'!$A$165:$I$185,5,0)*VLOOKUP('Données projet'!$B$14,Paramètres!$A$1:$I$89,7,0))</f>
        <v>0</v>
      </c>
      <c r="DY190" s="16">
        <f>IF(ISNA(VLOOKUP(A190,'Données projet'!$A$165:$I$185,6,0)),0%,VLOOKUP(A190,'Données projet'!$A$165:$I$185,6,0)*VLOOKUP('Données projet'!$B$14,Paramètres!$A$1:$I$89,7,0))</f>
        <v>0</v>
      </c>
      <c r="DZ190" s="16">
        <f>IF(ISNA(VLOOKUP(A190,'Données projet'!$A$165:$I$185,7,0)),0%,VLOOKUP(A190,'Données projet'!$A$165:$I$185,7,0))</f>
        <v>0</v>
      </c>
      <c r="EA190" s="21">
        <f>EXP(-LN(2)/35)*EA189+(1-EXP(-LN(2)/35))/(LN(2)/35)*DW190*DX190*VLOOKUP('Données projet'!$B$14,Paramètres!$A$1:$I$89,3,0)*0.475*44/12</f>
        <v>6.9506417884265523E-2</v>
      </c>
      <c r="EB190" s="21">
        <f>EXP(-LN(2)/25)*EB189+(1-EXP(-LN(2)/25))/(LN(2)/25)*Calculateur!DW190*Calculateur!DY190*VLOOKUP('Données projet'!$B$14,Paramètres!$A$1:$I$89,3,0)*0.475*44/12</f>
        <v>0.10343826063855416</v>
      </c>
      <c r="EC190" s="21">
        <f>EXP(-LN(2)/2)*EC189+(1-EXP(-LN(2)/2))/(LN(2)/2)*DW190*DZ190*VLOOKUP('Données projet'!$B$14,Paramètres!$A$1:$I$89,3,0)*0.475*44/12</f>
        <v>3.2746277194924817E-23</v>
      </c>
      <c r="ED190" s="22">
        <f t="shared" si="178"/>
        <v>0.17294467852281969</v>
      </c>
      <c r="EE190" s="75">
        <f>('Scénario référence'!$F$8+'Scénario référence'!$F$9+'Scénario référence'!$B$17+'Scénario référence'!$B$9+'Scénario référence'!$B$10)*70+IF((45+25*(1-EXP(-0.0175*A190)))&lt;70,'Scénario référence'!$B$16*(45+25*(1-EXP(-0.0175*A190))),70*'Scénario référence'!$B$16)+IF((32+38*(1-EXP(-0.0175*A190)))&lt;70,'Scénario référence'!$B$18*(32+38*(1-EXP(-0.0175*A190))),70*'Scénario référence'!$B$18)</f>
        <v>70</v>
      </c>
      <c r="EF190" s="12">
        <f>IF(A190&gt;30,10,('Scénario référence'!$B$16+'Scénario référence'!$B$17+'Scénario référence'!$B$18+'Scénario référence'!$B$9+'Scénario référence'!$B$10)*A190*10/30+('Scénario référence'!$F$8+'Scénario référence'!$F$9)*10)</f>
        <v>10</v>
      </c>
      <c r="EG190" s="12" t="e">
        <f>VLOOKUP(A190,'Données projet'!$A$191:$I$211,2,0)</f>
        <v>#N/A</v>
      </c>
      <c r="EH190" s="12" t="e">
        <f>VLOOKUP(A190,'Données projet'!$A$191:$I$211,9,0)</f>
        <v>#N/A</v>
      </c>
      <c r="EI190" s="12">
        <f t="array" ref="EI190">INDEX(EH:EH,MIN(IF(ISNUMBER(EH190:EH386),ROW(EH190:EH386),"")))</f>
        <v>0</v>
      </c>
      <c r="EJ190" s="12">
        <f>IF('Données projet'!$A$192&gt;35,EJ189+EI190-ER189,IF(A190&lt;'Données projet'!$A$192,$EG$205^A190,IF(A190='Données projet'!$A$192,'Données projet'!$B$192,EJ189+EI190-ER189)))</f>
        <v>275.99999999999972</v>
      </c>
      <c r="EK190" s="17">
        <f>EJ190*VLOOKUP('Données projet'!$B$15,Paramètres!$A$1:$I$89,3,0)*VLOOKUP('Données projet'!$B$15,Paramètres!$A$1:$I$89,5,0)</f>
        <v>223.8911999999998</v>
      </c>
      <c r="EL190" s="13">
        <f t="shared" si="179"/>
        <v>54.95975389514858</v>
      </c>
      <c r="EM190" s="20">
        <f t="shared" si="180"/>
        <v>485.66541136738346</v>
      </c>
      <c r="EN190" s="59">
        <f t="shared" si="128"/>
        <v>778.99874470071677</v>
      </c>
      <c r="EO190" s="59">
        <f ca="1">AVERAGE(OFFSET($EN$3,0,0,'Données projet'!$E$15+1,1))-AVERAGE(OFFSET($H$3,0,0,'Données projet'!$E$15+1,1))</f>
        <v>205.5272583787887</v>
      </c>
      <c r="EP190" s="59">
        <f t="shared" si="154"/>
        <v>180.54762778843178</v>
      </c>
      <c r="EQ190" s="15">
        <f>IF(ISNA(VLOOKUP(A190,'Données projet'!$A$191:$I$211,3,0)),0,VLOOKUP(A190,'Données projet'!$A$191:$I$211,3,0))</f>
        <v>0</v>
      </c>
      <c r="ER190" s="15">
        <f>IF(ISNA(VLOOKUP(A190,'Données projet'!$A$191:$I$211,4,0)),0,VLOOKUP(A190,'Données projet'!$A$191:$I$211,4,0))</f>
        <v>0</v>
      </c>
      <c r="ES190" s="16">
        <f>IF(ISNA(VLOOKUP(A190,'Données projet'!$A$191:$I$211,5,0)),0%,VLOOKUP(A190,'Données projet'!$A$191:$I$211,5,0)*VLOOKUP('Données projet'!$B$15,Paramètres!$A$1:$I$89,7,0))</f>
        <v>0</v>
      </c>
      <c r="ET190" s="16">
        <f>IF(ISNA(VLOOKUP(A190,'Données projet'!$A$191:$I$211,6,0)),0%,VLOOKUP(A190,'Données projet'!$A$191:$I$211,6,0)*VLOOKUP('Données projet'!$B$15,Paramètres!$A$1:$I$89,7,0))</f>
        <v>0</v>
      </c>
      <c r="EU190" s="16">
        <f>IF(ISNA(VLOOKUP(A190,'Données projet'!$A$191:$I$211,7,0)),0%,VLOOKUP(A190,'Données projet'!$A$191:$I$211,7,0))</f>
        <v>0</v>
      </c>
      <c r="EV190" s="21">
        <f>EXP(-LN(2)/35)*EV189+(1-EXP(-LN(2)/35))/(LN(2)/35)*ER190*ES190*VLOOKUP('Données projet'!$B$15,Paramètres!$A$1:$I$89,3,0)*0.475*44/12</f>
        <v>4.4748893799774744E-2</v>
      </c>
      <c r="EW190" s="21">
        <f>EXP(-LN(2)/25)*EW189+(1-EXP(-LN(2)/25))/(LN(2)/25)*Calculateur!ER190*Calculateur!ET190*VLOOKUP('Données projet'!$B$15,Paramètres!$A$1:$I$89,3,0)*0.475*44/12</f>
        <v>7.4685562080478024E-2</v>
      </c>
      <c r="EX190" s="21">
        <f>EXP(-LN(2)/2)*EX189+(1-EXP(-LN(2)/2))/(LN(2)/2)*ER190*EU190*VLOOKUP('Données projet'!$B$15,Paramètres!$A$1:$I$89,3,0)*0.475*44/12</f>
        <v>2.1203238697169324E-23</v>
      </c>
      <c r="EY190" s="22">
        <f t="shared" si="181"/>
        <v>0.11943445588025277</v>
      </c>
      <c r="EZ190" s="75">
        <f>('Scénario référence'!$F$8+'Scénario référence'!$F$9+'Scénario référence'!$B$17+'Scénario référence'!$B$9+'Scénario référence'!$B$10)*70+IF((45+25*(1-EXP(-0.0175*A190)))&lt;70,'Scénario référence'!$B$16*(45+25*(1-EXP(-0.0175*A190))),70*'Scénario référence'!$B$16)+IF((32+38*(1-EXP(-0.0175*A190)))&lt;70,'Scénario référence'!$B$18*(32+38*(1-EXP(-0.0175*A190))),70*'Scénario référence'!$B$18)</f>
        <v>70</v>
      </c>
      <c r="FA190" s="12">
        <f>IF(A190&gt;30,10,('Scénario référence'!$B$16+'Scénario référence'!$B$17+'Scénario référence'!$B$18+'Scénario référence'!$B$9+'Scénario référence'!$B$10)*A190*10/30+('Scénario référence'!$F$8+'Scénario référence'!$F$9)*10)</f>
        <v>10</v>
      </c>
      <c r="FB190" s="12" t="e">
        <f>VLOOKUP(A190,'Données projet'!$A$217:$I$237,2,0)</f>
        <v>#N/A</v>
      </c>
      <c r="FC190" s="12" t="e">
        <f>VLOOKUP(A190,'Données projet'!$A$217:$I$237,9,0)</f>
        <v>#N/A</v>
      </c>
      <c r="FD190" s="12">
        <f t="array" ref="FD190">INDEX(FC:FC,MIN(IF(ISNUMBER(FC190:FC386),ROW(FC190:FC386),"")))</f>
        <v>0</v>
      </c>
      <c r="FE190" s="12">
        <f>IF('Données projet'!$A$218&gt;35,FE189+FD190-FM189,IF(A190&lt;'Données projet'!$A$218,$FB$205^A190,IF(A190='Données projet'!$A$218,'Données projet'!$B$218,FE189+FD190-FM189)))</f>
        <v>418.99999999999983</v>
      </c>
      <c r="FF190" s="17">
        <f>FE190*VLOOKUP('Données projet'!$B$16,Paramètres!$A$1:$I$89,3,0)*VLOOKUP('Données projet'!$B$16,Paramètres!$A$1:$I$89,5,0)</f>
        <v>359.5019999999999</v>
      </c>
      <c r="FG190" s="13">
        <f t="shared" si="182"/>
        <v>83.516011055432813</v>
      </c>
      <c r="FH190" s="20">
        <f t="shared" si="183"/>
        <v>771.58970258821194</v>
      </c>
      <c r="FI190" s="59">
        <f t="shared" si="131"/>
        <v>1064.9230359215453</v>
      </c>
      <c r="FJ190" s="59">
        <f ca="1">AVERAGE(OFFSET($FI$3,0,0,'Données projet'!$E$16+1,1))-AVERAGE(OFFSET($H$3,0,0,'Données projet'!$E$16+1,1))</f>
        <v>383.97627237444709</v>
      </c>
      <c r="FK190" s="59">
        <f t="shared" si="156"/>
        <v>203.35476578922339</v>
      </c>
      <c r="FL190" s="15">
        <f>IF(ISNA(VLOOKUP(A190,'Données projet'!$A$217:$I$237,3,0)),0,VLOOKUP(A190,'Données projet'!$A$217:$I$237,3,0))</f>
        <v>0</v>
      </c>
      <c r="FM190" s="15">
        <f>IF(ISNA(VLOOKUP(A190,'Données projet'!$A$217:$I$237,4,0)),0,VLOOKUP(A190,'Données projet'!$A$217:$I$237,4,0))</f>
        <v>0</v>
      </c>
      <c r="FN190" s="16">
        <f>IF(ISNA(VLOOKUP(A190,'Données projet'!$A$217:$I$237,5,0)),0%,VLOOKUP(A190,'Données projet'!$A$217:$I$237,5,0)*VLOOKUP('Données projet'!$B$16,Paramètres!$A$1:$I$89,7,0))</f>
        <v>0</v>
      </c>
      <c r="FO190" s="16">
        <f>IF(ISNA(VLOOKUP(A190,'Données projet'!$A$217:$I$237,6,0)),0%,VLOOKUP(A190,'Données projet'!$A$217:$I$237,6,0)*VLOOKUP('Données projet'!$B$16,Paramètres!$A$1:$I$89,7,0))</f>
        <v>0</v>
      </c>
      <c r="FP190" s="16">
        <f>IF(ISNA(VLOOKUP(A190,'Données projet'!$A$217:$I$237,7,0)),0%,VLOOKUP(A190,'Données projet'!$A$217:$I$237,7,0))</f>
        <v>0</v>
      </c>
      <c r="FQ190" s="21">
        <f>EXP(-LN(2)/35)*FQ189+(1-EXP(-LN(2)/35))/(LN(2)/35)*FM190*FN190*VLOOKUP('Données projet'!$B$16,Paramètres!$A$1:$I$89,3,0)*0.475*44/12</f>
        <v>0.22998503691688868</v>
      </c>
      <c r="FR190" s="21">
        <f>EXP(-LN(2)/25)*FR189+(1-EXP(-LN(2)/25))/(LN(2)/25)*Calculateur!FM190*Calculateur!FO190*VLOOKUP('Données projet'!$B$16,Paramètres!$A$1:$I$89,3,0)*0.475*44/12</f>
        <v>7.5813564998163718E-2</v>
      </c>
      <c r="FS190" s="21">
        <f>EXP(-LN(2)/2)*FS189+(1-EXP(-LN(2)/2))/(LN(2)/2)*FM190*FP190*VLOOKUP('Données projet'!$B$16,Paramètres!$A$1:$I$89,3,0)*0.475*44/12</f>
        <v>3.8945997952096009E-23</v>
      </c>
      <c r="FT190" s="22">
        <f t="shared" si="184"/>
        <v>0.30579860191505237</v>
      </c>
      <c r="FU190" s="75">
        <f>('Scénario référence'!$F$8+'Scénario référence'!$F$9+'Scénario référence'!$B$17+'Scénario référence'!$B$9+'Scénario référence'!$B$10)*70+IF((45+25*(1-EXP(-0.0175*A190)))&lt;70,'Scénario référence'!$B$16*(45+25*(1-EXP(-0.0175*A190))),70*'Scénario référence'!$B$16)+IF((32+38*(1-EXP(-0.0175*A190)))&lt;70,'Scénario référence'!$B$18*(32+38*(1-EXP(-0.0175*A190))),70*'Scénario référence'!$B$18)</f>
        <v>70</v>
      </c>
      <c r="FV190" s="12">
        <f>IF(A190&gt;30,10,('Scénario référence'!$B$16+'Scénario référence'!$B$17+'Scénario référence'!$B$18+'Scénario référence'!$B$9+'Scénario référence'!$B$10)*A190*10/30+('Scénario référence'!$F$8+'Scénario référence'!$F$9)*10)</f>
        <v>10</v>
      </c>
      <c r="FW190" s="12" t="e">
        <f>VLOOKUP(A190,'Données projet'!$A$243:$I$263,2,0)</f>
        <v>#N/A</v>
      </c>
      <c r="FX190" s="12" t="e">
        <f>VLOOKUP(A190,'Données projet'!$A$243:$I$263,9,0)</f>
        <v>#N/A</v>
      </c>
      <c r="FY190" s="12">
        <f t="array" ref="FY190">INDEX(FX:FX,MIN(IF(ISNUMBER(FX190:FX386),ROW(FX190:FX386),"")))</f>
        <v>0</v>
      </c>
      <c r="FZ190" s="12">
        <f>IF('Données projet'!$A$244&gt;35,FZ189+FY190-GH189,IF(A190&lt;'Données projet'!$A$244,$FW$205^A190,IF(A190='Données projet'!$A$244,'Données projet'!$B$244,FZ189+FY190-GH189)))</f>
        <v>4.5474735088646412E-13</v>
      </c>
      <c r="GA190" s="17">
        <f>FZ190*VLOOKUP('Données projet'!$B$17,Paramètres!$A$1:$I$89,3,0)*VLOOKUP('Données projet'!$B$17,Paramètres!$A$1:$I$89,5,0)</f>
        <v>4.8949004849418999E-13</v>
      </c>
      <c r="GB190" s="13">
        <f t="shared" si="185"/>
        <v>6.1123715499968684E-12</v>
      </c>
      <c r="GC190" s="20">
        <f t="shared" si="186"/>
        <v>1.1498242284038591E-11</v>
      </c>
      <c r="GD190" s="59">
        <f t="shared" si="134"/>
        <v>293.3333333333448</v>
      </c>
      <c r="GE190" s="59">
        <f ca="1">AVERAGE(OFFSET($GD$3,0,0,'Données projet'!$E$17+1,1))-AVERAGE(OFFSET($H$3,0,0,'Données projet'!$E$17+1,1))</f>
        <v>286.77702855541287</v>
      </c>
      <c r="GF190" s="59">
        <f t="shared" si="158"/>
        <v>227.12211541860779</v>
      </c>
      <c r="GG190" s="15">
        <f>IF(ISNA(VLOOKUP(A190,'Données projet'!$A$243:$I$263,3,0)),0,VLOOKUP(A190,'Données projet'!$A$243:$I$263,3,0))</f>
        <v>0</v>
      </c>
      <c r="GH190" s="15">
        <f>IF(ISNA(VLOOKUP(A190,'Données projet'!$A$243:$I$263,4,0)),0,VLOOKUP(A190,'Données projet'!$A$243:$I$263,4,0))</f>
        <v>0</v>
      </c>
      <c r="GI190" s="16">
        <f>IF(ISNA(VLOOKUP(A190,'Données projet'!$A$243:$I$263,5,0)),0%,VLOOKUP(A190,'Données projet'!$A$243:$I$263,5,0)*VLOOKUP('Données projet'!$B$17,Paramètres!$A$1:$I$89,7,0))</f>
        <v>0</v>
      </c>
      <c r="GJ190" s="16">
        <f>IF(ISNA(VLOOKUP(A190,'Données projet'!$A$243:$I$263,6,0)),0%,VLOOKUP(A190,'Données projet'!$A$243:$I$263,6,0)*VLOOKUP('Données projet'!$B$17,Paramètres!$A$1:$I$89,7,0))</f>
        <v>0</v>
      </c>
      <c r="GK190" s="16">
        <f>IF(ISNA(VLOOKUP(A190,'Données projet'!$A$243:$I$263,7,0)),0%,VLOOKUP(A190,'Données projet'!$A$243:$I$263,7,0))</f>
        <v>0</v>
      </c>
      <c r="GL190" s="21">
        <f>EXP(-LN(2)/35)*GL189+(1-EXP(-LN(2)/35))/(LN(2)/35)*GH190*GI190*VLOOKUP('Données projet'!$B$17,Paramètres!$A$1:$I$89,3,0)*0.475*44/12</f>
        <v>0</v>
      </c>
      <c r="GM190" s="21">
        <f>EXP(-LN(2)/25)*GM189+(1-EXP(-LN(2)/25))/(LN(2)/25)*Calculateur!GH190*Calculateur!GJ190*VLOOKUP('Données projet'!$B$17,Paramètres!$A$1:$I$89,3,0)*0.475*44/12</f>
        <v>0</v>
      </c>
      <c r="GN190" s="21">
        <f>EXP(-LN(2)/2)*GN189+(1-EXP(-LN(2)/2))/(LN(2)/2)*GH190*GK190*VLOOKUP('Données projet'!$B$17,Paramètres!$A$1:$I$89,3,0)*0.475*44/12</f>
        <v>0</v>
      </c>
      <c r="GO190" s="21">
        <f t="shared" si="187"/>
        <v>0</v>
      </c>
      <c r="GP190" s="75">
        <f>('Scénario référence'!$F$8+'Scénario référence'!$F$9+'Scénario référence'!$B$17+'Scénario référence'!$B$9+'Scénario référence'!$B$10)*70+IF((45+25*(1-EXP(-0.0175*A190)))&lt;70,'Scénario référence'!$B$16*(45+25*(1-EXP(-0.0175*A190))),70*'Scénario référence'!$B$16)+IF((32+38*(1-EXP(-0.0175*A190)))&lt;70,'Scénario référence'!$B$18*(32+38*(1-EXP(-0.0175*A190))),70*'Scénario référence'!$B$18)</f>
        <v>70</v>
      </c>
      <c r="GQ190" s="12">
        <f>IF(A190&gt;30,10,('Scénario référence'!$B$16+'Scénario référence'!$B$17+'Scénario référence'!$B$18+'Scénario référence'!$B$9+'Scénario référence'!$B$10)*A190*10/30+('Scénario référence'!$F$8+'Scénario référence'!$F$9)*10)</f>
        <v>10</v>
      </c>
      <c r="GR190" s="12" t="e">
        <f>VLOOKUP(A190,'Données projet'!$A$269:$I$289,2,0)</f>
        <v>#N/A</v>
      </c>
      <c r="GS190" s="12" t="e">
        <f>VLOOKUP(A190,'Données projet'!$A$269:$I$289,9,0)</f>
        <v>#N/A</v>
      </c>
      <c r="GT190" s="12">
        <f t="array" ref="GT190">INDEX(GS:GS,MIN(IF(ISNUMBER(GS190:GS386),ROW(GS190:GS386),"")))</f>
        <v>0</v>
      </c>
      <c r="GU190" s="12">
        <f>IF('Données projet'!$A$270&gt;35,GU189+GT190-HC189,IF(A190&lt;'Données projet'!$A$270,$GR$205^A190,IF(A190='Données projet'!$A$270,'Données projet'!$B$270,GU189+GT190-HC189)))</f>
        <v>4.5474735088646412E-13</v>
      </c>
      <c r="GV190" s="17">
        <f>GU190*VLOOKUP('Données projet'!$B$18,Paramètres!$A$1:$I$89,3,0)*VLOOKUP('Données projet'!$B$18,Paramètres!$A$1:$I$89,5,0)</f>
        <v>4.8949004849418999E-13</v>
      </c>
      <c r="GW190" s="13">
        <f t="shared" si="188"/>
        <v>6.1123715499968684E-12</v>
      </c>
      <c r="GX190" s="20">
        <f t="shared" si="189"/>
        <v>1.1498242284038591E-11</v>
      </c>
      <c r="GY190" s="59">
        <f t="shared" si="137"/>
        <v>293.3333333333448</v>
      </c>
      <c r="GZ190" s="59">
        <f ca="1">AVERAGE(OFFSET($GY$3,0,0,'Données projet'!$E$18+1,1))-AVERAGE(OFFSET($H$3,0,0,'Données projet'!$E$18+1,1))</f>
        <v>286.77702855541287</v>
      </c>
      <c r="HA190" s="59">
        <f t="shared" si="160"/>
        <v>227.12211541860779</v>
      </c>
      <c r="HB190" s="15">
        <f>IF(ISNA(VLOOKUP(A190,'Données projet'!$A$269:$I$289,3,0)),0,VLOOKUP(A190,'Données projet'!$A$269:$I$289,3,0))</f>
        <v>0</v>
      </c>
      <c r="HC190" s="15">
        <f>IF(ISNA(VLOOKUP(A190,'Données projet'!$A$269:$I$289,4,0)),0,VLOOKUP(A190,'Données projet'!$A$269:$I$289,4,0))</f>
        <v>0</v>
      </c>
      <c r="HD190" s="16">
        <f>IF(ISNA(VLOOKUP(A190,'Données projet'!$A$269:$I$289,5,0)),0%,VLOOKUP(A190,'Données projet'!$A$269:$I$289,5,0)*VLOOKUP('Données projet'!$B$18,Paramètres!$A$1:$I$89,7,0))</f>
        <v>0</v>
      </c>
      <c r="HE190" s="16">
        <f>IF(ISNA(VLOOKUP(A190,'Données projet'!$A$269:$I$289,6,0)),0%,VLOOKUP(A190,'Données projet'!$A$269:$I$289,6,0)*VLOOKUP('Données projet'!$B$18,Paramètres!$A$1:$I$89,7,0))</f>
        <v>0</v>
      </c>
      <c r="HF190" s="16">
        <f>IF(ISNA(VLOOKUP(A190,'Données projet'!$A$269:$I$289,7,0)),0%,VLOOKUP(A190,'Données projet'!$A$269:$I$289,7,0))</f>
        <v>0</v>
      </c>
      <c r="HG190" s="21">
        <f>EXP(-LN(2)/35)*HG189+(1-EXP(-LN(2)/35))/(LN(2)/35)*HC190*HD190*VLOOKUP('Données projet'!$B$18,Paramètres!$A$1:$I$89,3,0)*0.475*44/12</f>
        <v>0</v>
      </c>
      <c r="HH190" s="21">
        <f>EXP(-LN(2)/25)*HH189+(1-EXP(-LN(2)/25))/(LN(2)/25)*Calculateur!HC190*Calculateur!HE190*VLOOKUP('Données projet'!$B$18,Paramètres!$A$1:$I$89,3,0)*0.475*44/12</f>
        <v>0</v>
      </c>
      <c r="HI190" s="21">
        <f>EXP(-LN(2)/2)*HI189+(1-EXP(-LN(2)/2))/(LN(2)/2)*HC190*HF190*VLOOKUP('Données projet'!$B$18,Paramètres!$A$1:$I$89,3,0)*0.475*44/12</f>
        <v>0</v>
      </c>
      <c r="HJ190" s="22">
        <f t="shared" si="190"/>
        <v>0</v>
      </c>
    </row>
    <row r="191" spans="1:218" x14ac:dyDescent="0.25">
      <c r="A191" s="10">
        <f t="shared" si="161"/>
        <v>188</v>
      </c>
      <c r="B191" s="73">
        <f>'Scénario référence'!$B$16*5+'Scénario référence'!$B$17*0+'Scénario référence'!$B$18*5</f>
        <v>0</v>
      </c>
      <c r="C191" s="19">
        <f>Calculateur!C190+'Scénario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167.16959999999972</v>
      </c>
      <c r="D191" s="11">
        <f t="shared" si="140"/>
        <v>42.455490039298816</v>
      </c>
      <c r="E19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91" s="11">
        <f>IF(OR('Scénario référence'!$F$8&gt;0,'Scénario référence'!$F$9&gt;0),('Scénario référence'!$F$8+'Scénario référence'!$F$9)*10,0)</f>
        <v>10</v>
      </c>
      <c r="G191" s="11">
        <f>'Scénario référence'!$B$8*B191*44/12+'Scénario référence'!$B$9*(C191+D191)/0.475*44/12+'Scénario référence'!$B$10*(C191+D191)/0.475*44/12+'Scénario référence'!$F$8*(C191+D191)/0.475*44/12+'Scénario référence'!$F$9*(C191+D191)/0.475*44/12</f>
        <v>1618.1585897770412</v>
      </c>
      <c r="H191" s="67">
        <f t="shared" si="110"/>
        <v>658.43036515177823</v>
      </c>
      <c r="I191" s="70">
        <f>('Scénario référence'!$F$8+'Scénario référence'!$F$9+'Scénario référence'!$B$17+'Scénario référence'!$B$9+'Scénario référence'!$B$10)*70+IF((45+25*(1-EXP(-0.0175*A191)))&lt;70,'Scénario référence'!$B$16*(45+25*(1-EXP(-0.0175*A191))),70*'Scénario référence'!$B$16)+IF((32+38*(1-EXP(-0.0175*A191)))&lt;70,'Scénario référence'!$B$18*(32+38*(1-EXP(-0.0175*A191))),70*'Scénario référence'!$B$18)</f>
        <v>70</v>
      </c>
      <c r="J191" s="13">
        <f>IF(A191&gt;30,10,('Scénario référence'!$B$16+'Scénario référence'!$B$17+'Scénario référence'!$B$18+'Scénario référence'!$B$9+'Scénario référence'!$B$10)*A191*10/30+('Scénario référence'!$F$8+'Scénario référence'!$F$9)*10)</f>
        <v>10</v>
      </c>
      <c r="K191" s="12" t="e">
        <f>VLOOKUP(A191,'Données projet'!$A$35:$I$55,2,0)</f>
        <v>#N/A</v>
      </c>
      <c r="L191" s="12" t="e">
        <f>VLOOKUP(A191,'Données projet'!$A$35:$I$55,9,0)</f>
        <v>#N/A</v>
      </c>
      <c r="M191" s="12">
        <f t="array" ref="M191">INDEX(L:L,MIN(IF(ISNUMBER(L191:L387),ROW(L191:L387),"")))</f>
        <v>0</v>
      </c>
      <c r="N191" s="13">
        <f>IF('Données projet'!$A$36&gt;35,N190+M191-V190,IF(A191&lt;'Données projet'!$A$36,$K$205^A191,IF(A191='Données projet'!$A$36,'Données projet'!$B$36,N190+M191-V190)))</f>
        <v>-2.2737367544323206E-13</v>
      </c>
      <c r="O191" s="13">
        <f>N191*VLOOKUP('Données projet'!$B$9,Paramètres!$A$1:$I$89,3,0)*VLOOKUP('Données projet'!$B$9,Paramètres!$A$1:$I$89,5,0)</f>
        <v>-1.2710188457276673E-13</v>
      </c>
      <c r="P191" s="13" t="e">
        <f t="shared" si="141"/>
        <v>#NUM!</v>
      </c>
      <c r="Q191" s="20" t="e">
        <f t="shared" si="162"/>
        <v>#NUM!</v>
      </c>
      <c r="R191" s="59" t="e">
        <f t="shared" si="109"/>
        <v>#NUM!</v>
      </c>
      <c r="S191" s="59">
        <f ca="1">AVERAGE(OFFSET($R$3,0,0,'Données projet'!$E$9+1,1))-AVERAGE(OFFSET($H$3,0,0,'Données projet'!$E$9+1,1))</f>
        <v>255.5374979188561</v>
      </c>
      <c r="T191" s="59">
        <f t="shared" si="142"/>
        <v>343.10418468620901</v>
      </c>
      <c r="U191" s="15">
        <f>IF(ISNA(VLOOKUP(A191,'Données projet'!$A$35:$I$55,3,0)),0,VLOOKUP(A191,'Données projet'!$A$35:$I$55,3,0))</f>
        <v>0</v>
      </c>
      <c r="V191" s="15">
        <f>IF(ISNA(VLOOKUP(A191,'Données projet'!$A$35:$I$55,4,0)),0,VLOOKUP(A191,'Données projet'!$A$35:$I$55,4,0))</f>
        <v>0</v>
      </c>
      <c r="W191" s="16">
        <f>IF(ISNA(VLOOKUP(A191,'Données projet'!$A$35:$I$55,5,0)),0%,VLOOKUP(A191,'Données projet'!$A$35:$I$55,5,0)*VLOOKUP('Données projet'!$B$9,Paramètres!$A$1:$I$89,7,0))</f>
        <v>0</v>
      </c>
      <c r="X191" s="16">
        <f>IF(ISNA(VLOOKUP(A191,'Données projet'!$A$35:$I$55,6,0)),0%,VLOOKUP(A191,'Données projet'!$A$35:$I$55,6,0)*VLOOKUP('Données projet'!$B$9,Paramètres!$A$1:$I$89,7,0))</f>
        <v>0</v>
      </c>
      <c r="Y191" s="16">
        <f>IF(ISNA(VLOOKUP(A191,'Données projet'!$A$35:$I$55,7,0)),0%,VLOOKUP(A191,'Données projet'!$A$35:$I$55,7,0))</f>
        <v>0</v>
      </c>
      <c r="Z191" s="21">
        <f>EXP(-LN(2)/35)*Z190+(1-EXP(-LN(2)/35))/(LN(2)/35)*V191*W191*VLOOKUP('Données projet'!$B$9,Paramètres!$A$1:$I$89,3,0)*0.475*44/12</f>
        <v>0.13521622633186384</v>
      </c>
      <c r="AA191" s="21">
        <f>EXP(-LN(2)/25)*AA190+(1-EXP(-LN(2)/25))/(LN(2)/25)*Calculateur!V191*Calculateur!X191*VLOOKUP('Données projet'!$B$9,Paramètres!$A$1:$I$89,3,0)*0.475*44/12</f>
        <v>0.19977004418410119</v>
      </c>
      <c r="AB191" s="21">
        <f>EXP(-LN(2)/2)*AB190+(1-EXP(-LN(2)/2))/(LN(2)/2)*V191*Y191*VLOOKUP('Données projet'!$B$9,Paramètres!$A$1:$I$89,3,0)*0.475*44/12</f>
        <v>2.8002579678439408E-24</v>
      </c>
      <c r="AC191" s="22">
        <f t="shared" si="163"/>
        <v>0.33498627051596502</v>
      </c>
      <c r="AD191" s="13">
        <f>('Scénario référence'!$F$8+'Scénario référence'!$F$9+'Scénario référence'!$B$17+'Scénario référence'!$B$9+'Scénario référence'!$B$10)*70+IF((45+25*(1-EXP(-0.0175*A191)))&lt;70,'Scénario référence'!$B$16*(45+25*(1-EXP(-0.0175*A191))),70*'Scénario référence'!$B$16)+IF((32+38*(1-EXP(-0.0175*A191)))&lt;70,'Scénario référence'!$B$18*(32+38*(1-EXP(-0.0175*A191))),70*'Scénario référence'!$B$18)</f>
        <v>70</v>
      </c>
      <c r="AE191" s="13">
        <f>IF(A191&gt;30,10,('Scénario référence'!$B$16+'Scénario référence'!$B$17+'Scénario référence'!$B$18+'Scénario référence'!$B$9+'Scénario référence'!$B$10)*A191*10/30+('Scénario référence'!$F$8+'Scénario référence'!$F$9)*10)</f>
        <v>10</v>
      </c>
      <c r="AF191" s="12" t="e">
        <f>VLOOKUP(A191,'Données projet'!$A$61:$I$81,2,0)</f>
        <v>#N/A</v>
      </c>
      <c r="AG191" s="12" t="e">
        <f>VLOOKUP(A191,'Données projet'!$A$61:$I$81,9,0)</f>
        <v>#N/A</v>
      </c>
      <c r="AH191" s="12">
        <f t="array" ref="AH191">INDEX(AG:AG,MIN(IF(ISNUMBER(AG191:AG387),ROW(AG191:AG387),"")))</f>
        <v>0</v>
      </c>
      <c r="AI191" s="13">
        <f>IF('Données projet'!$A$62&gt;35,AI190+AH191-AQ190,IF(A191&lt;'Données projet'!$A$62,$AF$205^A191,IF(A191='Données projet'!$A$62,'Données projet'!$B$62,AI190+AH191-AQ190)))</f>
        <v>0</v>
      </c>
      <c r="AJ191" s="13">
        <f>AI191*VLOOKUP('Données projet'!$B$10,Paramètres!$A$1:$I$89,3,0)*VLOOKUP('Données projet'!$B$10,Paramètres!$A$1:$I$89,5,0)</f>
        <v>0</v>
      </c>
      <c r="AK191" s="13" t="e">
        <f t="shared" si="164"/>
        <v>#NUM!</v>
      </c>
      <c r="AL191" s="20" t="e">
        <f t="shared" si="165"/>
        <v>#NUM!</v>
      </c>
      <c r="AM191" s="59" t="e">
        <f t="shared" si="113"/>
        <v>#NUM!</v>
      </c>
      <c r="AN191" s="59">
        <f ca="1">AVERAGE(OFFSET($AM$3,0,0,'Données projet'!$E$10+1,1))-AVERAGE(OFFSET($H$3,0,0,'Données projet'!$E$10+1,1))</f>
        <v>261.78489480911571</v>
      </c>
      <c r="AO191" s="59">
        <f t="shared" si="144"/>
        <v>297.50513563712764</v>
      </c>
      <c r="AP191" s="15">
        <f>IF(ISNA(VLOOKUP(A191,'Données projet'!$A$61:$I$81,3,0)),0,VLOOKUP(A191,'Données projet'!$A$61:$I$81,3,0))</f>
        <v>0</v>
      </c>
      <c r="AQ191" s="15">
        <f>IF(ISNA(VLOOKUP(A191,'Données projet'!$A$61:$I$81,4,0)),0,VLOOKUP(A191,'Données projet'!$A$61:$I$81,4,0))</f>
        <v>0</v>
      </c>
      <c r="AR191" s="16">
        <f>IF(ISNA(VLOOKUP(A191,'Données projet'!$A$61:$I$81,5,0)),0%,VLOOKUP(A191,'Données projet'!$A$61:$I$81,5,0)*VLOOKUP('Données projet'!$B$10,Paramètres!$A$1:$I$89,7,0))</f>
        <v>0</v>
      </c>
      <c r="AS191" s="16">
        <f>IF(ISNA(VLOOKUP(A191,'Données projet'!$A$61:$I$81,6,0)),0%,VLOOKUP(A191,'Données projet'!$A$61:$I$81,6,0)*VLOOKUP('Données projet'!$B$10,Paramètres!$A$1:$I$89,7,0))</f>
        <v>0</v>
      </c>
      <c r="AT191" s="16">
        <f>IF(ISNA(VLOOKUP(A191,'Données projet'!$A$61:$I$81,7,0)),0%,VLOOKUP(A191,'Données projet'!$A$61:$I$81,7,0))</f>
        <v>0</v>
      </c>
      <c r="AU191" s="21">
        <f>EXP(-LN(2)/35)*AU190+(1-EXP(-LN(2)/35))/(LN(2)/35)*AQ191*AR191*VLOOKUP('Données projet'!$B$10,Paramètres!$A$1:$I$89,3,0)*0.475*44/12</f>
        <v>0.36512205682220911</v>
      </c>
      <c r="AV191" s="21">
        <f>EXP(-LN(2)/25)*AV190+(1-EXP(-LN(2)/25))/(LN(2)/25)*Calculateur!AQ191*Calculateur!AS191*VLOOKUP('Données projet'!$B$10,Paramètres!$A$1:$I$89,3,0)*0.475*44/12</f>
        <v>0.34883924241837611</v>
      </c>
      <c r="AW191" s="21">
        <f>EXP(-LN(2)/2)*AW190+(1-EXP(-LN(2)/2))/(LN(2)/2)*AQ191*AT191*VLOOKUP('Données projet'!$B$10,Paramètres!$A$1:$I$89,3,0)*0.475*44/12</f>
        <v>4.0368384463308557E-23</v>
      </c>
      <c r="AX191" s="21">
        <f t="shared" si="166"/>
        <v>0.71396129924058527</v>
      </c>
      <c r="AY191" s="74">
        <f>('Scénario référence'!$F$8+'Scénario référence'!$F$9+'Scénario référence'!$B$17+'Scénario référence'!$B$9+'Scénario référence'!$B$10)*70+IF((45+25*(1-EXP(-0.0175*A191)))&lt;70,'Scénario référence'!$B$16*(45+25*(1-EXP(-0.0175*A191))),70*'Scénario référence'!$B$16)+IF((32+38*(1-EXP(-0.0175*A191)))&lt;70,'Scénario référence'!$B$18*(32+38*(1-EXP(-0.0175*A191))),70*'Scénario référence'!$B$18)</f>
        <v>70</v>
      </c>
      <c r="AZ191" s="12">
        <f>IF(A191&gt;30,10,('Scénario référence'!$B$16+'Scénario référence'!$B$17+'Scénario référence'!$B$18+'Scénario référence'!$B$9+'Scénario référence'!$B$10)*A191*10/30+('Scénario référence'!$F$8+'Scénario référence'!$F$9)*10)</f>
        <v>10</v>
      </c>
      <c r="BA191" s="12" t="e">
        <f>VLOOKUP(A191,'Données projet'!$A$87:$I$107,2,0)</f>
        <v>#N/A</v>
      </c>
      <c r="BB191" s="12" t="e">
        <f>VLOOKUP(A191,'Données projet'!$A$87:$I$107,9,0)</f>
        <v>#N/A</v>
      </c>
      <c r="BC191" s="12">
        <f t="array" ref="BC191">INDEX(BB:BB,MIN(IF(ISNUMBER(BB191:BB387),ROW(BB191:BB387),"")))</f>
        <v>0</v>
      </c>
      <c r="BD191" s="12">
        <f>IF('Données projet'!$A$88&gt;35,BD190+BC191-BL190,IF(A191&lt;'Données projet'!$A$88,$BA$205^A191,IF(A191='Données projet'!$A$88,'Données projet'!$B$88,BD190+BC191-BL190)))</f>
        <v>553.99999999999955</v>
      </c>
      <c r="BE191" s="13">
        <f>BD191*VLOOKUP('Données projet'!$B$11,Paramètres!$A$1:$I$89,3,0)*VLOOKUP('Données projet'!$B$11,Paramètres!$A$1:$I$89,5,0)</f>
        <v>331.29199999999975</v>
      </c>
      <c r="BF191" s="13">
        <f t="shared" si="167"/>
        <v>77.698110787752</v>
      </c>
      <c r="BG191" s="20">
        <f t="shared" si="168"/>
        <v>712.32444295533423</v>
      </c>
      <c r="BH191" s="59">
        <f t="shared" si="116"/>
        <v>1005.6577762886675</v>
      </c>
      <c r="BI191" s="59">
        <f ca="1">AVERAGE(OFFSET($BH$3,0,0,'Données projet'!$E$11+1,1))-AVERAGE(OFFSET($H$3,0,0,'Données projet'!$E$11+1,1))</f>
        <v>316.58509520829671</v>
      </c>
      <c r="BJ191" s="59">
        <f t="shared" si="146"/>
        <v>240.71332110643596</v>
      </c>
      <c r="BK191" s="15">
        <f>IF(ISNA(VLOOKUP(A191,'Données projet'!$A$87:$I$107,3,0)),0,VLOOKUP(A191,'Données projet'!$A$87:$I$107,3,0))</f>
        <v>0</v>
      </c>
      <c r="BL191" s="15">
        <f>IF(ISNA(VLOOKUP(A191,'Données projet'!$A$87:$I$107,4,0)),0,VLOOKUP(A191,'Données projet'!$A$87:$I$107,4,0))</f>
        <v>0</v>
      </c>
      <c r="BM191" s="16">
        <f>IF(ISNA(VLOOKUP(A191,'Données projet'!$A$87:$I$107,5,0)),0%,VLOOKUP(A191,'Données projet'!$A$87:$I$107,5,0)*VLOOKUP('Données projet'!$B$11,Paramètres!$A$1:$I$89,7,0))</f>
        <v>0</v>
      </c>
      <c r="BN191" s="16">
        <f>IF(ISNA(VLOOKUP(A191,'Données projet'!$A$87:$I$107,6,0)),0%,VLOOKUP(A191,'Données projet'!$A$87:$I$107,6,0)*VLOOKUP('Données projet'!$B$11,Paramètres!$A$1:$I$89,7,0))</f>
        <v>0</v>
      </c>
      <c r="BO191" s="16">
        <f>IF(ISNA(VLOOKUP(A191,'Données projet'!$A$87:$I$107,7,0)),0%,VLOOKUP(A191,'Données projet'!$A$87:$I$107,7,0))</f>
        <v>0</v>
      </c>
      <c r="BP191" s="21">
        <f>EXP(-LN(2)/35)*BP190+(1-EXP(-LN(2)/35))/(LN(2)/35)*BL191*BM191*VLOOKUP('Données projet'!$B$11,Paramètres!$A$1:$I$89,3,0)*0.475*44/12</f>
        <v>0.11090854144171655</v>
      </c>
      <c r="BQ191" s="21">
        <f>EXP(-LN(2)/25)*BQ190+(1-EXP(-LN(2)/25))/(LN(2)/25)*Calculateur!BL191*Calculateur!BN191*VLOOKUP('Données projet'!$B$11,Paramètres!$A$1:$I$89,3,0)*0.475*44/12</f>
        <v>0.19110431545491863</v>
      </c>
      <c r="BR191" s="21">
        <f>EXP(-LN(2)/2)*BR190+(1-EXP(-LN(2)/2))/(LN(2)/2)*BL191*BO191*VLOOKUP('Données projet'!$B$11,Paramètres!$A$1:$I$89,3,0)*0.475*44/12</f>
        <v>3.6295598479540398E-23</v>
      </c>
      <c r="BS191" s="22">
        <f t="shared" si="169"/>
        <v>0.30201285689663515</v>
      </c>
      <c r="BT191" s="75">
        <f>('Scénario référence'!$F$8+'Scénario référence'!$F$9+'Scénario référence'!$B$17+'Scénario référence'!$B$9+'Scénario référence'!$B$10)*70+IF((45+25*(1-EXP(-0.0175*A191)))&lt;70,'Scénario référence'!$B$16*(45+25*(1-EXP(-0.0175*A191))),70*'Scénario référence'!$B$16)+IF((32+38*(1-EXP(-0.0175*A191)))&lt;70,'Scénario référence'!$B$18*(32+38*(1-EXP(-0.0175*A191))),70*'Scénario référence'!$B$18)</f>
        <v>70</v>
      </c>
      <c r="BU191" s="12">
        <f>IF(A191&gt;30,10,('Scénario référence'!$B$16+'Scénario référence'!$B$17+'Scénario référence'!$B$18+'Scénario référence'!$B$9+'Scénario référence'!$B$10)*A191*10/30+('Scénario référence'!$F$8+'Scénario référence'!$F$9)*10)</f>
        <v>10</v>
      </c>
      <c r="BV191" s="12" t="e">
        <f>VLOOKUP(A191,'Données projet'!$A$113:$I$133,2,0)</f>
        <v>#N/A</v>
      </c>
      <c r="BW191" s="12" t="e">
        <f>VLOOKUP(A191,'Données projet'!$A$113:$I$133,9,0)</f>
        <v>#N/A</v>
      </c>
      <c r="BX191" s="12">
        <f t="array" ref="BX191">INDEX(BW:BW,MIN(IF(ISNUMBER(BW191:BW387),ROW(BW191:BW387),"")))</f>
        <v>0</v>
      </c>
      <c r="BY191" s="12">
        <f>IF('Données projet'!$A$114&gt;35,BY190+BX191-CG190,IF(A191&lt;'Données projet'!$A$114,$BV$205^A191,IF(A191='Données projet'!$A$114,'Données projet'!$B$114,BY190+BX191-CG190)))</f>
        <v>333.99999999999977</v>
      </c>
      <c r="BZ191" s="13">
        <f>BY191*VLOOKUP('Données projet'!$B$12,Paramètres!$A$1:$I$89,3,0)*VLOOKUP('Données projet'!$B$12,Paramètres!$A$1:$I$89,5,0)</f>
        <v>191.04799999999986</v>
      </c>
      <c r="CA191" s="13">
        <f t="shared" si="170"/>
        <v>47.771576544305155</v>
      </c>
      <c r="CB191" s="20">
        <f t="shared" si="171"/>
        <v>415.94409581466454</v>
      </c>
      <c r="CC191" s="59">
        <f t="shared" si="119"/>
        <v>709.27742914799785</v>
      </c>
      <c r="CD191" s="59">
        <f ca="1">AVERAGE(OFFSET($CC$3,0,0,'Données projet'!$E$12+1,1))-AVERAGE(OFFSET($H$3,0,0,'Données projet'!$E$12+1,1))</f>
        <v>188.64374818906128</v>
      </c>
      <c r="CE191" s="59">
        <f t="shared" si="148"/>
        <v>211.95157880548652</v>
      </c>
      <c r="CF191" s="15">
        <f>IF(ISNA(VLOOKUP(A191,'Données projet'!$A$113:$I$133,3,0)),0,VLOOKUP(A191,'Données projet'!$A$113:$I$133,3,0))</f>
        <v>0</v>
      </c>
      <c r="CG191" s="15">
        <f>IF(ISNA(VLOOKUP(A191,'Données projet'!$A$113:$I$133,4,0)),0,VLOOKUP(A191,'Données projet'!$A$113:$I$133,4,0))</f>
        <v>0</v>
      </c>
      <c r="CH191" s="16">
        <f>IF(ISNA(VLOOKUP(A191,'Données projet'!$A$113:$I$133,5,0)),0%,VLOOKUP(A191,'Données projet'!$A$113:$I$133,5,0)*VLOOKUP('Données projet'!$B$12,Paramètres!$A$1:$I$89,7,0))</f>
        <v>0</v>
      </c>
      <c r="CI191" s="16">
        <f>IF(ISNA(VLOOKUP(A191,'Données projet'!$A$113:$I$133,6,0)),0%,VLOOKUP(A191,'Données projet'!$A$113:$I$133,6,0)*VLOOKUP('Données projet'!$B$12,Paramètres!$A$1:$I$89,7,0))</f>
        <v>0</v>
      </c>
      <c r="CJ191" s="16">
        <f>IF(ISNA(VLOOKUP(A191,'Données projet'!$A$113:$I$133,7,0)),0%,VLOOKUP(A191,'Données projet'!$A$113:$I$133,7,0))</f>
        <v>0</v>
      </c>
      <c r="CK191" s="21">
        <f>EXP(-LN(2)/35)*CK190+(1-EXP(-LN(2)/35))/(LN(2)/35)*CG191*CH191*VLOOKUP('Données projet'!$B$12,Paramètres!$A$1:$I$89,3,0)*0.475*44/12</f>
        <v>0.10758060602797233</v>
      </c>
      <c r="CL191" s="21">
        <f>EXP(-LN(2)/25)*CL190+(1-EXP(-LN(2)/25))/(LN(2)/25)*Calculateur!CG191*Calculateur!CI191*VLOOKUP('Données projet'!$B$12,Paramètres!$A$1:$I$89,3,0)*0.475*44/12</f>
        <v>0.17987170864473589</v>
      </c>
      <c r="CM191" s="21">
        <f>EXP(-LN(2)/2)*CM190+(1-EXP(-LN(2)/2))/(LN(2)/2)*CG191*CJ191*VLOOKUP('Données projet'!$B$12,Paramètres!$A$1:$I$89,3,0)*0.475*44/12</f>
        <v>3.5149447317634497E-23</v>
      </c>
      <c r="CN191" s="22">
        <f t="shared" si="172"/>
        <v>0.28745231467270821</v>
      </c>
      <c r="CO191" s="75">
        <f>('Scénario référence'!$F$8+'Scénario référence'!$F$9+'Scénario référence'!$B$17+'Scénario référence'!$B$9+'Scénario référence'!$B$10)*70+IF((45+25*(1-EXP(-0.0175*A191)))&lt;70,'Scénario référence'!$B$16*(45+25*(1-EXP(-0.0175*A191))),70*'Scénario référence'!$B$16)+IF((32+38*(1-EXP(-0.0175*A191)))&lt;70,'Scénario référence'!$B$18*(32+38*(1-EXP(-0.0175*A191))),70*'Scénario référence'!$B$18)</f>
        <v>70</v>
      </c>
      <c r="CP191" s="12">
        <f>IF(A191&gt;30,10,('Scénario référence'!$B$16+'Scénario référence'!$B$17+'Scénario référence'!$B$18+'Scénario référence'!$B$9+'Scénario référence'!$B$10)*A191*10/30+('Scénario référence'!$F$8+'Scénario référence'!$F$9)*10)</f>
        <v>10</v>
      </c>
      <c r="CQ191" s="12" t="e">
        <f>VLOOKUP(A191,'Données projet'!$A$139:$I$159,2,0)</f>
        <v>#N/A</v>
      </c>
      <c r="CR191" s="12" t="e">
        <f>VLOOKUP(A191,'Données projet'!$A$139:$I$159,9,0)</f>
        <v>#N/A</v>
      </c>
      <c r="CS191" s="12">
        <f t="array" ref="CS191">INDEX(CR:CR,MIN(IF(ISNUMBER(CR191:CR387),ROW(CR191:CR387),"")))</f>
        <v>0</v>
      </c>
      <c r="CT191" s="12">
        <f>IF('Données projet'!$A$140&gt;35,CT190+CS191-DB190,IF(A191&lt;'Données projet'!$A$140,$CQ$205^A191,IF(A191='Données projet'!$A$140,'Données projet'!$B$140,CT190+CS191-DB190)))</f>
        <v>0</v>
      </c>
      <c r="CU191" s="17" t="e">
        <f>CT191*VLOOKUP('Données projet'!$B$13,Paramètres!$A$1:$I$89,3,0)*VLOOKUP('Données projet'!$B$13,Paramètres!$A$1:$I$89,5,0)</f>
        <v>#N/A</v>
      </c>
      <c r="CV191" s="13" t="e">
        <f t="shared" si="173"/>
        <v>#N/A</v>
      </c>
      <c r="CW191" s="20" t="e">
        <f t="shared" si="174"/>
        <v>#N/A</v>
      </c>
      <c r="CX191" s="59" t="e">
        <f t="shared" si="122"/>
        <v>#N/A</v>
      </c>
      <c r="CY191" s="59" t="e">
        <f ca="1">AVERAGE(OFFSET($CX$3,0,0,'Données projet'!$E$13+1,1))-AVERAGE(OFFSET($H$3,0,0,'Données projet'!$E$13+1,1))</f>
        <v>#N/A</v>
      </c>
      <c r="CZ191" s="59" t="e">
        <f t="shared" si="150"/>
        <v>#N/A</v>
      </c>
      <c r="DA191" s="15">
        <f>IF(ISNA(VLOOKUP(A191,'Données projet'!$A$139:$I$159,3,0)),0,VLOOKUP(A191,'Données projet'!$A$139:$I$159,3,0))</f>
        <v>0</v>
      </c>
      <c r="DB191" s="15">
        <f>IF(ISNA(VLOOKUP(A191,'Données projet'!$A$139:$I$159,4,0)),0,VLOOKUP(A191,'Données projet'!$A$139:$I$159,4,0))</f>
        <v>0</v>
      </c>
      <c r="DC191" s="16">
        <f>IF(ISNA(VLOOKUP(A191,'Données projet'!$A$139:$I$159,5,0)),0%,VLOOKUP(A191,'Données projet'!$A$139:$I$159,5,0)*VLOOKUP('Données projet'!$B$13,Paramètres!$A$1:$I$89,7,0))</f>
        <v>0</v>
      </c>
      <c r="DD191" s="16">
        <f>IF(ISNA(VLOOKUP(A191,'Données projet'!$A$139:$I$159,6,0)),0%,VLOOKUP(A191,'Données projet'!$A$139:$I$159,6,0)*VLOOKUP('Données projet'!$B$13,Paramètres!$A$1:$I$89,7,0))</f>
        <v>0</v>
      </c>
      <c r="DE191" s="16">
        <f>IF(ISNA(VLOOKUP(A191,'Données projet'!$A$139:$I$159,7,0)),0%,VLOOKUP(A191,'Données projet'!$A$139:$I$159,7,0))</f>
        <v>0</v>
      </c>
      <c r="DF191" s="21" t="e">
        <f>EXP(-LN(2)/35)*DF190+(1-EXP(-LN(2)/35))/(LN(2)/35)*DB191*DC191*VLOOKUP('Données projet'!$B$13,Paramètres!$A$1:$I$89,3,0)*0.475*44/12</f>
        <v>#N/A</v>
      </c>
      <c r="DG191" s="21" t="e">
        <f>EXP(-LN(2)/25)*DG190+(1-EXP(-LN(2)/25))/(LN(2)/25)*Calculateur!DB191*Calculateur!DD191*VLOOKUP('Données projet'!$B$13,Paramètres!$A$1:$I$89,3,0)*0.475*44/12</f>
        <v>#N/A</v>
      </c>
      <c r="DH191" s="21" t="e">
        <f>EXP(-LN(2)/2)*DH190+(1-EXP(-LN(2)/2))/(LN(2)/2)*DB191*DE191*VLOOKUP('Données projet'!$B$13,Paramètres!$A$1:$I$89,3,0)*0.475*44/12</f>
        <v>#N/A</v>
      </c>
      <c r="DI191" s="22" t="e">
        <f t="shared" si="175"/>
        <v>#N/A</v>
      </c>
      <c r="DJ191" s="75">
        <f>('Scénario référence'!$F$8+'Scénario référence'!$F$9+'Scénario référence'!$B$17+'Scénario référence'!$B$9+'Scénario référence'!$B$10)*70+IF((45+25*(1-EXP(-0.0175*A191)))&lt;70,'Scénario référence'!$B$16*(45+25*(1-EXP(-0.0175*A191))),70*'Scénario référence'!$B$16)+IF((32+38*(1-EXP(-0.0175*A191)))&lt;70,'Scénario référence'!$B$18*(32+38*(1-EXP(-0.0175*A191))),70*'Scénario référence'!$B$18)</f>
        <v>70</v>
      </c>
      <c r="DK191" s="12">
        <f>IF(A191&gt;30,10,('Scénario référence'!$B$16+'Scénario référence'!$B$17+'Scénario référence'!$B$18+'Scénario référence'!$B$9+'Scénario référence'!$B$10)*A191*10/30+('Scénario référence'!$F$8+'Scénario référence'!$F$9)*10)</f>
        <v>10</v>
      </c>
      <c r="DL191" s="12" t="e">
        <f>VLOOKUP(A191,'Données projet'!$A$165:$I$185,2,0)</f>
        <v>#N/A</v>
      </c>
      <c r="DM191" s="12" t="e">
        <f>VLOOKUP(A191,'Données projet'!$A$165:$I$185,9,0)</f>
        <v>#N/A</v>
      </c>
      <c r="DN191" s="12">
        <f t="array" ref="DN191">INDEX(DM:DM,MIN(IF(ISNUMBER(DM191:DM387),ROW(DM191:DM387),"")))</f>
        <v>0</v>
      </c>
      <c r="DO191" s="12">
        <f>IF('Données projet'!$A$166&gt;35,DO190+DN191-DW190,IF(A191&lt;'Données projet'!$A$166,$DL$205^A191,IF(A191='Données projet'!$A$166,'Données projet'!$B$166,DO190+DN191-DW190)))</f>
        <v>268.00000000000017</v>
      </c>
      <c r="DP191" s="17">
        <f>DO191*VLOOKUP('Données projet'!$B$14,Paramètres!$A$1:$I$89,3,0)*VLOOKUP('Données projet'!$B$14,Paramètres!$A$1:$I$89,5,0)</f>
        <v>175.59360000000012</v>
      </c>
      <c r="DQ191" s="13">
        <f t="shared" si="176"/>
        <v>44.340433728638573</v>
      </c>
      <c r="DR191" s="20">
        <f t="shared" si="177"/>
        <v>383.05177541071242</v>
      </c>
      <c r="DS191" s="59">
        <f t="shared" si="125"/>
        <v>676.38510874404574</v>
      </c>
      <c r="DT191" s="59">
        <f ca="1">AVERAGE(OFFSET($DS$3,0,0,'Données projet'!$E$14+1,1))-AVERAGE(OFFSET($H$3,0,0,'Données projet'!$E$14+1,1))</f>
        <v>188.68915783955595</v>
      </c>
      <c r="DU191" s="59">
        <f t="shared" si="152"/>
        <v>240.82467772396944</v>
      </c>
      <c r="DV191" s="15">
        <f>IF(ISNA(VLOOKUP(A191,'Données projet'!$A$165:$I$185,3,0)),0,VLOOKUP(A191,'Données projet'!$A$165:$I$185,3,0))</f>
        <v>0</v>
      </c>
      <c r="DW191" s="15">
        <f>IF(ISNA(VLOOKUP(A191,'Données projet'!$A$165:$I$185,4,0)),0,VLOOKUP(A191,'Données projet'!$A$165:$I$185,4,0))</f>
        <v>0</v>
      </c>
      <c r="DX191" s="16">
        <f>IF(ISNA(VLOOKUP(A191,'Données projet'!$A$165:$I$185,5,0)),0%,VLOOKUP(A191,'Données projet'!$A$165:$I$185,5,0)*VLOOKUP('Données projet'!$B$14,Paramètres!$A$1:$I$89,7,0))</f>
        <v>0</v>
      </c>
      <c r="DY191" s="16">
        <f>IF(ISNA(VLOOKUP(A191,'Données projet'!$A$165:$I$185,6,0)),0%,VLOOKUP(A191,'Données projet'!$A$165:$I$185,6,0)*VLOOKUP('Données projet'!$B$14,Paramètres!$A$1:$I$89,7,0))</f>
        <v>0</v>
      </c>
      <c r="DZ191" s="16">
        <f>IF(ISNA(VLOOKUP(A191,'Données projet'!$A$165:$I$185,7,0)),0%,VLOOKUP(A191,'Données projet'!$A$165:$I$185,7,0))</f>
        <v>0</v>
      </c>
      <c r="EA191" s="21">
        <f>EXP(-LN(2)/35)*EA190+(1-EXP(-LN(2)/35))/(LN(2)/35)*DW191*DX191*VLOOKUP('Données projet'!$B$14,Paramètres!$A$1:$I$89,3,0)*0.475*44/12</f>
        <v>6.8143439424283858E-2</v>
      </c>
      <c r="EB191" s="21">
        <f>EXP(-LN(2)/25)*EB190+(1-EXP(-LN(2)/25))/(LN(2)/25)*Calculateur!DW191*Calculateur!DY191*VLOOKUP('Données projet'!$B$14,Paramètres!$A$1:$I$89,3,0)*0.475*44/12</f>
        <v>0.10060973596181118</v>
      </c>
      <c r="EC191" s="21">
        <f>EXP(-LN(2)/2)*EC190+(1-EXP(-LN(2)/2))/(LN(2)/2)*DW191*DZ191*VLOOKUP('Données projet'!$B$14,Paramètres!$A$1:$I$89,3,0)*0.475*44/12</f>
        <v>2.3155114663145734E-23</v>
      </c>
      <c r="ED191" s="22">
        <f t="shared" si="178"/>
        <v>0.16875317538609502</v>
      </c>
      <c r="EE191" s="75">
        <f>('Scénario référence'!$F$8+'Scénario référence'!$F$9+'Scénario référence'!$B$17+'Scénario référence'!$B$9+'Scénario référence'!$B$10)*70+IF((45+25*(1-EXP(-0.0175*A191)))&lt;70,'Scénario référence'!$B$16*(45+25*(1-EXP(-0.0175*A191))),70*'Scénario référence'!$B$16)+IF((32+38*(1-EXP(-0.0175*A191)))&lt;70,'Scénario référence'!$B$18*(32+38*(1-EXP(-0.0175*A191))),70*'Scénario référence'!$B$18)</f>
        <v>70</v>
      </c>
      <c r="EF191" s="12">
        <f>IF(A191&gt;30,10,('Scénario référence'!$B$16+'Scénario référence'!$B$17+'Scénario référence'!$B$18+'Scénario référence'!$B$9+'Scénario référence'!$B$10)*A191*10/30+('Scénario référence'!$F$8+'Scénario référence'!$F$9)*10)</f>
        <v>10</v>
      </c>
      <c r="EG191" s="12" t="e">
        <f>VLOOKUP(A191,'Données projet'!$A$191:$I$211,2,0)</f>
        <v>#N/A</v>
      </c>
      <c r="EH191" s="12" t="e">
        <f>VLOOKUP(A191,'Données projet'!$A$191:$I$211,9,0)</f>
        <v>#N/A</v>
      </c>
      <c r="EI191" s="12">
        <f t="array" ref="EI191">INDEX(EH:EH,MIN(IF(ISNUMBER(EH191:EH387),ROW(EH191:EH387),"")))</f>
        <v>0</v>
      </c>
      <c r="EJ191" s="12">
        <f>IF('Données projet'!$A$192&gt;35,EJ190+EI191-ER190,IF(A191&lt;'Données projet'!$A$192,$EG$205^A191,IF(A191='Données projet'!$A$192,'Données projet'!$B$192,EJ190+EI191-ER190)))</f>
        <v>275.99999999999972</v>
      </c>
      <c r="EK191" s="17">
        <f>EJ191*VLOOKUP('Données projet'!$B$15,Paramètres!$A$1:$I$89,3,0)*VLOOKUP('Données projet'!$B$15,Paramètres!$A$1:$I$89,5,0)</f>
        <v>223.8911999999998</v>
      </c>
      <c r="EL191" s="13">
        <f t="shared" si="179"/>
        <v>54.95975389514858</v>
      </c>
      <c r="EM191" s="20">
        <f t="shared" si="180"/>
        <v>485.66541136738346</v>
      </c>
      <c r="EN191" s="59">
        <f t="shared" si="128"/>
        <v>778.99874470071677</v>
      </c>
      <c r="EO191" s="59">
        <f ca="1">AVERAGE(OFFSET($EN$3,0,0,'Données projet'!$E$15+1,1))-AVERAGE(OFFSET($H$3,0,0,'Données projet'!$E$15+1,1))</f>
        <v>205.5272583787887</v>
      </c>
      <c r="EP191" s="59">
        <f t="shared" si="154"/>
        <v>180.54762778843178</v>
      </c>
      <c r="EQ191" s="15">
        <f>IF(ISNA(VLOOKUP(A191,'Données projet'!$A$191:$I$211,3,0)),0,VLOOKUP(A191,'Données projet'!$A$191:$I$211,3,0))</f>
        <v>0</v>
      </c>
      <c r="ER191" s="15">
        <f>IF(ISNA(VLOOKUP(A191,'Données projet'!$A$191:$I$211,4,0)),0,VLOOKUP(A191,'Données projet'!$A$191:$I$211,4,0))</f>
        <v>0</v>
      </c>
      <c r="ES191" s="16">
        <f>IF(ISNA(VLOOKUP(A191,'Données projet'!$A$191:$I$211,5,0)),0%,VLOOKUP(A191,'Données projet'!$A$191:$I$211,5,0)*VLOOKUP('Données projet'!$B$15,Paramètres!$A$1:$I$89,7,0))</f>
        <v>0</v>
      </c>
      <c r="ET191" s="16">
        <f>IF(ISNA(VLOOKUP(A191,'Données projet'!$A$191:$I$211,6,0)),0%,VLOOKUP(A191,'Données projet'!$A$191:$I$211,6,0)*VLOOKUP('Données projet'!$B$15,Paramètres!$A$1:$I$89,7,0))</f>
        <v>0</v>
      </c>
      <c r="EU191" s="16">
        <f>IF(ISNA(VLOOKUP(A191,'Données projet'!$A$191:$I$211,7,0)),0%,VLOOKUP(A191,'Données projet'!$A$191:$I$211,7,0))</f>
        <v>0</v>
      </c>
      <c r="EV191" s="21">
        <f>EXP(-LN(2)/35)*EV190+(1-EXP(-LN(2)/35))/(LN(2)/35)*ER191*ES191*VLOOKUP('Données projet'!$B$15,Paramètres!$A$1:$I$89,3,0)*0.475*44/12</f>
        <v>4.387139528649131E-2</v>
      </c>
      <c r="EW191" s="21">
        <f>EXP(-LN(2)/25)*EW190+(1-EXP(-LN(2)/25))/(LN(2)/25)*Calculateur!ER191*Calculateur!ET191*VLOOKUP('Données projet'!$B$15,Paramètres!$A$1:$I$89,3,0)*0.475*44/12</f>
        <v>7.2643281457844336E-2</v>
      </c>
      <c r="EX191" s="21">
        <f>EXP(-LN(2)/2)*EX190+(1-EXP(-LN(2)/2))/(LN(2)/2)*ER191*EU191*VLOOKUP('Données projet'!$B$15,Paramètres!$A$1:$I$89,3,0)*0.475*44/12</f>
        <v>1.4992953865885446E-23</v>
      </c>
      <c r="EY191" s="22">
        <f t="shared" si="181"/>
        <v>0.11651467674433565</v>
      </c>
      <c r="EZ191" s="75">
        <f>('Scénario référence'!$F$8+'Scénario référence'!$F$9+'Scénario référence'!$B$17+'Scénario référence'!$B$9+'Scénario référence'!$B$10)*70+IF((45+25*(1-EXP(-0.0175*A191)))&lt;70,'Scénario référence'!$B$16*(45+25*(1-EXP(-0.0175*A191))),70*'Scénario référence'!$B$16)+IF((32+38*(1-EXP(-0.0175*A191)))&lt;70,'Scénario référence'!$B$18*(32+38*(1-EXP(-0.0175*A191))),70*'Scénario référence'!$B$18)</f>
        <v>70</v>
      </c>
      <c r="FA191" s="12">
        <f>IF(A191&gt;30,10,('Scénario référence'!$B$16+'Scénario référence'!$B$17+'Scénario référence'!$B$18+'Scénario référence'!$B$9+'Scénario référence'!$B$10)*A191*10/30+('Scénario référence'!$F$8+'Scénario référence'!$F$9)*10)</f>
        <v>10</v>
      </c>
      <c r="FB191" s="12" t="e">
        <f>VLOOKUP(A191,'Données projet'!$A$217:$I$237,2,0)</f>
        <v>#N/A</v>
      </c>
      <c r="FC191" s="12" t="e">
        <f>VLOOKUP(A191,'Données projet'!$A$217:$I$237,9,0)</f>
        <v>#N/A</v>
      </c>
      <c r="FD191" s="12">
        <f t="array" ref="FD191">INDEX(FC:FC,MIN(IF(ISNUMBER(FC191:FC387),ROW(FC191:FC387),"")))</f>
        <v>0</v>
      </c>
      <c r="FE191" s="12">
        <f>IF('Données projet'!$A$218&gt;35,FE190+FD191-FM190,IF(A191&lt;'Données projet'!$A$218,$FB$205^A191,IF(A191='Données projet'!$A$218,'Données projet'!$B$218,FE190+FD191-FM190)))</f>
        <v>418.99999999999983</v>
      </c>
      <c r="FF191" s="17">
        <f>FE191*VLOOKUP('Données projet'!$B$16,Paramètres!$A$1:$I$89,3,0)*VLOOKUP('Données projet'!$B$16,Paramètres!$A$1:$I$89,5,0)</f>
        <v>359.5019999999999</v>
      </c>
      <c r="FG191" s="13">
        <f t="shared" si="182"/>
        <v>83.516011055432813</v>
      </c>
      <c r="FH191" s="20">
        <f t="shared" si="183"/>
        <v>771.58970258821194</v>
      </c>
      <c r="FI191" s="59">
        <f t="shared" si="131"/>
        <v>1064.9230359215453</v>
      </c>
      <c r="FJ191" s="59">
        <f ca="1">AVERAGE(OFFSET($FI$3,0,0,'Données projet'!$E$16+1,1))-AVERAGE(OFFSET($H$3,0,0,'Données projet'!$E$16+1,1))</f>
        <v>383.97627237444709</v>
      </c>
      <c r="FK191" s="59">
        <f t="shared" si="156"/>
        <v>203.35476578922339</v>
      </c>
      <c r="FL191" s="15">
        <f>IF(ISNA(VLOOKUP(A191,'Données projet'!$A$217:$I$237,3,0)),0,VLOOKUP(A191,'Données projet'!$A$217:$I$237,3,0))</f>
        <v>0</v>
      </c>
      <c r="FM191" s="15">
        <f>IF(ISNA(VLOOKUP(A191,'Données projet'!$A$217:$I$237,4,0)),0,VLOOKUP(A191,'Données projet'!$A$217:$I$237,4,0))</f>
        <v>0</v>
      </c>
      <c r="FN191" s="16">
        <f>IF(ISNA(VLOOKUP(A191,'Données projet'!$A$217:$I$237,5,0)),0%,VLOOKUP(A191,'Données projet'!$A$217:$I$237,5,0)*VLOOKUP('Données projet'!$B$16,Paramètres!$A$1:$I$89,7,0))</f>
        <v>0</v>
      </c>
      <c r="FO191" s="16">
        <f>IF(ISNA(VLOOKUP(A191,'Données projet'!$A$217:$I$237,6,0)),0%,VLOOKUP(A191,'Données projet'!$A$217:$I$237,6,0)*VLOOKUP('Données projet'!$B$16,Paramètres!$A$1:$I$89,7,0))</f>
        <v>0</v>
      </c>
      <c r="FP191" s="16">
        <f>IF(ISNA(VLOOKUP(A191,'Données projet'!$A$217:$I$237,7,0)),0%,VLOOKUP(A191,'Données projet'!$A$217:$I$237,7,0))</f>
        <v>0</v>
      </c>
      <c r="FQ191" s="21">
        <f>EXP(-LN(2)/35)*FQ190+(1-EXP(-LN(2)/35))/(LN(2)/35)*FM191*FN191*VLOOKUP('Données projet'!$B$16,Paramètres!$A$1:$I$89,3,0)*0.475*44/12</f>
        <v>0.2254751706199698</v>
      </c>
      <c r="FR191" s="21">
        <f>EXP(-LN(2)/25)*FR190+(1-EXP(-LN(2)/25))/(LN(2)/25)*Calculateur!FM191*Calculateur!FO191*VLOOKUP('Données projet'!$B$16,Paramètres!$A$1:$I$89,3,0)*0.475*44/12</f>
        <v>7.3740439076426828E-2</v>
      </c>
      <c r="FS191" s="21">
        <f>EXP(-LN(2)/2)*FS190+(1-EXP(-LN(2)/2))/(LN(2)/2)*FM191*FP191*VLOOKUP('Données projet'!$B$16,Paramètres!$A$1:$I$89,3,0)*0.475*44/12</f>
        <v>2.753897925200448E-23</v>
      </c>
      <c r="FT191" s="22">
        <f t="shared" si="184"/>
        <v>0.2992156096963966</v>
      </c>
      <c r="FU191" s="75">
        <f>('Scénario référence'!$F$8+'Scénario référence'!$F$9+'Scénario référence'!$B$17+'Scénario référence'!$B$9+'Scénario référence'!$B$10)*70+IF((45+25*(1-EXP(-0.0175*A191)))&lt;70,'Scénario référence'!$B$16*(45+25*(1-EXP(-0.0175*A191))),70*'Scénario référence'!$B$16)+IF((32+38*(1-EXP(-0.0175*A191)))&lt;70,'Scénario référence'!$B$18*(32+38*(1-EXP(-0.0175*A191))),70*'Scénario référence'!$B$18)</f>
        <v>70</v>
      </c>
      <c r="FV191" s="12">
        <f>IF(A191&gt;30,10,('Scénario référence'!$B$16+'Scénario référence'!$B$17+'Scénario référence'!$B$18+'Scénario référence'!$B$9+'Scénario référence'!$B$10)*A191*10/30+('Scénario référence'!$F$8+'Scénario référence'!$F$9)*10)</f>
        <v>10</v>
      </c>
      <c r="FW191" s="12" t="e">
        <f>VLOOKUP(A191,'Données projet'!$A$243:$I$263,2,0)</f>
        <v>#N/A</v>
      </c>
      <c r="FX191" s="12" t="e">
        <f>VLOOKUP(A191,'Données projet'!$A$243:$I$263,9,0)</f>
        <v>#N/A</v>
      </c>
      <c r="FY191" s="12">
        <f t="array" ref="FY191">INDEX(FX:FX,MIN(IF(ISNUMBER(FX191:FX387),ROW(FX191:FX387),"")))</f>
        <v>0</v>
      </c>
      <c r="FZ191" s="12">
        <f>IF('Données projet'!$A$244&gt;35,FZ190+FY191-GH190,IF(A191&lt;'Données projet'!$A$244,$FW$205^A191,IF(A191='Données projet'!$A$244,'Données projet'!$B$244,FZ190+FY191-GH190)))</f>
        <v>4.5474735088646412E-13</v>
      </c>
      <c r="GA191" s="17">
        <f>FZ191*VLOOKUP('Données projet'!$B$17,Paramètres!$A$1:$I$89,3,0)*VLOOKUP('Données projet'!$B$17,Paramètres!$A$1:$I$89,5,0)</f>
        <v>4.8949004849418999E-13</v>
      </c>
      <c r="GB191" s="13">
        <f t="shared" si="185"/>
        <v>6.1123715499968684E-12</v>
      </c>
      <c r="GC191" s="20">
        <f t="shared" si="186"/>
        <v>1.1498242284038591E-11</v>
      </c>
      <c r="GD191" s="59">
        <f t="shared" si="134"/>
        <v>293.3333333333448</v>
      </c>
      <c r="GE191" s="59">
        <f ca="1">AVERAGE(OFFSET($GD$3,0,0,'Données projet'!$E$17+1,1))-AVERAGE(OFFSET($H$3,0,0,'Données projet'!$E$17+1,1))</f>
        <v>286.77702855541287</v>
      </c>
      <c r="GF191" s="59">
        <f t="shared" si="158"/>
        <v>227.12211541860779</v>
      </c>
      <c r="GG191" s="15">
        <f>IF(ISNA(VLOOKUP(A191,'Données projet'!$A$243:$I$263,3,0)),0,VLOOKUP(A191,'Données projet'!$A$243:$I$263,3,0))</f>
        <v>0</v>
      </c>
      <c r="GH191" s="15">
        <f>IF(ISNA(VLOOKUP(A191,'Données projet'!$A$243:$I$263,4,0)),0,VLOOKUP(A191,'Données projet'!$A$243:$I$263,4,0))</f>
        <v>0</v>
      </c>
      <c r="GI191" s="16">
        <f>IF(ISNA(VLOOKUP(A191,'Données projet'!$A$243:$I$263,5,0)),0%,VLOOKUP(A191,'Données projet'!$A$243:$I$263,5,0)*VLOOKUP('Données projet'!$B$17,Paramètres!$A$1:$I$89,7,0))</f>
        <v>0</v>
      </c>
      <c r="GJ191" s="16">
        <f>IF(ISNA(VLOOKUP(A191,'Données projet'!$A$243:$I$263,6,0)),0%,VLOOKUP(A191,'Données projet'!$A$243:$I$263,6,0)*VLOOKUP('Données projet'!$B$17,Paramètres!$A$1:$I$89,7,0))</f>
        <v>0</v>
      </c>
      <c r="GK191" s="16">
        <f>IF(ISNA(VLOOKUP(A191,'Données projet'!$A$243:$I$263,7,0)),0%,VLOOKUP(A191,'Données projet'!$A$243:$I$263,7,0))</f>
        <v>0</v>
      </c>
      <c r="GL191" s="21">
        <f>EXP(-LN(2)/35)*GL190+(1-EXP(-LN(2)/35))/(LN(2)/35)*GH191*GI191*VLOOKUP('Données projet'!$B$17,Paramètres!$A$1:$I$89,3,0)*0.475*44/12</f>
        <v>0</v>
      </c>
      <c r="GM191" s="21">
        <f>EXP(-LN(2)/25)*GM190+(1-EXP(-LN(2)/25))/(LN(2)/25)*Calculateur!GH191*Calculateur!GJ191*VLOOKUP('Données projet'!$B$17,Paramètres!$A$1:$I$89,3,0)*0.475*44/12</f>
        <v>0</v>
      </c>
      <c r="GN191" s="21">
        <f>EXP(-LN(2)/2)*GN190+(1-EXP(-LN(2)/2))/(LN(2)/2)*GH191*GK191*VLOOKUP('Données projet'!$B$17,Paramètres!$A$1:$I$89,3,0)*0.475*44/12</f>
        <v>0</v>
      </c>
      <c r="GO191" s="21">
        <f t="shared" si="187"/>
        <v>0</v>
      </c>
      <c r="GP191" s="75">
        <f>('Scénario référence'!$F$8+'Scénario référence'!$F$9+'Scénario référence'!$B$17+'Scénario référence'!$B$9+'Scénario référence'!$B$10)*70+IF((45+25*(1-EXP(-0.0175*A191)))&lt;70,'Scénario référence'!$B$16*(45+25*(1-EXP(-0.0175*A191))),70*'Scénario référence'!$B$16)+IF((32+38*(1-EXP(-0.0175*A191)))&lt;70,'Scénario référence'!$B$18*(32+38*(1-EXP(-0.0175*A191))),70*'Scénario référence'!$B$18)</f>
        <v>70</v>
      </c>
      <c r="GQ191" s="12">
        <f>IF(A191&gt;30,10,('Scénario référence'!$B$16+'Scénario référence'!$B$17+'Scénario référence'!$B$18+'Scénario référence'!$B$9+'Scénario référence'!$B$10)*A191*10/30+('Scénario référence'!$F$8+'Scénario référence'!$F$9)*10)</f>
        <v>10</v>
      </c>
      <c r="GR191" s="12" t="e">
        <f>VLOOKUP(A191,'Données projet'!$A$269:$I$289,2,0)</f>
        <v>#N/A</v>
      </c>
      <c r="GS191" s="12" t="e">
        <f>VLOOKUP(A191,'Données projet'!$A$269:$I$289,9,0)</f>
        <v>#N/A</v>
      </c>
      <c r="GT191" s="12">
        <f t="array" ref="GT191">INDEX(GS:GS,MIN(IF(ISNUMBER(GS191:GS387),ROW(GS191:GS387),"")))</f>
        <v>0</v>
      </c>
      <c r="GU191" s="12">
        <f>IF('Données projet'!$A$270&gt;35,GU190+GT191-HC190,IF(A191&lt;'Données projet'!$A$270,$GR$205^A191,IF(A191='Données projet'!$A$270,'Données projet'!$B$270,GU190+GT191-HC190)))</f>
        <v>4.5474735088646412E-13</v>
      </c>
      <c r="GV191" s="17">
        <f>GU191*VLOOKUP('Données projet'!$B$18,Paramètres!$A$1:$I$89,3,0)*VLOOKUP('Données projet'!$B$18,Paramètres!$A$1:$I$89,5,0)</f>
        <v>4.8949004849418999E-13</v>
      </c>
      <c r="GW191" s="13">
        <f t="shared" si="188"/>
        <v>6.1123715499968684E-12</v>
      </c>
      <c r="GX191" s="20">
        <f t="shared" si="189"/>
        <v>1.1498242284038591E-11</v>
      </c>
      <c r="GY191" s="59">
        <f t="shared" si="137"/>
        <v>293.3333333333448</v>
      </c>
      <c r="GZ191" s="59">
        <f ca="1">AVERAGE(OFFSET($GY$3,0,0,'Données projet'!$E$18+1,1))-AVERAGE(OFFSET($H$3,0,0,'Données projet'!$E$18+1,1))</f>
        <v>286.77702855541287</v>
      </c>
      <c r="HA191" s="59">
        <f t="shared" si="160"/>
        <v>227.12211541860779</v>
      </c>
      <c r="HB191" s="15">
        <f>IF(ISNA(VLOOKUP(A191,'Données projet'!$A$269:$I$289,3,0)),0,VLOOKUP(A191,'Données projet'!$A$269:$I$289,3,0))</f>
        <v>0</v>
      </c>
      <c r="HC191" s="15">
        <f>IF(ISNA(VLOOKUP(A191,'Données projet'!$A$269:$I$289,4,0)),0,VLOOKUP(A191,'Données projet'!$A$269:$I$289,4,0))</f>
        <v>0</v>
      </c>
      <c r="HD191" s="16">
        <f>IF(ISNA(VLOOKUP(A191,'Données projet'!$A$269:$I$289,5,0)),0%,VLOOKUP(A191,'Données projet'!$A$269:$I$289,5,0)*VLOOKUP('Données projet'!$B$18,Paramètres!$A$1:$I$89,7,0))</f>
        <v>0</v>
      </c>
      <c r="HE191" s="16">
        <f>IF(ISNA(VLOOKUP(A191,'Données projet'!$A$269:$I$289,6,0)),0%,VLOOKUP(A191,'Données projet'!$A$269:$I$289,6,0)*VLOOKUP('Données projet'!$B$18,Paramètres!$A$1:$I$89,7,0))</f>
        <v>0</v>
      </c>
      <c r="HF191" s="16">
        <f>IF(ISNA(VLOOKUP(A191,'Données projet'!$A$269:$I$289,7,0)),0%,VLOOKUP(A191,'Données projet'!$A$269:$I$289,7,0))</f>
        <v>0</v>
      </c>
      <c r="HG191" s="21">
        <f>EXP(-LN(2)/35)*HG190+(1-EXP(-LN(2)/35))/(LN(2)/35)*HC191*HD191*VLOOKUP('Données projet'!$B$18,Paramètres!$A$1:$I$89,3,0)*0.475*44/12</f>
        <v>0</v>
      </c>
      <c r="HH191" s="21">
        <f>EXP(-LN(2)/25)*HH190+(1-EXP(-LN(2)/25))/(LN(2)/25)*Calculateur!HC191*Calculateur!HE191*VLOOKUP('Données projet'!$B$18,Paramètres!$A$1:$I$89,3,0)*0.475*44/12</f>
        <v>0</v>
      </c>
      <c r="HI191" s="21">
        <f>EXP(-LN(2)/2)*HI190+(1-EXP(-LN(2)/2))/(LN(2)/2)*HC191*HF191*VLOOKUP('Données projet'!$B$18,Paramètres!$A$1:$I$89,3,0)*0.475*44/12</f>
        <v>0</v>
      </c>
      <c r="HJ191" s="22">
        <f t="shared" si="190"/>
        <v>0</v>
      </c>
    </row>
    <row r="192" spans="1:218" x14ac:dyDescent="0.25">
      <c r="A192" s="10">
        <f t="shared" si="161"/>
        <v>189</v>
      </c>
      <c r="B192" s="73">
        <f>'Scénario référence'!$B$16*5+'Scénario référence'!$B$17*0+'Scénario référence'!$B$18*5</f>
        <v>0</v>
      </c>
      <c r="C192" s="19">
        <f>Calculateur!C191+'Scénario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168.05879999999971</v>
      </c>
      <c r="D192" s="11">
        <f t="shared" si="140"/>
        <v>42.65496919167748</v>
      </c>
      <c r="E19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92" s="11">
        <f>IF(OR('Scénario référence'!$F$8&gt;0,'Scénario référence'!$F$9&gt;0),('Scénario référence'!$F$8+'Scénario référence'!$F$9)*10,0)</f>
        <v>10</v>
      </c>
      <c r="G192" s="11">
        <f>'Scénario référence'!$B$8*B192*44/12+'Scénario référence'!$B$9*(C192+D192)/0.475*44/12+'Scénario référence'!$B$10*(C192+D192)/0.475*44/12+'Scénario référence'!$F$8*(C192+D192)/0.475*44/12+'Scénario référence'!$F$9*(C192+D192)/0.475*44/12</f>
        <v>1626.5624288480346</v>
      </c>
      <c r="H192" s="67">
        <f t="shared" si="110"/>
        <v>660.32648134217106</v>
      </c>
      <c r="I192" s="70">
        <f>('Scénario référence'!$F$8+'Scénario référence'!$F$9+'Scénario référence'!$B$17+'Scénario référence'!$B$9+'Scénario référence'!$B$10)*70+IF((45+25*(1-EXP(-0.0175*A192)))&lt;70,'Scénario référence'!$B$16*(45+25*(1-EXP(-0.0175*A192))),70*'Scénario référence'!$B$16)+IF((32+38*(1-EXP(-0.0175*A192)))&lt;70,'Scénario référence'!$B$18*(32+38*(1-EXP(-0.0175*A192))),70*'Scénario référence'!$B$18)</f>
        <v>70</v>
      </c>
      <c r="J192" s="13">
        <f>IF(A192&gt;30,10,('Scénario référence'!$B$16+'Scénario référence'!$B$17+'Scénario référence'!$B$18+'Scénario référence'!$B$9+'Scénario référence'!$B$10)*A192*10/30+('Scénario référence'!$F$8+'Scénario référence'!$F$9)*10)</f>
        <v>10</v>
      </c>
      <c r="K192" s="12" t="e">
        <f>VLOOKUP(A192,'Données projet'!$A$35:$I$55,2,0)</f>
        <v>#N/A</v>
      </c>
      <c r="L192" s="12" t="e">
        <f>VLOOKUP(A192,'Données projet'!$A$35:$I$55,9,0)</f>
        <v>#N/A</v>
      </c>
      <c r="M192" s="12">
        <f t="array" ref="M192">INDEX(L:L,MIN(IF(ISNUMBER(L192:L388),ROW(L192:L388),"")))</f>
        <v>0</v>
      </c>
      <c r="N192" s="13">
        <f>IF('Données projet'!$A$36&gt;35,N191+M192-V191,IF(A192&lt;'Données projet'!$A$36,$K$205^A192,IF(A192='Données projet'!$A$36,'Données projet'!$B$36,N191+M192-V191)))</f>
        <v>-2.2737367544323206E-13</v>
      </c>
      <c r="O192" s="13">
        <f>N192*VLOOKUP('Données projet'!$B$9,Paramètres!$A$1:$I$89,3,0)*VLOOKUP('Données projet'!$B$9,Paramètres!$A$1:$I$89,5,0)</f>
        <v>-1.2710188457276673E-13</v>
      </c>
      <c r="P192" s="13" t="e">
        <f t="shared" si="141"/>
        <v>#NUM!</v>
      </c>
      <c r="Q192" s="20" t="e">
        <f t="shared" si="162"/>
        <v>#NUM!</v>
      </c>
      <c r="R192" s="59" t="e">
        <f t="shared" si="109"/>
        <v>#NUM!</v>
      </c>
      <c r="S192" s="59">
        <f ca="1">AVERAGE(OFFSET($R$3,0,0,'Données projet'!$E$9+1,1))-AVERAGE(OFFSET($H$3,0,0,'Données projet'!$E$9+1,1))</f>
        <v>255.5374979188561</v>
      </c>
      <c r="T192" s="59">
        <f t="shared" si="142"/>
        <v>343.10418468620901</v>
      </c>
      <c r="U192" s="15">
        <f>IF(ISNA(VLOOKUP(A192,'Données projet'!$A$35:$I$55,3,0)),0,VLOOKUP(A192,'Données projet'!$A$35:$I$55,3,0))</f>
        <v>0</v>
      </c>
      <c r="V192" s="15">
        <f>IF(ISNA(VLOOKUP(A192,'Données projet'!$A$35:$I$55,4,0)),0,VLOOKUP(A192,'Données projet'!$A$35:$I$55,4,0))</f>
        <v>0</v>
      </c>
      <c r="W192" s="16">
        <f>IF(ISNA(VLOOKUP(A192,'Données projet'!$A$35:$I$55,5,0)),0%,VLOOKUP(A192,'Données projet'!$A$35:$I$55,5,0)*VLOOKUP('Données projet'!$B$9,Paramètres!$A$1:$I$89,7,0))</f>
        <v>0</v>
      </c>
      <c r="X192" s="16">
        <f>IF(ISNA(VLOOKUP(A192,'Données projet'!$A$35:$I$55,6,0)),0%,VLOOKUP(A192,'Données projet'!$A$35:$I$55,6,0)*VLOOKUP('Données projet'!$B$9,Paramètres!$A$1:$I$89,7,0))</f>
        <v>0</v>
      </c>
      <c r="Y192" s="16">
        <f>IF(ISNA(VLOOKUP(A192,'Données projet'!$A$35:$I$55,7,0)),0%,VLOOKUP(A192,'Données projet'!$A$35:$I$55,7,0))</f>
        <v>0</v>
      </c>
      <c r="Z192" s="21">
        <f>EXP(-LN(2)/35)*Z191+(1-EXP(-LN(2)/35))/(LN(2)/35)*V192*W192*VLOOKUP('Données projet'!$B$9,Paramètres!$A$1:$I$89,3,0)*0.475*44/12</f>
        <v>0.13256471860725044</v>
      </c>
      <c r="AA192" s="21">
        <f>EXP(-LN(2)/25)*AA191+(1-EXP(-LN(2)/25))/(LN(2)/25)*Calculateur!V192*Calculateur!X192*VLOOKUP('Données projet'!$B$9,Paramètres!$A$1:$I$89,3,0)*0.475*44/12</f>
        <v>0.19430732182043689</v>
      </c>
      <c r="AB192" s="21">
        <f>EXP(-LN(2)/2)*AB191+(1-EXP(-LN(2)/2))/(LN(2)/2)*V192*Y192*VLOOKUP('Données projet'!$B$9,Paramètres!$A$1:$I$89,3,0)*0.475*44/12</f>
        <v>1.9800813981341117E-24</v>
      </c>
      <c r="AC192" s="22">
        <f t="shared" si="163"/>
        <v>0.32687204042768736</v>
      </c>
      <c r="AD192" s="13">
        <f>('Scénario référence'!$F$8+'Scénario référence'!$F$9+'Scénario référence'!$B$17+'Scénario référence'!$B$9+'Scénario référence'!$B$10)*70+IF((45+25*(1-EXP(-0.0175*A192)))&lt;70,'Scénario référence'!$B$16*(45+25*(1-EXP(-0.0175*A192))),70*'Scénario référence'!$B$16)+IF((32+38*(1-EXP(-0.0175*A192)))&lt;70,'Scénario référence'!$B$18*(32+38*(1-EXP(-0.0175*A192))),70*'Scénario référence'!$B$18)</f>
        <v>70</v>
      </c>
      <c r="AE192" s="13">
        <f>IF(A192&gt;30,10,('Scénario référence'!$B$16+'Scénario référence'!$B$17+'Scénario référence'!$B$18+'Scénario référence'!$B$9+'Scénario référence'!$B$10)*A192*10/30+('Scénario référence'!$F$8+'Scénario référence'!$F$9)*10)</f>
        <v>10</v>
      </c>
      <c r="AF192" s="12" t="e">
        <f>VLOOKUP(A192,'Données projet'!$A$61:$I$81,2,0)</f>
        <v>#N/A</v>
      </c>
      <c r="AG192" s="12" t="e">
        <f>VLOOKUP(A192,'Données projet'!$A$61:$I$81,9,0)</f>
        <v>#N/A</v>
      </c>
      <c r="AH192" s="12">
        <f t="array" ref="AH192">INDEX(AG:AG,MIN(IF(ISNUMBER(AG192:AG388),ROW(AG192:AG388),"")))</f>
        <v>0</v>
      </c>
      <c r="AI192" s="13">
        <f>IF('Données projet'!$A$62&gt;35,AI191+AH192-AQ191,IF(A192&lt;'Données projet'!$A$62,$AF$205^A192,IF(A192='Données projet'!$A$62,'Données projet'!$B$62,AI191+AH192-AQ191)))</f>
        <v>0</v>
      </c>
      <c r="AJ192" s="13">
        <f>AI192*VLOOKUP('Données projet'!$B$10,Paramètres!$A$1:$I$89,3,0)*VLOOKUP('Données projet'!$B$10,Paramètres!$A$1:$I$89,5,0)</f>
        <v>0</v>
      </c>
      <c r="AK192" s="13" t="e">
        <f t="shared" si="164"/>
        <v>#NUM!</v>
      </c>
      <c r="AL192" s="20" t="e">
        <f t="shared" si="165"/>
        <v>#NUM!</v>
      </c>
      <c r="AM192" s="59" t="e">
        <f t="shared" si="113"/>
        <v>#NUM!</v>
      </c>
      <c r="AN192" s="59">
        <f ca="1">AVERAGE(OFFSET($AM$3,0,0,'Données projet'!$E$10+1,1))-AVERAGE(OFFSET($H$3,0,0,'Données projet'!$E$10+1,1))</f>
        <v>261.78489480911571</v>
      </c>
      <c r="AO192" s="59">
        <f t="shared" si="144"/>
        <v>297.50513563712764</v>
      </c>
      <c r="AP192" s="15">
        <f>IF(ISNA(VLOOKUP(A192,'Données projet'!$A$61:$I$81,3,0)),0,VLOOKUP(A192,'Données projet'!$A$61:$I$81,3,0))</f>
        <v>0</v>
      </c>
      <c r="AQ192" s="15">
        <f>IF(ISNA(VLOOKUP(A192,'Données projet'!$A$61:$I$81,4,0)),0,VLOOKUP(A192,'Données projet'!$A$61:$I$81,4,0))</f>
        <v>0</v>
      </c>
      <c r="AR192" s="16">
        <f>IF(ISNA(VLOOKUP(A192,'Données projet'!$A$61:$I$81,5,0)),0%,VLOOKUP(A192,'Données projet'!$A$61:$I$81,5,0)*VLOOKUP('Données projet'!$B$10,Paramètres!$A$1:$I$89,7,0))</f>
        <v>0</v>
      </c>
      <c r="AS192" s="16">
        <f>IF(ISNA(VLOOKUP(A192,'Données projet'!$A$61:$I$81,6,0)),0%,VLOOKUP(A192,'Données projet'!$A$61:$I$81,6,0)*VLOOKUP('Données projet'!$B$10,Paramètres!$A$1:$I$89,7,0))</f>
        <v>0</v>
      </c>
      <c r="AT192" s="16">
        <f>IF(ISNA(VLOOKUP(A192,'Données projet'!$A$61:$I$81,7,0)),0%,VLOOKUP(A192,'Données projet'!$A$61:$I$81,7,0))</f>
        <v>0</v>
      </c>
      <c r="AU192" s="21">
        <f>EXP(-LN(2)/35)*AU191+(1-EXP(-LN(2)/35))/(LN(2)/35)*AQ192*AR192*VLOOKUP('Données projet'!$B$10,Paramètres!$A$1:$I$89,3,0)*0.475*44/12</f>
        <v>0.35796223599039023</v>
      </c>
      <c r="AV192" s="21">
        <f>EXP(-LN(2)/25)*AV191+(1-EXP(-LN(2)/25))/(LN(2)/25)*Calculateur!AQ192*Calculateur!AS192*VLOOKUP('Données projet'!$B$10,Paramètres!$A$1:$I$89,3,0)*0.475*44/12</f>
        <v>0.33930021498978713</v>
      </c>
      <c r="AW192" s="21">
        <f>EXP(-LN(2)/2)*AW191+(1-EXP(-LN(2)/2))/(LN(2)/2)*AQ192*AT192*VLOOKUP('Données projet'!$B$10,Paramètres!$A$1:$I$89,3,0)*0.475*44/12</f>
        <v>2.8544758399551148E-23</v>
      </c>
      <c r="AX192" s="21">
        <f t="shared" si="166"/>
        <v>0.69726245098017736</v>
      </c>
      <c r="AY192" s="74">
        <f>('Scénario référence'!$F$8+'Scénario référence'!$F$9+'Scénario référence'!$B$17+'Scénario référence'!$B$9+'Scénario référence'!$B$10)*70+IF((45+25*(1-EXP(-0.0175*A192)))&lt;70,'Scénario référence'!$B$16*(45+25*(1-EXP(-0.0175*A192))),70*'Scénario référence'!$B$16)+IF((32+38*(1-EXP(-0.0175*A192)))&lt;70,'Scénario référence'!$B$18*(32+38*(1-EXP(-0.0175*A192))),70*'Scénario référence'!$B$18)</f>
        <v>70</v>
      </c>
      <c r="AZ192" s="12">
        <f>IF(A192&gt;30,10,('Scénario référence'!$B$16+'Scénario référence'!$B$17+'Scénario référence'!$B$18+'Scénario référence'!$B$9+'Scénario référence'!$B$10)*A192*10/30+('Scénario référence'!$F$8+'Scénario référence'!$F$9)*10)</f>
        <v>10</v>
      </c>
      <c r="BA192" s="12" t="e">
        <f>VLOOKUP(A192,'Données projet'!$A$87:$I$107,2,0)</f>
        <v>#N/A</v>
      </c>
      <c r="BB192" s="12" t="e">
        <f>VLOOKUP(A192,'Données projet'!$A$87:$I$107,9,0)</f>
        <v>#N/A</v>
      </c>
      <c r="BC192" s="12">
        <f t="array" ref="BC192">INDEX(BB:BB,MIN(IF(ISNUMBER(BB192:BB388),ROW(BB192:BB388),"")))</f>
        <v>0</v>
      </c>
      <c r="BD192" s="12">
        <f>IF('Données projet'!$A$88&gt;35,BD191+BC192-BL191,IF(A192&lt;'Données projet'!$A$88,$BA$205^A192,IF(A192='Données projet'!$A$88,'Données projet'!$B$88,BD191+BC192-BL191)))</f>
        <v>553.99999999999955</v>
      </c>
      <c r="BE192" s="13">
        <f>BD192*VLOOKUP('Données projet'!$B$11,Paramètres!$A$1:$I$89,3,0)*VLOOKUP('Données projet'!$B$11,Paramètres!$A$1:$I$89,5,0)</f>
        <v>331.29199999999975</v>
      </c>
      <c r="BF192" s="13">
        <f t="shared" si="167"/>
        <v>77.698110787752</v>
      </c>
      <c r="BG192" s="20">
        <f t="shared" si="168"/>
        <v>712.32444295533423</v>
      </c>
      <c r="BH192" s="59">
        <f t="shared" si="116"/>
        <v>1005.6577762886675</v>
      </c>
      <c r="BI192" s="59">
        <f ca="1">AVERAGE(OFFSET($BH$3,0,0,'Données projet'!$E$11+1,1))-AVERAGE(OFFSET($H$3,0,0,'Données projet'!$E$11+1,1))</f>
        <v>316.58509520829671</v>
      </c>
      <c r="BJ192" s="59">
        <f t="shared" si="146"/>
        <v>240.71332110643596</v>
      </c>
      <c r="BK192" s="15">
        <f>IF(ISNA(VLOOKUP(A192,'Données projet'!$A$87:$I$107,3,0)),0,VLOOKUP(A192,'Données projet'!$A$87:$I$107,3,0))</f>
        <v>0</v>
      </c>
      <c r="BL192" s="15">
        <f>IF(ISNA(VLOOKUP(A192,'Données projet'!$A$87:$I$107,4,0)),0,VLOOKUP(A192,'Données projet'!$A$87:$I$107,4,0))</f>
        <v>0</v>
      </c>
      <c r="BM192" s="16">
        <f>IF(ISNA(VLOOKUP(A192,'Données projet'!$A$87:$I$107,5,0)),0%,VLOOKUP(A192,'Données projet'!$A$87:$I$107,5,0)*VLOOKUP('Données projet'!$B$11,Paramètres!$A$1:$I$89,7,0))</f>
        <v>0</v>
      </c>
      <c r="BN192" s="16">
        <f>IF(ISNA(VLOOKUP(A192,'Données projet'!$A$87:$I$107,6,0)),0%,VLOOKUP(A192,'Données projet'!$A$87:$I$107,6,0)*VLOOKUP('Données projet'!$B$11,Paramètres!$A$1:$I$89,7,0))</f>
        <v>0</v>
      </c>
      <c r="BO192" s="16">
        <f>IF(ISNA(VLOOKUP(A192,'Données projet'!$A$87:$I$107,7,0)),0%,VLOOKUP(A192,'Données projet'!$A$87:$I$107,7,0))</f>
        <v>0</v>
      </c>
      <c r="BP192" s="21">
        <f>EXP(-LN(2)/35)*BP191+(1-EXP(-LN(2)/35))/(LN(2)/35)*BL192*BM192*VLOOKUP('Données projet'!$B$11,Paramètres!$A$1:$I$89,3,0)*0.475*44/12</f>
        <v>0.10873369259157513</v>
      </c>
      <c r="BQ192" s="21">
        <f>EXP(-LN(2)/25)*BQ191+(1-EXP(-LN(2)/25))/(LN(2)/25)*Calculateur!BL192*Calculateur!BN192*VLOOKUP('Données projet'!$B$11,Paramètres!$A$1:$I$89,3,0)*0.475*44/12</f>
        <v>0.18587855789906471</v>
      </c>
      <c r="BR192" s="21">
        <f>EXP(-LN(2)/2)*BR191+(1-EXP(-LN(2)/2))/(LN(2)/2)*BL192*BO192*VLOOKUP('Données projet'!$B$11,Paramètres!$A$1:$I$89,3,0)*0.475*44/12</f>
        <v>2.566486381210716E-23</v>
      </c>
      <c r="BS192" s="22">
        <f t="shared" si="169"/>
        <v>0.29461225049063983</v>
      </c>
      <c r="BT192" s="75">
        <f>('Scénario référence'!$F$8+'Scénario référence'!$F$9+'Scénario référence'!$B$17+'Scénario référence'!$B$9+'Scénario référence'!$B$10)*70+IF((45+25*(1-EXP(-0.0175*A192)))&lt;70,'Scénario référence'!$B$16*(45+25*(1-EXP(-0.0175*A192))),70*'Scénario référence'!$B$16)+IF((32+38*(1-EXP(-0.0175*A192)))&lt;70,'Scénario référence'!$B$18*(32+38*(1-EXP(-0.0175*A192))),70*'Scénario référence'!$B$18)</f>
        <v>70</v>
      </c>
      <c r="BU192" s="12">
        <f>IF(A192&gt;30,10,('Scénario référence'!$B$16+'Scénario référence'!$B$17+'Scénario référence'!$B$18+'Scénario référence'!$B$9+'Scénario référence'!$B$10)*A192*10/30+('Scénario référence'!$F$8+'Scénario référence'!$F$9)*10)</f>
        <v>10</v>
      </c>
      <c r="BV192" s="12" t="e">
        <f>VLOOKUP(A192,'Données projet'!$A$113:$I$133,2,0)</f>
        <v>#N/A</v>
      </c>
      <c r="BW192" s="12" t="e">
        <f>VLOOKUP(A192,'Données projet'!$A$113:$I$133,9,0)</f>
        <v>#N/A</v>
      </c>
      <c r="BX192" s="12">
        <f t="array" ref="BX192">INDEX(BW:BW,MIN(IF(ISNUMBER(BW192:BW388),ROW(BW192:BW388),"")))</f>
        <v>0</v>
      </c>
      <c r="BY192" s="12">
        <f>IF('Données projet'!$A$114&gt;35,BY191+BX192-CG191,IF(A192&lt;'Données projet'!$A$114,$BV$205^A192,IF(A192='Données projet'!$A$114,'Données projet'!$B$114,BY191+BX192-CG191)))</f>
        <v>333.99999999999977</v>
      </c>
      <c r="BZ192" s="13">
        <f>BY192*VLOOKUP('Données projet'!$B$12,Paramètres!$A$1:$I$89,3,0)*VLOOKUP('Données projet'!$B$12,Paramètres!$A$1:$I$89,5,0)</f>
        <v>191.04799999999986</v>
      </c>
      <c r="CA192" s="13">
        <f t="shared" si="170"/>
        <v>47.771576544305155</v>
      </c>
      <c r="CB192" s="20">
        <f t="shared" si="171"/>
        <v>415.94409581466454</v>
      </c>
      <c r="CC192" s="59">
        <f t="shared" si="119"/>
        <v>709.27742914799785</v>
      </c>
      <c r="CD192" s="59">
        <f ca="1">AVERAGE(OFFSET($CC$3,0,0,'Données projet'!$E$12+1,1))-AVERAGE(OFFSET($H$3,0,0,'Données projet'!$E$12+1,1))</f>
        <v>188.64374818906128</v>
      </c>
      <c r="CE192" s="59">
        <f t="shared" si="148"/>
        <v>211.95157880548652</v>
      </c>
      <c r="CF192" s="15">
        <f>IF(ISNA(VLOOKUP(A192,'Données projet'!$A$113:$I$133,3,0)),0,VLOOKUP(A192,'Données projet'!$A$113:$I$133,3,0))</f>
        <v>0</v>
      </c>
      <c r="CG192" s="15">
        <f>IF(ISNA(VLOOKUP(A192,'Données projet'!$A$113:$I$133,4,0)),0,VLOOKUP(A192,'Données projet'!$A$113:$I$133,4,0))</f>
        <v>0</v>
      </c>
      <c r="CH192" s="16">
        <f>IF(ISNA(VLOOKUP(A192,'Données projet'!$A$113:$I$133,5,0)),0%,VLOOKUP(A192,'Données projet'!$A$113:$I$133,5,0)*VLOOKUP('Données projet'!$B$12,Paramètres!$A$1:$I$89,7,0))</f>
        <v>0</v>
      </c>
      <c r="CI192" s="16">
        <f>IF(ISNA(VLOOKUP(A192,'Données projet'!$A$113:$I$133,6,0)),0%,VLOOKUP(A192,'Données projet'!$A$113:$I$133,6,0)*VLOOKUP('Données projet'!$B$12,Paramètres!$A$1:$I$89,7,0))</f>
        <v>0</v>
      </c>
      <c r="CJ192" s="16">
        <f>IF(ISNA(VLOOKUP(A192,'Données projet'!$A$113:$I$133,7,0)),0%,VLOOKUP(A192,'Données projet'!$A$113:$I$133,7,0))</f>
        <v>0</v>
      </c>
      <c r="CK192" s="21">
        <f>EXP(-LN(2)/35)*CK191+(1-EXP(-LN(2)/35))/(LN(2)/35)*CG192*CH192*VLOOKUP('Données projet'!$B$12,Paramètres!$A$1:$I$89,3,0)*0.475*44/12</f>
        <v>0.10547101596145426</v>
      </c>
      <c r="CL192" s="21">
        <f>EXP(-LN(2)/25)*CL191+(1-EXP(-LN(2)/25))/(LN(2)/25)*Calculateur!CG192*Calculateur!CI192*VLOOKUP('Données projet'!$B$12,Paramètres!$A$1:$I$89,3,0)*0.475*44/12</f>
        <v>0.17495310731280353</v>
      </c>
      <c r="CM192" s="21">
        <f>EXP(-LN(2)/2)*CM191+(1-EXP(-LN(2)/2))/(LN(2)/2)*CG192*CJ192*VLOOKUP('Données projet'!$B$12,Paramètres!$A$1:$I$89,3,0)*0.475*44/12</f>
        <v>2.4854412553258656E-23</v>
      </c>
      <c r="CN192" s="22">
        <f t="shared" si="172"/>
        <v>0.28042412327425781</v>
      </c>
      <c r="CO192" s="75">
        <f>('Scénario référence'!$F$8+'Scénario référence'!$F$9+'Scénario référence'!$B$17+'Scénario référence'!$B$9+'Scénario référence'!$B$10)*70+IF((45+25*(1-EXP(-0.0175*A192)))&lt;70,'Scénario référence'!$B$16*(45+25*(1-EXP(-0.0175*A192))),70*'Scénario référence'!$B$16)+IF((32+38*(1-EXP(-0.0175*A192)))&lt;70,'Scénario référence'!$B$18*(32+38*(1-EXP(-0.0175*A192))),70*'Scénario référence'!$B$18)</f>
        <v>70</v>
      </c>
      <c r="CP192" s="12">
        <f>IF(A192&gt;30,10,('Scénario référence'!$B$16+'Scénario référence'!$B$17+'Scénario référence'!$B$18+'Scénario référence'!$B$9+'Scénario référence'!$B$10)*A192*10/30+('Scénario référence'!$F$8+'Scénario référence'!$F$9)*10)</f>
        <v>10</v>
      </c>
      <c r="CQ192" s="12" t="e">
        <f>VLOOKUP(A192,'Données projet'!$A$139:$I$159,2,0)</f>
        <v>#N/A</v>
      </c>
      <c r="CR192" s="12" t="e">
        <f>VLOOKUP(A192,'Données projet'!$A$139:$I$159,9,0)</f>
        <v>#N/A</v>
      </c>
      <c r="CS192" s="12">
        <f t="array" ref="CS192">INDEX(CR:CR,MIN(IF(ISNUMBER(CR192:CR388),ROW(CR192:CR388),"")))</f>
        <v>0</v>
      </c>
      <c r="CT192" s="12">
        <f>IF('Données projet'!$A$140&gt;35,CT191+CS192-DB191,IF(A192&lt;'Données projet'!$A$140,$CQ$205^A192,IF(A192='Données projet'!$A$140,'Données projet'!$B$140,CT191+CS192-DB191)))</f>
        <v>0</v>
      </c>
      <c r="CU192" s="17" t="e">
        <f>CT192*VLOOKUP('Données projet'!$B$13,Paramètres!$A$1:$I$89,3,0)*VLOOKUP('Données projet'!$B$13,Paramètres!$A$1:$I$89,5,0)</f>
        <v>#N/A</v>
      </c>
      <c r="CV192" s="13" t="e">
        <f t="shared" si="173"/>
        <v>#N/A</v>
      </c>
      <c r="CW192" s="20" t="e">
        <f t="shared" si="174"/>
        <v>#N/A</v>
      </c>
      <c r="CX192" s="59" t="e">
        <f t="shared" si="122"/>
        <v>#N/A</v>
      </c>
      <c r="CY192" s="59" t="e">
        <f ca="1">AVERAGE(OFFSET($CX$3,0,0,'Données projet'!$E$13+1,1))-AVERAGE(OFFSET($H$3,0,0,'Données projet'!$E$13+1,1))</f>
        <v>#N/A</v>
      </c>
      <c r="CZ192" s="59" t="e">
        <f t="shared" si="150"/>
        <v>#N/A</v>
      </c>
      <c r="DA192" s="15">
        <f>IF(ISNA(VLOOKUP(A192,'Données projet'!$A$139:$I$159,3,0)),0,VLOOKUP(A192,'Données projet'!$A$139:$I$159,3,0))</f>
        <v>0</v>
      </c>
      <c r="DB192" s="15">
        <f>IF(ISNA(VLOOKUP(A192,'Données projet'!$A$139:$I$159,4,0)),0,VLOOKUP(A192,'Données projet'!$A$139:$I$159,4,0))</f>
        <v>0</v>
      </c>
      <c r="DC192" s="16">
        <f>IF(ISNA(VLOOKUP(A192,'Données projet'!$A$139:$I$159,5,0)),0%,VLOOKUP(A192,'Données projet'!$A$139:$I$159,5,0)*VLOOKUP('Données projet'!$B$13,Paramètres!$A$1:$I$89,7,0))</f>
        <v>0</v>
      </c>
      <c r="DD192" s="16">
        <f>IF(ISNA(VLOOKUP(A192,'Données projet'!$A$139:$I$159,6,0)),0%,VLOOKUP(A192,'Données projet'!$A$139:$I$159,6,0)*VLOOKUP('Données projet'!$B$13,Paramètres!$A$1:$I$89,7,0))</f>
        <v>0</v>
      </c>
      <c r="DE192" s="16">
        <f>IF(ISNA(VLOOKUP(A192,'Données projet'!$A$139:$I$159,7,0)),0%,VLOOKUP(A192,'Données projet'!$A$139:$I$159,7,0))</f>
        <v>0</v>
      </c>
      <c r="DF192" s="21" t="e">
        <f>EXP(-LN(2)/35)*DF191+(1-EXP(-LN(2)/35))/(LN(2)/35)*DB192*DC192*VLOOKUP('Données projet'!$B$13,Paramètres!$A$1:$I$89,3,0)*0.475*44/12</f>
        <v>#N/A</v>
      </c>
      <c r="DG192" s="21" t="e">
        <f>EXP(-LN(2)/25)*DG191+(1-EXP(-LN(2)/25))/(LN(2)/25)*Calculateur!DB192*Calculateur!DD192*VLOOKUP('Données projet'!$B$13,Paramètres!$A$1:$I$89,3,0)*0.475*44/12</f>
        <v>#N/A</v>
      </c>
      <c r="DH192" s="21" t="e">
        <f>EXP(-LN(2)/2)*DH191+(1-EXP(-LN(2)/2))/(LN(2)/2)*DB192*DE192*VLOOKUP('Données projet'!$B$13,Paramètres!$A$1:$I$89,3,0)*0.475*44/12</f>
        <v>#N/A</v>
      </c>
      <c r="DI192" s="22" t="e">
        <f t="shared" si="175"/>
        <v>#N/A</v>
      </c>
      <c r="DJ192" s="75">
        <f>('Scénario référence'!$F$8+'Scénario référence'!$F$9+'Scénario référence'!$B$17+'Scénario référence'!$B$9+'Scénario référence'!$B$10)*70+IF((45+25*(1-EXP(-0.0175*A192)))&lt;70,'Scénario référence'!$B$16*(45+25*(1-EXP(-0.0175*A192))),70*'Scénario référence'!$B$16)+IF((32+38*(1-EXP(-0.0175*A192)))&lt;70,'Scénario référence'!$B$18*(32+38*(1-EXP(-0.0175*A192))),70*'Scénario référence'!$B$18)</f>
        <v>70</v>
      </c>
      <c r="DK192" s="12">
        <f>IF(A192&gt;30,10,('Scénario référence'!$B$16+'Scénario référence'!$B$17+'Scénario référence'!$B$18+'Scénario référence'!$B$9+'Scénario référence'!$B$10)*A192*10/30+('Scénario référence'!$F$8+'Scénario référence'!$F$9)*10)</f>
        <v>10</v>
      </c>
      <c r="DL192" s="12" t="e">
        <f>VLOOKUP(A192,'Données projet'!$A$165:$I$185,2,0)</f>
        <v>#N/A</v>
      </c>
      <c r="DM192" s="12" t="e">
        <f>VLOOKUP(A192,'Données projet'!$A$165:$I$185,9,0)</f>
        <v>#N/A</v>
      </c>
      <c r="DN192" s="12">
        <f t="array" ref="DN192">INDEX(DM:DM,MIN(IF(ISNUMBER(DM192:DM388),ROW(DM192:DM388),"")))</f>
        <v>0</v>
      </c>
      <c r="DO192" s="12">
        <f>IF('Données projet'!$A$166&gt;35,DO191+DN192-DW191,IF(A192&lt;'Données projet'!$A$166,$DL$205^A192,IF(A192='Données projet'!$A$166,'Données projet'!$B$166,DO191+DN192-DW191)))</f>
        <v>268.00000000000017</v>
      </c>
      <c r="DP192" s="17">
        <f>DO192*VLOOKUP('Données projet'!$B$14,Paramètres!$A$1:$I$89,3,0)*VLOOKUP('Données projet'!$B$14,Paramètres!$A$1:$I$89,5,0)</f>
        <v>175.59360000000012</v>
      </c>
      <c r="DQ192" s="13">
        <f t="shared" si="176"/>
        <v>44.340433728638573</v>
      </c>
      <c r="DR192" s="20">
        <f t="shared" si="177"/>
        <v>383.05177541071242</v>
      </c>
      <c r="DS192" s="59">
        <f t="shared" si="125"/>
        <v>676.38510874404574</v>
      </c>
      <c r="DT192" s="59">
        <f ca="1">AVERAGE(OFFSET($DS$3,0,0,'Données projet'!$E$14+1,1))-AVERAGE(OFFSET($H$3,0,0,'Données projet'!$E$14+1,1))</f>
        <v>188.68915783955595</v>
      </c>
      <c r="DU192" s="59">
        <f t="shared" si="152"/>
        <v>240.82467772396944</v>
      </c>
      <c r="DV192" s="15">
        <f>IF(ISNA(VLOOKUP(A192,'Données projet'!$A$165:$I$185,3,0)),0,VLOOKUP(A192,'Données projet'!$A$165:$I$185,3,0))</f>
        <v>0</v>
      </c>
      <c r="DW192" s="15">
        <f>IF(ISNA(VLOOKUP(A192,'Données projet'!$A$165:$I$185,4,0)),0,VLOOKUP(A192,'Données projet'!$A$165:$I$185,4,0))</f>
        <v>0</v>
      </c>
      <c r="DX192" s="16">
        <f>IF(ISNA(VLOOKUP(A192,'Données projet'!$A$165:$I$185,5,0)),0%,VLOOKUP(A192,'Données projet'!$A$165:$I$185,5,0)*VLOOKUP('Données projet'!$B$14,Paramètres!$A$1:$I$89,7,0))</f>
        <v>0</v>
      </c>
      <c r="DY192" s="16">
        <f>IF(ISNA(VLOOKUP(A192,'Données projet'!$A$165:$I$185,6,0)),0%,VLOOKUP(A192,'Données projet'!$A$165:$I$185,6,0)*VLOOKUP('Données projet'!$B$14,Paramètres!$A$1:$I$89,7,0))</f>
        <v>0</v>
      </c>
      <c r="DZ192" s="16">
        <f>IF(ISNA(VLOOKUP(A192,'Données projet'!$A$165:$I$185,7,0)),0%,VLOOKUP(A192,'Données projet'!$A$165:$I$185,7,0))</f>
        <v>0</v>
      </c>
      <c r="EA192" s="21">
        <f>EXP(-LN(2)/35)*EA191+(1-EXP(-LN(2)/35))/(LN(2)/35)*DW192*DX192*VLOOKUP('Données projet'!$B$14,Paramètres!$A$1:$I$89,3,0)*0.475*44/12</f>
        <v>6.6807188140567658E-2</v>
      </c>
      <c r="EB192" s="21">
        <f>EXP(-LN(2)/25)*EB191+(1-EXP(-LN(2)/25))/(LN(2)/25)*Calculateur!DW192*Calculateur!DY192*VLOOKUP('Données projet'!$B$14,Paramètres!$A$1:$I$89,3,0)*0.475*44/12</f>
        <v>9.7858557441099378E-2</v>
      </c>
      <c r="EC192" s="21">
        <f>EXP(-LN(2)/2)*EC191+(1-EXP(-LN(2)/2))/(LN(2)/2)*DW192*DZ192*VLOOKUP('Données projet'!$B$14,Paramètres!$A$1:$I$89,3,0)*0.475*44/12</f>
        <v>1.6373138597462408E-23</v>
      </c>
      <c r="ED192" s="22">
        <f t="shared" si="178"/>
        <v>0.16466574558166702</v>
      </c>
      <c r="EE192" s="75">
        <f>('Scénario référence'!$F$8+'Scénario référence'!$F$9+'Scénario référence'!$B$17+'Scénario référence'!$B$9+'Scénario référence'!$B$10)*70+IF((45+25*(1-EXP(-0.0175*A192)))&lt;70,'Scénario référence'!$B$16*(45+25*(1-EXP(-0.0175*A192))),70*'Scénario référence'!$B$16)+IF((32+38*(1-EXP(-0.0175*A192)))&lt;70,'Scénario référence'!$B$18*(32+38*(1-EXP(-0.0175*A192))),70*'Scénario référence'!$B$18)</f>
        <v>70</v>
      </c>
      <c r="EF192" s="12">
        <f>IF(A192&gt;30,10,('Scénario référence'!$B$16+'Scénario référence'!$B$17+'Scénario référence'!$B$18+'Scénario référence'!$B$9+'Scénario référence'!$B$10)*A192*10/30+('Scénario référence'!$F$8+'Scénario référence'!$F$9)*10)</f>
        <v>10</v>
      </c>
      <c r="EG192" s="12" t="e">
        <f>VLOOKUP(A192,'Données projet'!$A$191:$I$211,2,0)</f>
        <v>#N/A</v>
      </c>
      <c r="EH192" s="12" t="e">
        <f>VLOOKUP(A192,'Données projet'!$A$191:$I$211,9,0)</f>
        <v>#N/A</v>
      </c>
      <c r="EI192" s="12">
        <f t="array" ref="EI192">INDEX(EH:EH,MIN(IF(ISNUMBER(EH192:EH388),ROW(EH192:EH388),"")))</f>
        <v>0</v>
      </c>
      <c r="EJ192" s="12">
        <f>IF('Données projet'!$A$192&gt;35,EJ191+EI192-ER191,IF(A192&lt;'Données projet'!$A$192,$EG$205^A192,IF(A192='Données projet'!$A$192,'Données projet'!$B$192,EJ191+EI192-ER191)))</f>
        <v>275.99999999999972</v>
      </c>
      <c r="EK192" s="17">
        <f>EJ192*VLOOKUP('Données projet'!$B$15,Paramètres!$A$1:$I$89,3,0)*VLOOKUP('Données projet'!$B$15,Paramètres!$A$1:$I$89,5,0)</f>
        <v>223.8911999999998</v>
      </c>
      <c r="EL192" s="13">
        <f t="shared" si="179"/>
        <v>54.95975389514858</v>
      </c>
      <c r="EM192" s="20">
        <f t="shared" si="180"/>
        <v>485.66541136738346</v>
      </c>
      <c r="EN192" s="59">
        <f t="shared" si="128"/>
        <v>778.99874470071677</v>
      </c>
      <c r="EO192" s="59">
        <f ca="1">AVERAGE(OFFSET($EN$3,0,0,'Données projet'!$E$15+1,1))-AVERAGE(OFFSET($H$3,0,0,'Données projet'!$E$15+1,1))</f>
        <v>205.5272583787887</v>
      </c>
      <c r="EP192" s="59">
        <f t="shared" si="154"/>
        <v>180.54762778843178</v>
      </c>
      <c r="EQ192" s="15">
        <f>IF(ISNA(VLOOKUP(A192,'Données projet'!$A$191:$I$211,3,0)),0,VLOOKUP(A192,'Données projet'!$A$191:$I$211,3,0))</f>
        <v>0</v>
      </c>
      <c r="ER192" s="15">
        <f>IF(ISNA(VLOOKUP(A192,'Données projet'!$A$191:$I$211,4,0)),0,VLOOKUP(A192,'Données projet'!$A$191:$I$211,4,0))</f>
        <v>0</v>
      </c>
      <c r="ES192" s="16">
        <f>IF(ISNA(VLOOKUP(A192,'Données projet'!$A$191:$I$211,5,0)),0%,VLOOKUP(A192,'Données projet'!$A$191:$I$211,5,0)*VLOOKUP('Données projet'!$B$15,Paramètres!$A$1:$I$89,7,0))</f>
        <v>0</v>
      </c>
      <c r="ET192" s="16">
        <f>IF(ISNA(VLOOKUP(A192,'Données projet'!$A$191:$I$211,6,0)),0%,VLOOKUP(A192,'Données projet'!$A$191:$I$211,6,0)*VLOOKUP('Données projet'!$B$15,Paramètres!$A$1:$I$89,7,0))</f>
        <v>0</v>
      </c>
      <c r="EU192" s="16">
        <f>IF(ISNA(VLOOKUP(A192,'Données projet'!$A$191:$I$211,7,0)),0%,VLOOKUP(A192,'Données projet'!$A$191:$I$211,7,0))</f>
        <v>0</v>
      </c>
      <c r="EV192" s="21">
        <f>EXP(-LN(2)/35)*EV191+(1-EXP(-LN(2)/35))/(LN(2)/35)*ER192*ES192*VLOOKUP('Données projet'!$B$15,Paramètres!$A$1:$I$89,3,0)*0.475*44/12</f>
        <v>4.3011103983832115E-2</v>
      </c>
      <c r="EW192" s="21">
        <f>EXP(-LN(2)/25)*EW191+(1-EXP(-LN(2)/25))/(LN(2)/25)*Calculateur!ER192*Calculateur!ET192*VLOOKUP('Données projet'!$B$15,Paramètres!$A$1:$I$89,3,0)*0.475*44/12</f>
        <v>7.0656847106235446E-2</v>
      </c>
      <c r="EX192" s="21">
        <f>EXP(-LN(2)/2)*EX191+(1-EXP(-LN(2)/2))/(LN(2)/2)*ER192*EU192*VLOOKUP('Données projet'!$B$15,Paramètres!$A$1:$I$89,3,0)*0.475*44/12</f>
        <v>1.0601619348584662E-23</v>
      </c>
      <c r="EY192" s="22">
        <f t="shared" si="181"/>
        <v>0.11366795109006755</v>
      </c>
      <c r="EZ192" s="75">
        <f>('Scénario référence'!$F$8+'Scénario référence'!$F$9+'Scénario référence'!$B$17+'Scénario référence'!$B$9+'Scénario référence'!$B$10)*70+IF((45+25*(1-EXP(-0.0175*A192)))&lt;70,'Scénario référence'!$B$16*(45+25*(1-EXP(-0.0175*A192))),70*'Scénario référence'!$B$16)+IF((32+38*(1-EXP(-0.0175*A192)))&lt;70,'Scénario référence'!$B$18*(32+38*(1-EXP(-0.0175*A192))),70*'Scénario référence'!$B$18)</f>
        <v>70</v>
      </c>
      <c r="FA192" s="12">
        <f>IF(A192&gt;30,10,('Scénario référence'!$B$16+'Scénario référence'!$B$17+'Scénario référence'!$B$18+'Scénario référence'!$B$9+'Scénario référence'!$B$10)*A192*10/30+('Scénario référence'!$F$8+'Scénario référence'!$F$9)*10)</f>
        <v>10</v>
      </c>
      <c r="FB192" s="12" t="e">
        <f>VLOOKUP(A192,'Données projet'!$A$217:$I$237,2,0)</f>
        <v>#N/A</v>
      </c>
      <c r="FC192" s="12" t="e">
        <f>VLOOKUP(A192,'Données projet'!$A$217:$I$237,9,0)</f>
        <v>#N/A</v>
      </c>
      <c r="FD192" s="12">
        <f t="array" ref="FD192">INDEX(FC:FC,MIN(IF(ISNUMBER(FC192:FC388),ROW(FC192:FC388),"")))</f>
        <v>0</v>
      </c>
      <c r="FE192" s="12">
        <f>IF('Données projet'!$A$218&gt;35,FE191+FD192-FM191,IF(A192&lt;'Données projet'!$A$218,$FB$205^A192,IF(A192='Données projet'!$A$218,'Données projet'!$B$218,FE191+FD192-FM191)))</f>
        <v>418.99999999999983</v>
      </c>
      <c r="FF192" s="17">
        <f>FE192*VLOOKUP('Données projet'!$B$16,Paramètres!$A$1:$I$89,3,0)*VLOOKUP('Données projet'!$B$16,Paramètres!$A$1:$I$89,5,0)</f>
        <v>359.5019999999999</v>
      </c>
      <c r="FG192" s="13">
        <f t="shared" si="182"/>
        <v>83.516011055432813</v>
      </c>
      <c r="FH192" s="20">
        <f t="shared" si="183"/>
        <v>771.58970258821194</v>
      </c>
      <c r="FI192" s="59">
        <f t="shared" si="131"/>
        <v>1064.9230359215453</v>
      </c>
      <c r="FJ192" s="59">
        <f ca="1">AVERAGE(OFFSET($FI$3,0,0,'Données projet'!$E$16+1,1))-AVERAGE(OFFSET($H$3,0,0,'Données projet'!$E$16+1,1))</f>
        <v>383.97627237444709</v>
      </c>
      <c r="FK192" s="59">
        <f t="shared" si="156"/>
        <v>203.35476578922339</v>
      </c>
      <c r="FL192" s="15">
        <f>IF(ISNA(VLOOKUP(A192,'Données projet'!$A$217:$I$237,3,0)),0,VLOOKUP(A192,'Données projet'!$A$217:$I$237,3,0))</f>
        <v>0</v>
      </c>
      <c r="FM192" s="15">
        <f>IF(ISNA(VLOOKUP(A192,'Données projet'!$A$217:$I$237,4,0)),0,VLOOKUP(A192,'Données projet'!$A$217:$I$237,4,0))</f>
        <v>0</v>
      </c>
      <c r="FN192" s="16">
        <f>IF(ISNA(VLOOKUP(A192,'Données projet'!$A$217:$I$237,5,0)),0%,VLOOKUP(A192,'Données projet'!$A$217:$I$237,5,0)*VLOOKUP('Données projet'!$B$16,Paramètres!$A$1:$I$89,7,0))</f>
        <v>0</v>
      </c>
      <c r="FO192" s="16">
        <f>IF(ISNA(VLOOKUP(A192,'Données projet'!$A$217:$I$237,6,0)),0%,VLOOKUP(A192,'Données projet'!$A$217:$I$237,6,0)*VLOOKUP('Données projet'!$B$16,Paramètres!$A$1:$I$89,7,0))</f>
        <v>0</v>
      </c>
      <c r="FP192" s="16">
        <f>IF(ISNA(VLOOKUP(A192,'Données projet'!$A$217:$I$237,7,0)),0%,VLOOKUP(A192,'Données projet'!$A$217:$I$237,7,0))</f>
        <v>0</v>
      </c>
      <c r="FQ192" s="21">
        <f>EXP(-LN(2)/35)*FQ191+(1-EXP(-LN(2)/35))/(LN(2)/35)*FM192*FN192*VLOOKUP('Données projet'!$B$16,Paramètres!$A$1:$I$89,3,0)*0.475*44/12</f>
        <v>0.22105374005038667</v>
      </c>
      <c r="FR192" s="21">
        <f>EXP(-LN(2)/25)*FR191+(1-EXP(-LN(2)/25))/(LN(2)/25)*Calculateur!FM192*Calculateur!FO192*VLOOKUP('Données projet'!$B$16,Paramètres!$A$1:$I$89,3,0)*0.475*44/12</f>
        <v>7.1724002892040783E-2</v>
      </c>
      <c r="FS192" s="21">
        <f>EXP(-LN(2)/2)*FS191+(1-EXP(-LN(2)/2))/(LN(2)/2)*FM192*FP192*VLOOKUP('Données projet'!$B$16,Paramètres!$A$1:$I$89,3,0)*0.475*44/12</f>
        <v>1.9472998976048004E-23</v>
      </c>
      <c r="FT192" s="22">
        <f t="shared" si="184"/>
        <v>0.29277774294242742</v>
      </c>
      <c r="FU192" s="75">
        <f>('Scénario référence'!$F$8+'Scénario référence'!$F$9+'Scénario référence'!$B$17+'Scénario référence'!$B$9+'Scénario référence'!$B$10)*70+IF((45+25*(1-EXP(-0.0175*A192)))&lt;70,'Scénario référence'!$B$16*(45+25*(1-EXP(-0.0175*A192))),70*'Scénario référence'!$B$16)+IF((32+38*(1-EXP(-0.0175*A192)))&lt;70,'Scénario référence'!$B$18*(32+38*(1-EXP(-0.0175*A192))),70*'Scénario référence'!$B$18)</f>
        <v>70</v>
      </c>
      <c r="FV192" s="12">
        <f>IF(A192&gt;30,10,('Scénario référence'!$B$16+'Scénario référence'!$B$17+'Scénario référence'!$B$18+'Scénario référence'!$B$9+'Scénario référence'!$B$10)*A192*10/30+('Scénario référence'!$F$8+'Scénario référence'!$F$9)*10)</f>
        <v>10</v>
      </c>
      <c r="FW192" s="12" t="e">
        <f>VLOOKUP(A192,'Données projet'!$A$243:$I$263,2,0)</f>
        <v>#N/A</v>
      </c>
      <c r="FX192" s="12" t="e">
        <f>VLOOKUP(A192,'Données projet'!$A$243:$I$263,9,0)</f>
        <v>#N/A</v>
      </c>
      <c r="FY192" s="12">
        <f t="array" ref="FY192">INDEX(FX:FX,MIN(IF(ISNUMBER(FX192:FX388),ROW(FX192:FX388),"")))</f>
        <v>0</v>
      </c>
      <c r="FZ192" s="12">
        <f>IF('Données projet'!$A$244&gt;35,FZ191+FY192-GH191,IF(A192&lt;'Données projet'!$A$244,$FW$205^A192,IF(A192='Données projet'!$A$244,'Données projet'!$B$244,FZ191+FY192-GH191)))</f>
        <v>4.5474735088646412E-13</v>
      </c>
      <c r="GA192" s="17">
        <f>FZ192*VLOOKUP('Données projet'!$B$17,Paramètres!$A$1:$I$89,3,0)*VLOOKUP('Données projet'!$B$17,Paramètres!$A$1:$I$89,5,0)</f>
        <v>4.8949004849418999E-13</v>
      </c>
      <c r="GB192" s="13">
        <f t="shared" si="185"/>
        <v>6.1123715499968684E-12</v>
      </c>
      <c r="GC192" s="20">
        <f t="shared" si="186"/>
        <v>1.1498242284038591E-11</v>
      </c>
      <c r="GD192" s="59">
        <f t="shared" si="134"/>
        <v>293.3333333333448</v>
      </c>
      <c r="GE192" s="59">
        <f ca="1">AVERAGE(OFFSET($GD$3,0,0,'Données projet'!$E$17+1,1))-AVERAGE(OFFSET($H$3,0,0,'Données projet'!$E$17+1,1))</f>
        <v>286.77702855541287</v>
      </c>
      <c r="GF192" s="59">
        <f t="shared" si="158"/>
        <v>227.12211541860779</v>
      </c>
      <c r="GG192" s="15">
        <f>IF(ISNA(VLOOKUP(A192,'Données projet'!$A$243:$I$263,3,0)),0,VLOOKUP(A192,'Données projet'!$A$243:$I$263,3,0))</f>
        <v>0</v>
      </c>
      <c r="GH192" s="15">
        <f>IF(ISNA(VLOOKUP(A192,'Données projet'!$A$243:$I$263,4,0)),0,VLOOKUP(A192,'Données projet'!$A$243:$I$263,4,0))</f>
        <v>0</v>
      </c>
      <c r="GI192" s="16">
        <f>IF(ISNA(VLOOKUP(A192,'Données projet'!$A$243:$I$263,5,0)),0%,VLOOKUP(A192,'Données projet'!$A$243:$I$263,5,0)*VLOOKUP('Données projet'!$B$17,Paramètres!$A$1:$I$89,7,0))</f>
        <v>0</v>
      </c>
      <c r="GJ192" s="16">
        <f>IF(ISNA(VLOOKUP(A192,'Données projet'!$A$243:$I$263,6,0)),0%,VLOOKUP(A192,'Données projet'!$A$243:$I$263,6,0)*VLOOKUP('Données projet'!$B$17,Paramètres!$A$1:$I$89,7,0))</f>
        <v>0</v>
      </c>
      <c r="GK192" s="16">
        <f>IF(ISNA(VLOOKUP(A192,'Données projet'!$A$243:$I$263,7,0)),0%,VLOOKUP(A192,'Données projet'!$A$243:$I$263,7,0))</f>
        <v>0</v>
      </c>
      <c r="GL192" s="21">
        <f>EXP(-LN(2)/35)*GL191+(1-EXP(-LN(2)/35))/(LN(2)/35)*GH192*GI192*VLOOKUP('Données projet'!$B$17,Paramètres!$A$1:$I$89,3,0)*0.475*44/12</f>
        <v>0</v>
      </c>
      <c r="GM192" s="21">
        <f>EXP(-LN(2)/25)*GM191+(1-EXP(-LN(2)/25))/(LN(2)/25)*Calculateur!GH192*Calculateur!GJ192*VLOOKUP('Données projet'!$B$17,Paramètres!$A$1:$I$89,3,0)*0.475*44/12</f>
        <v>0</v>
      </c>
      <c r="GN192" s="21">
        <f>EXP(-LN(2)/2)*GN191+(1-EXP(-LN(2)/2))/(LN(2)/2)*GH192*GK192*VLOOKUP('Données projet'!$B$17,Paramètres!$A$1:$I$89,3,0)*0.475*44/12</f>
        <v>0</v>
      </c>
      <c r="GO192" s="21">
        <f t="shared" si="187"/>
        <v>0</v>
      </c>
      <c r="GP192" s="75">
        <f>('Scénario référence'!$F$8+'Scénario référence'!$F$9+'Scénario référence'!$B$17+'Scénario référence'!$B$9+'Scénario référence'!$B$10)*70+IF((45+25*(1-EXP(-0.0175*A192)))&lt;70,'Scénario référence'!$B$16*(45+25*(1-EXP(-0.0175*A192))),70*'Scénario référence'!$B$16)+IF((32+38*(1-EXP(-0.0175*A192)))&lt;70,'Scénario référence'!$B$18*(32+38*(1-EXP(-0.0175*A192))),70*'Scénario référence'!$B$18)</f>
        <v>70</v>
      </c>
      <c r="GQ192" s="12">
        <f>IF(A192&gt;30,10,('Scénario référence'!$B$16+'Scénario référence'!$B$17+'Scénario référence'!$B$18+'Scénario référence'!$B$9+'Scénario référence'!$B$10)*A192*10/30+('Scénario référence'!$F$8+'Scénario référence'!$F$9)*10)</f>
        <v>10</v>
      </c>
      <c r="GR192" s="12" t="e">
        <f>VLOOKUP(A192,'Données projet'!$A$269:$I$289,2,0)</f>
        <v>#N/A</v>
      </c>
      <c r="GS192" s="12" t="e">
        <f>VLOOKUP(A192,'Données projet'!$A$269:$I$289,9,0)</f>
        <v>#N/A</v>
      </c>
      <c r="GT192" s="12">
        <f t="array" ref="GT192">INDEX(GS:GS,MIN(IF(ISNUMBER(GS192:GS388),ROW(GS192:GS388),"")))</f>
        <v>0</v>
      </c>
      <c r="GU192" s="12">
        <f>IF('Données projet'!$A$270&gt;35,GU191+GT192-HC191,IF(A192&lt;'Données projet'!$A$270,$GR$205^A192,IF(A192='Données projet'!$A$270,'Données projet'!$B$270,GU191+GT192-HC191)))</f>
        <v>4.5474735088646412E-13</v>
      </c>
      <c r="GV192" s="17">
        <f>GU192*VLOOKUP('Données projet'!$B$18,Paramètres!$A$1:$I$89,3,0)*VLOOKUP('Données projet'!$B$18,Paramètres!$A$1:$I$89,5,0)</f>
        <v>4.8949004849418999E-13</v>
      </c>
      <c r="GW192" s="13">
        <f t="shared" si="188"/>
        <v>6.1123715499968684E-12</v>
      </c>
      <c r="GX192" s="20">
        <f t="shared" si="189"/>
        <v>1.1498242284038591E-11</v>
      </c>
      <c r="GY192" s="59">
        <f t="shared" si="137"/>
        <v>293.3333333333448</v>
      </c>
      <c r="GZ192" s="59">
        <f ca="1">AVERAGE(OFFSET($GY$3,0,0,'Données projet'!$E$18+1,1))-AVERAGE(OFFSET($H$3,0,0,'Données projet'!$E$18+1,1))</f>
        <v>286.77702855541287</v>
      </c>
      <c r="HA192" s="59">
        <f t="shared" si="160"/>
        <v>227.12211541860779</v>
      </c>
      <c r="HB192" s="15">
        <f>IF(ISNA(VLOOKUP(A192,'Données projet'!$A$269:$I$289,3,0)),0,VLOOKUP(A192,'Données projet'!$A$269:$I$289,3,0))</f>
        <v>0</v>
      </c>
      <c r="HC192" s="15">
        <f>IF(ISNA(VLOOKUP(A192,'Données projet'!$A$269:$I$289,4,0)),0,VLOOKUP(A192,'Données projet'!$A$269:$I$289,4,0))</f>
        <v>0</v>
      </c>
      <c r="HD192" s="16">
        <f>IF(ISNA(VLOOKUP(A192,'Données projet'!$A$269:$I$289,5,0)),0%,VLOOKUP(A192,'Données projet'!$A$269:$I$289,5,0)*VLOOKUP('Données projet'!$B$18,Paramètres!$A$1:$I$89,7,0))</f>
        <v>0</v>
      </c>
      <c r="HE192" s="16">
        <f>IF(ISNA(VLOOKUP(A192,'Données projet'!$A$269:$I$289,6,0)),0%,VLOOKUP(A192,'Données projet'!$A$269:$I$289,6,0)*VLOOKUP('Données projet'!$B$18,Paramètres!$A$1:$I$89,7,0))</f>
        <v>0</v>
      </c>
      <c r="HF192" s="16">
        <f>IF(ISNA(VLOOKUP(A192,'Données projet'!$A$269:$I$289,7,0)),0%,VLOOKUP(A192,'Données projet'!$A$269:$I$289,7,0))</f>
        <v>0</v>
      </c>
      <c r="HG192" s="21">
        <f>EXP(-LN(2)/35)*HG191+(1-EXP(-LN(2)/35))/(LN(2)/35)*HC192*HD192*VLOOKUP('Données projet'!$B$18,Paramètres!$A$1:$I$89,3,0)*0.475*44/12</f>
        <v>0</v>
      </c>
      <c r="HH192" s="21">
        <f>EXP(-LN(2)/25)*HH191+(1-EXP(-LN(2)/25))/(LN(2)/25)*Calculateur!HC192*Calculateur!HE192*VLOOKUP('Données projet'!$B$18,Paramètres!$A$1:$I$89,3,0)*0.475*44/12</f>
        <v>0</v>
      </c>
      <c r="HI192" s="21">
        <f>EXP(-LN(2)/2)*HI191+(1-EXP(-LN(2)/2))/(LN(2)/2)*HC192*HF192*VLOOKUP('Données projet'!$B$18,Paramètres!$A$1:$I$89,3,0)*0.475*44/12</f>
        <v>0</v>
      </c>
      <c r="HJ192" s="22">
        <f t="shared" si="190"/>
        <v>0</v>
      </c>
    </row>
    <row r="193" spans="1:218" x14ac:dyDescent="0.25">
      <c r="A193" s="10">
        <f t="shared" si="161"/>
        <v>190</v>
      </c>
      <c r="B193" s="73">
        <f>'Scénario référence'!$B$16*5+'Scénario référence'!$B$17*0+'Scénario référence'!$B$18*5</f>
        <v>0</v>
      </c>
      <c r="C193" s="19">
        <f>Calculateur!C192+'Scénario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168.94799999999969</v>
      </c>
      <c r="D193" s="11">
        <f t="shared" si="140"/>
        <v>42.8543255274462</v>
      </c>
      <c r="E19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93" s="11">
        <f>IF(OR('Scénario référence'!$F$8&gt;0,'Scénario référence'!$F$9&gt;0),('Scénario référence'!$F$8+'Scénario référence'!$F$9)*10,0)</f>
        <v>10</v>
      </c>
      <c r="G193" s="11">
        <f>'Scénario référence'!$B$8*B193*44/12+'Scénario référence'!$B$9*(C193+D193)/0.475*44/12+'Scénario référence'!$B$10*(C193+D193)/0.475*44/12+'Scénario référence'!$F$8*(C193+D193)/0.475*44/12+'Scénario référence'!$F$9*(C193+D193)/0.475*44/12</f>
        <v>1634.965319860986</v>
      </c>
      <c r="H193" s="67">
        <f t="shared" si="110"/>
        <v>662.22238362696817</v>
      </c>
      <c r="I193" s="70">
        <f>('Scénario référence'!$F$8+'Scénario référence'!$F$9+'Scénario référence'!$B$17+'Scénario référence'!$B$9+'Scénario référence'!$B$10)*70+IF((45+25*(1-EXP(-0.0175*A193)))&lt;70,'Scénario référence'!$B$16*(45+25*(1-EXP(-0.0175*A193))),70*'Scénario référence'!$B$16)+IF((32+38*(1-EXP(-0.0175*A193)))&lt;70,'Scénario référence'!$B$18*(32+38*(1-EXP(-0.0175*A193))),70*'Scénario référence'!$B$18)</f>
        <v>70</v>
      </c>
      <c r="J193" s="13">
        <f>IF(A193&gt;30,10,('Scénario référence'!$B$16+'Scénario référence'!$B$17+'Scénario référence'!$B$18+'Scénario référence'!$B$9+'Scénario référence'!$B$10)*A193*10/30+('Scénario référence'!$F$8+'Scénario référence'!$F$9)*10)</f>
        <v>10</v>
      </c>
      <c r="K193" s="12" t="e">
        <f>VLOOKUP(A193,'Données projet'!$A$35:$I$55,2,0)</f>
        <v>#N/A</v>
      </c>
      <c r="L193" s="12" t="e">
        <f>VLOOKUP(A193,'Données projet'!$A$35:$I$55,9,0)</f>
        <v>#N/A</v>
      </c>
      <c r="M193" s="12">
        <f t="array" ref="M193">INDEX(L:L,MIN(IF(ISNUMBER(L193:L389),ROW(L193:L389),"")))</f>
        <v>0</v>
      </c>
      <c r="N193" s="13">
        <f>IF('Données projet'!$A$36&gt;35,N192+M193-V192,IF(A193&lt;'Données projet'!$A$36,$K$205^A193,IF(A193='Données projet'!$A$36,'Données projet'!$B$36,N192+M193-V192)))</f>
        <v>-2.2737367544323206E-13</v>
      </c>
      <c r="O193" s="13">
        <f>N193*VLOOKUP('Données projet'!$B$9,Paramètres!$A$1:$I$89,3,0)*VLOOKUP('Données projet'!$B$9,Paramètres!$A$1:$I$89,5,0)</f>
        <v>-1.2710188457276673E-13</v>
      </c>
      <c r="P193" s="13" t="e">
        <f t="shared" si="141"/>
        <v>#NUM!</v>
      </c>
      <c r="Q193" s="20" t="e">
        <f t="shared" si="162"/>
        <v>#NUM!</v>
      </c>
      <c r="R193" s="59" t="e">
        <f t="shared" si="109"/>
        <v>#NUM!</v>
      </c>
      <c r="S193" s="59">
        <f ca="1">AVERAGE(OFFSET($R$3,0,0,'Données projet'!$E$9+1,1))-AVERAGE(OFFSET($H$3,0,0,'Données projet'!$E$9+1,1))</f>
        <v>255.5374979188561</v>
      </c>
      <c r="T193" s="59">
        <f t="shared" si="142"/>
        <v>343.10418468620901</v>
      </c>
      <c r="U193" s="15">
        <f>IF(ISNA(VLOOKUP(A193,'Données projet'!$A$35:$I$55,3,0)),0,VLOOKUP(A193,'Données projet'!$A$35:$I$55,3,0))</f>
        <v>0</v>
      </c>
      <c r="V193" s="15">
        <f>IF(ISNA(VLOOKUP(A193,'Données projet'!$A$35:$I$55,4,0)),0,VLOOKUP(A193,'Données projet'!$A$35:$I$55,4,0))</f>
        <v>0</v>
      </c>
      <c r="W193" s="16">
        <f>IF(ISNA(VLOOKUP(A193,'Données projet'!$A$35:$I$55,5,0)),0%,VLOOKUP(A193,'Données projet'!$A$35:$I$55,5,0)*VLOOKUP('Données projet'!$B$9,Paramètres!$A$1:$I$89,7,0))</f>
        <v>0</v>
      </c>
      <c r="X193" s="16">
        <f>IF(ISNA(VLOOKUP(A193,'Données projet'!$A$35:$I$55,6,0)),0%,VLOOKUP(A193,'Données projet'!$A$35:$I$55,6,0)*VLOOKUP('Données projet'!$B$9,Paramètres!$A$1:$I$89,7,0))</f>
        <v>0</v>
      </c>
      <c r="Y193" s="16">
        <f>IF(ISNA(VLOOKUP(A193,'Données projet'!$A$35:$I$55,7,0)),0%,VLOOKUP(A193,'Données projet'!$A$35:$I$55,7,0))</f>
        <v>0</v>
      </c>
      <c r="Z193" s="21">
        <f>EXP(-LN(2)/35)*Z192+(1-EXP(-LN(2)/35))/(LN(2)/35)*V193*W193*VLOOKUP('Données projet'!$B$9,Paramètres!$A$1:$I$89,3,0)*0.475*44/12</f>
        <v>0.12996520533185671</v>
      </c>
      <c r="AA193" s="21">
        <f>EXP(-LN(2)/25)*AA192+(1-EXP(-LN(2)/25))/(LN(2)/25)*Calculateur!V193*Calculateur!X193*VLOOKUP('Données projet'!$B$9,Paramètres!$A$1:$I$89,3,0)*0.475*44/12</f>
        <v>0.18899397788707908</v>
      </c>
      <c r="AB193" s="21">
        <f>EXP(-LN(2)/2)*AB192+(1-EXP(-LN(2)/2))/(LN(2)/2)*V193*Y193*VLOOKUP('Données projet'!$B$9,Paramètres!$A$1:$I$89,3,0)*0.475*44/12</f>
        <v>1.4001289839219704E-24</v>
      </c>
      <c r="AC193" s="22">
        <f t="shared" si="163"/>
        <v>0.31895918321893579</v>
      </c>
      <c r="AD193" s="13">
        <f>('Scénario référence'!$F$8+'Scénario référence'!$F$9+'Scénario référence'!$B$17+'Scénario référence'!$B$9+'Scénario référence'!$B$10)*70+IF((45+25*(1-EXP(-0.0175*A193)))&lt;70,'Scénario référence'!$B$16*(45+25*(1-EXP(-0.0175*A193))),70*'Scénario référence'!$B$16)+IF((32+38*(1-EXP(-0.0175*A193)))&lt;70,'Scénario référence'!$B$18*(32+38*(1-EXP(-0.0175*A193))),70*'Scénario référence'!$B$18)</f>
        <v>70</v>
      </c>
      <c r="AE193" s="13">
        <f>IF(A193&gt;30,10,('Scénario référence'!$B$16+'Scénario référence'!$B$17+'Scénario référence'!$B$18+'Scénario référence'!$B$9+'Scénario référence'!$B$10)*A193*10/30+('Scénario référence'!$F$8+'Scénario référence'!$F$9)*10)</f>
        <v>10</v>
      </c>
      <c r="AF193" s="12" t="e">
        <f>VLOOKUP(A193,'Données projet'!$A$61:$I$81,2,0)</f>
        <v>#N/A</v>
      </c>
      <c r="AG193" s="12" t="e">
        <f>VLOOKUP(A193,'Données projet'!$A$61:$I$81,9,0)</f>
        <v>#N/A</v>
      </c>
      <c r="AH193" s="12">
        <f t="array" ref="AH193">INDEX(AG:AG,MIN(IF(ISNUMBER(AG193:AG389),ROW(AG193:AG389),"")))</f>
        <v>0</v>
      </c>
      <c r="AI193" s="13">
        <f>IF('Données projet'!$A$62&gt;35,AI192+AH193-AQ192,IF(A193&lt;'Données projet'!$A$62,$AF$205^A193,IF(A193='Données projet'!$A$62,'Données projet'!$B$62,AI192+AH193-AQ192)))</f>
        <v>0</v>
      </c>
      <c r="AJ193" s="13">
        <f>AI193*VLOOKUP('Données projet'!$B$10,Paramètres!$A$1:$I$89,3,0)*VLOOKUP('Données projet'!$B$10,Paramètres!$A$1:$I$89,5,0)</f>
        <v>0</v>
      </c>
      <c r="AK193" s="13" t="e">
        <f t="shared" si="164"/>
        <v>#NUM!</v>
      </c>
      <c r="AL193" s="20" t="e">
        <f t="shared" si="165"/>
        <v>#NUM!</v>
      </c>
      <c r="AM193" s="59" t="e">
        <f t="shared" si="113"/>
        <v>#NUM!</v>
      </c>
      <c r="AN193" s="59">
        <f ca="1">AVERAGE(OFFSET($AM$3,0,0,'Données projet'!$E$10+1,1))-AVERAGE(OFFSET($H$3,0,0,'Données projet'!$E$10+1,1))</f>
        <v>261.78489480911571</v>
      </c>
      <c r="AO193" s="59">
        <f t="shared" si="144"/>
        <v>297.50513563712764</v>
      </c>
      <c r="AP193" s="15">
        <f>IF(ISNA(VLOOKUP(A193,'Données projet'!$A$61:$I$81,3,0)),0,VLOOKUP(A193,'Données projet'!$A$61:$I$81,3,0))</f>
        <v>0</v>
      </c>
      <c r="AQ193" s="15">
        <f>IF(ISNA(VLOOKUP(A193,'Données projet'!$A$61:$I$81,4,0)),0,VLOOKUP(A193,'Données projet'!$A$61:$I$81,4,0))</f>
        <v>0</v>
      </c>
      <c r="AR193" s="16">
        <f>IF(ISNA(VLOOKUP(A193,'Données projet'!$A$61:$I$81,5,0)),0%,VLOOKUP(A193,'Données projet'!$A$61:$I$81,5,0)*VLOOKUP('Données projet'!$B$10,Paramètres!$A$1:$I$89,7,0))</f>
        <v>0</v>
      </c>
      <c r="AS193" s="16">
        <f>IF(ISNA(VLOOKUP(A193,'Données projet'!$A$61:$I$81,6,0)),0%,VLOOKUP(A193,'Données projet'!$A$61:$I$81,6,0)*VLOOKUP('Données projet'!$B$10,Paramètres!$A$1:$I$89,7,0))</f>
        <v>0</v>
      </c>
      <c r="AT193" s="16">
        <f>IF(ISNA(VLOOKUP(A193,'Données projet'!$A$61:$I$81,7,0)),0%,VLOOKUP(A193,'Données projet'!$A$61:$I$81,7,0))</f>
        <v>0</v>
      </c>
      <c r="AU193" s="21">
        <f>EXP(-LN(2)/35)*AU192+(1-EXP(-LN(2)/35))/(LN(2)/35)*AQ193*AR193*VLOOKUP('Données projet'!$B$10,Paramètres!$A$1:$I$89,3,0)*0.475*44/12</f>
        <v>0.35094281487802381</v>
      </c>
      <c r="AV193" s="21">
        <f>EXP(-LN(2)/25)*AV192+(1-EXP(-LN(2)/25))/(LN(2)/25)*Calculateur!AQ193*Calculateur!AS193*VLOOKUP('Données projet'!$B$10,Paramètres!$A$1:$I$89,3,0)*0.475*44/12</f>
        <v>0.33002203276786857</v>
      </c>
      <c r="AW193" s="21">
        <f>EXP(-LN(2)/2)*AW192+(1-EXP(-LN(2)/2))/(LN(2)/2)*AQ193*AT193*VLOOKUP('Données projet'!$B$10,Paramètres!$A$1:$I$89,3,0)*0.475*44/12</f>
        <v>2.0184192231654279E-23</v>
      </c>
      <c r="AX193" s="21">
        <f t="shared" si="166"/>
        <v>0.68096484764589238</v>
      </c>
      <c r="AY193" s="74">
        <f>('Scénario référence'!$F$8+'Scénario référence'!$F$9+'Scénario référence'!$B$17+'Scénario référence'!$B$9+'Scénario référence'!$B$10)*70+IF((45+25*(1-EXP(-0.0175*A193)))&lt;70,'Scénario référence'!$B$16*(45+25*(1-EXP(-0.0175*A193))),70*'Scénario référence'!$B$16)+IF((32+38*(1-EXP(-0.0175*A193)))&lt;70,'Scénario référence'!$B$18*(32+38*(1-EXP(-0.0175*A193))),70*'Scénario référence'!$B$18)</f>
        <v>70</v>
      </c>
      <c r="AZ193" s="12">
        <f>IF(A193&gt;30,10,('Scénario référence'!$B$16+'Scénario référence'!$B$17+'Scénario référence'!$B$18+'Scénario référence'!$B$9+'Scénario référence'!$B$10)*A193*10/30+('Scénario référence'!$F$8+'Scénario référence'!$F$9)*10)</f>
        <v>10</v>
      </c>
      <c r="BA193" s="12" t="e">
        <f>VLOOKUP(A193,'Données projet'!$A$87:$I$107,2,0)</f>
        <v>#N/A</v>
      </c>
      <c r="BB193" s="12" t="e">
        <f>VLOOKUP(A193,'Données projet'!$A$87:$I$107,9,0)</f>
        <v>#N/A</v>
      </c>
      <c r="BC193" s="12">
        <f t="array" ref="BC193">INDEX(BB:BB,MIN(IF(ISNUMBER(BB193:BB389),ROW(BB193:BB389),"")))</f>
        <v>0</v>
      </c>
      <c r="BD193" s="12">
        <f>IF('Données projet'!$A$88&gt;35,BD192+BC193-BL192,IF(A193&lt;'Données projet'!$A$88,$BA$205^A193,IF(A193='Données projet'!$A$88,'Données projet'!$B$88,BD192+BC193-BL192)))</f>
        <v>553.99999999999955</v>
      </c>
      <c r="BE193" s="13">
        <f>BD193*VLOOKUP('Données projet'!$B$11,Paramètres!$A$1:$I$89,3,0)*VLOOKUP('Données projet'!$B$11,Paramètres!$A$1:$I$89,5,0)</f>
        <v>331.29199999999975</v>
      </c>
      <c r="BF193" s="13">
        <f t="shared" si="167"/>
        <v>77.698110787752</v>
      </c>
      <c r="BG193" s="20">
        <f t="shared" si="168"/>
        <v>712.32444295533423</v>
      </c>
      <c r="BH193" s="59">
        <f t="shared" si="116"/>
        <v>1005.6577762886675</v>
      </c>
      <c r="BI193" s="59">
        <f ca="1">AVERAGE(OFFSET($BH$3,0,0,'Données projet'!$E$11+1,1))-AVERAGE(OFFSET($H$3,0,0,'Données projet'!$E$11+1,1))</f>
        <v>316.58509520829671</v>
      </c>
      <c r="BJ193" s="59">
        <f t="shared" si="146"/>
        <v>240.71332110643596</v>
      </c>
      <c r="BK193" s="15">
        <f>IF(ISNA(VLOOKUP(A193,'Données projet'!$A$87:$I$107,3,0)),0,VLOOKUP(A193,'Données projet'!$A$87:$I$107,3,0))</f>
        <v>0</v>
      </c>
      <c r="BL193" s="15">
        <f>IF(ISNA(VLOOKUP(A193,'Données projet'!$A$87:$I$107,4,0)),0,VLOOKUP(A193,'Données projet'!$A$87:$I$107,4,0))</f>
        <v>0</v>
      </c>
      <c r="BM193" s="16">
        <f>IF(ISNA(VLOOKUP(A193,'Données projet'!$A$87:$I$107,5,0)),0%,VLOOKUP(A193,'Données projet'!$A$87:$I$107,5,0)*VLOOKUP('Données projet'!$B$11,Paramètres!$A$1:$I$89,7,0))</f>
        <v>0</v>
      </c>
      <c r="BN193" s="16">
        <f>IF(ISNA(VLOOKUP(A193,'Données projet'!$A$87:$I$107,6,0)),0%,VLOOKUP(A193,'Données projet'!$A$87:$I$107,6,0)*VLOOKUP('Données projet'!$B$11,Paramètres!$A$1:$I$89,7,0))</f>
        <v>0</v>
      </c>
      <c r="BO193" s="16">
        <f>IF(ISNA(VLOOKUP(A193,'Données projet'!$A$87:$I$107,7,0)),0%,VLOOKUP(A193,'Données projet'!$A$87:$I$107,7,0))</f>
        <v>0</v>
      </c>
      <c r="BP193" s="21">
        <f>EXP(-LN(2)/35)*BP192+(1-EXP(-LN(2)/35))/(LN(2)/35)*BL193*BM193*VLOOKUP('Données projet'!$B$11,Paramètres!$A$1:$I$89,3,0)*0.475*44/12</f>
        <v>0.10660149120085817</v>
      </c>
      <c r="BQ193" s="21">
        <f>EXP(-LN(2)/25)*BQ192+(1-EXP(-LN(2)/25))/(LN(2)/25)*Calculateur!BL193*Calculateur!BN193*VLOOKUP('Données projet'!$B$11,Paramètres!$A$1:$I$89,3,0)*0.475*44/12</f>
        <v>0.18079569895838626</v>
      </c>
      <c r="BR193" s="21">
        <f>EXP(-LN(2)/2)*BR192+(1-EXP(-LN(2)/2))/(LN(2)/2)*BL193*BO193*VLOOKUP('Données projet'!$B$11,Paramètres!$A$1:$I$89,3,0)*0.475*44/12</f>
        <v>1.8147799239770199E-23</v>
      </c>
      <c r="BS193" s="22">
        <f t="shared" si="169"/>
        <v>0.28739719015924442</v>
      </c>
      <c r="BT193" s="75">
        <f>('Scénario référence'!$F$8+'Scénario référence'!$F$9+'Scénario référence'!$B$17+'Scénario référence'!$B$9+'Scénario référence'!$B$10)*70+IF((45+25*(1-EXP(-0.0175*A193)))&lt;70,'Scénario référence'!$B$16*(45+25*(1-EXP(-0.0175*A193))),70*'Scénario référence'!$B$16)+IF((32+38*(1-EXP(-0.0175*A193)))&lt;70,'Scénario référence'!$B$18*(32+38*(1-EXP(-0.0175*A193))),70*'Scénario référence'!$B$18)</f>
        <v>70</v>
      </c>
      <c r="BU193" s="12">
        <f>IF(A193&gt;30,10,('Scénario référence'!$B$16+'Scénario référence'!$B$17+'Scénario référence'!$B$18+'Scénario référence'!$B$9+'Scénario référence'!$B$10)*A193*10/30+('Scénario référence'!$F$8+'Scénario référence'!$F$9)*10)</f>
        <v>10</v>
      </c>
      <c r="BV193" s="12" t="e">
        <f>VLOOKUP(A193,'Données projet'!$A$113:$I$133,2,0)</f>
        <v>#N/A</v>
      </c>
      <c r="BW193" s="12" t="e">
        <f>VLOOKUP(A193,'Données projet'!$A$113:$I$133,9,0)</f>
        <v>#N/A</v>
      </c>
      <c r="BX193" s="12">
        <f t="array" ref="BX193">INDEX(BW:BW,MIN(IF(ISNUMBER(BW193:BW389),ROW(BW193:BW389),"")))</f>
        <v>0</v>
      </c>
      <c r="BY193" s="12">
        <f>IF('Données projet'!$A$114&gt;35,BY192+BX193-CG192,IF(A193&lt;'Données projet'!$A$114,$BV$205^A193,IF(A193='Données projet'!$A$114,'Données projet'!$B$114,BY192+BX193-CG192)))</f>
        <v>333.99999999999977</v>
      </c>
      <c r="BZ193" s="13">
        <f>BY193*VLOOKUP('Données projet'!$B$12,Paramètres!$A$1:$I$89,3,0)*VLOOKUP('Données projet'!$B$12,Paramètres!$A$1:$I$89,5,0)</f>
        <v>191.04799999999986</v>
      </c>
      <c r="CA193" s="13">
        <f t="shared" si="170"/>
        <v>47.771576544305155</v>
      </c>
      <c r="CB193" s="20">
        <f t="shared" si="171"/>
        <v>415.94409581466454</v>
      </c>
      <c r="CC193" s="59">
        <f t="shared" si="119"/>
        <v>709.27742914799785</v>
      </c>
      <c r="CD193" s="59">
        <f ca="1">AVERAGE(OFFSET($CC$3,0,0,'Données projet'!$E$12+1,1))-AVERAGE(OFFSET($H$3,0,0,'Données projet'!$E$12+1,1))</f>
        <v>188.64374818906128</v>
      </c>
      <c r="CE193" s="59">
        <f t="shared" si="148"/>
        <v>211.95157880548652</v>
      </c>
      <c r="CF193" s="15">
        <f>IF(ISNA(VLOOKUP(A193,'Données projet'!$A$113:$I$133,3,0)),0,VLOOKUP(A193,'Données projet'!$A$113:$I$133,3,0))</f>
        <v>0</v>
      </c>
      <c r="CG193" s="15">
        <f>IF(ISNA(VLOOKUP(A193,'Données projet'!$A$113:$I$133,4,0)),0,VLOOKUP(A193,'Données projet'!$A$113:$I$133,4,0))</f>
        <v>0</v>
      </c>
      <c r="CH193" s="16">
        <f>IF(ISNA(VLOOKUP(A193,'Données projet'!$A$113:$I$133,5,0)),0%,VLOOKUP(A193,'Données projet'!$A$113:$I$133,5,0)*VLOOKUP('Données projet'!$B$12,Paramètres!$A$1:$I$89,7,0))</f>
        <v>0</v>
      </c>
      <c r="CI193" s="16">
        <f>IF(ISNA(VLOOKUP(A193,'Données projet'!$A$113:$I$133,6,0)),0%,VLOOKUP(A193,'Données projet'!$A$113:$I$133,6,0)*VLOOKUP('Données projet'!$B$12,Paramètres!$A$1:$I$89,7,0))</f>
        <v>0</v>
      </c>
      <c r="CJ193" s="16">
        <f>IF(ISNA(VLOOKUP(A193,'Données projet'!$A$113:$I$133,7,0)),0%,VLOOKUP(A193,'Données projet'!$A$113:$I$133,7,0))</f>
        <v>0</v>
      </c>
      <c r="CK193" s="21">
        <f>EXP(-LN(2)/35)*CK192+(1-EXP(-LN(2)/35))/(LN(2)/35)*CG193*CH193*VLOOKUP('Données projet'!$B$12,Paramètres!$A$1:$I$89,3,0)*0.475*44/12</f>
        <v>0.10340279366941772</v>
      </c>
      <c r="CL193" s="21">
        <f>EXP(-LN(2)/25)*CL192+(1-EXP(-LN(2)/25))/(LN(2)/25)*Calculateur!CG193*Calculateur!CI193*VLOOKUP('Données projet'!$B$12,Paramètres!$A$1:$I$89,3,0)*0.475*44/12</f>
        <v>0.17016900539295085</v>
      </c>
      <c r="CM193" s="21">
        <f>EXP(-LN(2)/2)*CM192+(1-EXP(-LN(2)/2))/(LN(2)/2)*CG193*CJ193*VLOOKUP('Données projet'!$B$12,Paramètres!$A$1:$I$89,3,0)*0.475*44/12</f>
        <v>1.7574723658817248E-23</v>
      </c>
      <c r="CN193" s="22">
        <f t="shared" si="172"/>
        <v>0.27357179906236856</v>
      </c>
      <c r="CO193" s="75">
        <f>('Scénario référence'!$F$8+'Scénario référence'!$F$9+'Scénario référence'!$B$17+'Scénario référence'!$B$9+'Scénario référence'!$B$10)*70+IF((45+25*(1-EXP(-0.0175*A193)))&lt;70,'Scénario référence'!$B$16*(45+25*(1-EXP(-0.0175*A193))),70*'Scénario référence'!$B$16)+IF((32+38*(1-EXP(-0.0175*A193)))&lt;70,'Scénario référence'!$B$18*(32+38*(1-EXP(-0.0175*A193))),70*'Scénario référence'!$B$18)</f>
        <v>70</v>
      </c>
      <c r="CP193" s="12">
        <f>IF(A193&gt;30,10,('Scénario référence'!$B$16+'Scénario référence'!$B$17+'Scénario référence'!$B$18+'Scénario référence'!$B$9+'Scénario référence'!$B$10)*A193*10/30+('Scénario référence'!$F$8+'Scénario référence'!$F$9)*10)</f>
        <v>10</v>
      </c>
      <c r="CQ193" s="12" t="e">
        <f>VLOOKUP(A193,'Données projet'!$A$139:$I$159,2,0)</f>
        <v>#N/A</v>
      </c>
      <c r="CR193" s="12" t="e">
        <f>VLOOKUP(A193,'Données projet'!$A$139:$I$159,9,0)</f>
        <v>#N/A</v>
      </c>
      <c r="CS193" s="12">
        <f t="array" ref="CS193">INDEX(CR:CR,MIN(IF(ISNUMBER(CR193:CR389),ROW(CR193:CR389),"")))</f>
        <v>0</v>
      </c>
      <c r="CT193" s="12">
        <f>IF('Données projet'!$A$140&gt;35,CT192+CS193-DB192,IF(A193&lt;'Données projet'!$A$140,$CQ$205^A193,IF(A193='Données projet'!$A$140,'Données projet'!$B$140,CT192+CS193-DB192)))</f>
        <v>0</v>
      </c>
      <c r="CU193" s="17" t="e">
        <f>CT193*VLOOKUP('Données projet'!$B$13,Paramètres!$A$1:$I$89,3,0)*VLOOKUP('Données projet'!$B$13,Paramètres!$A$1:$I$89,5,0)</f>
        <v>#N/A</v>
      </c>
      <c r="CV193" s="13" t="e">
        <f t="shared" si="173"/>
        <v>#N/A</v>
      </c>
      <c r="CW193" s="20" t="e">
        <f t="shared" si="174"/>
        <v>#N/A</v>
      </c>
      <c r="CX193" s="59" t="e">
        <f t="shared" si="122"/>
        <v>#N/A</v>
      </c>
      <c r="CY193" s="59" t="e">
        <f ca="1">AVERAGE(OFFSET($CX$3,0,0,'Données projet'!$E$13+1,1))-AVERAGE(OFFSET($H$3,0,0,'Données projet'!$E$13+1,1))</f>
        <v>#N/A</v>
      </c>
      <c r="CZ193" s="59" t="e">
        <f t="shared" si="150"/>
        <v>#N/A</v>
      </c>
      <c r="DA193" s="15">
        <f>IF(ISNA(VLOOKUP(A193,'Données projet'!$A$139:$I$159,3,0)),0,VLOOKUP(A193,'Données projet'!$A$139:$I$159,3,0))</f>
        <v>0</v>
      </c>
      <c r="DB193" s="15">
        <f>IF(ISNA(VLOOKUP(A193,'Données projet'!$A$139:$I$159,4,0)),0,VLOOKUP(A193,'Données projet'!$A$139:$I$159,4,0))</f>
        <v>0</v>
      </c>
      <c r="DC193" s="16">
        <f>IF(ISNA(VLOOKUP(A193,'Données projet'!$A$139:$I$159,5,0)),0%,VLOOKUP(A193,'Données projet'!$A$139:$I$159,5,0)*VLOOKUP('Données projet'!$B$13,Paramètres!$A$1:$I$89,7,0))</f>
        <v>0</v>
      </c>
      <c r="DD193" s="16">
        <f>IF(ISNA(VLOOKUP(A193,'Données projet'!$A$139:$I$159,6,0)),0%,VLOOKUP(A193,'Données projet'!$A$139:$I$159,6,0)*VLOOKUP('Données projet'!$B$13,Paramètres!$A$1:$I$89,7,0))</f>
        <v>0</v>
      </c>
      <c r="DE193" s="16">
        <f>IF(ISNA(VLOOKUP(A193,'Données projet'!$A$139:$I$159,7,0)),0%,VLOOKUP(A193,'Données projet'!$A$139:$I$159,7,0))</f>
        <v>0</v>
      </c>
      <c r="DF193" s="21" t="e">
        <f>EXP(-LN(2)/35)*DF192+(1-EXP(-LN(2)/35))/(LN(2)/35)*DB193*DC193*VLOOKUP('Données projet'!$B$13,Paramètres!$A$1:$I$89,3,0)*0.475*44/12</f>
        <v>#N/A</v>
      </c>
      <c r="DG193" s="21" t="e">
        <f>EXP(-LN(2)/25)*DG192+(1-EXP(-LN(2)/25))/(LN(2)/25)*Calculateur!DB193*Calculateur!DD193*VLOOKUP('Données projet'!$B$13,Paramètres!$A$1:$I$89,3,0)*0.475*44/12</f>
        <v>#N/A</v>
      </c>
      <c r="DH193" s="21" t="e">
        <f>EXP(-LN(2)/2)*DH192+(1-EXP(-LN(2)/2))/(LN(2)/2)*DB193*DE193*VLOOKUP('Données projet'!$B$13,Paramètres!$A$1:$I$89,3,0)*0.475*44/12</f>
        <v>#N/A</v>
      </c>
      <c r="DI193" s="22" t="e">
        <f t="shared" si="175"/>
        <v>#N/A</v>
      </c>
      <c r="DJ193" s="75">
        <f>('Scénario référence'!$F$8+'Scénario référence'!$F$9+'Scénario référence'!$B$17+'Scénario référence'!$B$9+'Scénario référence'!$B$10)*70+IF((45+25*(1-EXP(-0.0175*A193)))&lt;70,'Scénario référence'!$B$16*(45+25*(1-EXP(-0.0175*A193))),70*'Scénario référence'!$B$16)+IF((32+38*(1-EXP(-0.0175*A193)))&lt;70,'Scénario référence'!$B$18*(32+38*(1-EXP(-0.0175*A193))),70*'Scénario référence'!$B$18)</f>
        <v>70</v>
      </c>
      <c r="DK193" s="12">
        <f>IF(A193&gt;30,10,('Scénario référence'!$B$16+'Scénario référence'!$B$17+'Scénario référence'!$B$18+'Scénario référence'!$B$9+'Scénario référence'!$B$10)*A193*10/30+('Scénario référence'!$F$8+'Scénario référence'!$F$9)*10)</f>
        <v>10</v>
      </c>
      <c r="DL193" s="12" t="e">
        <f>VLOOKUP(A193,'Données projet'!$A$165:$I$185,2,0)</f>
        <v>#N/A</v>
      </c>
      <c r="DM193" s="12" t="e">
        <f>VLOOKUP(A193,'Données projet'!$A$165:$I$185,9,0)</f>
        <v>#N/A</v>
      </c>
      <c r="DN193" s="12">
        <f t="array" ref="DN193">INDEX(DM:DM,MIN(IF(ISNUMBER(DM193:DM389),ROW(DM193:DM389),"")))</f>
        <v>0</v>
      </c>
      <c r="DO193" s="12">
        <f>IF('Données projet'!$A$166&gt;35,DO192+DN193-DW192,IF(A193&lt;'Données projet'!$A$166,$DL$205^A193,IF(A193='Données projet'!$A$166,'Données projet'!$B$166,DO192+DN193-DW192)))</f>
        <v>268.00000000000017</v>
      </c>
      <c r="DP193" s="17">
        <f>DO193*VLOOKUP('Données projet'!$B$14,Paramètres!$A$1:$I$89,3,0)*VLOOKUP('Données projet'!$B$14,Paramètres!$A$1:$I$89,5,0)</f>
        <v>175.59360000000012</v>
      </c>
      <c r="DQ193" s="13">
        <f t="shared" si="176"/>
        <v>44.340433728638573</v>
      </c>
      <c r="DR193" s="20">
        <f t="shared" si="177"/>
        <v>383.05177541071242</v>
      </c>
      <c r="DS193" s="59">
        <f t="shared" si="125"/>
        <v>676.38510874404574</v>
      </c>
      <c r="DT193" s="59">
        <f ca="1">AVERAGE(OFFSET($DS$3,0,0,'Données projet'!$E$14+1,1))-AVERAGE(OFFSET($H$3,0,0,'Données projet'!$E$14+1,1))</f>
        <v>188.68915783955595</v>
      </c>
      <c r="DU193" s="59">
        <f t="shared" si="152"/>
        <v>240.82467772396944</v>
      </c>
      <c r="DV193" s="15">
        <f>IF(ISNA(VLOOKUP(A193,'Données projet'!$A$165:$I$185,3,0)),0,VLOOKUP(A193,'Données projet'!$A$165:$I$185,3,0))</f>
        <v>0</v>
      </c>
      <c r="DW193" s="15">
        <f>IF(ISNA(VLOOKUP(A193,'Données projet'!$A$165:$I$185,4,0)),0,VLOOKUP(A193,'Données projet'!$A$165:$I$185,4,0))</f>
        <v>0</v>
      </c>
      <c r="DX193" s="16">
        <f>IF(ISNA(VLOOKUP(A193,'Données projet'!$A$165:$I$185,5,0)),0%,VLOOKUP(A193,'Données projet'!$A$165:$I$185,5,0)*VLOOKUP('Données projet'!$B$14,Paramètres!$A$1:$I$89,7,0))</f>
        <v>0</v>
      </c>
      <c r="DY193" s="16">
        <f>IF(ISNA(VLOOKUP(A193,'Données projet'!$A$165:$I$185,6,0)),0%,VLOOKUP(A193,'Données projet'!$A$165:$I$185,6,0)*VLOOKUP('Données projet'!$B$14,Paramètres!$A$1:$I$89,7,0))</f>
        <v>0</v>
      </c>
      <c r="DZ193" s="16">
        <f>IF(ISNA(VLOOKUP(A193,'Données projet'!$A$165:$I$185,7,0)),0%,VLOOKUP(A193,'Données projet'!$A$165:$I$185,7,0))</f>
        <v>0</v>
      </c>
      <c r="EA193" s="21">
        <f>EXP(-LN(2)/35)*EA192+(1-EXP(-LN(2)/35))/(LN(2)/35)*DW193*DX193*VLOOKUP('Données projet'!$B$14,Paramètres!$A$1:$I$89,3,0)*0.475*44/12</f>
        <v>6.5497139929492326E-2</v>
      </c>
      <c r="EB193" s="21">
        <f>EXP(-LN(2)/25)*EB192+(1-EXP(-LN(2)/25))/(LN(2)/25)*Calculateur!DW193*Calculateur!DY193*VLOOKUP('Données projet'!$B$14,Paramètres!$A$1:$I$89,3,0)*0.475*44/12</f>
        <v>9.5182610041714633E-2</v>
      </c>
      <c r="EC193" s="21">
        <f>EXP(-LN(2)/2)*EC192+(1-EXP(-LN(2)/2))/(LN(2)/2)*DW193*DZ193*VLOOKUP('Données projet'!$B$14,Paramètres!$A$1:$I$89,3,0)*0.475*44/12</f>
        <v>1.1577557331572867E-23</v>
      </c>
      <c r="ED193" s="22">
        <f t="shared" si="178"/>
        <v>0.16067974997120696</v>
      </c>
      <c r="EE193" s="75">
        <f>('Scénario référence'!$F$8+'Scénario référence'!$F$9+'Scénario référence'!$B$17+'Scénario référence'!$B$9+'Scénario référence'!$B$10)*70+IF((45+25*(1-EXP(-0.0175*A193)))&lt;70,'Scénario référence'!$B$16*(45+25*(1-EXP(-0.0175*A193))),70*'Scénario référence'!$B$16)+IF((32+38*(1-EXP(-0.0175*A193)))&lt;70,'Scénario référence'!$B$18*(32+38*(1-EXP(-0.0175*A193))),70*'Scénario référence'!$B$18)</f>
        <v>70</v>
      </c>
      <c r="EF193" s="12">
        <f>IF(A193&gt;30,10,('Scénario référence'!$B$16+'Scénario référence'!$B$17+'Scénario référence'!$B$18+'Scénario référence'!$B$9+'Scénario référence'!$B$10)*A193*10/30+('Scénario référence'!$F$8+'Scénario référence'!$F$9)*10)</f>
        <v>10</v>
      </c>
      <c r="EG193" s="12" t="e">
        <f>VLOOKUP(A193,'Données projet'!$A$191:$I$211,2,0)</f>
        <v>#N/A</v>
      </c>
      <c r="EH193" s="12" t="e">
        <f>VLOOKUP(A193,'Données projet'!$A$191:$I$211,9,0)</f>
        <v>#N/A</v>
      </c>
      <c r="EI193" s="12">
        <f t="array" ref="EI193">INDEX(EH:EH,MIN(IF(ISNUMBER(EH193:EH389),ROW(EH193:EH389),"")))</f>
        <v>0</v>
      </c>
      <c r="EJ193" s="12">
        <f>IF('Données projet'!$A$192&gt;35,EJ192+EI193-ER192,IF(A193&lt;'Données projet'!$A$192,$EG$205^A193,IF(A193='Données projet'!$A$192,'Données projet'!$B$192,EJ192+EI193-ER192)))</f>
        <v>275.99999999999972</v>
      </c>
      <c r="EK193" s="17">
        <f>EJ193*VLOOKUP('Données projet'!$B$15,Paramètres!$A$1:$I$89,3,0)*VLOOKUP('Données projet'!$B$15,Paramètres!$A$1:$I$89,5,0)</f>
        <v>223.8911999999998</v>
      </c>
      <c r="EL193" s="13">
        <f t="shared" si="179"/>
        <v>54.95975389514858</v>
      </c>
      <c r="EM193" s="20">
        <f t="shared" si="180"/>
        <v>485.66541136738346</v>
      </c>
      <c r="EN193" s="59">
        <f t="shared" si="128"/>
        <v>778.99874470071677</v>
      </c>
      <c r="EO193" s="59">
        <f ca="1">AVERAGE(OFFSET($EN$3,0,0,'Données projet'!$E$15+1,1))-AVERAGE(OFFSET($H$3,0,0,'Données projet'!$E$15+1,1))</f>
        <v>205.5272583787887</v>
      </c>
      <c r="EP193" s="59">
        <f t="shared" si="154"/>
        <v>180.54762778843178</v>
      </c>
      <c r="EQ193" s="15">
        <f>IF(ISNA(VLOOKUP(A193,'Données projet'!$A$191:$I$211,3,0)),0,VLOOKUP(A193,'Données projet'!$A$191:$I$211,3,0))</f>
        <v>0</v>
      </c>
      <c r="ER193" s="15">
        <f>IF(ISNA(VLOOKUP(A193,'Données projet'!$A$191:$I$211,4,0)),0,VLOOKUP(A193,'Données projet'!$A$191:$I$211,4,0))</f>
        <v>0</v>
      </c>
      <c r="ES193" s="16">
        <f>IF(ISNA(VLOOKUP(A193,'Données projet'!$A$191:$I$211,5,0)),0%,VLOOKUP(A193,'Données projet'!$A$191:$I$211,5,0)*VLOOKUP('Données projet'!$B$15,Paramètres!$A$1:$I$89,7,0))</f>
        <v>0</v>
      </c>
      <c r="ET193" s="16">
        <f>IF(ISNA(VLOOKUP(A193,'Données projet'!$A$191:$I$211,6,0)),0%,VLOOKUP(A193,'Données projet'!$A$191:$I$211,6,0)*VLOOKUP('Données projet'!$B$15,Paramètres!$A$1:$I$89,7,0))</f>
        <v>0</v>
      </c>
      <c r="EU193" s="16">
        <f>IF(ISNA(VLOOKUP(A193,'Données projet'!$A$191:$I$211,7,0)),0%,VLOOKUP(A193,'Données projet'!$A$191:$I$211,7,0))</f>
        <v>0</v>
      </c>
      <c r="EV193" s="21">
        <f>EXP(-LN(2)/35)*EV192+(1-EXP(-LN(2)/35))/(LN(2)/35)*ER193*ES193*VLOOKUP('Données projet'!$B$15,Paramètres!$A$1:$I$89,3,0)*0.475*44/12</f>
        <v>4.2167682468892187E-2</v>
      </c>
      <c r="EW193" s="21">
        <f>EXP(-LN(2)/25)*EW192+(1-EXP(-LN(2)/25))/(LN(2)/25)*Calculateur!ER193*Calculateur!ET193*VLOOKUP('Données projet'!$B$15,Paramètres!$A$1:$I$89,3,0)*0.475*44/12</f>
        <v>6.8724731906433342E-2</v>
      </c>
      <c r="EX193" s="21">
        <f>EXP(-LN(2)/2)*EX192+(1-EXP(-LN(2)/2))/(LN(2)/2)*ER193*EU193*VLOOKUP('Données projet'!$B$15,Paramètres!$A$1:$I$89,3,0)*0.475*44/12</f>
        <v>7.4964769329427228E-24</v>
      </c>
      <c r="EY193" s="22">
        <f t="shared" si="181"/>
        <v>0.11089241437532553</v>
      </c>
      <c r="EZ193" s="75">
        <f>('Scénario référence'!$F$8+'Scénario référence'!$F$9+'Scénario référence'!$B$17+'Scénario référence'!$B$9+'Scénario référence'!$B$10)*70+IF((45+25*(1-EXP(-0.0175*A193)))&lt;70,'Scénario référence'!$B$16*(45+25*(1-EXP(-0.0175*A193))),70*'Scénario référence'!$B$16)+IF((32+38*(1-EXP(-0.0175*A193)))&lt;70,'Scénario référence'!$B$18*(32+38*(1-EXP(-0.0175*A193))),70*'Scénario référence'!$B$18)</f>
        <v>70</v>
      </c>
      <c r="FA193" s="12">
        <f>IF(A193&gt;30,10,('Scénario référence'!$B$16+'Scénario référence'!$B$17+'Scénario référence'!$B$18+'Scénario référence'!$B$9+'Scénario référence'!$B$10)*A193*10/30+('Scénario référence'!$F$8+'Scénario référence'!$F$9)*10)</f>
        <v>10</v>
      </c>
      <c r="FB193" s="12" t="e">
        <f>VLOOKUP(A193,'Données projet'!$A$217:$I$237,2,0)</f>
        <v>#N/A</v>
      </c>
      <c r="FC193" s="12" t="e">
        <f>VLOOKUP(A193,'Données projet'!$A$217:$I$237,9,0)</f>
        <v>#N/A</v>
      </c>
      <c r="FD193" s="12">
        <f t="array" ref="FD193">INDEX(FC:FC,MIN(IF(ISNUMBER(FC193:FC389),ROW(FC193:FC389),"")))</f>
        <v>0</v>
      </c>
      <c r="FE193" s="12">
        <f>IF('Données projet'!$A$218&gt;35,FE192+FD193-FM192,IF(A193&lt;'Données projet'!$A$218,$FB$205^A193,IF(A193='Données projet'!$A$218,'Données projet'!$B$218,FE192+FD193-FM192)))</f>
        <v>418.99999999999983</v>
      </c>
      <c r="FF193" s="17">
        <f>FE193*VLOOKUP('Données projet'!$B$16,Paramètres!$A$1:$I$89,3,0)*VLOOKUP('Données projet'!$B$16,Paramètres!$A$1:$I$89,5,0)</f>
        <v>359.5019999999999</v>
      </c>
      <c r="FG193" s="13">
        <f t="shared" si="182"/>
        <v>83.516011055432813</v>
      </c>
      <c r="FH193" s="20">
        <f t="shared" si="183"/>
        <v>771.58970258821194</v>
      </c>
      <c r="FI193" s="59">
        <f t="shared" si="131"/>
        <v>1064.9230359215453</v>
      </c>
      <c r="FJ193" s="59">
        <f ca="1">AVERAGE(OFFSET($FI$3,0,0,'Données projet'!$E$16+1,1))-AVERAGE(OFFSET($H$3,0,0,'Données projet'!$E$16+1,1))</f>
        <v>383.97627237444709</v>
      </c>
      <c r="FK193" s="59">
        <f t="shared" si="156"/>
        <v>203.35476578922339</v>
      </c>
      <c r="FL193" s="15">
        <f>IF(ISNA(VLOOKUP(A193,'Données projet'!$A$217:$I$237,3,0)),0,VLOOKUP(A193,'Données projet'!$A$217:$I$237,3,0))</f>
        <v>0</v>
      </c>
      <c r="FM193" s="15">
        <f>IF(ISNA(VLOOKUP(A193,'Données projet'!$A$217:$I$237,4,0)),0,VLOOKUP(A193,'Données projet'!$A$217:$I$237,4,0))</f>
        <v>0</v>
      </c>
      <c r="FN193" s="16">
        <f>IF(ISNA(VLOOKUP(A193,'Données projet'!$A$217:$I$237,5,0)),0%,VLOOKUP(A193,'Données projet'!$A$217:$I$237,5,0)*VLOOKUP('Données projet'!$B$16,Paramètres!$A$1:$I$89,7,0))</f>
        <v>0</v>
      </c>
      <c r="FO193" s="16">
        <f>IF(ISNA(VLOOKUP(A193,'Données projet'!$A$217:$I$237,6,0)),0%,VLOOKUP(A193,'Données projet'!$A$217:$I$237,6,0)*VLOOKUP('Données projet'!$B$16,Paramètres!$A$1:$I$89,7,0))</f>
        <v>0</v>
      </c>
      <c r="FP193" s="16">
        <f>IF(ISNA(VLOOKUP(A193,'Données projet'!$A$217:$I$237,7,0)),0%,VLOOKUP(A193,'Données projet'!$A$217:$I$237,7,0))</f>
        <v>0</v>
      </c>
      <c r="FQ193" s="21">
        <f>EXP(-LN(2)/35)*FQ192+(1-EXP(-LN(2)/35))/(LN(2)/35)*FM193*FN193*VLOOKUP('Données projet'!$B$16,Paramètres!$A$1:$I$89,3,0)*0.475*44/12</f>
        <v>0.21671901103746671</v>
      </c>
      <c r="FR193" s="21">
        <f>EXP(-LN(2)/25)*FR192+(1-EXP(-LN(2)/25))/(LN(2)/25)*Calculateur!FM193*Calculateur!FO193*VLOOKUP('Données projet'!$B$16,Paramètres!$A$1:$I$89,3,0)*0.475*44/12</f>
        <v>6.9762706261156548E-2</v>
      </c>
      <c r="FS193" s="21">
        <f>EXP(-LN(2)/2)*FS192+(1-EXP(-LN(2)/2))/(LN(2)/2)*FM193*FP193*VLOOKUP('Données projet'!$B$16,Paramètres!$A$1:$I$89,3,0)*0.475*44/12</f>
        <v>1.376948962600224E-23</v>
      </c>
      <c r="FT193" s="22">
        <f t="shared" si="184"/>
        <v>0.28648171729862326</v>
      </c>
      <c r="FU193" s="75">
        <f>('Scénario référence'!$F$8+'Scénario référence'!$F$9+'Scénario référence'!$B$17+'Scénario référence'!$B$9+'Scénario référence'!$B$10)*70+IF((45+25*(1-EXP(-0.0175*A193)))&lt;70,'Scénario référence'!$B$16*(45+25*(1-EXP(-0.0175*A193))),70*'Scénario référence'!$B$16)+IF((32+38*(1-EXP(-0.0175*A193)))&lt;70,'Scénario référence'!$B$18*(32+38*(1-EXP(-0.0175*A193))),70*'Scénario référence'!$B$18)</f>
        <v>70</v>
      </c>
      <c r="FV193" s="12">
        <f>IF(A193&gt;30,10,('Scénario référence'!$B$16+'Scénario référence'!$B$17+'Scénario référence'!$B$18+'Scénario référence'!$B$9+'Scénario référence'!$B$10)*A193*10/30+('Scénario référence'!$F$8+'Scénario référence'!$F$9)*10)</f>
        <v>10</v>
      </c>
      <c r="FW193" s="12" t="e">
        <f>VLOOKUP(A193,'Données projet'!$A$243:$I$263,2,0)</f>
        <v>#N/A</v>
      </c>
      <c r="FX193" s="12" t="e">
        <f>VLOOKUP(A193,'Données projet'!$A$243:$I$263,9,0)</f>
        <v>#N/A</v>
      </c>
      <c r="FY193" s="12">
        <f t="array" ref="FY193">INDEX(FX:FX,MIN(IF(ISNUMBER(FX193:FX389),ROW(FX193:FX389),"")))</f>
        <v>0</v>
      </c>
      <c r="FZ193" s="12">
        <f>IF('Données projet'!$A$244&gt;35,FZ192+FY193-GH192,IF(A193&lt;'Données projet'!$A$244,$FW$205^A193,IF(A193='Données projet'!$A$244,'Données projet'!$B$244,FZ192+FY193-GH192)))</f>
        <v>4.5474735088646412E-13</v>
      </c>
      <c r="GA193" s="17">
        <f>FZ193*VLOOKUP('Données projet'!$B$17,Paramètres!$A$1:$I$89,3,0)*VLOOKUP('Données projet'!$B$17,Paramètres!$A$1:$I$89,5,0)</f>
        <v>4.8949004849418999E-13</v>
      </c>
      <c r="GB193" s="13">
        <f t="shared" si="185"/>
        <v>6.1123715499968684E-12</v>
      </c>
      <c r="GC193" s="20">
        <f t="shared" si="186"/>
        <v>1.1498242284038591E-11</v>
      </c>
      <c r="GD193" s="59">
        <f t="shared" si="134"/>
        <v>293.3333333333448</v>
      </c>
      <c r="GE193" s="59">
        <f ca="1">AVERAGE(OFFSET($GD$3,0,0,'Données projet'!$E$17+1,1))-AVERAGE(OFFSET($H$3,0,0,'Données projet'!$E$17+1,1))</f>
        <v>286.77702855541287</v>
      </c>
      <c r="GF193" s="59">
        <f t="shared" si="158"/>
        <v>227.12211541860779</v>
      </c>
      <c r="GG193" s="15">
        <f>IF(ISNA(VLOOKUP(A193,'Données projet'!$A$243:$I$263,3,0)),0,VLOOKUP(A193,'Données projet'!$A$243:$I$263,3,0))</f>
        <v>0</v>
      </c>
      <c r="GH193" s="15">
        <f>IF(ISNA(VLOOKUP(A193,'Données projet'!$A$243:$I$263,4,0)),0,VLOOKUP(A193,'Données projet'!$A$243:$I$263,4,0))</f>
        <v>0</v>
      </c>
      <c r="GI193" s="16">
        <f>IF(ISNA(VLOOKUP(A193,'Données projet'!$A$243:$I$263,5,0)),0%,VLOOKUP(A193,'Données projet'!$A$243:$I$263,5,0)*VLOOKUP('Données projet'!$B$17,Paramètres!$A$1:$I$89,7,0))</f>
        <v>0</v>
      </c>
      <c r="GJ193" s="16">
        <f>IF(ISNA(VLOOKUP(A193,'Données projet'!$A$243:$I$263,6,0)),0%,VLOOKUP(A193,'Données projet'!$A$243:$I$263,6,0)*VLOOKUP('Données projet'!$B$17,Paramètres!$A$1:$I$89,7,0))</f>
        <v>0</v>
      </c>
      <c r="GK193" s="16">
        <f>IF(ISNA(VLOOKUP(A193,'Données projet'!$A$243:$I$263,7,0)),0%,VLOOKUP(A193,'Données projet'!$A$243:$I$263,7,0))</f>
        <v>0</v>
      </c>
      <c r="GL193" s="21">
        <f>EXP(-LN(2)/35)*GL192+(1-EXP(-LN(2)/35))/(LN(2)/35)*GH193*GI193*VLOOKUP('Données projet'!$B$17,Paramètres!$A$1:$I$89,3,0)*0.475*44/12</f>
        <v>0</v>
      </c>
      <c r="GM193" s="21">
        <f>EXP(-LN(2)/25)*GM192+(1-EXP(-LN(2)/25))/(LN(2)/25)*Calculateur!GH193*Calculateur!GJ193*VLOOKUP('Données projet'!$B$17,Paramètres!$A$1:$I$89,3,0)*0.475*44/12</f>
        <v>0</v>
      </c>
      <c r="GN193" s="21">
        <f>EXP(-LN(2)/2)*GN192+(1-EXP(-LN(2)/2))/(LN(2)/2)*GH193*GK193*VLOOKUP('Données projet'!$B$17,Paramètres!$A$1:$I$89,3,0)*0.475*44/12</f>
        <v>0</v>
      </c>
      <c r="GO193" s="21">
        <f t="shared" si="187"/>
        <v>0</v>
      </c>
      <c r="GP193" s="75">
        <f>('Scénario référence'!$F$8+'Scénario référence'!$F$9+'Scénario référence'!$B$17+'Scénario référence'!$B$9+'Scénario référence'!$B$10)*70+IF((45+25*(1-EXP(-0.0175*A193)))&lt;70,'Scénario référence'!$B$16*(45+25*(1-EXP(-0.0175*A193))),70*'Scénario référence'!$B$16)+IF((32+38*(1-EXP(-0.0175*A193)))&lt;70,'Scénario référence'!$B$18*(32+38*(1-EXP(-0.0175*A193))),70*'Scénario référence'!$B$18)</f>
        <v>70</v>
      </c>
      <c r="GQ193" s="12">
        <f>IF(A193&gt;30,10,('Scénario référence'!$B$16+'Scénario référence'!$B$17+'Scénario référence'!$B$18+'Scénario référence'!$B$9+'Scénario référence'!$B$10)*A193*10/30+('Scénario référence'!$F$8+'Scénario référence'!$F$9)*10)</f>
        <v>10</v>
      </c>
      <c r="GR193" s="12" t="e">
        <f>VLOOKUP(A193,'Données projet'!$A$269:$I$289,2,0)</f>
        <v>#N/A</v>
      </c>
      <c r="GS193" s="12" t="e">
        <f>VLOOKUP(A193,'Données projet'!$A$269:$I$289,9,0)</f>
        <v>#N/A</v>
      </c>
      <c r="GT193" s="12">
        <f t="array" ref="GT193">INDEX(GS:GS,MIN(IF(ISNUMBER(GS193:GS389),ROW(GS193:GS389),"")))</f>
        <v>0</v>
      </c>
      <c r="GU193" s="12">
        <f>IF('Données projet'!$A$270&gt;35,GU192+GT193-HC192,IF(A193&lt;'Données projet'!$A$270,$GR$205^A193,IF(A193='Données projet'!$A$270,'Données projet'!$B$270,GU192+GT193-HC192)))</f>
        <v>4.5474735088646412E-13</v>
      </c>
      <c r="GV193" s="17">
        <f>GU193*VLOOKUP('Données projet'!$B$18,Paramètres!$A$1:$I$89,3,0)*VLOOKUP('Données projet'!$B$18,Paramètres!$A$1:$I$89,5,0)</f>
        <v>4.8949004849418999E-13</v>
      </c>
      <c r="GW193" s="13">
        <f t="shared" si="188"/>
        <v>6.1123715499968684E-12</v>
      </c>
      <c r="GX193" s="20">
        <f t="shared" si="189"/>
        <v>1.1498242284038591E-11</v>
      </c>
      <c r="GY193" s="59">
        <f t="shared" si="137"/>
        <v>293.3333333333448</v>
      </c>
      <c r="GZ193" s="59">
        <f ca="1">AVERAGE(OFFSET($GY$3,0,0,'Données projet'!$E$18+1,1))-AVERAGE(OFFSET($H$3,0,0,'Données projet'!$E$18+1,1))</f>
        <v>286.77702855541287</v>
      </c>
      <c r="HA193" s="59">
        <f t="shared" si="160"/>
        <v>227.12211541860779</v>
      </c>
      <c r="HB193" s="15">
        <f>IF(ISNA(VLOOKUP(A193,'Données projet'!$A$269:$I$289,3,0)),0,VLOOKUP(A193,'Données projet'!$A$269:$I$289,3,0))</f>
        <v>0</v>
      </c>
      <c r="HC193" s="15">
        <f>IF(ISNA(VLOOKUP(A193,'Données projet'!$A$269:$I$289,4,0)),0,VLOOKUP(A193,'Données projet'!$A$269:$I$289,4,0))</f>
        <v>0</v>
      </c>
      <c r="HD193" s="16">
        <f>IF(ISNA(VLOOKUP(A193,'Données projet'!$A$269:$I$289,5,0)),0%,VLOOKUP(A193,'Données projet'!$A$269:$I$289,5,0)*VLOOKUP('Données projet'!$B$18,Paramètres!$A$1:$I$89,7,0))</f>
        <v>0</v>
      </c>
      <c r="HE193" s="16">
        <f>IF(ISNA(VLOOKUP(A193,'Données projet'!$A$269:$I$289,6,0)),0%,VLOOKUP(A193,'Données projet'!$A$269:$I$289,6,0)*VLOOKUP('Données projet'!$B$18,Paramètres!$A$1:$I$89,7,0))</f>
        <v>0</v>
      </c>
      <c r="HF193" s="16">
        <f>IF(ISNA(VLOOKUP(A193,'Données projet'!$A$269:$I$289,7,0)),0%,VLOOKUP(A193,'Données projet'!$A$269:$I$289,7,0))</f>
        <v>0</v>
      </c>
      <c r="HG193" s="21">
        <f>EXP(-LN(2)/35)*HG192+(1-EXP(-LN(2)/35))/(LN(2)/35)*HC193*HD193*VLOOKUP('Données projet'!$B$18,Paramètres!$A$1:$I$89,3,0)*0.475*44/12</f>
        <v>0</v>
      </c>
      <c r="HH193" s="21">
        <f>EXP(-LN(2)/25)*HH192+(1-EXP(-LN(2)/25))/(LN(2)/25)*Calculateur!HC193*Calculateur!HE193*VLOOKUP('Données projet'!$B$18,Paramètres!$A$1:$I$89,3,0)*0.475*44/12</f>
        <v>0</v>
      </c>
      <c r="HI193" s="21">
        <f>EXP(-LN(2)/2)*HI192+(1-EXP(-LN(2)/2))/(LN(2)/2)*HC193*HF193*VLOOKUP('Données projet'!$B$18,Paramètres!$A$1:$I$89,3,0)*0.475*44/12</f>
        <v>0</v>
      </c>
      <c r="HJ193" s="22">
        <f t="shared" si="190"/>
        <v>0</v>
      </c>
    </row>
    <row r="194" spans="1:218" x14ac:dyDescent="0.25">
      <c r="A194" s="10">
        <f t="shared" si="161"/>
        <v>191</v>
      </c>
      <c r="B194" s="73">
        <f>'Scénario référence'!$B$16*5+'Scénario référence'!$B$17*0+'Scénario référence'!$B$18*5</f>
        <v>0</v>
      </c>
      <c r="C194" s="19">
        <f>Calculateur!C193+'Scénario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169.83719999999968</v>
      </c>
      <c r="D194" s="11">
        <f t="shared" si="140"/>
        <v>43.053559768035143</v>
      </c>
      <c r="E194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94" s="11">
        <f>IF(OR('Scénario référence'!$F$8&gt;0,'Scénario référence'!$F$9&gt;0),('Scénario référence'!$F$8+'Scénario référence'!$F$9)*10,0)</f>
        <v>10</v>
      </c>
      <c r="G194" s="11">
        <f>'Scénario référence'!$B$8*B194*44/12+'Scénario référence'!$B$9*(C194+D194)/0.475*44/12+'Scénario référence'!$B$10*(C194+D194)/0.475*44/12+'Scénario référence'!$F$8*(C194+D194)/0.475*44/12+'Scénario référence'!$F$9*(C194+D194)/0.475*44/12</f>
        <v>1643.3672683848301</v>
      </c>
      <c r="H194" s="67">
        <f t="shared" si="110"/>
        <v>664.11807326266057</v>
      </c>
      <c r="I194" s="70">
        <f>('Scénario référence'!$F$8+'Scénario référence'!$F$9+'Scénario référence'!$B$17+'Scénario référence'!$B$9+'Scénario référence'!$B$10)*70+IF((45+25*(1-EXP(-0.0175*A194)))&lt;70,'Scénario référence'!$B$16*(45+25*(1-EXP(-0.0175*A194))),70*'Scénario référence'!$B$16)+IF((32+38*(1-EXP(-0.0175*A194)))&lt;70,'Scénario référence'!$B$18*(32+38*(1-EXP(-0.0175*A194))),70*'Scénario référence'!$B$18)</f>
        <v>70</v>
      </c>
      <c r="J194" s="13">
        <f>IF(A194&gt;30,10,('Scénario référence'!$B$16+'Scénario référence'!$B$17+'Scénario référence'!$B$18+'Scénario référence'!$B$9+'Scénario référence'!$B$10)*A194*10/30+('Scénario référence'!$F$8+'Scénario référence'!$F$9)*10)</f>
        <v>10</v>
      </c>
      <c r="K194" s="12" t="e">
        <f>VLOOKUP(A194,'Données projet'!$A$35:$I$55,2,0)</f>
        <v>#N/A</v>
      </c>
      <c r="L194" s="12" t="e">
        <f>VLOOKUP(A194,'Données projet'!$A$35:$I$55,9,0)</f>
        <v>#N/A</v>
      </c>
      <c r="M194" s="12">
        <f t="array" ref="M194">INDEX(L:L,MIN(IF(ISNUMBER(L194:L390),ROW(L194:L390),"")))</f>
        <v>0</v>
      </c>
      <c r="N194" s="13">
        <f>IF('Données projet'!$A$36&gt;35,N193+M194-V193,IF(A194&lt;'Données projet'!$A$36,$K$205^A194,IF(A194='Données projet'!$A$36,'Données projet'!$B$36,N193+M194-V193)))</f>
        <v>-2.2737367544323206E-13</v>
      </c>
      <c r="O194" s="13">
        <f>N194*VLOOKUP('Données projet'!$B$9,Paramètres!$A$1:$I$89,3,0)*VLOOKUP('Données projet'!$B$9,Paramètres!$A$1:$I$89,5,0)</f>
        <v>-1.2710188457276673E-13</v>
      </c>
      <c r="P194" s="13" t="e">
        <f t="shared" si="141"/>
        <v>#NUM!</v>
      </c>
      <c r="Q194" s="20" t="e">
        <f t="shared" si="162"/>
        <v>#NUM!</v>
      </c>
      <c r="R194" s="59" t="e">
        <f t="shared" si="109"/>
        <v>#NUM!</v>
      </c>
      <c r="S194" s="59">
        <f ca="1">AVERAGE(OFFSET($R$3,0,0,'Données projet'!$E$9+1,1))-AVERAGE(OFFSET($H$3,0,0,'Données projet'!$E$9+1,1))</f>
        <v>255.5374979188561</v>
      </c>
      <c r="T194" s="59">
        <f t="shared" si="142"/>
        <v>343.10418468620901</v>
      </c>
      <c r="U194" s="15">
        <f>IF(ISNA(VLOOKUP(A194,'Données projet'!$A$35:$I$55,3,0)),0,VLOOKUP(A194,'Données projet'!$A$35:$I$55,3,0))</f>
        <v>0</v>
      </c>
      <c r="V194" s="15">
        <f>IF(ISNA(VLOOKUP(A194,'Données projet'!$A$35:$I$55,4,0)),0,VLOOKUP(A194,'Données projet'!$A$35:$I$55,4,0))</f>
        <v>0</v>
      </c>
      <c r="W194" s="16">
        <f>IF(ISNA(VLOOKUP(A194,'Données projet'!$A$35:$I$55,5,0)),0%,VLOOKUP(A194,'Données projet'!$A$35:$I$55,5,0)*VLOOKUP('Données projet'!$B$9,Paramètres!$A$1:$I$89,7,0))</f>
        <v>0</v>
      </c>
      <c r="X194" s="16">
        <f>IF(ISNA(VLOOKUP(A194,'Données projet'!$A$35:$I$55,6,0)),0%,VLOOKUP(A194,'Données projet'!$A$35:$I$55,6,0)*VLOOKUP('Données projet'!$B$9,Paramètres!$A$1:$I$89,7,0))</f>
        <v>0</v>
      </c>
      <c r="Y194" s="16">
        <f>IF(ISNA(VLOOKUP(A194,'Données projet'!$A$35:$I$55,7,0)),0%,VLOOKUP(A194,'Données projet'!$A$35:$I$55,7,0))</f>
        <v>0</v>
      </c>
      <c r="Z194" s="21">
        <f>EXP(-LN(2)/35)*Z193+(1-EXP(-LN(2)/35))/(LN(2)/35)*V194*W194*VLOOKUP('Données projet'!$B$9,Paramètres!$A$1:$I$89,3,0)*0.475*44/12</f>
        <v>0.1274166669262469</v>
      </c>
      <c r="AA194" s="21">
        <f>EXP(-LN(2)/25)*AA193+(1-EXP(-LN(2)/25))/(LN(2)/25)*Calculateur!V194*Calculateur!X194*VLOOKUP('Données projet'!$B$9,Paramètres!$A$1:$I$89,3,0)*0.475*44/12</f>
        <v>0.18382592762299557</v>
      </c>
      <c r="AB194" s="21">
        <f>EXP(-LN(2)/2)*AB193+(1-EXP(-LN(2)/2))/(LN(2)/2)*V194*Y194*VLOOKUP('Données projet'!$B$9,Paramètres!$A$1:$I$89,3,0)*0.475*44/12</f>
        <v>9.9004069906705584E-25</v>
      </c>
      <c r="AC194" s="22">
        <f t="shared" si="163"/>
        <v>0.31124259454924247</v>
      </c>
      <c r="AD194" s="13">
        <f>('Scénario référence'!$F$8+'Scénario référence'!$F$9+'Scénario référence'!$B$17+'Scénario référence'!$B$9+'Scénario référence'!$B$10)*70+IF((45+25*(1-EXP(-0.0175*A194)))&lt;70,'Scénario référence'!$B$16*(45+25*(1-EXP(-0.0175*A194))),70*'Scénario référence'!$B$16)+IF((32+38*(1-EXP(-0.0175*A194)))&lt;70,'Scénario référence'!$B$18*(32+38*(1-EXP(-0.0175*A194))),70*'Scénario référence'!$B$18)</f>
        <v>70</v>
      </c>
      <c r="AE194" s="13">
        <f>IF(A194&gt;30,10,('Scénario référence'!$B$16+'Scénario référence'!$B$17+'Scénario référence'!$B$18+'Scénario référence'!$B$9+'Scénario référence'!$B$10)*A194*10/30+('Scénario référence'!$F$8+'Scénario référence'!$F$9)*10)</f>
        <v>10</v>
      </c>
      <c r="AF194" s="12" t="e">
        <f>VLOOKUP(A194,'Données projet'!$A$61:$I$81,2,0)</f>
        <v>#N/A</v>
      </c>
      <c r="AG194" s="12" t="e">
        <f>VLOOKUP(A194,'Données projet'!$A$61:$I$81,9,0)</f>
        <v>#N/A</v>
      </c>
      <c r="AH194" s="12">
        <f t="array" ref="AH194">INDEX(AG:AG,MIN(IF(ISNUMBER(AG194:AG390),ROW(AG194:AG390),"")))</f>
        <v>0</v>
      </c>
      <c r="AI194" s="13">
        <f>IF('Données projet'!$A$62&gt;35,AI193+AH194-AQ193,IF(A194&lt;'Données projet'!$A$62,$AF$205^A194,IF(A194='Données projet'!$A$62,'Données projet'!$B$62,AI193+AH194-AQ193)))</f>
        <v>0</v>
      </c>
      <c r="AJ194" s="13">
        <f>AI194*VLOOKUP('Données projet'!$B$10,Paramètres!$A$1:$I$89,3,0)*VLOOKUP('Données projet'!$B$10,Paramètres!$A$1:$I$89,5,0)</f>
        <v>0</v>
      </c>
      <c r="AK194" s="13" t="e">
        <f t="shared" si="164"/>
        <v>#NUM!</v>
      </c>
      <c r="AL194" s="20" t="e">
        <f t="shared" si="165"/>
        <v>#NUM!</v>
      </c>
      <c r="AM194" s="59" t="e">
        <f t="shared" si="113"/>
        <v>#NUM!</v>
      </c>
      <c r="AN194" s="59">
        <f ca="1">AVERAGE(OFFSET($AM$3,0,0,'Données projet'!$E$10+1,1))-AVERAGE(OFFSET($H$3,0,0,'Données projet'!$E$10+1,1))</f>
        <v>261.78489480911571</v>
      </c>
      <c r="AO194" s="59">
        <f t="shared" si="144"/>
        <v>297.50513563712764</v>
      </c>
      <c r="AP194" s="15">
        <f>IF(ISNA(VLOOKUP(A194,'Données projet'!$A$61:$I$81,3,0)),0,VLOOKUP(A194,'Données projet'!$A$61:$I$81,3,0))</f>
        <v>0</v>
      </c>
      <c r="AQ194" s="15">
        <f>IF(ISNA(VLOOKUP(A194,'Données projet'!$A$61:$I$81,4,0)),0,VLOOKUP(A194,'Données projet'!$A$61:$I$81,4,0))</f>
        <v>0</v>
      </c>
      <c r="AR194" s="16">
        <f>IF(ISNA(VLOOKUP(A194,'Données projet'!$A$61:$I$81,5,0)),0%,VLOOKUP(A194,'Données projet'!$A$61:$I$81,5,0)*VLOOKUP('Données projet'!$B$10,Paramètres!$A$1:$I$89,7,0))</f>
        <v>0</v>
      </c>
      <c r="AS194" s="16">
        <f>IF(ISNA(VLOOKUP(A194,'Données projet'!$A$61:$I$81,6,0)),0%,VLOOKUP(A194,'Données projet'!$A$61:$I$81,6,0)*VLOOKUP('Données projet'!$B$10,Paramètres!$A$1:$I$89,7,0))</f>
        <v>0</v>
      </c>
      <c r="AT194" s="16">
        <f>IF(ISNA(VLOOKUP(A194,'Données projet'!$A$61:$I$81,7,0)),0%,VLOOKUP(A194,'Données projet'!$A$61:$I$81,7,0))</f>
        <v>0</v>
      </c>
      <c r="AU194" s="21">
        <f>EXP(-LN(2)/35)*AU193+(1-EXP(-LN(2)/35))/(LN(2)/35)*AQ194*AR194*VLOOKUP('Données projet'!$B$10,Paramètres!$A$1:$I$89,3,0)*0.475*44/12</f>
        <v>0.34406104033224677</v>
      </c>
      <c r="AV194" s="21">
        <f>EXP(-LN(2)/25)*AV193+(1-EXP(-LN(2)/25))/(LN(2)/25)*Calculateur!AQ194*Calculateur!AS194*VLOOKUP('Données projet'!$B$10,Paramètres!$A$1:$I$89,3,0)*0.475*44/12</f>
        <v>0.32099756292672676</v>
      </c>
      <c r="AW194" s="21">
        <f>EXP(-LN(2)/2)*AW193+(1-EXP(-LN(2)/2))/(LN(2)/2)*AQ194*AT194*VLOOKUP('Données projet'!$B$10,Paramètres!$A$1:$I$89,3,0)*0.475*44/12</f>
        <v>1.4272379199775574E-23</v>
      </c>
      <c r="AX194" s="21">
        <f t="shared" si="166"/>
        <v>0.66505860325897359</v>
      </c>
      <c r="AY194" s="74">
        <f>('Scénario référence'!$F$8+'Scénario référence'!$F$9+'Scénario référence'!$B$17+'Scénario référence'!$B$9+'Scénario référence'!$B$10)*70+IF((45+25*(1-EXP(-0.0175*A194)))&lt;70,'Scénario référence'!$B$16*(45+25*(1-EXP(-0.0175*A194))),70*'Scénario référence'!$B$16)+IF((32+38*(1-EXP(-0.0175*A194)))&lt;70,'Scénario référence'!$B$18*(32+38*(1-EXP(-0.0175*A194))),70*'Scénario référence'!$B$18)</f>
        <v>70</v>
      </c>
      <c r="AZ194" s="12">
        <f>IF(A194&gt;30,10,('Scénario référence'!$B$16+'Scénario référence'!$B$17+'Scénario référence'!$B$18+'Scénario référence'!$B$9+'Scénario référence'!$B$10)*A194*10/30+('Scénario référence'!$F$8+'Scénario référence'!$F$9)*10)</f>
        <v>10</v>
      </c>
      <c r="BA194" s="12" t="e">
        <f>VLOOKUP(A194,'Données projet'!$A$87:$I$107,2,0)</f>
        <v>#N/A</v>
      </c>
      <c r="BB194" s="12" t="e">
        <f>VLOOKUP(A194,'Données projet'!$A$87:$I$107,9,0)</f>
        <v>#N/A</v>
      </c>
      <c r="BC194" s="12">
        <f t="array" ref="BC194">INDEX(BB:BB,MIN(IF(ISNUMBER(BB194:BB390),ROW(BB194:BB390),"")))</f>
        <v>0</v>
      </c>
      <c r="BD194" s="12">
        <f>IF('Données projet'!$A$88&gt;35,BD193+BC194-BL193,IF(A194&lt;'Données projet'!$A$88,$BA$205^A194,IF(A194='Données projet'!$A$88,'Données projet'!$B$88,BD193+BC194-BL193)))</f>
        <v>553.99999999999955</v>
      </c>
      <c r="BE194" s="13">
        <f>BD194*VLOOKUP('Données projet'!$B$11,Paramètres!$A$1:$I$89,3,0)*VLOOKUP('Données projet'!$B$11,Paramètres!$A$1:$I$89,5,0)</f>
        <v>331.29199999999975</v>
      </c>
      <c r="BF194" s="13">
        <f t="shared" si="167"/>
        <v>77.698110787752</v>
      </c>
      <c r="BG194" s="20">
        <f t="shared" si="168"/>
        <v>712.32444295533423</v>
      </c>
      <c r="BH194" s="59">
        <f t="shared" si="116"/>
        <v>1005.6577762886675</v>
      </c>
      <c r="BI194" s="59">
        <f ca="1">AVERAGE(OFFSET($BH$3,0,0,'Données projet'!$E$11+1,1))-AVERAGE(OFFSET($H$3,0,0,'Données projet'!$E$11+1,1))</f>
        <v>316.58509520829671</v>
      </c>
      <c r="BJ194" s="59">
        <f t="shared" si="146"/>
        <v>240.71332110643596</v>
      </c>
      <c r="BK194" s="15">
        <f>IF(ISNA(VLOOKUP(A194,'Données projet'!$A$87:$I$107,3,0)),0,VLOOKUP(A194,'Données projet'!$A$87:$I$107,3,0))</f>
        <v>0</v>
      </c>
      <c r="BL194" s="15">
        <f>IF(ISNA(VLOOKUP(A194,'Données projet'!$A$87:$I$107,4,0)),0,VLOOKUP(A194,'Données projet'!$A$87:$I$107,4,0))</f>
        <v>0</v>
      </c>
      <c r="BM194" s="16">
        <f>IF(ISNA(VLOOKUP(A194,'Données projet'!$A$87:$I$107,5,0)),0%,VLOOKUP(A194,'Données projet'!$A$87:$I$107,5,0)*VLOOKUP('Données projet'!$B$11,Paramètres!$A$1:$I$89,7,0))</f>
        <v>0</v>
      </c>
      <c r="BN194" s="16">
        <f>IF(ISNA(VLOOKUP(A194,'Données projet'!$A$87:$I$107,6,0)),0%,VLOOKUP(A194,'Données projet'!$A$87:$I$107,6,0)*VLOOKUP('Données projet'!$B$11,Paramètres!$A$1:$I$89,7,0))</f>
        <v>0</v>
      </c>
      <c r="BO194" s="16">
        <f>IF(ISNA(VLOOKUP(A194,'Données projet'!$A$87:$I$107,7,0)),0%,VLOOKUP(A194,'Données projet'!$A$87:$I$107,7,0))</f>
        <v>0</v>
      </c>
      <c r="BP194" s="21">
        <f>EXP(-LN(2)/35)*BP193+(1-EXP(-LN(2)/35))/(LN(2)/35)*BL194*BM194*VLOOKUP('Données projet'!$B$11,Paramètres!$A$1:$I$89,3,0)*0.475*44/12</f>
        <v>0.10451110097889874</v>
      </c>
      <c r="BQ194" s="21">
        <f>EXP(-LN(2)/25)*BQ193+(1-EXP(-LN(2)/25))/(LN(2)/25)*Calculateur!BL194*Calculateur!BN194*VLOOKUP('Données projet'!$B$11,Paramètres!$A$1:$I$89,3,0)*0.475*44/12</f>
        <v>0.17585183106273661</v>
      </c>
      <c r="BR194" s="21">
        <f>EXP(-LN(2)/2)*BR193+(1-EXP(-LN(2)/2))/(LN(2)/2)*BL194*BO194*VLOOKUP('Données projet'!$B$11,Paramètres!$A$1:$I$89,3,0)*0.475*44/12</f>
        <v>1.283243190605358E-23</v>
      </c>
      <c r="BS194" s="22">
        <f t="shared" si="169"/>
        <v>0.28036293204163532</v>
      </c>
      <c r="BT194" s="75">
        <f>('Scénario référence'!$F$8+'Scénario référence'!$F$9+'Scénario référence'!$B$17+'Scénario référence'!$B$9+'Scénario référence'!$B$10)*70+IF((45+25*(1-EXP(-0.0175*A194)))&lt;70,'Scénario référence'!$B$16*(45+25*(1-EXP(-0.0175*A194))),70*'Scénario référence'!$B$16)+IF((32+38*(1-EXP(-0.0175*A194)))&lt;70,'Scénario référence'!$B$18*(32+38*(1-EXP(-0.0175*A194))),70*'Scénario référence'!$B$18)</f>
        <v>70</v>
      </c>
      <c r="BU194" s="12">
        <f>IF(A194&gt;30,10,('Scénario référence'!$B$16+'Scénario référence'!$B$17+'Scénario référence'!$B$18+'Scénario référence'!$B$9+'Scénario référence'!$B$10)*A194*10/30+('Scénario référence'!$F$8+'Scénario référence'!$F$9)*10)</f>
        <v>10</v>
      </c>
      <c r="BV194" s="12" t="e">
        <f>VLOOKUP(A194,'Données projet'!$A$113:$I$133,2,0)</f>
        <v>#N/A</v>
      </c>
      <c r="BW194" s="12" t="e">
        <f>VLOOKUP(A194,'Données projet'!$A$113:$I$133,9,0)</f>
        <v>#N/A</v>
      </c>
      <c r="BX194" s="12">
        <f t="array" ref="BX194">INDEX(BW:BW,MIN(IF(ISNUMBER(BW194:BW390),ROW(BW194:BW390),"")))</f>
        <v>0</v>
      </c>
      <c r="BY194" s="12">
        <f>IF('Données projet'!$A$114&gt;35,BY193+BX194-CG193,IF(A194&lt;'Données projet'!$A$114,$BV$205^A194,IF(A194='Données projet'!$A$114,'Données projet'!$B$114,BY193+BX194-CG193)))</f>
        <v>333.99999999999977</v>
      </c>
      <c r="BZ194" s="13">
        <f>BY194*VLOOKUP('Données projet'!$B$12,Paramètres!$A$1:$I$89,3,0)*VLOOKUP('Données projet'!$B$12,Paramètres!$A$1:$I$89,5,0)</f>
        <v>191.04799999999986</v>
      </c>
      <c r="CA194" s="13">
        <f t="shared" si="170"/>
        <v>47.771576544305155</v>
      </c>
      <c r="CB194" s="20">
        <f t="shared" si="171"/>
        <v>415.94409581466454</v>
      </c>
      <c r="CC194" s="59">
        <f t="shared" si="119"/>
        <v>709.27742914799785</v>
      </c>
      <c r="CD194" s="59">
        <f ca="1">AVERAGE(OFFSET($CC$3,0,0,'Données projet'!$E$12+1,1))-AVERAGE(OFFSET($H$3,0,0,'Données projet'!$E$12+1,1))</f>
        <v>188.64374818906128</v>
      </c>
      <c r="CE194" s="59">
        <f t="shared" si="148"/>
        <v>211.95157880548652</v>
      </c>
      <c r="CF194" s="15">
        <f>IF(ISNA(VLOOKUP(A194,'Données projet'!$A$113:$I$133,3,0)),0,VLOOKUP(A194,'Données projet'!$A$113:$I$133,3,0))</f>
        <v>0</v>
      </c>
      <c r="CG194" s="15">
        <f>IF(ISNA(VLOOKUP(A194,'Données projet'!$A$113:$I$133,4,0)),0,VLOOKUP(A194,'Données projet'!$A$113:$I$133,4,0))</f>
        <v>0</v>
      </c>
      <c r="CH194" s="16">
        <f>IF(ISNA(VLOOKUP(A194,'Données projet'!$A$113:$I$133,5,0)),0%,VLOOKUP(A194,'Données projet'!$A$113:$I$133,5,0)*VLOOKUP('Données projet'!$B$12,Paramètres!$A$1:$I$89,7,0))</f>
        <v>0</v>
      </c>
      <c r="CI194" s="16">
        <f>IF(ISNA(VLOOKUP(A194,'Données projet'!$A$113:$I$133,6,0)),0%,VLOOKUP(A194,'Données projet'!$A$113:$I$133,6,0)*VLOOKUP('Données projet'!$B$12,Paramètres!$A$1:$I$89,7,0))</f>
        <v>0</v>
      </c>
      <c r="CJ194" s="16">
        <f>IF(ISNA(VLOOKUP(A194,'Données projet'!$A$113:$I$133,7,0)),0%,VLOOKUP(A194,'Données projet'!$A$113:$I$133,7,0))</f>
        <v>0</v>
      </c>
      <c r="CK194" s="21">
        <f>EXP(-LN(2)/35)*CK193+(1-EXP(-LN(2)/35))/(LN(2)/35)*CG194*CH194*VLOOKUP('Données projet'!$B$12,Paramètres!$A$1:$I$89,3,0)*0.475*44/12</f>
        <v>0.10137512795503699</v>
      </c>
      <c r="CL194" s="21">
        <f>EXP(-LN(2)/25)*CL193+(1-EXP(-LN(2)/25))/(LN(2)/25)*Calculateur!CG194*Calculateur!CI194*VLOOKUP('Données projet'!$B$12,Paramètres!$A$1:$I$89,3,0)*0.475*44/12</f>
        <v>0.16551572499168155</v>
      </c>
      <c r="CM194" s="21">
        <f>EXP(-LN(2)/2)*CM193+(1-EXP(-LN(2)/2))/(LN(2)/2)*CG194*CJ194*VLOOKUP('Données projet'!$B$12,Paramètres!$A$1:$I$89,3,0)*0.475*44/12</f>
        <v>1.2427206276629328E-23</v>
      </c>
      <c r="CN194" s="22">
        <f t="shared" si="172"/>
        <v>0.26689085294671855</v>
      </c>
      <c r="CO194" s="75">
        <f>('Scénario référence'!$F$8+'Scénario référence'!$F$9+'Scénario référence'!$B$17+'Scénario référence'!$B$9+'Scénario référence'!$B$10)*70+IF((45+25*(1-EXP(-0.0175*A194)))&lt;70,'Scénario référence'!$B$16*(45+25*(1-EXP(-0.0175*A194))),70*'Scénario référence'!$B$16)+IF((32+38*(1-EXP(-0.0175*A194)))&lt;70,'Scénario référence'!$B$18*(32+38*(1-EXP(-0.0175*A194))),70*'Scénario référence'!$B$18)</f>
        <v>70</v>
      </c>
      <c r="CP194" s="12">
        <f>IF(A194&gt;30,10,('Scénario référence'!$B$16+'Scénario référence'!$B$17+'Scénario référence'!$B$18+'Scénario référence'!$B$9+'Scénario référence'!$B$10)*A194*10/30+('Scénario référence'!$F$8+'Scénario référence'!$F$9)*10)</f>
        <v>10</v>
      </c>
      <c r="CQ194" s="12" t="e">
        <f>VLOOKUP(A194,'Données projet'!$A$139:$I$159,2,0)</f>
        <v>#N/A</v>
      </c>
      <c r="CR194" s="12" t="e">
        <f>VLOOKUP(A194,'Données projet'!$A$139:$I$159,9,0)</f>
        <v>#N/A</v>
      </c>
      <c r="CS194" s="12">
        <f t="array" ref="CS194">INDEX(CR:CR,MIN(IF(ISNUMBER(CR194:CR390),ROW(CR194:CR390),"")))</f>
        <v>0</v>
      </c>
      <c r="CT194" s="12">
        <f>IF('Données projet'!$A$140&gt;35,CT193+CS194-DB193,IF(A194&lt;'Données projet'!$A$140,$CQ$205^A194,IF(A194='Données projet'!$A$140,'Données projet'!$B$140,CT193+CS194-DB193)))</f>
        <v>0</v>
      </c>
      <c r="CU194" s="17" t="e">
        <f>CT194*VLOOKUP('Données projet'!$B$13,Paramètres!$A$1:$I$89,3,0)*VLOOKUP('Données projet'!$B$13,Paramètres!$A$1:$I$89,5,0)</f>
        <v>#N/A</v>
      </c>
      <c r="CV194" s="13" t="e">
        <f t="shared" si="173"/>
        <v>#N/A</v>
      </c>
      <c r="CW194" s="20" t="e">
        <f t="shared" si="174"/>
        <v>#N/A</v>
      </c>
      <c r="CX194" s="59" t="e">
        <f t="shared" si="122"/>
        <v>#N/A</v>
      </c>
      <c r="CY194" s="59" t="e">
        <f ca="1">AVERAGE(OFFSET($CX$3,0,0,'Données projet'!$E$13+1,1))-AVERAGE(OFFSET($H$3,0,0,'Données projet'!$E$13+1,1))</f>
        <v>#N/A</v>
      </c>
      <c r="CZ194" s="59" t="e">
        <f t="shared" si="150"/>
        <v>#N/A</v>
      </c>
      <c r="DA194" s="15">
        <f>IF(ISNA(VLOOKUP(A194,'Données projet'!$A$139:$I$159,3,0)),0,VLOOKUP(A194,'Données projet'!$A$139:$I$159,3,0))</f>
        <v>0</v>
      </c>
      <c r="DB194" s="15">
        <f>IF(ISNA(VLOOKUP(A194,'Données projet'!$A$139:$I$159,4,0)),0,VLOOKUP(A194,'Données projet'!$A$139:$I$159,4,0))</f>
        <v>0</v>
      </c>
      <c r="DC194" s="16">
        <f>IF(ISNA(VLOOKUP(A194,'Données projet'!$A$139:$I$159,5,0)),0%,VLOOKUP(A194,'Données projet'!$A$139:$I$159,5,0)*VLOOKUP('Données projet'!$B$13,Paramètres!$A$1:$I$89,7,0))</f>
        <v>0</v>
      </c>
      <c r="DD194" s="16">
        <f>IF(ISNA(VLOOKUP(A194,'Données projet'!$A$139:$I$159,6,0)),0%,VLOOKUP(A194,'Données projet'!$A$139:$I$159,6,0)*VLOOKUP('Données projet'!$B$13,Paramètres!$A$1:$I$89,7,0))</f>
        <v>0</v>
      </c>
      <c r="DE194" s="16">
        <f>IF(ISNA(VLOOKUP(A194,'Données projet'!$A$139:$I$159,7,0)),0%,VLOOKUP(A194,'Données projet'!$A$139:$I$159,7,0))</f>
        <v>0</v>
      </c>
      <c r="DF194" s="21" t="e">
        <f>EXP(-LN(2)/35)*DF193+(1-EXP(-LN(2)/35))/(LN(2)/35)*DB194*DC194*VLOOKUP('Données projet'!$B$13,Paramètres!$A$1:$I$89,3,0)*0.475*44/12</f>
        <v>#N/A</v>
      </c>
      <c r="DG194" s="21" t="e">
        <f>EXP(-LN(2)/25)*DG193+(1-EXP(-LN(2)/25))/(LN(2)/25)*Calculateur!DB194*Calculateur!DD194*VLOOKUP('Données projet'!$B$13,Paramètres!$A$1:$I$89,3,0)*0.475*44/12</f>
        <v>#N/A</v>
      </c>
      <c r="DH194" s="21" t="e">
        <f>EXP(-LN(2)/2)*DH193+(1-EXP(-LN(2)/2))/(LN(2)/2)*DB194*DE194*VLOOKUP('Données projet'!$B$13,Paramètres!$A$1:$I$89,3,0)*0.475*44/12</f>
        <v>#N/A</v>
      </c>
      <c r="DI194" s="22" t="e">
        <f t="shared" si="175"/>
        <v>#N/A</v>
      </c>
      <c r="DJ194" s="75">
        <f>('Scénario référence'!$F$8+'Scénario référence'!$F$9+'Scénario référence'!$B$17+'Scénario référence'!$B$9+'Scénario référence'!$B$10)*70+IF((45+25*(1-EXP(-0.0175*A194)))&lt;70,'Scénario référence'!$B$16*(45+25*(1-EXP(-0.0175*A194))),70*'Scénario référence'!$B$16)+IF((32+38*(1-EXP(-0.0175*A194)))&lt;70,'Scénario référence'!$B$18*(32+38*(1-EXP(-0.0175*A194))),70*'Scénario référence'!$B$18)</f>
        <v>70</v>
      </c>
      <c r="DK194" s="12">
        <f>IF(A194&gt;30,10,('Scénario référence'!$B$16+'Scénario référence'!$B$17+'Scénario référence'!$B$18+'Scénario référence'!$B$9+'Scénario référence'!$B$10)*A194*10/30+('Scénario référence'!$F$8+'Scénario référence'!$F$9)*10)</f>
        <v>10</v>
      </c>
      <c r="DL194" s="12" t="e">
        <f>VLOOKUP(A194,'Données projet'!$A$165:$I$185,2,0)</f>
        <v>#N/A</v>
      </c>
      <c r="DM194" s="12" t="e">
        <f>VLOOKUP(A194,'Données projet'!$A$165:$I$185,9,0)</f>
        <v>#N/A</v>
      </c>
      <c r="DN194" s="12">
        <f t="array" ref="DN194">INDEX(DM:DM,MIN(IF(ISNUMBER(DM194:DM390),ROW(DM194:DM390),"")))</f>
        <v>0</v>
      </c>
      <c r="DO194" s="12">
        <f>IF('Données projet'!$A$166&gt;35,DO193+DN194-DW193,IF(A194&lt;'Données projet'!$A$166,$DL$205^A194,IF(A194='Données projet'!$A$166,'Données projet'!$B$166,DO193+DN194-DW193)))</f>
        <v>268.00000000000017</v>
      </c>
      <c r="DP194" s="17">
        <f>DO194*VLOOKUP('Données projet'!$B$14,Paramètres!$A$1:$I$89,3,0)*VLOOKUP('Données projet'!$B$14,Paramètres!$A$1:$I$89,5,0)</f>
        <v>175.59360000000012</v>
      </c>
      <c r="DQ194" s="13">
        <f t="shared" si="176"/>
        <v>44.340433728638573</v>
      </c>
      <c r="DR194" s="20">
        <f t="shared" si="177"/>
        <v>383.05177541071242</v>
      </c>
      <c r="DS194" s="59">
        <f t="shared" si="125"/>
        <v>676.38510874404574</v>
      </c>
      <c r="DT194" s="59">
        <f ca="1">AVERAGE(OFFSET($DS$3,0,0,'Données projet'!$E$14+1,1))-AVERAGE(OFFSET($H$3,0,0,'Données projet'!$E$14+1,1))</f>
        <v>188.68915783955595</v>
      </c>
      <c r="DU194" s="59">
        <f t="shared" si="152"/>
        <v>240.82467772396944</v>
      </c>
      <c r="DV194" s="15">
        <f>IF(ISNA(VLOOKUP(A194,'Données projet'!$A$165:$I$185,3,0)),0,VLOOKUP(A194,'Données projet'!$A$165:$I$185,3,0))</f>
        <v>0</v>
      </c>
      <c r="DW194" s="15">
        <f>IF(ISNA(VLOOKUP(A194,'Données projet'!$A$165:$I$185,4,0)),0,VLOOKUP(A194,'Données projet'!$A$165:$I$185,4,0))</f>
        <v>0</v>
      </c>
      <c r="DX194" s="16">
        <f>IF(ISNA(VLOOKUP(A194,'Données projet'!$A$165:$I$185,5,0)),0%,VLOOKUP(A194,'Données projet'!$A$165:$I$185,5,0)*VLOOKUP('Données projet'!$B$14,Paramètres!$A$1:$I$89,7,0))</f>
        <v>0</v>
      </c>
      <c r="DY194" s="16">
        <f>IF(ISNA(VLOOKUP(A194,'Données projet'!$A$165:$I$185,6,0)),0%,VLOOKUP(A194,'Données projet'!$A$165:$I$185,6,0)*VLOOKUP('Données projet'!$B$14,Paramètres!$A$1:$I$89,7,0))</f>
        <v>0</v>
      </c>
      <c r="DZ194" s="16">
        <f>IF(ISNA(VLOOKUP(A194,'Données projet'!$A$165:$I$185,7,0)),0%,VLOOKUP(A194,'Données projet'!$A$165:$I$185,7,0))</f>
        <v>0</v>
      </c>
      <c r="EA194" s="21">
        <f>EXP(-LN(2)/35)*EA193+(1-EXP(-LN(2)/35))/(LN(2)/35)*DW194*DX194*VLOOKUP('Données projet'!$B$14,Paramètres!$A$1:$I$89,3,0)*0.475*44/12</f>
        <v>6.4212780964785665E-2</v>
      </c>
      <c r="EB194" s="21">
        <f>EXP(-LN(2)/25)*EB193+(1-EXP(-LN(2)/25))/(LN(2)/25)*Calculateur!DW194*Calculateur!DY194*VLOOKUP('Données projet'!$B$14,Paramètres!$A$1:$I$89,3,0)*0.475*44/12</f>
        <v>9.2579836564688031E-2</v>
      </c>
      <c r="EC194" s="21">
        <f>EXP(-LN(2)/2)*EC193+(1-EXP(-LN(2)/2))/(LN(2)/2)*DW194*DZ194*VLOOKUP('Données projet'!$B$14,Paramètres!$A$1:$I$89,3,0)*0.475*44/12</f>
        <v>8.1865692987312042E-24</v>
      </c>
      <c r="ED194" s="22">
        <f t="shared" si="178"/>
        <v>0.15679261752947371</v>
      </c>
      <c r="EE194" s="75">
        <f>('Scénario référence'!$F$8+'Scénario référence'!$F$9+'Scénario référence'!$B$17+'Scénario référence'!$B$9+'Scénario référence'!$B$10)*70+IF((45+25*(1-EXP(-0.0175*A194)))&lt;70,'Scénario référence'!$B$16*(45+25*(1-EXP(-0.0175*A194))),70*'Scénario référence'!$B$16)+IF((32+38*(1-EXP(-0.0175*A194)))&lt;70,'Scénario référence'!$B$18*(32+38*(1-EXP(-0.0175*A194))),70*'Scénario référence'!$B$18)</f>
        <v>70</v>
      </c>
      <c r="EF194" s="12">
        <f>IF(A194&gt;30,10,('Scénario référence'!$B$16+'Scénario référence'!$B$17+'Scénario référence'!$B$18+'Scénario référence'!$B$9+'Scénario référence'!$B$10)*A194*10/30+('Scénario référence'!$F$8+'Scénario référence'!$F$9)*10)</f>
        <v>10</v>
      </c>
      <c r="EG194" s="12" t="e">
        <f>VLOOKUP(A194,'Données projet'!$A$191:$I$211,2,0)</f>
        <v>#N/A</v>
      </c>
      <c r="EH194" s="12" t="e">
        <f>VLOOKUP(A194,'Données projet'!$A$191:$I$211,9,0)</f>
        <v>#N/A</v>
      </c>
      <c r="EI194" s="12">
        <f t="array" ref="EI194">INDEX(EH:EH,MIN(IF(ISNUMBER(EH194:EH390),ROW(EH194:EH390),"")))</f>
        <v>0</v>
      </c>
      <c r="EJ194" s="12">
        <f>IF('Données projet'!$A$192&gt;35,EJ193+EI194-ER193,IF(A194&lt;'Données projet'!$A$192,$EG$205^A194,IF(A194='Données projet'!$A$192,'Données projet'!$B$192,EJ193+EI194-ER193)))</f>
        <v>275.99999999999972</v>
      </c>
      <c r="EK194" s="17">
        <f>EJ194*VLOOKUP('Données projet'!$B$15,Paramètres!$A$1:$I$89,3,0)*VLOOKUP('Données projet'!$B$15,Paramètres!$A$1:$I$89,5,0)</f>
        <v>223.8911999999998</v>
      </c>
      <c r="EL194" s="13">
        <f t="shared" si="179"/>
        <v>54.95975389514858</v>
      </c>
      <c r="EM194" s="20">
        <f t="shared" si="180"/>
        <v>485.66541136738346</v>
      </c>
      <c r="EN194" s="59">
        <f t="shared" si="128"/>
        <v>778.99874470071677</v>
      </c>
      <c r="EO194" s="59">
        <f ca="1">AVERAGE(OFFSET($EN$3,0,0,'Données projet'!$E$15+1,1))-AVERAGE(OFFSET($H$3,0,0,'Données projet'!$E$15+1,1))</f>
        <v>205.5272583787887</v>
      </c>
      <c r="EP194" s="59">
        <f t="shared" si="154"/>
        <v>180.54762778843178</v>
      </c>
      <c r="EQ194" s="15">
        <f>IF(ISNA(VLOOKUP(A194,'Données projet'!$A$191:$I$211,3,0)),0,VLOOKUP(A194,'Données projet'!$A$191:$I$211,3,0))</f>
        <v>0</v>
      </c>
      <c r="ER194" s="15">
        <f>IF(ISNA(VLOOKUP(A194,'Données projet'!$A$191:$I$211,4,0)),0,VLOOKUP(A194,'Données projet'!$A$191:$I$211,4,0))</f>
        <v>0</v>
      </c>
      <c r="ES194" s="16">
        <f>IF(ISNA(VLOOKUP(A194,'Données projet'!$A$191:$I$211,5,0)),0%,VLOOKUP(A194,'Données projet'!$A$191:$I$211,5,0)*VLOOKUP('Données projet'!$B$15,Paramètres!$A$1:$I$89,7,0))</f>
        <v>0</v>
      </c>
      <c r="ET194" s="16">
        <f>IF(ISNA(VLOOKUP(A194,'Données projet'!$A$191:$I$211,6,0)),0%,VLOOKUP(A194,'Données projet'!$A$191:$I$211,6,0)*VLOOKUP('Données projet'!$B$15,Paramètres!$A$1:$I$89,7,0))</f>
        <v>0</v>
      </c>
      <c r="EU194" s="16">
        <f>IF(ISNA(VLOOKUP(A194,'Données projet'!$A$191:$I$211,7,0)),0%,VLOOKUP(A194,'Données projet'!$A$191:$I$211,7,0))</f>
        <v>0</v>
      </c>
      <c r="EV194" s="21">
        <f>EXP(-LN(2)/35)*EV193+(1-EXP(-LN(2)/35))/(LN(2)/35)*ER194*ES194*VLOOKUP('Données projet'!$B$15,Paramètres!$A$1:$I$89,3,0)*0.475*44/12</f>
        <v>4.1340799935423903E-2</v>
      </c>
      <c r="EW194" s="21">
        <f>EXP(-LN(2)/25)*EW193+(1-EXP(-LN(2)/25))/(LN(2)/25)*Calculateur!ER194*Calculateur!ET194*VLOOKUP('Données projet'!$B$15,Paramètres!$A$1:$I$89,3,0)*0.475*44/12</f>
        <v>6.6845450498375342E-2</v>
      </c>
      <c r="EX194" s="21">
        <f>EXP(-LN(2)/2)*EX193+(1-EXP(-LN(2)/2))/(LN(2)/2)*ER194*EU194*VLOOKUP('Données projet'!$B$15,Paramètres!$A$1:$I$89,3,0)*0.475*44/12</f>
        <v>5.3008096742923309E-24</v>
      </c>
      <c r="EY194" s="22">
        <f t="shared" si="181"/>
        <v>0.10818625043379924</v>
      </c>
      <c r="EZ194" s="75">
        <f>('Scénario référence'!$F$8+'Scénario référence'!$F$9+'Scénario référence'!$B$17+'Scénario référence'!$B$9+'Scénario référence'!$B$10)*70+IF((45+25*(1-EXP(-0.0175*A194)))&lt;70,'Scénario référence'!$B$16*(45+25*(1-EXP(-0.0175*A194))),70*'Scénario référence'!$B$16)+IF((32+38*(1-EXP(-0.0175*A194)))&lt;70,'Scénario référence'!$B$18*(32+38*(1-EXP(-0.0175*A194))),70*'Scénario référence'!$B$18)</f>
        <v>70</v>
      </c>
      <c r="FA194" s="12">
        <f>IF(A194&gt;30,10,('Scénario référence'!$B$16+'Scénario référence'!$B$17+'Scénario référence'!$B$18+'Scénario référence'!$B$9+'Scénario référence'!$B$10)*A194*10/30+('Scénario référence'!$F$8+'Scénario référence'!$F$9)*10)</f>
        <v>10</v>
      </c>
      <c r="FB194" s="12" t="e">
        <f>VLOOKUP(A194,'Données projet'!$A$217:$I$237,2,0)</f>
        <v>#N/A</v>
      </c>
      <c r="FC194" s="12" t="e">
        <f>VLOOKUP(A194,'Données projet'!$A$217:$I$237,9,0)</f>
        <v>#N/A</v>
      </c>
      <c r="FD194" s="12">
        <f t="array" ref="FD194">INDEX(FC:FC,MIN(IF(ISNUMBER(FC194:FC390),ROW(FC194:FC390),"")))</f>
        <v>0</v>
      </c>
      <c r="FE194" s="12">
        <f>IF('Données projet'!$A$218&gt;35,FE193+FD194-FM193,IF(A194&lt;'Données projet'!$A$218,$FB$205^A194,IF(A194='Données projet'!$A$218,'Données projet'!$B$218,FE193+FD194-FM193)))</f>
        <v>418.99999999999983</v>
      </c>
      <c r="FF194" s="17">
        <f>FE194*VLOOKUP('Données projet'!$B$16,Paramètres!$A$1:$I$89,3,0)*VLOOKUP('Données projet'!$B$16,Paramètres!$A$1:$I$89,5,0)</f>
        <v>359.5019999999999</v>
      </c>
      <c r="FG194" s="13">
        <f t="shared" si="182"/>
        <v>83.516011055432813</v>
      </c>
      <c r="FH194" s="20">
        <f t="shared" si="183"/>
        <v>771.58970258821194</v>
      </c>
      <c r="FI194" s="59">
        <f t="shared" si="131"/>
        <v>1064.9230359215453</v>
      </c>
      <c r="FJ194" s="59">
        <f ca="1">AVERAGE(OFFSET($FI$3,0,0,'Données projet'!$E$16+1,1))-AVERAGE(OFFSET($H$3,0,0,'Données projet'!$E$16+1,1))</f>
        <v>383.97627237444709</v>
      </c>
      <c r="FK194" s="59">
        <f t="shared" si="156"/>
        <v>203.35476578922339</v>
      </c>
      <c r="FL194" s="15">
        <f>IF(ISNA(VLOOKUP(A194,'Données projet'!$A$217:$I$237,3,0)),0,VLOOKUP(A194,'Données projet'!$A$217:$I$237,3,0))</f>
        <v>0</v>
      </c>
      <c r="FM194" s="15">
        <f>IF(ISNA(VLOOKUP(A194,'Données projet'!$A$217:$I$237,4,0)),0,VLOOKUP(A194,'Données projet'!$A$217:$I$237,4,0))</f>
        <v>0</v>
      </c>
      <c r="FN194" s="16">
        <f>IF(ISNA(VLOOKUP(A194,'Données projet'!$A$217:$I$237,5,0)),0%,VLOOKUP(A194,'Données projet'!$A$217:$I$237,5,0)*VLOOKUP('Données projet'!$B$16,Paramètres!$A$1:$I$89,7,0))</f>
        <v>0</v>
      </c>
      <c r="FO194" s="16">
        <f>IF(ISNA(VLOOKUP(A194,'Données projet'!$A$217:$I$237,6,0)),0%,VLOOKUP(A194,'Données projet'!$A$217:$I$237,6,0)*VLOOKUP('Données projet'!$B$16,Paramètres!$A$1:$I$89,7,0))</f>
        <v>0</v>
      </c>
      <c r="FP194" s="16">
        <f>IF(ISNA(VLOOKUP(A194,'Données projet'!$A$217:$I$237,7,0)),0%,VLOOKUP(A194,'Données projet'!$A$217:$I$237,7,0))</f>
        <v>0</v>
      </c>
      <c r="FQ194" s="21">
        <f>EXP(-LN(2)/35)*FQ193+(1-EXP(-LN(2)/35))/(LN(2)/35)*FM194*FN194*VLOOKUP('Données projet'!$B$16,Paramètres!$A$1:$I$89,3,0)*0.475*44/12</f>
        <v>0.21246928341656648</v>
      </c>
      <c r="FR194" s="21">
        <f>EXP(-LN(2)/25)*FR193+(1-EXP(-LN(2)/25))/(LN(2)/25)*Calculateur!FM194*Calculateur!FO194*VLOOKUP('Données projet'!$B$16,Paramètres!$A$1:$I$89,3,0)*0.475*44/12</f>
        <v>6.7855041389783946E-2</v>
      </c>
      <c r="FS194" s="21">
        <f>EXP(-LN(2)/2)*FS193+(1-EXP(-LN(2)/2))/(LN(2)/2)*FM194*FP194*VLOOKUP('Données projet'!$B$16,Paramètres!$A$1:$I$89,3,0)*0.475*44/12</f>
        <v>9.7364994880240022E-24</v>
      </c>
      <c r="FT194" s="22">
        <f t="shared" si="184"/>
        <v>0.28032432480635044</v>
      </c>
      <c r="FU194" s="75">
        <f>('Scénario référence'!$F$8+'Scénario référence'!$F$9+'Scénario référence'!$B$17+'Scénario référence'!$B$9+'Scénario référence'!$B$10)*70+IF((45+25*(1-EXP(-0.0175*A194)))&lt;70,'Scénario référence'!$B$16*(45+25*(1-EXP(-0.0175*A194))),70*'Scénario référence'!$B$16)+IF((32+38*(1-EXP(-0.0175*A194)))&lt;70,'Scénario référence'!$B$18*(32+38*(1-EXP(-0.0175*A194))),70*'Scénario référence'!$B$18)</f>
        <v>70</v>
      </c>
      <c r="FV194" s="12">
        <f>IF(A194&gt;30,10,('Scénario référence'!$B$16+'Scénario référence'!$B$17+'Scénario référence'!$B$18+'Scénario référence'!$B$9+'Scénario référence'!$B$10)*A194*10/30+('Scénario référence'!$F$8+'Scénario référence'!$F$9)*10)</f>
        <v>10</v>
      </c>
      <c r="FW194" s="12" t="e">
        <f>VLOOKUP(A194,'Données projet'!$A$243:$I$263,2,0)</f>
        <v>#N/A</v>
      </c>
      <c r="FX194" s="12" t="e">
        <f>VLOOKUP(A194,'Données projet'!$A$243:$I$263,9,0)</f>
        <v>#N/A</v>
      </c>
      <c r="FY194" s="12">
        <f t="array" ref="FY194">INDEX(FX:FX,MIN(IF(ISNUMBER(FX194:FX390),ROW(FX194:FX390),"")))</f>
        <v>0</v>
      </c>
      <c r="FZ194" s="12">
        <f>IF('Données projet'!$A$244&gt;35,FZ193+FY194-GH193,IF(A194&lt;'Données projet'!$A$244,$FW$205^A194,IF(A194='Données projet'!$A$244,'Données projet'!$B$244,FZ193+FY194-GH193)))</f>
        <v>4.5474735088646412E-13</v>
      </c>
      <c r="GA194" s="17">
        <f>FZ194*VLOOKUP('Données projet'!$B$17,Paramètres!$A$1:$I$89,3,0)*VLOOKUP('Données projet'!$B$17,Paramètres!$A$1:$I$89,5,0)</f>
        <v>4.8949004849418999E-13</v>
      </c>
      <c r="GB194" s="13">
        <f t="shared" si="185"/>
        <v>6.1123715499968684E-12</v>
      </c>
      <c r="GC194" s="20">
        <f t="shared" si="186"/>
        <v>1.1498242284038591E-11</v>
      </c>
      <c r="GD194" s="59">
        <f t="shared" si="134"/>
        <v>293.3333333333448</v>
      </c>
      <c r="GE194" s="59">
        <f ca="1">AVERAGE(OFFSET($GD$3,0,0,'Données projet'!$E$17+1,1))-AVERAGE(OFFSET($H$3,0,0,'Données projet'!$E$17+1,1))</f>
        <v>286.77702855541287</v>
      </c>
      <c r="GF194" s="59">
        <f t="shared" si="158"/>
        <v>227.12211541860779</v>
      </c>
      <c r="GG194" s="15">
        <f>IF(ISNA(VLOOKUP(A194,'Données projet'!$A$243:$I$263,3,0)),0,VLOOKUP(A194,'Données projet'!$A$243:$I$263,3,0))</f>
        <v>0</v>
      </c>
      <c r="GH194" s="15">
        <f>IF(ISNA(VLOOKUP(A194,'Données projet'!$A$243:$I$263,4,0)),0,VLOOKUP(A194,'Données projet'!$A$243:$I$263,4,0))</f>
        <v>0</v>
      </c>
      <c r="GI194" s="16">
        <f>IF(ISNA(VLOOKUP(A194,'Données projet'!$A$243:$I$263,5,0)),0%,VLOOKUP(A194,'Données projet'!$A$243:$I$263,5,0)*VLOOKUP('Données projet'!$B$17,Paramètres!$A$1:$I$89,7,0))</f>
        <v>0</v>
      </c>
      <c r="GJ194" s="16">
        <f>IF(ISNA(VLOOKUP(A194,'Données projet'!$A$243:$I$263,6,0)),0%,VLOOKUP(A194,'Données projet'!$A$243:$I$263,6,0)*VLOOKUP('Données projet'!$B$17,Paramètres!$A$1:$I$89,7,0))</f>
        <v>0</v>
      </c>
      <c r="GK194" s="16">
        <f>IF(ISNA(VLOOKUP(A194,'Données projet'!$A$243:$I$263,7,0)),0%,VLOOKUP(A194,'Données projet'!$A$243:$I$263,7,0))</f>
        <v>0</v>
      </c>
      <c r="GL194" s="21">
        <f>EXP(-LN(2)/35)*GL193+(1-EXP(-LN(2)/35))/(LN(2)/35)*GH194*GI194*VLOOKUP('Données projet'!$B$17,Paramètres!$A$1:$I$89,3,0)*0.475*44/12</f>
        <v>0</v>
      </c>
      <c r="GM194" s="21">
        <f>EXP(-LN(2)/25)*GM193+(1-EXP(-LN(2)/25))/(LN(2)/25)*Calculateur!GH194*Calculateur!GJ194*VLOOKUP('Données projet'!$B$17,Paramètres!$A$1:$I$89,3,0)*0.475*44/12</f>
        <v>0</v>
      </c>
      <c r="GN194" s="21">
        <f>EXP(-LN(2)/2)*GN193+(1-EXP(-LN(2)/2))/(LN(2)/2)*GH194*GK194*VLOOKUP('Données projet'!$B$17,Paramètres!$A$1:$I$89,3,0)*0.475*44/12</f>
        <v>0</v>
      </c>
      <c r="GO194" s="21">
        <f t="shared" si="187"/>
        <v>0</v>
      </c>
      <c r="GP194" s="75">
        <f>('Scénario référence'!$F$8+'Scénario référence'!$F$9+'Scénario référence'!$B$17+'Scénario référence'!$B$9+'Scénario référence'!$B$10)*70+IF((45+25*(1-EXP(-0.0175*A194)))&lt;70,'Scénario référence'!$B$16*(45+25*(1-EXP(-0.0175*A194))),70*'Scénario référence'!$B$16)+IF((32+38*(1-EXP(-0.0175*A194)))&lt;70,'Scénario référence'!$B$18*(32+38*(1-EXP(-0.0175*A194))),70*'Scénario référence'!$B$18)</f>
        <v>70</v>
      </c>
      <c r="GQ194" s="12">
        <f>IF(A194&gt;30,10,('Scénario référence'!$B$16+'Scénario référence'!$B$17+'Scénario référence'!$B$18+'Scénario référence'!$B$9+'Scénario référence'!$B$10)*A194*10/30+('Scénario référence'!$F$8+'Scénario référence'!$F$9)*10)</f>
        <v>10</v>
      </c>
      <c r="GR194" s="12" t="e">
        <f>VLOOKUP(A194,'Données projet'!$A$269:$I$289,2,0)</f>
        <v>#N/A</v>
      </c>
      <c r="GS194" s="12" t="e">
        <f>VLOOKUP(A194,'Données projet'!$A$269:$I$289,9,0)</f>
        <v>#N/A</v>
      </c>
      <c r="GT194" s="12">
        <f t="array" ref="GT194">INDEX(GS:GS,MIN(IF(ISNUMBER(GS194:GS390),ROW(GS194:GS390),"")))</f>
        <v>0</v>
      </c>
      <c r="GU194" s="12">
        <f>IF('Données projet'!$A$270&gt;35,GU193+GT194-HC193,IF(A194&lt;'Données projet'!$A$270,$GR$205^A194,IF(A194='Données projet'!$A$270,'Données projet'!$B$270,GU193+GT194-HC193)))</f>
        <v>4.5474735088646412E-13</v>
      </c>
      <c r="GV194" s="17">
        <f>GU194*VLOOKUP('Données projet'!$B$18,Paramètres!$A$1:$I$89,3,0)*VLOOKUP('Données projet'!$B$18,Paramètres!$A$1:$I$89,5,0)</f>
        <v>4.8949004849418999E-13</v>
      </c>
      <c r="GW194" s="13">
        <f t="shared" si="188"/>
        <v>6.1123715499968684E-12</v>
      </c>
      <c r="GX194" s="20">
        <f t="shared" si="189"/>
        <v>1.1498242284038591E-11</v>
      </c>
      <c r="GY194" s="59">
        <f t="shared" si="137"/>
        <v>293.3333333333448</v>
      </c>
      <c r="GZ194" s="59">
        <f ca="1">AVERAGE(OFFSET($GY$3,0,0,'Données projet'!$E$18+1,1))-AVERAGE(OFFSET($H$3,0,0,'Données projet'!$E$18+1,1))</f>
        <v>286.77702855541287</v>
      </c>
      <c r="HA194" s="59">
        <f t="shared" si="160"/>
        <v>227.12211541860779</v>
      </c>
      <c r="HB194" s="15">
        <f>IF(ISNA(VLOOKUP(A194,'Données projet'!$A$269:$I$289,3,0)),0,VLOOKUP(A194,'Données projet'!$A$269:$I$289,3,0))</f>
        <v>0</v>
      </c>
      <c r="HC194" s="15">
        <f>IF(ISNA(VLOOKUP(A194,'Données projet'!$A$269:$I$289,4,0)),0,VLOOKUP(A194,'Données projet'!$A$269:$I$289,4,0))</f>
        <v>0</v>
      </c>
      <c r="HD194" s="16">
        <f>IF(ISNA(VLOOKUP(A194,'Données projet'!$A$269:$I$289,5,0)),0%,VLOOKUP(A194,'Données projet'!$A$269:$I$289,5,0)*VLOOKUP('Données projet'!$B$18,Paramètres!$A$1:$I$89,7,0))</f>
        <v>0</v>
      </c>
      <c r="HE194" s="16">
        <f>IF(ISNA(VLOOKUP(A194,'Données projet'!$A$269:$I$289,6,0)),0%,VLOOKUP(A194,'Données projet'!$A$269:$I$289,6,0)*VLOOKUP('Données projet'!$B$18,Paramètres!$A$1:$I$89,7,0))</f>
        <v>0</v>
      </c>
      <c r="HF194" s="16">
        <f>IF(ISNA(VLOOKUP(A194,'Données projet'!$A$269:$I$289,7,0)),0%,VLOOKUP(A194,'Données projet'!$A$269:$I$289,7,0))</f>
        <v>0</v>
      </c>
      <c r="HG194" s="21">
        <f>EXP(-LN(2)/35)*HG193+(1-EXP(-LN(2)/35))/(LN(2)/35)*HC194*HD194*VLOOKUP('Données projet'!$B$18,Paramètres!$A$1:$I$89,3,0)*0.475*44/12</f>
        <v>0</v>
      </c>
      <c r="HH194" s="21">
        <f>EXP(-LN(2)/25)*HH193+(1-EXP(-LN(2)/25))/(LN(2)/25)*Calculateur!HC194*Calculateur!HE194*VLOOKUP('Données projet'!$B$18,Paramètres!$A$1:$I$89,3,0)*0.475*44/12</f>
        <v>0</v>
      </c>
      <c r="HI194" s="21">
        <f>EXP(-LN(2)/2)*HI193+(1-EXP(-LN(2)/2))/(LN(2)/2)*HC194*HF194*VLOOKUP('Données projet'!$B$18,Paramètres!$A$1:$I$89,3,0)*0.475*44/12</f>
        <v>0</v>
      </c>
      <c r="HJ194" s="22">
        <f t="shared" si="190"/>
        <v>0</v>
      </c>
    </row>
    <row r="195" spans="1:218" x14ac:dyDescent="0.25">
      <c r="A195" s="10">
        <f t="shared" si="161"/>
        <v>192</v>
      </c>
      <c r="B195" s="73">
        <f>'Scénario référence'!$B$16*5+'Scénario référence'!$B$17*0+'Scénario référence'!$B$18*5</f>
        <v>0</v>
      </c>
      <c r="C195" s="19">
        <f>Calculateur!C194+'Scénario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170.72639999999967</v>
      </c>
      <c r="D195" s="11">
        <f t="shared" si="140"/>
        <v>43.252672626882983</v>
      </c>
      <c r="E195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95" s="11">
        <f>IF(OR('Scénario référence'!$F$8&gt;0,'Scénario référence'!$F$9&gt;0),('Scénario référence'!$F$8+'Scénario référence'!$F$9)*10,0)</f>
        <v>10</v>
      </c>
      <c r="G195" s="11">
        <f>'Scénario référence'!$B$8*B195*44/12+'Scénario référence'!$B$9*(C195+D195)/0.475*44/12+'Scénario référence'!$B$10*(C195+D195)/0.475*44/12+'Scénario référence'!$F$8*(C195+D195)/0.475*44/12+'Scénario référence'!$F$9*(C195+D195)/0.475*44/12</f>
        <v>1651.7682799268139</v>
      </c>
      <c r="H195" s="67">
        <f t="shared" si="110"/>
        <v>666.01355149182064</v>
      </c>
      <c r="I195" s="70">
        <f>('Scénario référence'!$F$8+'Scénario référence'!$F$9+'Scénario référence'!$B$17+'Scénario référence'!$B$9+'Scénario référence'!$B$10)*70+IF((45+25*(1-EXP(-0.0175*A195)))&lt;70,'Scénario référence'!$B$16*(45+25*(1-EXP(-0.0175*A195))),70*'Scénario référence'!$B$16)+IF((32+38*(1-EXP(-0.0175*A195)))&lt;70,'Scénario référence'!$B$18*(32+38*(1-EXP(-0.0175*A195))),70*'Scénario référence'!$B$18)</f>
        <v>70</v>
      </c>
      <c r="J195" s="13">
        <f>IF(A195&gt;30,10,('Scénario référence'!$B$16+'Scénario référence'!$B$17+'Scénario référence'!$B$18+'Scénario référence'!$B$9+'Scénario référence'!$B$10)*A195*10/30+('Scénario référence'!$F$8+'Scénario référence'!$F$9)*10)</f>
        <v>10</v>
      </c>
      <c r="K195" s="12" t="e">
        <f>VLOOKUP(A195,'Données projet'!$A$35:$I$55,2,0)</f>
        <v>#N/A</v>
      </c>
      <c r="L195" s="12" t="e">
        <f>VLOOKUP(A195,'Données projet'!$A$35:$I$55,9,0)</f>
        <v>#N/A</v>
      </c>
      <c r="M195" s="12">
        <f t="array" ref="M195">INDEX(L:L,MIN(IF(ISNUMBER(L195:L391),ROW(L195:L391),"")))</f>
        <v>0</v>
      </c>
      <c r="N195" s="13">
        <f>IF('Données projet'!$A$36&gt;35,N194+M195-V194,IF(A195&lt;'Données projet'!$A$36,$K$205^A195,IF(A195='Données projet'!$A$36,'Données projet'!$B$36,N194+M195-V194)))</f>
        <v>-2.2737367544323206E-13</v>
      </c>
      <c r="O195" s="13">
        <f>N195*VLOOKUP('Données projet'!$B$9,Paramètres!$A$1:$I$89,3,0)*VLOOKUP('Données projet'!$B$9,Paramètres!$A$1:$I$89,5,0)</f>
        <v>-1.2710188457276673E-13</v>
      </c>
      <c r="P195" s="13" t="e">
        <f t="shared" si="141"/>
        <v>#NUM!</v>
      </c>
      <c r="Q195" s="20" t="e">
        <f t="shared" si="162"/>
        <v>#NUM!</v>
      </c>
      <c r="R195" s="59" t="e">
        <f t="shared" ref="R195:R203" si="191">Q195+(I195+J195)*44/12</f>
        <v>#NUM!</v>
      </c>
      <c r="S195" s="59">
        <f ca="1">AVERAGE(OFFSET($R$3,0,0,'Données projet'!$E$9+1,1))-AVERAGE(OFFSET($H$3,0,0,'Données projet'!$E$9+1,1))</f>
        <v>255.5374979188561</v>
      </c>
      <c r="T195" s="59">
        <f t="shared" si="142"/>
        <v>343.10418468620901</v>
      </c>
      <c r="U195" s="15">
        <f>IF(ISNA(VLOOKUP(A195,'Données projet'!$A$35:$I$55,3,0)),0,VLOOKUP(A195,'Données projet'!$A$35:$I$55,3,0))</f>
        <v>0</v>
      </c>
      <c r="V195" s="15">
        <f>IF(ISNA(VLOOKUP(A195,'Données projet'!$A$35:$I$55,4,0)),0,VLOOKUP(A195,'Données projet'!$A$35:$I$55,4,0))</f>
        <v>0</v>
      </c>
      <c r="W195" s="16">
        <f>IF(ISNA(VLOOKUP(A195,'Données projet'!$A$35:$I$55,5,0)),0%,VLOOKUP(A195,'Données projet'!$A$35:$I$55,5,0)*VLOOKUP('Données projet'!$B$9,Paramètres!$A$1:$I$89,7,0))</f>
        <v>0</v>
      </c>
      <c r="X195" s="16">
        <f>IF(ISNA(VLOOKUP(A195,'Données projet'!$A$35:$I$55,6,0)),0%,VLOOKUP(A195,'Données projet'!$A$35:$I$55,6,0)*VLOOKUP('Données projet'!$B$9,Paramètres!$A$1:$I$89,7,0))</f>
        <v>0</v>
      </c>
      <c r="Y195" s="16">
        <f>IF(ISNA(VLOOKUP(A195,'Données projet'!$A$35:$I$55,7,0)),0%,VLOOKUP(A195,'Données projet'!$A$35:$I$55,7,0))</f>
        <v>0</v>
      </c>
      <c r="Z195" s="21">
        <f>EXP(-LN(2)/35)*Z194+(1-EXP(-LN(2)/35))/(LN(2)/35)*V195*W195*VLOOKUP('Données projet'!$B$9,Paramètres!$A$1:$I$89,3,0)*0.475*44/12</f>
        <v>0.12491810380431616</v>
      </c>
      <c r="AA195" s="21">
        <f>EXP(-LN(2)/25)*AA194+(1-EXP(-LN(2)/25))/(LN(2)/25)*Calculateur!V195*Calculateur!X195*VLOOKUP('Données projet'!$B$9,Paramètres!$A$1:$I$89,3,0)*0.475*44/12</f>
        <v>0.17879919796515936</v>
      </c>
      <c r="AB195" s="21">
        <f>EXP(-LN(2)/2)*AB194+(1-EXP(-LN(2)/2))/(LN(2)/2)*V195*Y195*VLOOKUP('Données projet'!$B$9,Paramètres!$A$1:$I$89,3,0)*0.475*44/12</f>
        <v>7.0006449196098521E-25</v>
      </c>
      <c r="AC195" s="22">
        <f t="shared" si="163"/>
        <v>0.30371730176947553</v>
      </c>
      <c r="AD195" s="13">
        <f>('Scénario référence'!$F$8+'Scénario référence'!$F$9+'Scénario référence'!$B$17+'Scénario référence'!$B$9+'Scénario référence'!$B$10)*70+IF((45+25*(1-EXP(-0.0175*A195)))&lt;70,'Scénario référence'!$B$16*(45+25*(1-EXP(-0.0175*A195))),70*'Scénario référence'!$B$16)+IF((32+38*(1-EXP(-0.0175*A195)))&lt;70,'Scénario référence'!$B$18*(32+38*(1-EXP(-0.0175*A195))),70*'Scénario référence'!$B$18)</f>
        <v>70</v>
      </c>
      <c r="AE195" s="13">
        <f>IF(A195&gt;30,10,('Scénario référence'!$B$16+'Scénario référence'!$B$17+'Scénario référence'!$B$18+'Scénario référence'!$B$9+'Scénario référence'!$B$10)*A195*10/30+('Scénario référence'!$F$8+'Scénario référence'!$F$9)*10)</f>
        <v>10</v>
      </c>
      <c r="AF195" s="12" t="e">
        <f>VLOOKUP(A195,'Données projet'!$A$61:$I$81,2,0)</f>
        <v>#N/A</v>
      </c>
      <c r="AG195" s="12" t="e">
        <f>VLOOKUP(A195,'Données projet'!$A$61:$I$81,9,0)</f>
        <v>#N/A</v>
      </c>
      <c r="AH195" s="12">
        <f t="array" ref="AH195">INDEX(AG:AG,MIN(IF(ISNUMBER(AG195:AG391),ROW(AG195:AG391),"")))</f>
        <v>0</v>
      </c>
      <c r="AI195" s="13">
        <f>IF('Données projet'!$A$62&gt;35,AI194+AH195-AQ194,IF(A195&lt;'Données projet'!$A$62,$AF$205^A195,IF(A195='Données projet'!$A$62,'Données projet'!$B$62,AI194+AH195-AQ194)))</f>
        <v>0</v>
      </c>
      <c r="AJ195" s="13">
        <f>AI195*VLOOKUP('Données projet'!$B$10,Paramètres!$A$1:$I$89,3,0)*VLOOKUP('Données projet'!$B$10,Paramètres!$A$1:$I$89,5,0)</f>
        <v>0</v>
      </c>
      <c r="AK195" s="13" t="e">
        <f t="shared" si="164"/>
        <v>#NUM!</v>
      </c>
      <c r="AL195" s="20" t="e">
        <f t="shared" si="165"/>
        <v>#NUM!</v>
      </c>
      <c r="AM195" s="59" t="e">
        <f t="shared" si="113"/>
        <v>#NUM!</v>
      </c>
      <c r="AN195" s="59">
        <f ca="1">AVERAGE(OFFSET($AM$3,0,0,'Données projet'!$E$10+1,1))-AVERAGE(OFFSET($H$3,0,0,'Données projet'!$E$10+1,1))</f>
        <v>261.78489480911571</v>
      </c>
      <c r="AO195" s="59">
        <f t="shared" si="144"/>
        <v>297.50513563712764</v>
      </c>
      <c r="AP195" s="15">
        <f>IF(ISNA(VLOOKUP(A195,'Données projet'!$A$61:$I$81,3,0)),0,VLOOKUP(A195,'Données projet'!$A$61:$I$81,3,0))</f>
        <v>0</v>
      </c>
      <c r="AQ195" s="15">
        <f>IF(ISNA(VLOOKUP(A195,'Données projet'!$A$61:$I$81,4,0)),0,VLOOKUP(A195,'Données projet'!$A$61:$I$81,4,0))</f>
        <v>0</v>
      </c>
      <c r="AR195" s="16">
        <f>IF(ISNA(VLOOKUP(A195,'Données projet'!$A$61:$I$81,5,0)),0%,VLOOKUP(A195,'Données projet'!$A$61:$I$81,5,0)*VLOOKUP('Données projet'!$B$10,Paramètres!$A$1:$I$89,7,0))</f>
        <v>0</v>
      </c>
      <c r="AS195" s="16">
        <f>IF(ISNA(VLOOKUP(A195,'Données projet'!$A$61:$I$81,6,0)),0%,VLOOKUP(A195,'Données projet'!$A$61:$I$81,6,0)*VLOOKUP('Données projet'!$B$10,Paramètres!$A$1:$I$89,7,0))</f>
        <v>0</v>
      </c>
      <c r="AT195" s="16">
        <f>IF(ISNA(VLOOKUP(A195,'Données projet'!$A$61:$I$81,7,0)),0%,VLOOKUP(A195,'Données projet'!$A$61:$I$81,7,0))</f>
        <v>0</v>
      </c>
      <c r="AU195" s="21">
        <f>EXP(-LN(2)/35)*AU194+(1-EXP(-LN(2)/35))/(LN(2)/35)*AQ195*AR195*VLOOKUP('Données projet'!$B$10,Paramètres!$A$1:$I$89,3,0)*0.475*44/12</f>
        <v>0.33731421318784438</v>
      </c>
      <c r="AV195" s="21">
        <f>EXP(-LN(2)/25)*AV194+(1-EXP(-LN(2)/25))/(LN(2)/25)*Calculateur!AQ195*Calculateur!AS195*VLOOKUP('Données projet'!$B$10,Paramètres!$A$1:$I$89,3,0)*0.475*44/12</f>
        <v>0.31221986768796722</v>
      </c>
      <c r="AW195" s="21">
        <f>EXP(-LN(2)/2)*AW194+(1-EXP(-LN(2)/2))/(LN(2)/2)*AQ195*AT195*VLOOKUP('Données projet'!$B$10,Paramètres!$A$1:$I$89,3,0)*0.475*44/12</f>
        <v>1.0092096115827139E-23</v>
      </c>
      <c r="AX195" s="21">
        <f t="shared" si="166"/>
        <v>0.64953408087581166</v>
      </c>
      <c r="AY195" s="74">
        <f>('Scénario référence'!$F$8+'Scénario référence'!$F$9+'Scénario référence'!$B$17+'Scénario référence'!$B$9+'Scénario référence'!$B$10)*70+IF((45+25*(1-EXP(-0.0175*A195)))&lt;70,'Scénario référence'!$B$16*(45+25*(1-EXP(-0.0175*A195))),70*'Scénario référence'!$B$16)+IF((32+38*(1-EXP(-0.0175*A195)))&lt;70,'Scénario référence'!$B$18*(32+38*(1-EXP(-0.0175*A195))),70*'Scénario référence'!$B$18)</f>
        <v>70</v>
      </c>
      <c r="AZ195" s="12">
        <f>IF(A195&gt;30,10,('Scénario référence'!$B$16+'Scénario référence'!$B$17+'Scénario référence'!$B$18+'Scénario référence'!$B$9+'Scénario référence'!$B$10)*A195*10/30+('Scénario référence'!$F$8+'Scénario référence'!$F$9)*10)</f>
        <v>10</v>
      </c>
      <c r="BA195" s="12" t="e">
        <f>VLOOKUP(A195,'Données projet'!$A$87:$I$107,2,0)</f>
        <v>#N/A</v>
      </c>
      <c r="BB195" s="12" t="e">
        <f>VLOOKUP(A195,'Données projet'!$A$87:$I$107,9,0)</f>
        <v>#N/A</v>
      </c>
      <c r="BC195" s="12">
        <f t="array" ref="BC195">INDEX(BB:BB,MIN(IF(ISNUMBER(BB195:BB391),ROW(BB195:BB391),"")))</f>
        <v>0</v>
      </c>
      <c r="BD195" s="12">
        <f>IF('Données projet'!$A$88&gt;35,BD194+BC195-BL194,IF(A195&lt;'Données projet'!$A$88,$BA$205^A195,IF(A195='Données projet'!$A$88,'Données projet'!$B$88,BD194+BC195-BL194)))</f>
        <v>553.99999999999955</v>
      </c>
      <c r="BE195" s="13">
        <f>BD195*VLOOKUP('Données projet'!$B$11,Paramètres!$A$1:$I$89,3,0)*VLOOKUP('Données projet'!$B$11,Paramètres!$A$1:$I$89,5,0)</f>
        <v>331.29199999999975</v>
      </c>
      <c r="BF195" s="13">
        <f t="shared" si="167"/>
        <v>77.698110787752</v>
      </c>
      <c r="BG195" s="20">
        <f t="shared" si="168"/>
        <v>712.32444295533423</v>
      </c>
      <c r="BH195" s="59">
        <f t="shared" si="116"/>
        <v>1005.6577762886675</v>
      </c>
      <c r="BI195" s="59">
        <f ca="1">AVERAGE(OFFSET($BH$3,0,0,'Données projet'!$E$11+1,1))-AVERAGE(OFFSET($H$3,0,0,'Données projet'!$E$11+1,1))</f>
        <v>316.58509520829671</v>
      </c>
      <c r="BJ195" s="59">
        <f t="shared" si="146"/>
        <v>240.71332110643596</v>
      </c>
      <c r="BK195" s="15">
        <f>IF(ISNA(VLOOKUP(A195,'Données projet'!$A$87:$I$107,3,0)),0,VLOOKUP(A195,'Données projet'!$A$87:$I$107,3,0))</f>
        <v>0</v>
      </c>
      <c r="BL195" s="15">
        <f>IF(ISNA(VLOOKUP(A195,'Données projet'!$A$87:$I$107,4,0)),0,VLOOKUP(A195,'Données projet'!$A$87:$I$107,4,0))</f>
        <v>0</v>
      </c>
      <c r="BM195" s="16">
        <f>IF(ISNA(VLOOKUP(A195,'Données projet'!$A$87:$I$107,5,0)),0%,VLOOKUP(A195,'Données projet'!$A$87:$I$107,5,0)*VLOOKUP('Données projet'!$B$11,Paramètres!$A$1:$I$89,7,0))</f>
        <v>0</v>
      </c>
      <c r="BN195" s="16">
        <f>IF(ISNA(VLOOKUP(A195,'Données projet'!$A$87:$I$107,6,0)),0%,VLOOKUP(A195,'Données projet'!$A$87:$I$107,6,0)*VLOOKUP('Données projet'!$B$11,Paramètres!$A$1:$I$89,7,0))</f>
        <v>0</v>
      </c>
      <c r="BO195" s="16">
        <f>IF(ISNA(VLOOKUP(A195,'Données projet'!$A$87:$I$107,7,0)),0%,VLOOKUP(A195,'Données projet'!$A$87:$I$107,7,0))</f>
        <v>0</v>
      </c>
      <c r="BP195" s="21">
        <f>EXP(-LN(2)/35)*BP194+(1-EXP(-LN(2)/35))/(LN(2)/35)*BL195*BM195*VLOOKUP('Données projet'!$B$11,Paramètres!$A$1:$I$89,3,0)*0.475*44/12</f>
        <v>0.10246170203417979</v>
      </c>
      <c r="BQ195" s="21">
        <f>EXP(-LN(2)/25)*BQ194+(1-EXP(-LN(2)/25))/(LN(2)/25)*Calculateur!BL195*Calculateur!BN195*VLOOKUP('Données projet'!$B$11,Paramètres!$A$1:$I$89,3,0)*0.475*44/12</f>
        <v>0.17104315349468019</v>
      </c>
      <c r="BR195" s="21">
        <f>EXP(-LN(2)/2)*BR194+(1-EXP(-LN(2)/2))/(LN(2)/2)*BL195*BO195*VLOOKUP('Données projet'!$B$11,Paramètres!$A$1:$I$89,3,0)*0.475*44/12</f>
        <v>9.0738996198850996E-24</v>
      </c>
      <c r="BS195" s="22">
        <f t="shared" si="169"/>
        <v>0.27350485552885995</v>
      </c>
      <c r="BT195" s="75">
        <f>('Scénario référence'!$F$8+'Scénario référence'!$F$9+'Scénario référence'!$B$17+'Scénario référence'!$B$9+'Scénario référence'!$B$10)*70+IF((45+25*(1-EXP(-0.0175*A195)))&lt;70,'Scénario référence'!$B$16*(45+25*(1-EXP(-0.0175*A195))),70*'Scénario référence'!$B$16)+IF((32+38*(1-EXP(-0.0175*A195)))&lt;70,'Scénario référence'!$B$18*(32+38*(1-EXP(-0.0175*A195))),70*'Scénario référence'!$B$18)</f>
        <v>70</v>
      </c>
      <c r="BU195" s="12">
        <f>IF(A195&gt;30,10,('Scénario référence'!$B$16+'Scénario référence'!$B$17+'Scénario référence'!$B$18+'Scénario référence'!$B$9+'Scénario référence'!$B$10)*A195*10/30+('Scénario référence'!$F$8+'Scénario référence'!$F$9)*10)</f>
        <v>10</v>
      </c>
      <c r="BV195" s="12" t="e">
        <f>VLOOKUP(A195,'Données projet'!$A$113:$I$133,2,0)</f>
        <v>#N/A</v>
      </c>
      <c r="BW195" s="12" t="e">
        <f>VLOOKUP(A195,'Données projet'!$A$113:$I$133,9,0)</f>
        <v>#N/A</v>
      </c>
      <c r="BX195" s="12">
        <f t="array" ref="BX195">INDEX(BW:BW,MIN(IF(ISNUMBER(BW195:BW391),ROW(BW195:BW391),"")))</f>
        <v>0</v>
      </c>
      <c r="BY195" s="12">
        <f>IF('Données projet'!$A$114&gt;35,BY194+BX195-CG194,IF(A195&lt;'Données projet'!$A$114,$BV$205^A195,IF(A195='Données projet'!$A$114,'Données projet'!$B$114,BY194+BX195-CG194)))</f>
        <v>333.99999999999977</v>
      </c>
      <c r="BZ195" s="13">
        <f>BY195*VLOOKUP('Données projet'!$B$12,Paramètres!$A$1:$I$89,3,0)*VLOOKUP('Données projet'!$B$12,Paramètres!$A$1:$I$89,5,0)</f>
        <v>191.04799999999986</v>
      </c>
      <c r="CA195" s="13">
        <f t="shared" si="170"/>
        <v>47.771576544305155</v>
      </c>
      <c r="CB195" s="20">
        <f t="shared" si="171"/>
        <v>415.94409581466454</v>
      </c>
      <c r="CC195" s="59">
        <f t="shared" si="119"/>
        <v>709.27742914799785</v>
      </c>
      <c r="CD195" s="59">
        <f ca="1">AVERAGE(OFFSET($CC$3,0,0,'Données projet'!$E$12+1,1))-AVERAGE(OFFSET($H$3,0,0,'Données projet'!$E$12+1,1))</f>
        <v>188.64374818906128</v>
      </c>
      <c r="CE195" s="59">
        <f t="shared" si="148"/>
        <v>211.95157880548652</v>
      </c>
      <c r="CF195" s="15">
        <f>IF(ISNA(VLOOKUP(A195,'Données projet'!$A$113:$I$133,3,0)),0,VLOOKUP(A195,'Données projet'!$A$113:$I$133,3,0))</f>
        <v>0</v>
      </c>
      <c r="CG195" s="15">
        <f>IF(ISNA(VLOOKUP(A195,'Données projet'!$A$113:$I$133,4,0)),0,VLOOKUP(A195,'Données projet'!$A$113:$I$133,4,0))</f>
        <v>0</v>
      </c>
      <c r="CH195" s="16">
        <f>IF(ISNA(VLOOKUP(A195,'Données projet'!$A$113:$I$133,5,0)),0%,VLOOKUP(A195,'Données projet'!$A$113:$I$133,5,0)*VLOOKUP('Données projet'!$B$12,Paramètres!$A$1:$I$89,7,0))</f>
        <v>0</v>
      </c>
      <c r="CI195" s="16">
        <f>IF(ISNA(VLOOKUP(A195,'Données projet'!$A$113:$I$133,6,0)),0%,VLOOKUP(A195,'Données projet'!$A$113:$I$133,6,0)*VLOOKUP('Données projet'!$B$12,Paramètres!$A$1:$I$89,7,0))</f>
        <v>0</v>
      </c>
      <c r="CJ195" s="16">
        <f>IF(ISNA(VLOOKUP(A195,'Données projet'!$A$113:$I$133,7,0)),0%,VLOOKUP(A195,'Données projet'!$A$113:$I$133,7,0))</f>
        <v>0</v>
      </c>
      <c r="CK195" s="21">
        <f>EXP(-LN(2)/35)*CK194+(1-EXP(-LN(2)/35))/(LN(2)/35)*CG195*CH195*VLOOKUP('Données projet'!$B$12,Paramètres!$A$1:$I$89,3,0)*0.475*44/12</f>
        <v>9.9387223528561289E-2</v>
      </c>
      <c r="CL195" s="21">
        <f>EXP(-LN(2)/25)*CL194+(1-EXP(-LN(2)/25))/(LN(2)/25)*Calculateur!CG195*Calculateur!CI195*VLOOKUP('Données projet'!$B$12,Paramètres!$A$1:$I$89,3,0)*0.475*44/12</f>
        <v>0.16098968878769032</v>
      </c>
      <c r="CM195" s="21">
        <f>EXP(-LN(2)/2)*CM194+(1-EXP(-LN(2)/2))/(LN(2)/2)*CG195*CJ195*VLOOKUP('Données projet'!$B$12,Paramètres!$A$1:$I$89,3,0)*0.475*44/12</f>
        <v>8.7873618294086241E-24</v>
      </c>
      <c r="CN195" s="22">
        <f t="shared" si="172"/>
        <v>0.2603769123162516</v>
      </c>
      <c r="CO195" s="75">
        <f>('Scénario référence'!$F$8+'Scénario référence'!$F$9+'Scénario référence'!$B$17+'Scénario référence'!$B$9+'Scénario référence'!$B$10)*70+IF((45+25*(1-EXP(-0.0175*A195)))&lt;70,'Scénario référence'!$B$16*(45+25*(1-EXP(-0.0175*A195))),70*'Scénario référence'!$B$16)+IF((32+38*(1-EXP(-0.0175*A195)))&lt;70,'Scénario référence'!$B$18*(32+38*(1-EXP(-0.0175*A195))),70*'Scénario référence'!$B$18)</f>
        <v>70</v>
      </c>
      <c r="CP195" s="12">
        <f>IF(A195&gt;30,10,('Scénario référence'!$B$16+'Scénario référence'!$B$17+'Scénario référence'!$B$18+'Scénario référence'!$B$9+'Scénario référence'!$B$10)*A195*10/30+('Scénario référence'!$F$8+'Scénario référence'!$F$9)*10)</f>
        <v>10</v>
      </c>
      <c r="CQ195" s="12" t="e">
        <f>VLOOKUP(A195,'Données projet'!$A$139:$I$159,2,0)</f>
        <v>#N/A</v>
      </c>
      <c r="CR195" s="12" t="e">
        <f>VLOOKUP(A195,'Données projet'!$A$139:$I$159,9,0)</f>
        <v>#N/A</v>
      </c>
      <c r="CS195" s="12">
        <f t="array" ref="CS195">INDEX(CR:CR,MIN(IF(ISNUMBER(CR195:CR391),ROW(CR195:CR391),"")))</f>
        <v>0</v>
      </c>
      <c r="CT195" s="12">
        <f>IF('Données projet'!$A$140&gt;35,CT194+CS195-DB194,IF(A195&lt;'Données projet'!$A$140,$CQ$205^A195,IF(A195='Données projet'!$A$140,'Données projet'!$B$140,CT194+CS195-DB194)))</f>
        <v>0</v>
      </c>
      <c r="CU195" s="17" t="e">
        <f>CT195*VLOOKUP('Données projet'!$B$13,Paramètres!$A$1:$I$89,3,0)*VLOOKUP('Données projet'!$B$13,Paramètres!$A$1:$I$89,5,0)</f>
        <v>#N/A</v>
      </c>
      <c r="CV195" s="13" t="e">
        <f t="shared" si="173"/>
        <v>#N/A</v>
      </c>
      <c r="CW195" s="20" t="e">
        <f t="shared" si="174"/>
        <v>#N/A</v>
      </c>
      <c r="CX195" s="59" t="e">
        <f t="shared" si="122"/>
        <v>#N/A</v>
      </c>
      <c r="CY195" s="59" t="e">
        <f ca="1">AVERAGE(OFFSET($CX$3,0,0,'Données projet'!$E$13+1,1))-AVERAGE(OFFSET($H$3,0,0,'Données projet'!$E$13+1,1))</f>
        <v>#N/A</v>
      </c>
      <c r="CZ195" s="59" t="e">
        <f t="shared" si="150"/>
        <v>#N/A</v>
      </c>
      <c r="DA195" s="15">
        <f>IF(ISNA(VLOOKUP(A195,'Données projet'!$A$139:$I$159,3,0)),0,VLOOKUP(A195,'Données projet'!$A$139:$I$159,3,0))</f>
        <v>0</v>
      </c>
      <c r="DB195" s="15">
        <f>IF(ISNA(VLOOKUP(A195,'Données projet'!$A$139:$I$159,4,0)),0,VLOOKUP(A195,'Données projet'!$A$139:$I$159,4,0))</f>
        <v>0</v>
      </c>
      <c r="DC195" s="16">
        <f>IF(ISNA(VLOOKUP(A195,'Données projet'!$A$139:$I$159,5,0)),0%,VLOOKUP(A195,'Données projet'!$A$139:$I$159,5,0)*VLOOKUP('Données projet'!$B$13,Paramètres!$A$1:$I$89,7,0))</f>
        <v>0</v>
      </c>
      <c r="DD195" s="16">
        <f>IF(ISNA(VLOOKUP(A195,'Données projet'!$A$139:$I$159,6,0)),0%,VLOOKUP(A195,'Données projet'!$A$139:$I$159,6,0)*VLOOKUP('Données projet'!$B$13,Paramètres!$A$1:$I$89,7,0))</f>
        <v>0</v>
      </c>
      <c r="DE195" s="16">
        <f>IF(ISNA(VLOOKUP(A195,'Données projet'!$A$139:$I$159,7,0)),0%,VLOOKUP(A195,'Données projet'!$A$139:$I$159,7,0))</f>
        <v>0</v>
      </c>
      <c r="DF195" s="21" t="e">
        <f>EXP(-LN(2)/35)*DF194+(1-EXP(-LN(2)/35))/(LN(2)/35)*DB195*DC195*VLOOKUP('Données projet'!$B$13,Paramètres!$A$1:$I$89,3,0)*0.475*44/12</f>
        <v>#N/A</v>
      </c>
      <c r="DG195" s="21" t="e">
        <f>EXP(-LN(2)/25)*DG194+(1-EXP(-LN(2)/25))/(LN(2)/25)*Calculateur!DB195*Calculateur!DD195*VLOOKUP('Données projet'!$B$13,Paramètres!$A$1:$I$89,3,0)*0.475*44/12</f>
        <v>#N/A</v>
      </c>
      <c r="DH195" s="21" t="e">
        <f>EXP(-LN(2)/2)*DH194+(1-EXP(-LN(2)/2))/(LN(2)/2)*DB195*DE195*VLOOKUP('Données projet'!$B$13,Paramètres!$A$1:$I$89,3,0)*0.475*44/12</f>
        <v>#N/A</v>
      </c>
      <c r="DI195" s="22" t="e">
        <f t="shared" si="175"/>
        <v>#N/A</v>
      </c>
      <c r="DJ195" s="75">
        <f>('Scénario référence'!$F$8+'Scénario référence'!$F$9+'Scénario référence'!$B$17+'Scénario référence'!$B$9+'Scénario référence'!$B$10)*70+IF((45+25*(1-EXP(-0.0175*A195)))&lt;70,'Scénario référence'!$B$16*(45+25*(1-EXP(-0.0175*A195))),70*'Scénario référence'!$B$16)+IF((32+38*(1-EXP(-0.0175*A195)))&lt;70,'Scénario référence'!$B$18*(32+38*(1-EXP(-0.0175*A195))),70*'Scénario référence'!$B$18)</f>
        <v>70</v>
      </c>
      <c r="DK195" s="12">
        <f>IF(A195&gt;30,10,('Scénario référence'!$B$16+'Scénario référence'!$B$17+'Scénario référence'!$B$18+'Scénario référence'!$B$9+'Scénario référence'!$B$10)*A195*10/30+('Scénario référence'!$F$8+'Scénario référence'!$F$9)*10)</f>
        <v>10</v>
      </c>
      <c r="DL195" s="12" t="e">
        <f>VLOOKUP(A195,'Données projet'!$A$165:$I$185,2,0)</f>
        <v>#N/A</v>
      </c>
      <c r="DM195" s="12" t="e">
        <f>VLOOKUP(A195,'Données projet'!$A$165:$I$185,9,0)</f>
        <v>#N/A</v>
      </c>
      <c r="DN195" s="12">
        <f t="array" ref="DN195">INDEX(DM:DM,MIN(IF(ISNUMBER(DM195:DM391),ROW(DM195:DM391),"")))</f>
        <v>0</v>
      </c>
      <c r="DO195" s="12">
        <f>IF('Données projet'!$A$166&gt;35,DO194+DN195-DW194,IF(A195&lt;'Données projet'!$A$166,$DL$205^A195,IF(A195='Données projet'!$A$166,'Données projet'!$B$166,DO194+DN195-DW194)))</f>
        <v>268.00000000000017</v>
      </c>
      <c r="DP195" s="17">
        <f>DO195*VLOOKUP('Données projet'!$B$14,Paramètres!$A$1:$I$89,3,0)*VLOOKUP('Données projet'!$B$14,Paramètres!$A$1:$I$89,5,0)</f>
        <v>175.59360000000012</v>
      </c>
      <c r="DQ195" s="13">
        <f t="shared" si="176"/>
        <v>44.340433728638573</v>
      </c>
      <c r="DR195" s="20">
        <f t="shared" si="177"/>
        <v>383.05177541071242</v>
      </c>
      <c r="DS195" s="59">
        <f t="shared" si="125"/>
        <v>676.38510874404574</v>
      </c>
      <c r="DT195" s="59">
        <f ca="1">AVERAGE(OFFSET($DS$3,0,0,'Données projet'!$E$14+1,1))-AVERAGE(OFFSET($H$3,0,0,'Données projet'!$E$14+1,1))</f>
        <v>188.68915783955595</v>
      </c>
      <c r="DU195" s="59">
        <f t="shared" si="152"/>
        <v>240.82467772396944</v>
      </c>
      <c r="DV195" s="15">
        <f>IF(ISNA(VLOOKUP(A195,'Données projet'!$A$165:$I$185,3,0)),0,VLOOKUP(A195,'Données projet'!$A$165:$I$185,3,0))</f>
        <v>0</v>
      </c>
      <c r="DW195" s="15">
        <f>IF(ISNA(VLOOKUP(A195,'Données projet'!$A$165:$I$185,4,0)),0,VLOOKUP(A195,'Données projet'!$A$165:$I$185,4,0))</f>
        <v>0</v>
      </c>
      <c r="DX195" s="16">
        <f>IF(ISNA(VLOOKUP(A195,'Données projet'!$A$165:$I$185,5,0)),0%,VLOOKUP(A195,'Données projet'!$A$165:$I$185,5,0)*VLOOKUP('Données projet'!$B$14,Paramètres!$A$1:$I$89,7,0))</f>
        <v>0</v>
      </c>
      <c r="DY195" s="16">
        <f>IF(ISNA(VLOOKUP(A195,'Données projet'!$A$165:$I$185,6,0)),0%,VLOOKUP(A195,'Données projet'!$A$165:$I$185,6,0)*VLOOKUP('Données projet'!$B$14,Paramètres!$A$1:$I$89,7,0))</f>
        <v>0</v>
      </c>
      <c r="DZ195" s="16">
        <f>IF(ISNA(VLOOKUP(A195,'Données projet'!$A$165:$I$185,7,0)),0%,VLOOKUP(A195,'Données projet'!$A$165:$I$185,7,0))</f>
        <v>0</v>
      </c>
      <c r="EA195" s="21">
        <f>EXP(-LN(2)/35)*EA194+(1-EXP(-LN(2)/35))/(LN(2)/35)*DW195*DX195*VLOOKUP('Données projet'!$B$14,Paramètres!$A$1:$I$89,3,0)*0.475*44/12</f>
        <v>6.2953607495995295E-2</v>
      </c>
      <c r="EB195" s="21">
        <f>EXP(-LN(2)/25)*EB194+(1-EXP(-LN(2)/25))/(LN(2)/25)*Calculateur!DW195*Calculateur!DY195*VLOOKUP('Données projet'!$B$14,Paramètres!$A$1:$I$89,3,0)*0.475*44/12</f>
        <v>9.0048236065264631E-2</v>
      </c>
      <c r="EC195" s="21">
        <f>EXP(-LN(2)/2)*EC194+(1-EXP(-LN(2)/2))/(LN(2)/2)*DW195*DZ195*VLOOKUP('Données projet'!$B$14,Paramètres!$A$1:$I$89,3,0)*0.475*44/12</f>
        <v>5.7887786657864334E-24</v>
      </c>
      <c r="ED195" s="22">
        <f t="shared" si="178"/>
        <v>0.15300184356125993</v>
      </c>
      <c r="EE195" s="75">
        <f>('Scénario référence'!$F$8+'Scénario référence'!$F$9+'Scénario référence'!$B$17+'Scénario référence'!$B$9+'Scénario référence'!$B$10)*70+IF((45+25*(1-EXP(-0.0175*A195)))&lt;70,'Scénario référence'!$B$16*(45+25*(1-EXP(-0.0175*A195))),70*'Scénario référence'!$B$16)+IF((32+38*(1-EXP(-0.0175*A195)))&lt;70,'Scénario référence'!$B$18*(32+38*(1-EXP(-0.0175*A195))),70*'Scénario référence'!$B$18)</f>
        <v>70</v>
      </c>
      <c r="EF195" s="12">
        <f>IF(A195&gt;30,10,('Scénario référence'!$B$16+'Scénario référence'!$B$17+'Scénario référence'!$B$18+'Scénario référence'!$B$9+'Scénario référence'!$B$10)*A195*10/30+('Scénario référence'!$F$8+'Scénario référence'!$F$9)*10)</f>
        <v>10</v>
      </c>
      <c r="EG195" s="12" t="e">
        <f>VLOOKUP(A195,'Données projet'!$A$191:$I$211,2,0)</f>
        <v>#N/A</v>
      </c>
      <c r="EH195" s="12" t="e">
        <f>VLOOKUP(A195,'Données projet'!$A$191:$I$211,9,0)</f>
        <v>#N/A</v>
      </c>
      <c r="EI195" s="12">
        <f t="array" ref="EI195">INDEX(EH:EH,MIN(IF(ISNUMBER(EH195:EH391),ROW(EH195:EH391),"")))</f>
        <v>0</v>
      </c>
      <c r="EJ195" s="12">
        <f>IF('Données projet'!$A$192&gt;35,EJ194+EI195-ER194,IF(A195&lt;'Données projet'!$A$192,$EG$205^A195,IF(A195='Données projet'!$A$192,'Données projet'!$B$192,EJ194+EI195-ER194)))</f>
        <v>275.99999999999972</v>
      </c>
      <c r="EK195" s="17">
        <f>EJ195*VLOOKUP('Données projet'!$B$15,Paramètres!$A$1:$I$89,3,0)*VLOOKUP('Données projet'!$B$15,Paramètres!$A$1:$I$89,5,0)</f>
        <v>223.8911999999998</v>
      </c>
      <c r="EL195" s="13">
        <f t="shared" si="179"/>
        <v>54.95975389514858</v>
      </c>
      <c r="EM195" s="20">
        <f t="shared" si="180"/>
        <v>485.66541136738346</v>
      </c>
      <c r="EN195" s="59">
        <f t="shared" si="128"/>
        <v>778.99874470071677</v>
      </c>
      <c r="EO195" s="59">
        <f ca="1">AVERAGE(OFFSET($EN$3,0,0,'Données projet'!$E$15+1,1))-AVERAGE(OFFSET($H$3,0,0,'Données projet'!$E$15+1,1))</f>
        <v>205.5272583787887</v>
      </c>
      <c r="EP195" s="59">
        <f t="shared" si="154"/>
        <v>180.54762778843178</v>
      </c>
      <c r="EQ195" s="15">
        <f>IF(ISNA(VLOOKUP(A195,'Données projet'!$A$191:$I$211,3,0)),0,VLOOKUP(A195,'Données projet'!$A$191:$I$211,3,0))</f>
        <v>0</v>
      </c>
      <c r="ER195" s="15">
        <f>IF(ISNA(VLOOKUP(A195,'Données projet'!$A$191:$I$211,4,0)),0,VLOOKUP(A195,'Données projet'!$A$191:$I$211,4,0))</f>
        <v>0</v>
      </c>
      <c r="ES195" s="16">
        <f>IF(ISNA(VLOOKUP(A195,'Données projet'!$A$191:$I$211,5,0)),0%,VLOOKUP(A195,'Données projet'!$A$191:$I$211,5,0)*VLOOKUP('Données projet'!$B$15,Paramètres!$A$1:$I$89,7,0))</f>
        <v>0</v>
      </c>
      <c r="ET195" s="16">
        <f>IF(ISNA(VLOOKUP(A195,'Données projet'!$A$191:$I$211,6,0)),0%,VLOOKUP(A195,'Données projet'!$A$191:$I$211,6,0)*VLOOKUP('Données projet'!$B$15,Paramètres!$A$1:$I$89,7,0))</f>
        <v>0</v>
      </c>
      <c r="EU195" s="16">
        <f>IF(ISNA(VLOOKUP(A195,'Données projet'!$A$191:$I$211,7,0)),0%,VLOOKUP(A195,'Données projet'!$A$191:$I$211,7,0))</f>
        <v>0</v>
      </c>
      <c r="EV195" s="21">
        <f>EXP(-LN(2)/35)*EV194+(1-EXP(-LN(2)/35))/(LN(2)/35)*ER195*ES195*VLOOKUP('Données projet'!$B$15,Paramètres!$A$1:$I$89,3,0)*0.475*44/12</f>
        <v>4.0530132064088384E-2</v>
      </c>
      <c r="EW195" s="21">
        <f>EXP(-LN(2)/25)*EW194+(1-EXP(-LN(2)/25))/(LN(2)/25)*Calculateur!ER195*Calculateur!ET195*VLOOKUP('Données projet'!$B$15,Paramètres!$A$1:$I$89,3,0)*0.475*44/12</f>
        <v>6.5017558139247797E-2</v>
      </c>
      <c r="EX195" s="21">
        <f>EXP(-LN(2)/2)*EX194+(1-EXP(-LN(2)/2))/(LN(2)/2)*ER195*EU195*VLOOKUP('Données projet'!$B$15,Paramètres!$A$1:$I$89,3,0)*0.475*44/12</f>
        <v>3.7482384664713614E-24</v>
      </c>
      <c r="EY195" s="22">
        <f t="shared" si="181"/>
        <v>0.10554769020333618</v>
      </c>
      <c r="EZ195" s="75">
        <f>('Scénario référence'!$F$8+'Scénario référence'!$F$9+'Scénario référence'!$B$17+'Scénario référence'!$B$9+'Scénario référence'!$B$10)*70+IF((45+25*(1-EXP(-0.0175*A195)))&lt;70,'Scénario référence'!$B$16*(45+25*(1-EXP(-0.0175*A195))),70*'Scénario référence'!$B$16)+IF((32+38*(1-EXP(-0.0175*A195)))&lt;70,'Scénario référence'!$B$18*(32+38*(1-EXP(-0.0175*A195))),70*'Scénario référence'!$B$18)</f>
        <v>70</v>
      </c>
      <c r="FA195" s="12">
        <f>IF(A195&gt;30,10,('Scénario référence'!$B$16+'Scénario référence'!$B$17+'Scénario référence'!$B$18+'Scénario référence'!$B$9+'Scénario référence'!$B$10)*A195*10/30+('Scénario référence'!$F$8+'Scénario référence'!$F$9)*10)</f>
        <v>10</v>
      </c>
      <c r="FB195" s="12" t="e">
        <f>VLOOKUP(A195,'Données projet'!$A$217:$I$237,2,0)</f>
        <v>#N/A</v>
      </c>
      <c r="FC195" s="12" t="e">
        <f>VLOOKUP(A195,'Données projet'!$A$217:$I$237,9,0)</f>
        <v>#N/A</v>
      </c>
      <c r="FD195" s="12">
        <f t="array" ref="FD195">INDEX(FC:FC,MIN(IF(ISNUMBER(FC195:FC391),ROW(FC195:FC391),"")))</f>
        <v>0</v>
      </c>
      <c r="FE195" s="12">
        <f>IF('Données projet'!$A$218&gt;35,FE194+FD195-FM194,IF(A195&lt;'Données projet'!$A$218,$FB$205^A195,IF(A195='Données projet'!$A$218,'Données projet'!$B$218,FE194+FD195-FM194)))</f>
        <v>418.99999999999983</v>
      </c>
      <c r="FF195" s="17">
        <f>FE195*VLOOKUP('Données projet'!$B$16,Paramètres!$A$1:$I$89,3,0)*VLOOKUP('Données projet'!$B$16,Paramètres!$A$1:$I$89,5,0)</f>
        <v>359.5019999999999</v>
      </c>
      <c r="FG195" s="13">
        <f t="shared" si="182"/>
        <v>83.516011055432813</v>
      </c>
      <c r="FH195" s="20">
        <f t="shared" si="183"/>
        <v>771.58970258821194</v>
      </c>
      <c r="FI195" s="59">
        <f t="shared" si="131"/>
        <v>1064.9230359215453</v>
      </c>
      <c r="FJ195" s="59">
        <f ca="1">AVERAGE(OFFSET($FI$3,0,0,'Données projet'!$E$16+1,1))-AVERAGE(OFFSET($H$3,0,0,'Données projet'!$E$16+1,1))</f>
        <v>383.97627237444709</v>
      </c>
      <c r="FK195" s="59">
        <f t="shared" si="156"/>
        <v>203.35476578922339</v>
      </c>
      <c r="FL195" s="15">
        <f>IF(ISNA(VLOOKUP(A195,'Données projet'!$A$217:$I$237,3,0)),0,VLOOKUP(A195,'Données projet'!$A$217:$I$237,3,0))</f>
        <v>0</v>
      </c>
      <c r="FM195" s="15">
        <f>IF(ISNA(VLOOKUP(A195,'Données projet'!$A$217:$I$237,4,0)),0,VLOOKUP(A195,'Données projet'!$A$217:$I$237,4,0))</f>
        <v>0</v>
      </c>
      <c r="FN195" s="16">
        <f>IF(ISNA(VLOOKUP(A195,'Données projet'!$A$217:$I$237,5,0)),0%,VLOOKUP(A195,'Données projet'!$A$217:$I$237,5,0)*VLOOKUP('Données projet'!$B$16,Paramètres!$A$1:$I$89,7,0))</f>
        <v>0</v>
      </c>
      <c r="FO195" s="16">
        <f>IF(ISNA(VLOOKUP(A195,'Données projet'!$A$217:$I$237,6,0)),0%,VLOOKUP(A195,'Données projet'!$A$217:$I$237,6,0)*VLOOKUP('Données projet'!$B$16,Paramètres!$A$1:$I$89,7,0))</f>
        <v>0</v>
      </c>
      <c r="FP195" s="16">
        <f>IF(ISNA(VLOOKUP(A195,'Données projet'!$A$217:$I$237,7,0)),0%,VLOOKUP(A195,'Données projet'!$A$217:$I$237,7,0))</f>
        <v>0</v>
      </c>
      <c r="FQ195" s="21">
        <f>EXP(-LN(2)/35)*FQ194+(1-EXP(-LN(2)/35))/(LN(2)/35)*FM195*FN195*VLOOKUP('Données projet'!$B$16,Paramètres!$A$1:$I$89,3,0)*0.475*44/12</f>
        <v>0.20830289036223421</v>
      </c>
      <c r="FR195" s="21">
        <f>EXP(-LN(2)/25)*FR194+(1-EXP(-LN(2)/25))/(LN(2)/25)*Calculateur!FM195*Calculateur!FO195*VLOOKUP('Données projet'!$B$16,Paramètres!$A$1:$I$89,3,0)*0.475*44/12</f>
        <v>6.599954171463876E-2</v>
      </c>
      <c r="FS195" s="21">
        <f>EXP(-LN(2)/2)*FS194+(1-EXP(-LN(2)/2))/(LN(2)/2)*FM195*FP195*VLOOKUP('Données projet'!$B$16,Paramètres!$A$1:$I$89,3,0)*0.475*44/12</f>
        <v>6.88474481300112E-24</v>
      </c>
      <c r="FT195" s="22">
        <f t="shared" si="184"/>
        <v>0.27430243207687299</v>
      </c>
      <c r="FU195" s="75">
        <f>('Scénario référence'!$F$8+'Scénario référence'!$F$9+'Scénario référence'!$B$17+'Scénario référence'!$B$9+'Scénario référence'!$B$10)*70+IF((45+25*(1-EXP(-0.0175*A195)))&lt;70,'Scénario référence'!$B$16*(45+25*(1-EXP(-0.0175*A195))),70*'Scénario référence'!$B$16)+IF((32+38*(1-EXP(-0.0175*A195)))&lt;70,'Scénario référence'!$B$18*(32+38*(1-EXP(-0.0175*A195))),70*'Scénario référence'!$B$18)</f>
        <v>70</v>
      </c>
      <c r="FV195" s="12">
        <f>IF(A195&gt;30,10,('Scénario référence'!$B$16+'Scénario référence'!$B$17+'Scénario référence'!$B$18+'Scénario référence'!$B$9+'Scénario référence'!$B$10)*A195*10/30+('Scénario référence'!$F$8+'Scénario référence'!$F$9)*10)</f>
        <v>10</v>
      </c>
      <c r="FW195" s="12" t="e">
        <f>VLOOKUP(A195,'Données projet'!$A$243:$I$263,2,0)</f>
        <v>#N/A</v>
      </c>
      <c r="FX195" s="12" t="e">
        <f>VLOOKUP(A195,'Données projet'!$A$243:$I$263,9,0)</f>
        <v>#N/A</v>
      </c>
      <c r="FY195" s="12">
        <f t="array" ref="FY195">INDEX(FX:FX,MIN(IF(ISNUMBER(FX195:FX391),ROW(FX195:FX391),"")))</f>
        <v>0</v>
      </c>
      <c r="FZ195" s="12">
        <f>IF('Données projet'!$A$244&gt;35,FZ194+FY195-GH194,IF(A195&lt;'Données projet'!$A$244,$FW$205^A195,IF(A195='Données projet'!$A$244,'Données projet'!$B$244,FZ194+FY195-GH194)))</f>
        <v>4.5474735088646412E-13</v>
      </c>
      <c r="GA195" s="17">
        <f>FZ195*VLOOKUP('Données projet'!$B$17,Paramètres!$A$1:$I$89,3,0)*VLOOKUP('Données projet'!$B$17,Paramètres!$A$1:$I$89,5,0)</f>
        <v>4.8949004849418999E-13</v>
      </c>
      <c r="GB195" s="13">
        <f t="shared" si="185"/>
        <v>6.1123715499968684E-12</v>
      </c>
      <c r="GC195" s="20">
        <f t="shared" si="186"/>
        <v>1.1498242284038591E-11</v>
      </c>
      <c r="GD195" s="59">
        <f t="shared" si="134"/>
        <v>293.3333333333448</v>
      </c>
      <c r="GE195" s="59">
        <f ca="1">AVERAGE(OFFSET($GD$3,0,0,'Données projet'!$E$17+1,1))-AVERAGE(OFFSET($H$3,0,0,'Données projet'!$E$17+1,1))</f>
        <v>286.77702855541287</v>
      </c>
      <c r="GF195" s="59">
        <f t="shared" si="158"/>
        <v>227.12211541860779</v>
      </c>
      <c r="GG195" s="15">
        <f>IF(ISNA(VLOOKUP(A195,'Données projet'!$A$243:$I$263,3,0)),0,VLOOKUP(A195,'Données projet'!$A$243:$I$263,3,0))</f>
        <v>0</v>
      </c>
      <c r="GH195" s="15">
        <f>IF(ISNA(VLOOKUP(A195,'Données projet'!$A$243:$I$263,4,0)),0,VLOOKUP(A195,'Données projet'!$A$243:$I$263,4,0))</f>
        <v>0</v>
      </c>
      <c r="GI195" s="16">
        <f>IF(ISNA(VLOOKUP(A195,'Données projet'!$A$243:$I$263,5,0)),0%,VLOOKUP(A195,'Données projet'!$A$243:$I$263,5,0)*VLOOKUP('Données projet'!$B$17,Paramètres!$A$1:$I$89,7,0))</f>
        <v>0</v>
      </c>
      <c r="GJ195" s="16">
        <f>IF(ISNA(VLOOKUP(A195,'Données projet'!$A$243:$I$263,6,0)),0%,VLOOKUP(A195,'Données projet'!$A$243:$I$263,6,0)*VLOOKUP('Données projet'!$B$17,Paramètres!$A$1:$I$89,7,0))</f>
        <v>0</v>
      </c>
      <c r="GK195" s="16">
        <f>IF(ISNA(VLOOKUP(A195,'Données projet'!$A$243:$I$263,7,0)),0%,VLOOKUP(A195,'Données projet'!$A$243:$I$263,7,0))</f>
        <v>0</v>
      </c>
      <c r="GL195" s="21">
        <f>EXP(-LN(2)/35)*GL194+(1-EXP(-LN(2)/35))/(LN(2)/35)*GH195*GI195*VLOOKUP('Données projet'!$B$17,Paramètres!$A$1:$I$89,3,0)*0.475*44/12</f>
        <v>0</v>
      </c>
      <c r="GM195" s="21">
        <f>EXP(-LN(2)/25)*GM194+(1-EXP(-LN(2)/25))/(LN(2)/25)*Calculateur!GH195*Calculateur!GJ195*VLOOKUP('Données projet'!$B$17,Paramètres!$A$1:$I$89,3,0)*0.475*44/12</f>
        <v>0</v>
      </c>
      <c r="GN195" s="21">
        <f>EXP(-LN(2)/2)*GN194+(1-EXP(-LN(2)/2))/(LN(2)/2)*GH195*GK195*VLOOKUP('Données projet'!$B$17,Paramètres!$A$1:$I$89,3,0)*0.475*44/12</f>
        <v>0</v>
      </c>
      <c r="GO195" s="21">
        <f t="shared" si="187"/>
        <v>0</v>
      </c>
      <c r="GP195" s="75">
        <f>('Scénario référence'!$F$8+'Scénario référence'!$F$9+'Scénario référence'!$B$17+'Scénario référence'!$B$9+'Scénario référence'!$B$10)*70+IF((45+25*(1-EXP(-0.0175*A195)))&lt;70,'Scénario référence'!$B$16*(45+25*(1-EXP(-0.0175*A195))),70*'Scénario référence'!$B$16)+IF((32+38*(1-EXP(-0.0175*A195)))&lt;70,'Scénario référence'!$B$18*(32+38*(1-EXP(-0.0175*A195))),70*'Scénario référence'!$B$18)</f>
        <v>70</v>
      </c>
      <c r="GQ195" s="12">
        <f>IF(A195&gt;30,10,('Scénario référence'!$B$16+'Scénario référence'!$B$17+'Scénario référence'!$B$18+'Scénario référence'!$B$9+'Scénario référence'!$B$10)*A195*10/30+('Scénario référence'!$F$8+'Scénario référence'!$F$9)*10)</f>
        <v>10</v>
      </c>
      <c r="GR195" s="12" t="e">
        <f>VLOOKUP(A195,'Données projet'!$A$269:$I$289,2,0)</f>
        <v>#N/A</v>
      </c>
      <c r="GS195" s="12" t="e">
        <f>VLOOKUP(A195,'Données projet'!$A$269:$I$289,9,0)</f>
        <v>#N/A</v>
      </c>
      <c r="GT195" s="12">
        <f t="array" ref="GT195">INDEX(GS:GS,MIN(IF(ISNUMBER(GS195:GS391),ROW(GS195:GS391),"")))</f>
        <v>0</v>
      </c>
      <c r="GU195" s="12">
        <f>IF('Données projet'!$A$270&gt;35,GU194+GT195-HC194,IF(A195&lt;'Données projet'!$A$270,$GR$205^A195,IF(A195='Données projet'!$A$270,'Données projet'!$B$270,GU194+GT195-HC194)))</f>
        <v>4.5474735088646412E-13</v>
      </c>
      <c r="GV195" s="17">
        <f>GU195*VLOOKUP('Données projet'!$B$18,Paramètres!$A$1:$I$89,3,0)*VLOOKUP('Données projet'!$B$18,Paramètres!$A$1:$I$89,5,0)</f>
        <v>4.8949004849418999E-13</v>
      </c>
      <c r="GW195" s="13">
        <f t="shared" si="188"/>
        <v>6.1123715499968684E-12</v>
      </c>
      <c r="GX195" s="20">
        <f t="shared" si="189"/>
        <v>1.1498242284038591E-11</v>
      </c>
      <c r="GY195" s="59">
        <f t="shared" si="137"/>
        <v>293.3333333333448</v>
      </c>
      <c r="GZ195" s="59">
        <f ca="1">AVERAGE(OFFSET($GY$3,0,0,'Données projet'!$E$18+1,1))-AVERAGE(OFFSET($H$3,0,0,'Données projet'!$E$18+1,1))</f>
        <v>286.77702855541287</v>
      </c>
      <c r="HA195" s="59">
        <f t="shared" si="160"/>
        <v>227.12211541860779</v>
      </c>
      <c r="HB195" s="15">
        <f>IF(ISNA(VLOOKUP(A195,'Données projet'!$A$269:$I$289,3,0)),0,VLOOKUP(A195,'Données projet'!$A$269:$I$289,3,0))</f>
        <v>0</v>
      </c>
      <c r="HC195" s="15">
        <f>IF(ISNA(VLOOKUP(A195,'Données projet'!$A$269:$I$289,4,0)),0,VLOOKUP(A195,'Données projet'!$A$269:$I$289,4,0))</f>
        <v>0</v>
      </c>
      <c r="HD195" s="16">
        <f>IF(ISNA(VLOOKUP(A195,'Données projet'!$A$269:$I$289,5,0)),0%,VLOOKUP(A195,'Données projet'!$A$269:$I$289,5,0)*VLOOKUP('Données projet'!$B$18,Paramètres!$A$1:$I$89,7,0))</f>
        <v>0</v>
      </c>
      <c r="HE195" s="16">
        <f>IF(ISNA(VLOOKUP(A195,'Données projet'!$A$269:$I$289,6,0)),0%,VLOOKUP(A195,'Données projet'!$A$269:$I$289,6,0)*VLOOKUP('Données projet'!$B$18,Paramètres!$A$1:$I$89,7,0))</f>
        <v>0</v>
      </c>
      <c r="HF195" s="16">
        <f>IF(ISNA(VLOOKUP(A195,'Données projet'!$A$269:$I$289,7,0)),0%,VLOOKUP(A195,'Données projet'!$A$269:$I$289,7,0))</f>
        <v>0</v>
      </c>
      <c r="HG195" s="21">
        <f>EXP(-LN(2)/35)*HG194+(1-EXP(-LN(2)/35))/(LN(2)/35)*HC195*HD195*VLOOKUP('Données projet'!$B$18,Paramètres!$A$1:$I$89,3,0)*0.475*44/12</f>
        <v>0</v>
      </c>
      <c r="HH195" s="21">
        <f>EXP(-LN(2)/25)*HH194+(1-EXP(-LN(2)/25))/(LN(2)/25)*Calculateur!HC195*Calculateur!HE195*VLOOKUP('Données projet'!$B$18,Paramètres!$A$1:$I$89,3,0)*0.475*44/12</f>
        <v>0</v>
      </c>
      <c r="HI195" s="21">
        <f>EXP(-LN(2)/2)*HI194+(1-EXP(-LN(2)/2))/(LN(2)/2)*HC195*HF195*VLOOKUP('Données projet'!$B$18,Paramètres!$A$1:$I$89,3,0)*0.475*44/12</f>
        <v>0</v>
      </c>
      <c r="HJ195" s="22">
        <f t="shared" si="190"/>
        <v>0</v>
      </c>
    </row>
    <row r="196" spans="1:218" x14ac:dyDescent="0.25">
      <c r="A196" s="10">
        <f t="shared" si="161"/>
        <v>193</v>
      </c>
      <c r="B196" s="73">
        <f>'Scénario référence'!$B$16*5+'Scénario référence'!$B$17*0+'Scénario référence'!$B$18*5</f>
        <v>0</v>
      </c>
      <c r="C196" s="19">
        <f>Calculateur!C195+'Scénario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171.61559999999966</v>
      </c>
      <c r="D196" s="11">
        <f t="shared" si="140"/>
        <v>43.451664809566452</v>
      </c>
      <c r="E196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96" s="11">
        <f>IF(OR('Scénario référence'!$F$8&gt;0,'Scénario référence'!$F$9&gt;0),('Scénario référence'!$F$8+'Scénario référence'!$F$9)*10,0)</f>
        <v>10</v>
      </c>
      <c r="G196" s="11">
        <f>'Scénario référence'!$B$8*B196*44/12+'Scénario référence'!$B$9*(C196+D196)/0.475*44/12+'Scénario référence'!$B$10*(C196+D196)/0.475*44/12+'Scénario référence'!$F$8*(C196+D196)/0.475*44/12+'Scénario référence'!$F$9*(C196+D196)/0.475*44/12</f>
        <v>1660.1683599334929</v>
      </c>
      <c r="H196" s="67">
        <f t="shared" ref="H196:H203" si="192">(B196+E196+F196)*44/12+(C196+D196)*0.475*44/12</f>
        <v>667.90881954332758</v>
      </c>
      <c r="I196" s="70">
        <f>('Scénario référence'!$F$8+'Scénario référence'!$F$9+'Scénario référence'!$B$17+'Scénario référence'!$B$9+'Scénario référence'!$B$10)*70+IF((45+25*(1-EXP(-0.0175*A196)))&lt;70,'Scénario référence'!$B$16*(45+25*(1-EXP(-0.0175*A196))),70*'Scénario référence'!$B$16)+IF((32+38*(1-EXP(-0.0175*A196)))&lt;70,'Scénario référence'!$B$18*(32+38*(1-EXP(-0.0175*A196))),70*'Scénario référence'!$B$18)</f>
        <v>70</v>
      </c>
      <c r="J196" s="13">
        <f>IF(A196&gt;30,10,('Scénario référence'!$B$16+'Scénario référence'!$B$17+'Scénario référence'!$B$18+'Scénario référence'!$B$9+'Scénario référence'!$B$10)*A196*10/30+('Scénario référence'!$F$8+'Scénario référence'!$F$9)*10)</f>
        <v>10</v>
      </c>
      <c r="K196" s="12" t="e">
        <f>VLOOKUP(A196,'Données projet'!$A$35:$I$55,2,0)</f>
        <v>#N/A</v>
      </c>
      <c r="L196" s="12" t="e">
        <f>VLOOKUP(A196,'Données projet'!$A$35:$I$55,9,0)</f>
        <v>#N/A</v>
      </c>
      <c r="M196" s="12">
        <f t="array" ref="M196">INDEX(L:L,MIN(IF(ISNUMBER(L196:L392),ROW(L196:L392),"")))</f>
        <v>0</v>
      </c>
      <c r="N196" s="13">
        <f>IF('Données projet'!$A$36&gt;35,N195+M196-V195,IF(A196&lt;'Données projet'!$A$36,$K$205^A196,IF(A196='Données projet'!$A$36,'Données projet'!$B$36,N195+M196-V195)))</f>
        <v>-2.2737367544323206E-13</v>
      </c>
      <c r="O196" s="13">
        <f>N196*VLOOKUP('Données projet'!$B$9,Paramètres!$A$1:$I$89,3,0)*VLOOKUP('Données projet'!$B$9,Paramètres!$A$1:$I$89,5,0)</f>
        <v>-1.2710188457276673E-13</v>
      </c>
      <c r="P196" s="13" t="e">
        <f t="shared" si="141"/>
        <v>#NUM!</v>
      </c>
      <c r="Q196" s="20" t="e">
        <f t="shared" si="162"/>
        <v>#NUM!</v>
      </c>
      <c r="R196" s="59" t="e">
        <f t="shared" si="191"/>
        <v>#NUM!</v>
      </c>
      <c r="S196" s="59">
        <f ca="1">AVERAGE(OFFSET($R$3,0,0,'Données projet'!$E$9+1,1))-AVERAGE(OFFSET($H$3,0,0,'Données projet'!$E$9+1,1))</f>
        <v>255.5374979188561</v>
      </c>
      <c r="T196" s="59">
        <f t="shared" si="142"/>
        <v>343.10418468620901</v>
      </c>
      <c r="U196" s="15">
        <f>IF(ISNA(VLOOKUP(A196,'Données projet'!$A$35:$I$55,3,0)),0,VLOOKUP(A196,'Données projet'!$A$35:$I$55,3,0))</f>
        <v>0</v>
      </c>
      <c r="V196" s="15">
        <f>IF(ISNA(VLOOKUP(A196,'Données projet'!$A$35:$I$55,4,0)),0,VLOOKUP(A196,'Données projet'!$A$35:$I$55,4,0))</f>
        <v>0</v>
      </c>
      <c r="W196" s="16">
        <f>IF(ISNA(VLOOKUP(A196,'Données projet'!$A$35:$I$55,5,0)),0%,VLOOKUP(A196,'Données projet'!$A$35:$I$55,5,0)*VLOOKUP('Données projet'!$B$9,Paramètres!$A$1:$I$89,7,0))</f>
        <v>0</v>
      </c>
      <c r="X196" s="16">
        <f>IF(ISNA(VLOOKUP(A196,'Données projet'!$A$35:$I$55,6,0)),0%,VLOOKUP(A196,'Données projet'!$A$35:$I$55,6,0)*VLOOKUP('Données projet'!$B$9,Paramètres!$A$1:$I$89,7,0))</f>
        <v>0</v>
      </c>
      <c r="Y196" s="16">
        <f>IF(ISNA(VLOOKUP(A196,'Données projet'!$A$35:$I$55,7,0)),0%,VLOOKUP(A196,'Données projet'!$A$35:$I$55,7,0))</f>
        <v>0</v>
      </c>
      <c r="Z196" s="21">
        <f>EXP(-LN(2)/35)*Z195+(1-EXP(-LN(2)/35))/(LN(2)/35)*V196*W196*VLOOKUP('Données projet'!$B$9,Paramètres!$A$1:$I$89,3,0)*0.475*44/12</f>
        <v>0.12246853598123346</v>
      </c>
      <c r="AA196" s="21">
        <f>EXP(-LN(2)/25)*AA195+(1-EXP(-LN(2)/25))/(LN(2)/25)*Calculateur!V196*Calculateur!X196*VLOOKUP('Données projet'!$B$9,Paramètres!$A$1:$I$89,3,0)*0.475*44/12</f>
        <v>0.1739099244941609</v>
      </c>
      <c r="AB196" s="21">
        <f>EXP(-LN(2)/2)*AB195+(1-EXP(-LN(2)/2))/(LN(2)/2)*V196*Y196*VLOOKUP('Données projet'!$B$9,Paramètres!$A$1:$I$89,3,0)*0.475*44/12</f>
        <v>4.9502034953352792E-25</v>
      </c>
      <c r="AC196" s="22">
        <f t="shared" si="163"/>
        <v>0.29637846047539435</v>
      </c>
      <c r="AD196" s="13">
        <f>('Scénario référence'!$F$8+'Scénario référence'!$F$9+'Scénario référence'!$B$17+'Scénario référence'!$B$9+'Scénario référence'!$B$10)*70+IF((45+25*(1-EXP(-0.0175*A196)))&lt;70,'Scénario référence'!$B$16*(45+25*(1-EXP(-0.0175*A196))),70*'Scénario référence'!$B$16)+IF((32+38*(1-EXP(-0.0175*A196)))&lt;70,'Scénario référence'!$B$18*(32+38*(1-EXP(-0.0175*A196))),70*'Scénario référence'!$B$18)</f>
        <v>70</v>
      </c>
      <c r="AE196" s="13">
        <f>IF(A196&gt;30,10,('Scénario référence'!$B$16+'Scénario référence'!$B$17+'Scénario référence'!$B$18+'Scénario référence'!$B$9+'Scénario référence'!$B$10)*A196*10/30+('Scénario référence'!$F$8+'Scénario référence'!$F$9)*10)</f>
        <v>10</v>
      </c>
      <c r="AF196" s="12" t="e">
        <f>VLOOKUP(A196,'Données projet'!$A$61:$I$81,2,0)</f>
        <v>#N/A</v>
      </c>
      <c r="AG196" s="12" t="e">
        <f>VLOOKUP(A196,'Données projet'!$A$61:$I$81,9,0)</f>
        <v>#N/A</v>
      </c>
      <c r="AH196" s="12">
        <f t="array" ref="AH196">INDEX(AG:AG,MIN(IF(ISNUMBER(AG196:AG392),ROW(AG196:AG392),"")))</f>
        <v>0</v>
      </c>
      <c r="AI196" s="13">
        <f>IF('Données projet'!$A$62&gt;35,AI195+AH196-AQ195,IF(A196&lt;'Données projet'!$A$62,$AF$205^A196,IF(A196='Données projet'!$A$62,'Données projet'!$B$62,AI195+AH196-AQ195)))</f>
        <v>0</v>
      </c>
      <c r="AJ196" s="13">
        <f>AI196*VLOOKUP('Données projet'!$B$10,Paramètres!$A$1:$I$89,3,0)*VLOOKUP('Données projet'!$B$10,Paramètres!$A$1:$I$89,5,0)</f>
        <v>0</v>
      </c>
      <c r="AK196" s="13" t="e">
        <f t="shared" si="164"/>
        <v>#NUM!</v>
      </c>
      <c r="AL196" s="20" t="e">
        <f t="shared" si="165"/>
        <v>#NUM!</v>
      </c>
      <c r="AM196" s="59" t="e">
        <f t="shared" ref="AM196:AM203" si="193">AL196+(AD196+AE196)*44/12</f>
        <v>#NUM!</v>
      </c>
      <c r="AN196" s="59">
        <f ca="1">AVERAGE(OFFSET($AM$3,0,0,'Données projet'!$E$10+1,1))-AVERAGE(OFFSET($H$3,0,0,'Données projet'!$E$10+1,1))</f>
        <v>261.78489480911571</v>
      </c>
      <c r="AO196" s="59">
        <f t="shared" si="144"/>
        <v>297.50513563712764</v>
      </c>
      <c r="AP196" s="15">
        <f>IF(ISNA(VLOOKUP(A196,'Données projet'!$A$61:$I$81,3,0)),0,VLOOKUP(A196,'Données projet'!$A$61:$I$81,3,0))</f>
        <v>0</v>
      </c>
      <c r="AQ196" s="15">
        <f>IF(ISNA(VLOOKUP(A196,'Données projet'!$A$61:$I$81,4,0)),0,VLOOKUP(A196,'Données projet'!$A$61:$I$81,4,0))</f>
        <v>0</v>
      </c>
      <c r="AR196" s="16">
        <f>IF(ISNA(VLOOKUP(A196,'Données projet'!$A$61:$I$81,5,0)),0%,VLOOKUP(A196,'Données projet'!$A$61:$I$81,5,0)*VLOOKUP('Données projet'!$B$10,Paramètres!$A$1:$I$89,7,0))</f>
        <v>0</v>
      </c>
      <c r="AS196" s="16">
        <f>IF(ISNA(VLOOKUP(A196,'Données projet'!$A$61:$I$81,6,0)),0%,VLOOKUP(A196,'Données projet'!$A$61:$I$81,6,0)*VLOOKUP('Données projet'!$B$10,Paramètres!$A$1:$I$89,7,0))</f>
        <v>0</v>
      </c>
      <c r="AT196" s="16">
        <f>IF(ISNA(VLOOKUP(A196,'Données projet'!$A$61:$I$81,7,0)),0%,VLOOKUP(A196,'Données projet'!$A$61:$I$81,7,0))</f>
        <v>0</v>
      </c>
      <c r="AU196" s="21">
        <f>EXP(-LN(2)/35)*AU195+(1-EXP(-LN(2)/35))/(LN(2)/35)*AQ196*AR196*VLOOKUP('Données projet'!$B$10,Paramètres!$A$1:$I$89,3,0)*0.475*44/12</f>
        <v>0.3306996872085855</v>
      </c>
      <c r="AV196" s="21">
        <f>EXP(-LN(2)/25)*AV195+(1-EXP(-LN(2)/25))/(LN(2)/25)*Calculateur!AQ196*Calculateur!AS196*VLOOKUP('Données projet'!$B$10,Paramètres!$A$1:$I$89,3,0)*0.475*44/12</f>
        <v>0.30368219898711052</v>
      </c>
      <c r="AW196" s="21">
        <f>EXP(-LN(2)/2)*AW195+(1-EXP(-LN(2)/2))/(LN(2)/2)*AQ196*AT196*VLOOKUP('Données projet'!$B$10,Paramètres!$A$1:$I$89,3,0)*0.475*44/12</f>
        <v>7.1361895998877871E-24</v>
      </c>
      <c r="AX196" s="21">
        <f t="shared" si="166"/>
        <v>0.63438188619569602</v>
      </c>
      <c r="AY196" s="74">
        <f>('Scénario référence'!$F$8+'Scénario référence'!$F$9+'Scénario référence'!$B$17+'Scénario référence'!$B$9+'Scénario référence'!$B$10)*70+IF((45+25*(1-EXP(-0.0175*A196)))&lt;70,'Scénario référence'!$B$16*(45+25*(1-EXP(-0.0175*A196))),70*'Scénario référence'!$B$16)+IF((32+38*(1-EXP(-0.0175*A196)))&lt;70,'Scénario référence'!$B$18*(32+38*(1-EXP(-0.0175*A196))),70*'Scénario référence'!$B$18)</f>
        <v>70</v>
      </c>
      <c r="AZ196" s="12">
        <f>IF(A196&gt;30,10,('Scénario référence'!$B$16+'Scénario référence'!$B$17+'Scénario référence'!$B$18+'Scénario référence'!$B$9+'Scénario référence'!$B$10)*A196*10/30+('Scénario référence'!$F$8+'Scénario référence'!$F$9)*10)</f>
        <v>10</v>
      </c>
      <c r="BA196" s="12" t="e">
        <f>VLOOKUP(A196,'Données projet'!$A$87:$I$107,2,0)</f>
        <v>#N/A</v>
      </c>
      <c r="BB196" s="12" t="e">
        <f>VLOOKUP(A196,'Données projet'!$A$87:$I$107,9,0)</f>
        <v>#N/A</v>
      </c>
      <c r="BC196" s="12">
        <f t="array" ref="BC196">INDEX(BB:BB,MIN(IF(ISNUMBER(BB196:BB392),ROW(BB196:BB392),"")))</f>
        <v>0</v>
      </c>
      <c r="BD196" s="12">
        <f>IF('Données projet'!$A$88&gt;35,BD195+BC196-BL195,IF(A196&lt;'Données projet'!$A$88,$BA$205^A196,IF(A196='Données projet'!$A$88,'Données projet'!$B$88,BD195+BC196-BL195)))</f>
        <v>553.99999999999955</v>
      </c>
      <c r="BE196" s="13">
        <f>BD196*VLOOKUP('Données projet'!$B$11,Paramètres!$A$1:$I$89,3,0)*VLOOKUP('Données projet'!$B$11,Paramètres!$A$1:$I$89,5,0)</f>
        <v>331.29199999999975</v>
      </c>
      <c r="BF196" s="13">
        <f t="shared" si="167"/>
        <v>77.698110787752</v>
      </c>
      <c r="BG196" s="20">
        <f t="shared" si="168"/>
        <v>712.32444295533423</v>
      </c>
      <c r="BH196" s="59">
        <f t="shared" ref="BH196:BH203" si="194">BG196+(AY196+AZ196)*44/12</f>
        <v>1005.6577762886675</v>
      </c>
      <c r="BI196" s="59">
        <f ca="1">AVERAGE(OFFSET($BH$3,0,0,'Données projet'!$E$11+1,1))-AVERAGE(OFFSET($H$3,0,0,'Données projet'!$E$11+1,1))</f>
        <v>316.58509520829671</v>
      </c>
      <c r="BJ196" s="59">
        <f t="shared" si="146"/>
        <v>240.71332110643596</v>
      </c>
      <c r="BK196" s="15">
        <f>IF(ISNA(VLOOKUP(A196,'Données projet'!$A$87:$I$107,3,0)),0,VLOOKUP(A196,'Données projet'!$A$87:$I$107,3,0))</f>
        <v>0</v>
      </c>
      <c r="BL196" s="15">
        <f>IF(ISNA(VLOOKUP(A196,'Données projet'!$A$87:$I$107,4,0)),0,VLOOKUP(A196,'Données projet'!$A$87:$I$107,4,0))</f>
        <v>0</v>
      </c>
      <c r="BM196" s="16">
        <f>IF(ISNA(VLOOKUP(A196,'Données projet'!$A$87:$I$107,5,0)),0%,VLOOKUP(A196,'Données projet'!$A$87:$I$107,5,0)*VLOOKUP('Données projet'!$B$11,Paramètres!$A$1:$I$89,7,0))</f>
        <v>0</v>
      </c>
      <c r="BN196" s="16">
        <f>IF(ISNA(VLOOKUP(A196,'Données projet'!$A$87:$I$107,6,0)),0%,VLOOKUP(A196,'Données projet'!$A$87:$I$107,6,0)*VLOOKUP('Données projet'!$B$11,Paramètres!$A$1:$I$89,7,0))</f>
        <v>0</v>
      </c>
      <c r="BO196" s="16">
        <f>IF(ISNA(VLOOKUP(A196,'Données projet'!$A$87:$I$107,7,0)),0%,VLOOKUP(A196,'Données projet'!$A$87:$I$107,7,0))</f>
        <v>0</v>
      </c>
      <c r="BP196" s="21">
        <f>EXP(-LN(2)/35)*BP195+(1-EXP(-LN(2)/35))/(LN(2)/35)*BL196*BM196*VLOOKUP('Données projet'!$B$11,Paramètres!$A$1:$I$89,3,0)*0.475*44/12</f>
        <v>0.10045249055275685</v>
      </c>
      <c r="BQ196" s="21">
        <f>EXP(-LN(2)/25)*BQ195+(1-EXP(-LN(2)/25))/(LN(2)/25)*Calculateur!BL196*Calculateur!BN196*VLOOKUP('Données projet'!$B$11,Paramètres!$A$1:$I$89,3,0)*0.475*44/12</f>
        <v>0.16636596946759963</v>
      </c>
      <c r="BR196" s="21">
        <f>EXP(-LN(2)/2)*BR195+(1-EXP(-LN(2)/2))/(LN(2)/2)*BL196*BO196*VLOOKUP('Données projet'!$B$11,Paramètres!$A$1:$I$89,3,0)*0.475*44/12</f>
        <v>6.4162159530267899E-24</v>
      </c>
      <c r="BS196" s="22">
        <f t="shared" si="169"/>
        <v>0.26681846002035647</v>
      </c>
      <c r="BT196" s="75">
        <f>('Scénario référence'!$F$8+'Scénario référence'!$F$9+'Scénario référence'!$B$17+'Scénario référence'!$B$9+'Scénario référence'!$B$10)*70+IF((45+25*(1-EXP(-0.0175*A196)))&lt;70,'Scénario référence'!$B$16*(45+25*(1-EXP(-0.0175*A196))),70*'Scénario référence'!$B$16)+IF((32+38*(1-EXP(-0.0175*A196)))&lt;70,'Scénario référence'!$B$18*(32+38*(1-EXP(-0.0175*A196))),70*'Scénario référence'!$B$18)</f>
        <v>70</v>
      </c>
      <c r="BU196" s="12">
        <f>IF(A196&gt;30,10,('Scénario référence'!$B$16+'Scénario référence'!$B$17+'Scénario référence'!$B$18+'Scénario référence'!$B$9+'Scénario référence'!$B$10)*A196*10/30+('Scénario référence'!$F$8+'Scénario référence'!$F$9)*10)</f>
        <v>10</v>
      </c>
      <c r="BV196" s="12" t="e">
        <f>VLOOKUP(A196,'Données projet'!$A$113:$I$133,2,0)</f>
        <v>#N/A</v>
      </c>
      <c r="BW196" s="12" t="e">
        <f>VLOOKUP(A196,'Données projet'!$A$113:$I$133,9,0)</f>
        <v>#N/A</v>
      </c>
      <c r="BX196" s="12">
        <f t="array" ref="BX196">INDEX(BW:BW,MIN(IF(ISNUMBER(BW196:BW392),ROW(BW196:BW392),"")))</f>
        <v>0</v>
      </c>
      <c r="BY196" s="12">
        <f>IF('Données projet'!$A$114&gt;35,BY195+BX196-CG195,IF(A196&lt;'Données projet'!$A$114,$BV$205^A196,IF(A196='Données projet'!$A$114,'Données projet'!$B$114,BY195+BX196-CG195)))</f>
        <v>333.99999999999977</v>
      </c>
      <c r="BZ196" s="13">
        <f>BY196*VLOOKUP('Données projet'!$B$12,Paramètres!$A$1:$I$89,3,0)*VLOOKUP('Données projet'!$B$12,Paramètres!$A$1:$I$89,5,0)</f>
        <v>191.04799999999986</v>
      </c>
      <c r="CA196" s="13">
        <f t="shared" si="170"/>
        <v>47.771576544305155</v>
      </c>
      <c r="CB196" s="20">
        <f t="shared" si="171"/>
        <v>415.94409581466454</v>
      </c>
      <c r="CC196" s="59">
        <f t="shared" ref="CC196:CC203" si="195">CB196+(BT196+BU196)*44/12</f>
        <v>709.27742914799785</v>
      </c>
      <c r="CD196" s="59">
        <f ca="1">AVERAGE(OFFSET($CC$3,0,0,'Données projet'!$E$12+1,1))-AVERAGE(OFFSET($H$3,0,0,'Données projet'!$E$12+1,1))</f>
        <v>188.64374818906128</v>
      </c>
      <c r="CE196" s="59">
        <f t="shared" si="148"/>
        <v>211.95157880548652</v>
      </c>
      <c r="CF196" s="15">
        <f>IF(ISNA(VLOOKUP(A196,'Données projet'!$A$113:$I$133,3,0)),0,VLOOKUP(A196,'Données projet'!$A$113:$I$133,3,0))</f>
        <v>0</v>
      </c>
      <c r="CG196" s="15">
        <f>IF(ISNA(VLOOKUP(A196,'Données projet'!$A$113:$I$133,4,0)),0,VLOOKUP(A196,'Données projet'!$A$113:$I$133,4,0))</f>
        <v>0</v>
      </c>
      <c r="CH196" s="16">
        <f>IF(ISNA(VLOOKUP(A196,'Données projet'!$A$113:$I$133,5,0)),0%,VLOOKUP(A196,'Données projet'!$A$113:$I$133,5,0)*VLOOKUP('Données projet'!$B$12,Paramètres!$A$1:$I$89,7,0))</f>
        <v>0</v>
      </c>
      <c r="CI196" s="16">
        <f>IF(ISNA(VLOOKUP(A196,'Données projet'!$A$113:$I$133,6,0)),0%,VLOOKUP(A196,'Données projet'!$A$113:$I$133,6,0)*VLOOKUP('Données projet'!$B$12,Paramètres!$A$1:$I$89,7,0))</f>
        <v>0</v>
      </c>
      <c r="CJ196" s="16">
        <f>IF(ISNA(VLOOKUP(A196,'Données projet'!$A$113:$I$133,7,0)),0%,VLOOKUP(A196,'Données projet'!$A$113:$I$133,7,0))</f>
        <v>0</v>
      </c>
      <c r="CK196" s="21">
        <f>EXP(-LN(2)/35)*CK195+(1-EXP(-LN(2)/35))/(LN(2)/35)*CG196*CH196*VLOOKUP('Données projet'!$B$12,Paramètres!$A$1:$I$89,3,0)*0.475*44/12</f>
        <v>9.7438300695386809E-2</v>
      </c>
      <c r="CL196" s="21">
        <f>EXP(-LN(2)/25)*CL195+(1-EXP(-LN(2)/25))/(LN(2)/25)*Calculateur!CG196*Calculateur!CI196*VLOOKUP('Données projet'!$B$12,Paramètres!$A$1:$I$89,3,0)*0.475*44/12</f>
        <v>0.15658741728171113</v>
      </c>
      <c r="CM196" s="21">
        <f>EXP(-LN(2)/2)*CM195+(1-EXP(-LN(2)/2))/(LN(2)/2)*CG196*CJ196*VLOOKUP('Données projet'!$B$12,Paramètres!$A$1:$I$89,3,0)*0.475*44/12</f>
        <v>6.213603138314664E-24</v>
      </c>
      <c r="CN196" s="22">
        <f t="shared" si="172"/>
        <v>0.25402571797709794</v>
      </c>
      <c r="CO196" s="75">
        <f>('Scénario référence'!$F$8+'Scénario référence'!$F$9+'Scénario référence'!$B$17+'Scénario référence'!$B$9+'Scénario référence'!$B$10)*70+IF((45+25*(1-EXP(-0.0175*A196)))&lt;70,'Scénario référence'!$B$16*(45+25*(1-EXP(-0.0175*A196))),70*'Scénario référence'!$B$16)+IF((32+38*(1-EXP(-0.0175*A196)))&lt;70,'Scénario référence'!$B$18*(32+38*(1-EXP(-0.0175*A196))),70*'Scénario référence'!$B$18)</f>
        <v>70</v>
      </c>
      <c r="CP196" s="12">
        <f>IF(A196&gt;30,10,('Scénario référence'!$B$16+'Scénario référence'!$B$17+'Scénario référence'!$B$18+'Scénario référence'!$B$9+'Scénario référence'!$B$10)*A196*10/30+('Scénario référence'!$F$8+'Scénario référence'!$F$9)*10)</f>
        <v>10</v>
      </c>
      <c r="CQ196" s="12" t="e">
        <f>VLOOKUP(A196,'Données projet'!$A$139:$I$159,2,0)</f>
        <v>#N/A</v>
      </c>
      <c r="CR196" s="12" t="e">
        <f>VLOOKUP(A196,'Données projet'!$A$139:$I$159,9,0)</f>
        <v>#N/A</v>
      </c>
      <c r="CS196" s="12">
        <f t="array" ref="CS196">INDEX(CR:CR,MIN(IF(ISNUMBER(CR196:CR392),ROW(CR196:CR392),"")))</f>
        <v>0</v>
      </c>
      <c r="CT196" s="12">
        <f>IF('Données projet'!$A$140&gt;35,CT195+CS196-DB195,IF(A196&lt;'Données projet'!$A$140,$CQ$205^A196,IF(A196='Données projet'!$A$140,'Données projet'!$B$140,CT195+CS196-DB195)))</f>
        <v>0</v>
      </c>
      <c r="CU196" s="17" t="e">
        <f>CT196*VLOOKUP('Données projet'!$B$13,Paramètres!$A$1:$I$89,3,0)*VLOOKUP('Données projet'!$B$13,Paramètres!$A$1:$I$89,5,0)</f>
        <v>#N/A</v>
      </c>
      <c r="CV196" s="13" t="e">
        <f t="shared" si="173"/>
        <v>#N/A</v>
      </c>
      <c r="CW196" s="20" t="e">
        <f t="shared" si="174"/>
        <v>#N/A</v>
      </c>
      <c r="CX196" s="59" t="e">
        <f t="shared" ref="CX196:CX203" si="196">CW196+(CO196+CP196)*44/12</f>
        <v>#N/A</v>
      </c>
      <c r="CY196" s="59" t="e">
        <f ca="1">AVERAGE(OFFSET($CX$3,0,0,'Données projet'!$E$13+1,1))-AVERAGE(OFFSET($H$3,0,0,'Données projet'!$E$13+1,1))</f>
        <v>#N/A</v>
      </c>
      <c r="CZ196" s="59" t="e">
        <f t="shared" si="150"/>
        <v>#N/A</v>
      </c>
      <c r="DA196" s="15">
        <f>IF(ISNA(VLOOKUP(A196,'Données projet'!$A$139:$I$159,3,0)),0,VLOOKUP(A196,'Données projet'!$A$139:$I$159,3,0))</f>
        <v>0</v>
      </c>
      <c r="DB196" s="15">
        <f>IF(ISNA(VLOOKUP(A196,'Données projet'!$A$139:$I$159,4,0)),0,VLOOKUP(A196,'Données projet'!$A$139:$I$159,4,0))</f>
        <v>0</v>
      </c>
      <c r="DC196" s="16">
        <f>IF(ISNA(VLOOKUP(A196,'Données projet'!$A$139:$I$159,5,0)),0%,VLOOKUP(A196,'Données projet'!$A$139:$I$159,5,0)*VLOOKUP('Données projet'!$B$13,Paramètres!$A$1:$I$89,7,0))</f>
        <v>0</v>
      </c>
      <c r="DD196" s="16">
        <f>IF(ISNA(VLOOKUP(A196,'Données projet'!$A$139:$I$159,6,0)),0%,VLOOKUP(A196,'Données projet'!$A$139:$I$159,6,0)*VLOOKUP('Données projet'!$B$13,Paramètres!$A$1:$I$89,7,0))</f>
        <v>0</v>
      </c>
      <c r="DE196" s="16">
        <f>IF(ISNA(VLOOKUP(A196,'Données projet'!$A$139:$I$159,7,0)),0%,VLOOKUP(A196,'Données projet'!$A$139:$I$159,7,0))</f>
        <v>0</v>
      </c>
      <c r="DF196" s="21" t="e">
        <f>EXP(-LN(2)/35)*DF195+(1-EXP(-LN(2)/35))/(LN(2)/35)*DB196*DC196*VLOOKUP('Données projet'!$B$13,Paramètres!$A$1:$I$89,3,0)*0.475*44/12</f>
        <v>#N/A</v>
      </c>
      <c r="DG196" s="21" t="e">
        <f>EXP(-LN(2)/25)*DG195+(1-EXP(-LN(2)/25))/(LN(2)/25)*Calculateur!DB196*Calculateur!DD196*VLOOKUP('Données projet'!$B$13,Paramètres!$A$1:$I$89,3,0)*0.475*44/12</f>
        <v>#N/A</v>
      </c>
      <c r="DH196" s="21" t="e">
        <f>EXP(-LN(2)/2)*DH195+(1-EXP(-LN(2)/2))/(LN(2)/2)*DB196*DE196*VLOOKUP('Données projet'!$B$13,Paramètres!$A$1:$I$89,3,0)*0.475*44/12</f>
        <v>#N/A</v>
      </c>
      <c r="DI196" s="22" t="e">
        <f t="shared" si="175"/>
        <v>#N/A</v>
      </c>
      <c r="DJ196" s="75">
        <f>('Scénario référence'!$F$8+'Scénario référence'!$F$9+'Scénario référence'!$B$17+'Scénario référence'!$B$9+'Scénario référence'!$B$10)*70+IF((45+25*(1-EXP(-0.0175*A196)))&lt;70,'Scénario référence'!$B$16*(45+25*(1-EXP(-0.0175*A196))),70*'Scénario référence'!$B$16)+IF((32+38*(1-EXP(-0.0175*A196)))&lt;70,'Scénario référence'!$B$18*(32+38*(1-EXP(-0.0175*A196))),70*'Scénario référence'!$B$18)</f>
        <v>70</v>
      </c>
      <c r="DK196" s="12">
        <f>IF(A196&gt;30,10,('Scénario référence'!$B$16+'Scénario référence'!$B$17+'Scénario référence'!$B$18+'Scénario référence'!$B$9+'Scénario référence'!$B$10)*A196*10/30+('Scénario référence'!$F$8+'Scénario référence'!$F$9)*10)</f>
        <v>10</v>
      </c>
      <c r="DL196" s="12" t="e">
        <f>VLOOKUP(A196,'Données projet'!$A$165:$I$185,2,0)</f>
        <v>#N/A</v>
      </c>
      <c r="DM196" s="12" t="e">
        <f>VLOOKUP(A196,'Données projet'!$A$165:$I$185,9,0)</f>
        <v>#N/A</v>
      </c>
      <c r="DN196" s="12">
        <f t="array" ref="DN196">INDEX(DM:DM,MIN(IF(ISNUMBER(DM196:DM392),ROW(DM196:DM392),"")))</f>
        <v>0</v>
      </c>
      <c r="DO196" s="12">
        <f>IF('Données projet'!$A$166&gt;35,DO195+DN196-DW195,IF(A196&lt;'Données projet'!$A$166,$DL$205^A196,IF(A196='Données projet'!$A$166,'Données projet'!$B$166,DO195+DN196-DW195)))</f>
        <v>268.00000000000017</v>
      </c>
      <c r="DP196" s="17">
        <f>DO196*VLOOKUP('Données projet'!$B$14,Paramètres!$A$1:$I$89,3,0)*VLOOKUP('Données projet'!$B$14,Paramètres!$A$1:$I$89,5,0)</f>
        <v>175.59360000000012</v>
      </c>
      <c r="DQ196" s="13">
        <f t="shared" si="176"/>
        <v>44.340433728638573</v>
      </c>
      <c r="DR196" s="20">
        <f t="shared" si="177"/>
        <v>383.05177541071242</v>
      </c>
      <c r="DS196" s="59">
        <f t="shared" ref="DS196:DS203" si="197">DR196+(DJ196+DK196)*44/12</f>
        <v>676.38510874404574</v>
      </c>
      <c r="DT196" s="59">
        <f ca="1">AVERAGE(OFFSET($DS$3,0,0,'Données projet'!$E$14+1,1))-AVERAGE(OFFSET($H$3,0,0,'Données projet'!$E$14+1,1))</f>
        <v>188.68915783955595</v>
      </c>
      <c r="DU196" s="59">
        <f t="shared" si="152"/>
        <v>240.82467772396944</v>
      </c>
      <c r="DV196" s="15">
        <f>IF(ISNA(VLOOKUP(A196,'Données projet'!$A$165:$I$185,3,0)),0,VLOOKUP(A196,'Données projet'!$A$165:$I$185,3,0))</f>
        <v>0</v>
      </c>
      <c r="DW196" s="15">
        <f>IF(ISNA(VLOOKUP(A196,'Données projet'!$A$165:$I$185,4,0)),0,VLOOKUP(A196,'Données projet'!$A$165:$I$185,4,0))</f>
        <v>0</v>
      </c>
      <c r="DX196" s="16">
        <f>IF(ISNA(VLOOKUP(A196,'Données projet'!$A$165:$I$185,5,0)),0%,VLOOKUP(A196,'Données projet'!$A$165:$I$185,5,0)*VLOOKUP('Données projet'!$B$14,Paramètres!$A$1:$I$89,7,0))</f>
        <v>0</v>
      </c>
      <c r="DY196" s="16">
        <f>IF(ISNA(VLOOKUP(A196,'Données projet'!$A$165:$I$185,6,0)),0%,VLOOKUP(A196,'Données projet'!$A$165:$I$185,6,0)*VLOOKUP('Données projet'!$B$14,Paramètres!$A$1:$I$89,7,0))</f>
        <v>0</v>
      </c>
      <c r="DZ196" s="16">
        <f>IF(ISNA(VLOOKUP(A196,'Données projet'!$A$165:$I$185,7,0)),0%,VLOOKUP(A196,'Données projet'!$A$165:$I$185,7,0))</f>
        <v>0</v>
      </c>
      <c r="EA196" s="21">
        <f>EXP(-LN(2)/35)*EA195+(1-EXP(-LN(2)/35))/(LN(2)/35)*DW196*DX196*VLOOKUP('Données projet'!$B$14,Paramètres!$A$1:$I$89,3,0)*0.475*44/12</f>
        <v>6.1719125650907924E-2</v>
      </c>
      <c r="EB196" s="21">
        <f>EXP(-LN(2)/25)*EB195+(1-EXP(-LN(2)/25))/(LN(2)/25)*Calculateur!DW196*Calculateur!DY196*VLOOKUP('Données projet'!$B$14,Paramètres!$A$1:$I$89,3,0)*0.475*44/12</f>
        <v>8.7585862314629045E-2</v>
      </c>
      <c r="EC196" s="21">
        <f>EXP(-LN(2)/2)*EC195+(1-EXP(-LN(2)/2))/(LN(2)/2)*DW196*DZ196*VLOOKUP('Données projet'!$B$14,Paramètres!$A$1:$I$89,3,0)*0.475*44/12</f>
        <v>4.0932846493656021E-24</v>
      </c>
      <c r="ED196" s="22">
        <f t="shared" si="178"/>
        <v>0.14930498796553698</v>
      </c>
      <c r="EE196" s="75">
        <f>('Scénario référence'!$F$8+'Scénario référence'!$F$9+'Scénario référence'!$B$17+'Scénario référence'!$B$9+'Scénario référence'!$B$10)*70+IF((45+25*(1-EXP(-0.0175*A196)))&lt;70,'Scénario référence'!$B$16*(45+25*(1-EXP(-0.0175*A196))),70*'Scénario référence'!$B$16)+IF((32+38*(1-EXP(-0.0175*A196)))&lt;70,'Scénario référence'!$B$18*(32+38*(1-EXP(-0.0175*A196))),70*'Scénario référence'!$B$18)</f>
        <v>70</v>
      </c>
      <c r="EF196" s="12">
        <f>IF(A196&gt;30,10,('Scénario référence'!$B$16+'Scénario référence'!$B$17+'Scénario référence'!$B$18+'Scénario référence'!$B$9+'Scénario référence'!$B$10)*A196*10/30+('Scénario référence'!$F$8+'Scénario référence'!$F$9)*10)</f>
        <v>10</v>
      </c>
      <c r="EG196" s="12" t="e">
        <f>VLOOKUP(A196,'Données projet'!$A$191:$I$211,2,0)</f>
        <v>#N/A</v>
      </c>
      <c r="EH196" s="12" t="e">
        <f>VLOOKUP(A196,'Données projet'!$A$191:$I$211,9,0)</f>
        <v>#N/A</v>
      </c>
      <c r="EI196" s="12">
        <f t="array" ref="EI196">INDEX(EH:EH,MIN(IF(ISNUMBER(EH196:EH392),ROW(EH196:EH392),"")))</f>
        <v>0</v>
      </c>
      <c r="EJ196" s="12">
        <f>IF('Données projet'!$A$192&gt;35,EJ195+EI196-ER195,IF(A196&lt;'Données projet'!$A$192,$EG$205^A196,IF(A196='Données projet'!$A$192,'Données projet'!$B$192,EJ195+EI196-ER195)))</f>
        <v>275.99999999999972</v>
      </c>
      <c r="EK196" s="17">
        <f>EJ196*VLOOKUP('Données projet'!$B$15,Paramètres!$A$1:$I$89,3,0)*VLOOKUP('Données projet'!$B$15,Paramètres!$A$1:$I$89,5,0)</f>
        <v>223.8911999999998</v>
      </c>
      <c r="EL196" s="13">
        <f t="shared" si="179"/>
        <v>54.95975389514858</v>
      </c>
      <c r="EM196" s="20">
        <f t="shared" si="180"/>
        <v>485.66541136738346</v>
      </c>
      <c r="EN196" s="59">
        <f t="shared" ref="EN196:EN203" si="198">EM196+(EE196+EF196)*44/12</f>
        <v>778.99874470071677</v>
      </c>
      <c r="EO196" s="59">
        <f ca="1">AVERAGE(OFFSET($EN$3,0,0,'Données projet'!$E$15+1,1))-AVERAGE(OFFSET($H$3,0,0,'Données projet'!$E$15+1,1))</f>
        <v>205.5272583787887</v>
      </c>
      <c r="EP196" s="59">
        <f t="shared" si="154"/>
        <v>180.54762778843178</v>
      </c>
      <c r="EQ196" s="15">
        <f>IF(ISNA(VLOOKUP(A196,'Données projet'!$A$191:$I$211,3,0)),0,VLOOKUP(A196,'Données projet'!$A$191:$I$211,3,0))</f>
        <v>0</v>
      </c>
      <c r="ER196" s="15">
        <f>IF(ISNA(VLOOKUP(A196,'Données projet'!$A$191:$I$211,4,0)),0,VLOOKUP(A196,'Données projet'!$A$191:$I$211,4,0))</f>
        <v>0</v>
      </c>
      <c r="ES196" s="16">
        <f>IF(ISNA(VLOOKUP(A196,'Données projet'!$A$191:$I$211,5,0)),0%,VLOOKUP(A196,'Données projet'!$A$191:$I$211,5,0)*VLOOKUP('Données projet'!$B$15,Paramètres!$A$1:$I$89,7,0))</f>
        <v>0</v>
      </c>
      <c r="ET196" s="16">
        <f>IF(ISNA(VLOOKUP(A196,'Données projet'!$A$191:$I$211,6,0)),0%,VLOOKUP(A196,'Données projet'!$A$191:$I$211,6,0)*VLOOKUP('Données projet'!$B$15,Paramètres!$A$1:$I$89,7,0))</f>
        <v>0</v>
      </c>
      <c r="EU196" s="16">
        <f>IF(ISNA(VLOOKUP(A196,'Données projet'!$A$191:$I$211,7,0)),0%,VLOOKUP(A196,'Données projet'!$A$191:$I$211,7,0))</f>
        <v>0</v>
      </c>
      <c r="EV196" s="21">
        <f>EXP(-LN(2)/35)*EV195+(1-EXP(-LN(2)/35))/(LN(2)/35)*ER196*ES196*VLOOKUP('Données projet'!$B$15,Paramètres!$A$1:$I$89,3,0)*0.475*44/12</f>
        <v>3.9735360895251183E-2</v>
      </c>
      <c r="EW196" s="21">
        <f>EXP(-LN(2)/25)*EW195+(1-EXP(-LN(2)/25))/(LN(2)/25)*Calculateur!ER196*Calculateur!ET196*VLOOKUP('Données projet'!$B$15,Paramètres!$A$1:$I$89,3,0)*0.475*44/12</f>
        <v>6.3239649592805286E-2</v>
      </c>
      <c r="EX196" s="21">
        <f>EXP(-LN(2)/2)*EX195+(1-EXP(-LN(2)/2))/(LN(2)/2)*ER196*EU196*VLOOKUP('Données projet'!$B$15,Paramètres!$A$1:$I$89,3,0)*0.475*44/12</f>
        <v>2.6504048371461654E-24</v>
      </c>
      <c r="EY196" s="22">
        <f t="shared" si="181"/>
        <v>0.10297501048805646</v>
      </c>
      <c r="EZ196" s="75">
        <f>('Scénario référence'!$F$8+'Scénario référence'!$F$9+'Scénario référence'!$B$17+'Scénario référence'!$B$9+'Scénario référence'!$B$10)*70+IF((45+25*(1-EXP(-0.0175*A196)))&lt;70,'Scénario référence'!$B$16*(45+25*(1-EXP(-0.0175*A196))),70*'Scénario référence'!$B$16)+IF((32+38*(1-EXP(-0.0175*A196)))&lt;70,'Scénario référence'!$B$18*(32+38*(1-EXP(-0.0175*A196))),70*'Scénario référence'!$B$18)</f>
        <v>70</v>
      </c>
      <c r="FA196" s="12">
        <f>IF(A196&gt;30,10,('Scénario référence'!$B$16+'Scénario référence'!$B$17+'Scénario référence'!$B$18+'Scénario référence'!$B$9+'Scénario référence'!$B$10)*A196*10/30+('Scénario référence'!$F$8+'Scénario référence'!$F$9)*10)</f>
        <v>10</v>
      </c>
      <c r="FB196" s="12" t="e">
        <f>VLOOKUP(A196,'Données projet'!$A$217:$I$237,2,0)</f>
        <v>#N/A</v>
      </c>
      <c r="FC196" s="12" t="e">
        <f>VLOOKUP(A196,'Données projet'!$A$217:$I$237,9,0)</f>
        <v>#N/A</v>
      </c>
      <c r="FD196" s="12">
        <f t="array" ref="FD196">INDEX(FC:FC,MIN(IF(ISNUMBER(FC196:FC392),ROW(FC196:FC392),"")))</f>
        <v>0</v>
      </c>
      <c r="FE196" s="12">
        <f>IF('Données projet'!$A$218&gt;35,FE195+FD196-FM195,IF(A196&lt;'Données projet'!$A$218,$FB$205^A196,IF(A196='Données projet'!$A$218,'Données projet'!$B$218,FE195+FD196-FM195)))</f>
        <v>418.99999999999983</v>
      </c>
      <c r="FF196" s="17">
        <f>FE196*VLOOKUP('Données projet'!$B$16,Paramètres!$A$1:$I$89,3,0)*VLOOKUP('Données projet'!$B$16,Paramètres!$A$1:$I$89,5,0)</f>
        <v>359.5019999999999</v>
      </c>
      <c r="FG196" s="13">
        <f t="shared" si="182"/>
        <v>83.516011055432813</v>
      </c>
      <c r="FH196" s="20">
        <f t="shared" si="183"/>
        <v>771.58970258821194</v>
      </c>
      <c r="FI196" s="59">
        <f t="shared" ref="FI196:FI203" si="199">FH196+(EZ196+FA196)*44/12</f>
        <v>1064.9230359215453</v>
      </c>
      <c r="FJ196" s="59">
        <f ca="1">AVERAGE(OFFSET($FI$3,0,0,'Données projet'!$E$16+1,1))-AVERAGE(OFFSET($H$3,0,0,'Données projet'!$E$16+1,1))</f>
        <v>383.97627237444709</v>
      </c>
      <c r="FK196" s="59">
        <f t="shared" si="156"/>
        <v>203.35476578922339</v>
      </c>
      <c r="FL196" s="15">
        <f>IF(ISNA(VLOOKUP(A196,'Données projet'!$A$217:$I$237,3,0)),0,VLOOKUP(A196,'Données projet'!$A$217:$I$237,3,0))</f>
        <v>0</v>
      </c>
      <c r="FM196" s="15">
        <f>IF(ISNA(VLOOKUP(A196,'Données projet'!$A$217:$I$237,4,0)),0,VLOOKUP(A196,'Données projet'!$A$217:$I$237,4,0))</f>
        <v>0</v>
      </c>
      <c r="FN196" s="16">
        <f>IF(ISNA(VLOOKUP(A196,'Données projet'!$A$217:$I$237,5,0)),0%,VLOOKUP(A196,'Données projet'!$A$217:$I$237,5,0)*VLOOKUP('Données projet'!$B$16,Paramètres!$A$1:$I$89,7,0))</f>
        <v>0</v>
      </c>
      <c r="FO196" s="16">
        <f>IF(ISNA(VLOOKUP(A196,'Données projet'!$A$217:$I$237,6,0)),0%,VLOOKUP(A196,'Données projet'!$A$217:$I$237,6,0)*VLOOKUP('Données projet'!$B$16,Paramètres!$A$1:$I$89,7,0))</f>
        <v>0</v>
      </c>
      <c r="FP196" s="16">
        <f>IF(ISNA(VLOOKUP(A196,'Données projet'!$A$217:$I$237,7,0)),0%,VLOOKUP(A196,'Données projet'!$A$217:$I$237,7,0))</f>
        <v>0</v>
      </c>
      <c r="FQ196" s="21">
        <f>EXP(-LN(2)/35)*FQ195+(1-EXP(-LN(2)/35))/(LN(2)/35)*FM196*FN196*VLOOKUP('Données projet'!$B$16,Paramètres!$A$1:$I$89,3,0)*0.475*44/12</f>
        <v>0.20421819773444855</v>
      </c>
      <c r="FR196" s="21">
        <f>EXP(-LN(2)/25)*FR195+(1-EXP(-LN(2)/25))/(LN(2)/25)*Calculateur!FM196*Calculateur!FO196*VLOOKUP('Données projet'!$B$16,Paramètres!$A$1:$I$89,3,0)*0.475*44/12</f>
        <v>6.419478077568691E-2</v>
      </c>
      <c r="FS196" s="21">
        <f>EXP(-LN(2)/2)*FS195+(1-EXP(-LN(2)/2))/(LN(2)/2)*FM196*FP196*VLOOKUP('Données projet'!$B$16,Paramètres!$A$1:$I$89,3,0)*0.475*44/12</f>
        <v>4.8682497440120011E-24</v>
      </c>
      <c r="FT196" s="22">
        <f t="shared" si="184"/>
        <v>0.26841297851013546</v>
      </c>
      <c r="FU196" s="75">
        <f>('Scénario référence'!$F$8+'Scénario référence'!$F$9+'Scénario référence'!$B$17+'Scénario référence'!$B$9+'Scénario référence'!$B$10)*70+IF((45+25*(1-EXP(-0.0175*A196)))&lt;70,'Scénario référence'!$B$16*(45+25*(1-EXP(-0.0175*A196))),70*'Scénario référence'!$B$16)+IF((32+38*(1-EXP(-0.0175*A196)))&lt;70,'Scénario référence'!$B$18*(32+38*(1-EXP(-0.0175*A196))),70*'Scénario référence'!$B$18)</f>
        <v>70</v>
      </c>
      <c r="FV196" s="12">
        <f>IF(A196&gt;30,10,('Scénario référence'!$B$16+'Scénario référence'!$B$17+'Scénario référence'!$B$18+'Scénario référence'!$B$9+'Scénario référence'!$B$10)*A196*10/30+('Scénario référence'!$F$8+'Scénario référence'!$F$9)*10)</f>
        <v>10</v>
      </c>
      <c r="FW196" s="12" t="e">
        <f>VLOOKUP(A196,'Données projet'!$A$243:$I$263,2,0)</f>
        <v>#N/A</v>
      </c>
      <c r="FX196" s="12" t="e">
        <f>VLOOKUP(A196,'Données projet'!$A$243:$I$263,9,0)</f>
        <v>#N/A</v>
      </c>
      <c r="FY196" s="12">
        <f t="array" ref="FY196">INDEX(FX:FX,MIN(IF(ISNUMBER(FX196:FX392),ROW(FX196:FX392),"")))</f>
        <v>0</v>
      </c>
      <c r="FZ196" s="12">
        <f>IF('Données projet'!$A$244&gt;35,FZ195+FY196-GH195,IF(A196&lt;'Données projet'!$A$244,$FW$205^A196,IF(A196='Données projet'!$A$244,'Données projet'!$B$244,FZ195+FY196-GH195)))</f>
        <v>4.5474735088646412E-13</v>
      </c>
      <c r="GA196" s="17">
        <f>FZ196*VLOOKUP('Données projet'!$B$17,Paramètres!$A$1:$I$89,3,0)*VLOOKUP('Données projet'!$B$17,Paramètres!$A$1:$I$89,5,0)</f>
        <v>4.8949004849418999E-13</v>
      </c>
      <c r="GB196" s="13">
        <f t="shared" si="185"/>
        <v>6.1123715499968684E-12</v>
      </c>
      <c r="GC196" s="20">
        <f t="shared" si="186"/>
        <v>1.1498242284038591E-11</v>
      </c>
      <c r="GD196" s="59">
        <f t="shared" ref="GD196:GD203" si="200">GC196+(FU196+FV196)*44/12</f>
        <v>293.3333333333448</v>
      </c>
      <c r="GE196" s="59">
        <f ca="1">AVERAGE(OFFSET($GD$3,0,0,'Données projet'!$E$17+1,1))-AVERAGE(OFFSET($H$3,0,0,'Données projet'!$E$17+1,1))</f>
        <v>286.77702855541287</v>
      </c>
      <c r="GF196" s="59">
        <f t="shared" si="158"/>
        <v>227.12211541860779</v>
      </c>
      <c r="GG196" s="15">
        <f>IF(ISNA(VLOOKUP(A196,'Données projet'!$A$243:$I$263,3,0)),0,VLOOKUP(A196,'Données projet'!$A$243:$I$263,3,0))</f>
        <v>0</v>
      </c>
      <c r="GH196" s="15">
        <f>IF(ISNA(VLOOKUP(A196,'Données projet'!$A$243:$I$263,4,0)),0,VLOOKUP(A196,'Données projet'!$A$243:$I$263,4,0))</f>
        <v>0</v>
      </c>
      <c r="GI196" s="16">
        <f>IF(ISNA(VLOOKUP(A196,'Données projet'!$A$243:$I$263,5,0)),0%,VLOOKUP(A196,'Données projet'!$A$243:$I$263,5,0)*VLOOKUP('Données projet'!$B$17,Paramètres!$A$1:$I$89,7,0))</f>
        <v>0</v>
      </c>
      <c r="GJ196" s="16">
        <f>IF(ISNA(VLOOKUP(A196,'Données projet'!$A$243:$I$263,6,0)),0%,VLOOKUP(A196,'Données projet'!$A$243:$I$263,6,0)*VLOOKUP('Données projet'!$B$17,Paramètres!$A$1:$I$89,7,0))</f>
        <v>0</v>
      </c>
      <c r="GK196" s="16">
        <f>IF(ISNA(VLOOKUP(A196,'Données projet'!$A$243:$I$263,7,0)),0%,VLOOKUP(A196,'Données projet'!$A$243:$I$263,7,0))</f>
        <v>0</v>
      </c>
      <c r="GL196" s="21">
        <f>EXP(-LN(2)/35)*GL195+(1-EXP(-LN(2)/35))/(LN(2)/35)*GH196*GI196*VLOOKUP('Données projet'!$B$17,Paramètres!$A$1:$I$89,3,0)*0.475*44/12</f>
        <v>0</v>
      </c>
      <c r="GM196" s="21">
        <f>EXP(-LN(2)/25)*GM195+(1-EXP(-LN(2)/25))/(LN(2)/25)*Calculateur!GH196*Calculateur!GJ196*VLOOKUP('Données projet'!$B$17,Paramètres!$A$1:$I$89,3,0)*0.475*44/12</f>
        <v>0</v>
      </c>
      <c r="GN196" s="21">
        <f>EXP(-LN(2)/2)*GN195+(1-EXP(-LN(2)/2))/(LN(2)/2)*GH196*GK196*VLOOKUP('Données projet'!$B$17,Paramètres!$A$1:$I$89,3,0)*0.475*44/12</f>
        <v>0</v>
      </c>
      <c r="GO196" s="21">
        <f t="shared" si="187"/>
        <v>0</v>
      </c>
      <c r="GP196" s="75">
        <f>('Scénario référence'!$F$8+'Scénario référence'!$F$9+'Scénario référence'!$B$17+'Scénario référence'!$B$9+'Scénario référence'!$B$10)*70+IF((45+25*(1-EXP(-0.0175*A196)))&lt;70,'Scénario référence'!$B$16*(45+25*(1-EXP(-0.0175*A196))),70*'Scénario référence'!$B$16)+IF((32+38*(1-EXP(-0.0175*A196)))&lt;70,'Scénario référence'!$B$18*(32+38*(1-EXP(-0.0175*A196))),70*'Scénario référence'!$B$18)</f>
        <v>70</v>
      </c>
      <c r="GQ196" s="12">
        <f>IF(A196&gt;30,10,('Scénario référence'!$B$16+'Scénario référence'!$B$17+'Scénario référence'!$B$18+'Scénario référence'!$B$9+'Scénario référence'!$B$10)*A196*10/30+('Scénario référence'!$F$8+'Scénario référence'!$F$9)*10)</f>
        <v>10</v>
      </c>
      <c r="GR196" s="12" t="e">
        <f>VLOOKUP(A196,'Données projet'!$A$269:$I$289,2,0)</f>
        <v>#N/A</v>
      </c>
      <c r="GS196" s="12" t="e">
        <f>VLOOKUP(A196,'Données projet'!$A$269:$I$289,9,0)</f>
        <v>#N/A</v>
      </c>
      <c r="GT196" s="12">
        <f t="array" ref="GT196">INDEX(GS:GS,MIN(IF(ISNUMBER(GS196:GS392),ROW(GS196:GS392),"")))</f>
        <v>0</v>
      </c>
      <c r="GU196" s="12">
        <f>IF('Données projet'!$A$270&gt;35,GU195+GT196-HC195,IF(A196&lt;'Données projet'!$A$270,$GR$205^A196,IF(A196='Données projet'!$A$270,'Données projet'!$B$270,GU195+GT196-HC195)))</f>
        <v>4.5474735088646412E-13</v>
      </c>
      <c r="GV196" s="17">
        <f>GU196*VLOOKUP('Données projet'!$B$18,Paramètres!$A$1:$I$89,3,0)*VLOOKUP('Données projet'!$B$18,Paramètres!$A$1:$I$89,5,0)</f>
        <v>4.8949004849418999E-13</v>
      </c>
      <c r="GW196" s="13">
        <f t="shared" si="188"/>
        <v>6.1123715499968684E-12</v>
      </c>
      <c r="GX196" s="20">
        <f t="shared" si="189"/>
        <v>1.1498242284038591E-11</v>
      </c>
      <c r="GY196" s="59">
        <f t="shared" ref="GY196:GY203" si="201">GX196+(GP196+GQ196)*44/12</f>
        <v>293.3333333333448</v>
      </c>
      <c r="GZ196" s="59">
        <f ca="1">AVERAGE(OFFSET($GY$3,0,0,'Données projet'!$E$18+1,1))-AVERAGE(OFFSET($H$3,0,0,'Données projet'!$E$18+1,1))</f>
        <v>286.77702855541287</v>
      </c>
      <c r="HA196" s="59">
        <f t="shared" si="160"/>
        <v>227.12211541860779</v>
      </c>
      <c r="HB196" s="15">
        <f>IF(ISNA(VLOOKUP(A196,'Données projet'!$A$269:$I$289,3,0)),0,VLOOKUP(A196,'Données projet'!$A$269:$I$289,3,0))</f>
        <v>0</v>
      </c>
      <c r="HC196" s="15">
        <f>IF(ISNA(VLOOKUP(A196,'Données projet'!$A$269:$I$289,4,0)),0,VLOOKUP(A196,'Données projet'!$A$269:$I$289,4,0))</f>
        <v>0</v>
      </c>
      <c r="HD196" s="16">
        <f>IF(ISNA(VLOOKUP(A196,'Données projet'!$A$269:$I$289,5,0)),0%,VLOOKUP(A196,'Données projet'!$A$269:$I$289,5,0)*VLOOKUP('Données projet'!$B$18,Paramètres!$A$1:$I$89,7,0))</f>
        <v>0</v>
      </c>
      <c r="HE196" s="16">
        <f>IF(ISNA(VLOOKUP(A196,'Données projet'!$A$269:$I$289,6,0)),0%,VLOOKUP(A196,'Données projet'!$A$269:$I$289,6,0)*VLOOKUP('Données projet'!$B$18,Paramètres!$A$1:$I$89,7,0))</f>
        <v>0</v>
      </c>
      <c r="HF196" s="16">
        <f>IF(ISNA(VLOOKUP(A196,'Données projet'!$A$269:$I$289,7,0)),0%,VLOOKUP(A196,'Données projet'!$A$269:$I$289,7,0))</f>
        <v>0</v>
      </c>
      <c r="HG196" s="21">
        <f>EXP(-LN(2)/35)*HG195+(1-EXP(-LN(2)/35))/(LN(2)/35)*HC196*HD196*VLOOKUP('Données projet'!$B$18,Paramètres!$A$1:$I$89,3,0)*0.475*44/12</f>
        <v>0</v>
      </c>
      <c r="HH196" s="21">
        <f>EXP(-LN(2)/25)*HH195+(1-EXP(-LN(2)/25))/(LN(2)/25)*Calculateur!HC196*Calculateur!HE196*VLOOKUP('Données projet'!$B$18,Paramètres!$A$1:$I$89,3,0)*0.475*44/12</f>
        <v>0</v>
      </c>
      <c r="HI196" s="21">
        <f>EXP(-LN(2)/2)*HI195+(1-EXP(-LN(2)/2))/(LN(2)/2)*HC196*HF196*VLOOKUP('Données projet'!$B$18,Paramètres!$A$1:$I$89,3,0)*0.475*44/12</f>
        <v>0</v>
      </c>
      <c r="HJ196" s="22">
        <f t="shared" si="190"/>
        <v>0</v>
      </c>
    </row>
    <row r="197" spans="1:218" x14ac:dyDescent="0.25">
      <c r="A197" s="10">
        <f t="shared" si="161"/>
        <v>194</v>
      </c>
      <c r="B197" s="73">
        <f>'Scénario référence'!$B$16*5+'Scénario référence'!$B$17*0+'Scénario référence'!$B$18*5</f>
        <v>0</v>
      </c>
      <c r="C197" s="19">
        <f>Calculateur!C196+'Scénario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172.50479999999965</v>
      </c>
      <c r="D197" s="11">
        <f t="shared" ref="D197:D203" si="202">IFERROR(EXP(-1.0587+0.8836*LN(C197)+0.284),0)</f>
        <v>43.650537013927277</v>
      </c>
      <c r="E197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97" s="11">
        <f>IF(OR('Scénario référence'!$F$8&gt;0,'Scénario référence'!$F$9&gt;0),('Scénario référence'!$F$8+'Scénario référence'!$F$9)*10,0)</f>
        <v>10</v>
      </c>
      <c r="G197" s="11">
        <f>'Scénario référence'!$B$8*B197*44/12+'Scénario référence'!$B$9*(C197+D197)/0.475*44/12+'Scénario référence'!$B$10*(C197+D197)/0.475*44/12+'Scénario référence'!$F$8*(C197+D197)/0.475*44/12+'Scénario référence'!$F$9*(C197+D197)/0.475*44/12</f>
        <v>1668.5675137917167</v>
      </c>
      <c r="H197" s="67">
        <f t="shared" si="192"/>
        <v>669.80387863258932</v>
      </c>
      <c r="I197" s="70">
        <f>('Scénario référence'!$F$8+'Scénario référence'!$F$9+'Scénario référence'!$B$17+'Scénario référence'!$B$9+'Scénario référence'!$B$10)*70+IF((45+25*(1-EXP(-0.0175*A197)))&lt;70,'Scénario référence'!$B$16*(45+25*(1-EXP(-0.0175*A197))),70*'Scénario référence'!$B$16)+IF((32+38*(1-EXP(-0.0175*A197)))&lt;70,'Scénario référence'!$B$18*(32+38*(1-EXP(-0.0175*A197))),70*'Scénario référence'!$B$18)</f>
        <v>70</v>
      </c>
      <c r="J197" s="13">
        <f>IF(A197&gt;30,10,('Scénario référence'!$B$16+'Scénario référence'!$B$17+'Scénario référence'!$B$18+'Scénario référence'!$B$9+'Scénario référence'!$B$10)*A197*10/30+('Scénario référence'!$F$8+'Scénario référence'!$F$9)*10)</f>
        <v>10</v>
      </c>
      <c r="K197" s="12" t="e">
        <f>VLOOKUP(A197,'Données projet'!$A$35:$I$55,2,0)</f>
        <v>#N/A</v>
      </c>
      <c r="L197" s="12" t="e">
        <f>VLOOKUP(A197,'Données projet'!$A$35:$I$55,9,0)</f>
        <v>#N/A</v>
      </c>
      <c r="M197" s="12">
        <f t="array" ref="M197">INDEX(L:L,MIN(IF(ISNUMBER(L197:L393),ROW(L197:L393),"")))</f>
        <v>0</v>
      </c>
      <c r="N197" s="13">
        <f>IF('Données projet'!$A$36&gt;35,N196+M197-V196,IF(A197&lt;'Données projet'!$A$36,$K$205^A197,IF(A197='Données projet'!$A$36,'Données projet'!$B$36,N196+M197-V196)))</f>
        <v>-2.2737367544323206E-13</v>
      </c>
      <c r="O197" s="13">
        <f>N197*VLOOKUP('Données projet'!$B$9,Paramètres!$A$1:$I$89,3,0)*VLOOKUP('Données projet'!$B$9,Paramètres!$A$1:$I$89,5,0)</f>
        <v>-1.2710188457276673E-13</v>
      </c>
      <c r="P197" s="13" t="e">
        <f t="shared" ref="P197:P203" si="203">EXP(-1.0587+0.8836*LN(O197)+0.284)</f>
        <v>#NUM!</v>
      </c>
      <c r="Q197" s="20" t="e">
        <f t="shared" si="162"/>
        <v>#NUM!</v>
      </c>
      <c r="R197" s="59" t="e">
        <f t="shared" si="191"/>
        <v>#NUM!</v>
      </c>
      <c r="S197" s="59">
        <f ca="1">AVERAGE(OFFSET($R$3,0,0,'Données projet'!$E$9+1,1))-AVERAGE(OFFSET($H$3,0,0,'Données projet'!$E$9+1,1))</f>
        <v>255.5374979188561</v>
      </c>
      <c r="T197" s="59">
        <f t="shared" ref="T197:T203" si="204">$T$3</f>
        <v>343.10418468620901</v>
      </c>
      <c r="U197" s="15">
        <f>IF(ISNA(VLOOKUP(A197,'Données projet'!$A$35:$I$55,3,0)),0,VLOOKUP(A197,'Données projet'!$A$35:$I$55,3,0))</f>
        <v>0</v>
      </c>
      <c r="V197" s="15">
        <f>IF(ISNA(VLOOKUP(A197,'Données projet'!$A$35:$I$55,4,0)),0,VLOOKUP(A197,'Données projet'!$A$35:$I$55,4,0))</f>
        <v>0</v>
      </c>
      <c r="W197" s="16">
        <f>IF(ISNA(VLOOKUP(A197,'Données projet'!$A$35:$I$55,5,0)),0%,VLOOKUP(A197,'Données projet'!$A$35:$I$55,5,0)*VLOOKUP('Données projet'!$B$9,Paramètres!$A$1:$I$89,7,0))</f>
        <v>0</v>
      </c>
      <c r="X197" s="16">
        <f>IF(ISNA(VLOOKUP(A197,'Données projet'!$A$35:$I$55,6,0)),0%,VLOOKUP(A197,'Données projet'!$A$35:$I$55,6,0)*VLOOKUP('Données projet'!$B$9,Paramètres!$A$1:$I$89,7,0))</f>
        <v>0</v>
      </c>
      <c r="Y197" s="16">
        <f>IF(ISNA(VLOOKUP(A197,'Données projet'!$A$35:$I$55,7,0)),0%,VLOOKUP(A197,'Données projet'!$A$35:$I$55,7,0))</f>
        <v>0</v>
      </c>
      <c r="Z197" s="21">
        <f>EXP(-LN(2)/35)*Z196+(1-EXP(-LN(2)/35))/(LN(2)/35)*V197*W197*VLOOKUP('Données projet'!$B$9,Paramètres!$A$1:$I$89,3,0)*0.475*44/12</f>
        <v>0.12006700268907256</v>
      </c>
      <c r="AA197" s="21">
        <f>EXP(-LN(2)/25)*AA196+(1-EXP(-LN(2)/25))/(LN(2)/25)*Calculateur!V197*Calculateur!X197*VLOOKUP('Données projet'!$B$9,Paramètres!$A$1:$I$89,3,0)*0.475*44/12</f>
        <v>0.16915434846334262</v>
      </c>
      <c r="AB197" s="21">
        <f>EXP(-LN(2)/2)*AB196+(1-EXP(-LN(2)/2))/(LN(2)/2)*V197*Y197*VLOOKUP('Données projet'!$B$9,Paramètres!$A$1:$I$89,3,0)*0.475*44/12</f>
        <v>3.500322459804926E-25</v>
      </c>
      <c r="AC197" s="22">
        <f t="shared" si="163"/>
        <v>0.28922135115241521</v>
      </c>
      <c r="AD197" s="13">
        <f>('Scénario référence'!$F$8+'Scénario référence'!$F$9+'Scénario référence'!$B$17+'Scénario référence'!$B$9+'Scénario référence'!$B$10)*70+IF((45+25*(1-EXP(-0.0175*A197)))&lt;70,'Scénario référence'!$B$16*(45+25*(1-EXP(-0.0175*A197))),70*'Scénario référence'!$B$16)+IF((32+38*(1-EXP(-0.0175*A197)))&lt;70,'Scénario référence'!$B$18*(32+38*(1-EXP(-0.0175*A197))),70*'Scénario référence'!$B$18)</f>
        <v>70</v>
      </c>
      <c r="AE197" s="13">
        <f>IF(A197&gt;30,10,('Scénario référence'!$B$16+'Scénario référence'!$B$17+'Scénario référence'!$B$18+'Scénario référence'!$B$9+'Scénario référence'!$B$10)*A197*10/30+('Scénario référence'!$F$8+'Scénario référence'!$F$9)*10)</f>
        <v>10</v>
      </c>
      <c r="AF197" s="12" t="e">
        <f>VLOOKUP(A197,'Données projet'!$A$61:$I$81,2,0)</f>
        <v>#N/A</v>
      </c>
      <c r="AG197" s="12" t="e">
        <f>VLOOKUP(A197,'Données projet'!$A$61:$I$81,9,0)</f>
        <v>#N/A</v>
      </c>
      <c r="AH197" s="12">
        <f t="array" ref="AH197">INDEX(AG:AG,MIN(IF(ISNUMBER(AG197:AG393),ROW(AG197:AG393),"")))</f>
        <v>0</v>
      </c>
      <c r="AI197" s="13">
        <f>IF('Données projet'!$A$62&gt;35,AI196+AH197-AQ196,IF(A197&lt;'Données projet'!$A$62,$AF$205^A197,IF(A197='Données projet'!$A$62,'Données projet'!$B$62,AI196+AH197-AQ196)))</f>
        <v>0</v>
      </c>
      <c r="AJ197" s="13">
        <f>AI197*VLOOKUP('Données projet'!$B$10,Paramètres!$A$1:$I$89,3,0)*VLOOKUP('Données projet'!$B$10,Paramètres!$A$1:$I$89,5,0)</f>
        <v>0</v>
      </c>
      <c r="AK197" s="13" t="e">
        <f t="shared" si="164"/>
        <v>#NUM!</v>
      </c>
      <c r="AL197" s="20" t="e">
        <f t="shared" si="165"/>
        <v>#NUM!</v>
      </c>
      <c r="AM197" s="59" t="e">
        <f t="shared" si="193"/>
        <v>#NUM!</v>
      </c>
      <c r="AN197" s="59">
        <f ca="1">AVERAGE(OFFSET($AM$3,0,0,'Données projet'!$E$10+1,1))-AVERAGE(OFFSET($H$3,0,0,'Données projet'!$E$10+1,1))</f>
        <v>261.78489480911571</v>
      </c>
      <c r="AO197" s="59">
        <f t="shared" ref="AO197:AO203" si="205">$AO$3</f>
        <v>297.50513563712764</v>
      </c>
      <c r="AP197" s="15">
        <f>IF(ISNA(VLOOKUP(A197,'Données projet'!$A$61:$I$81,3,0)),0,VLOOKUP(A197,'Données projet'!$A$61:$I$81,3,0))</f>
        <v>0</v>
      </c>
      <c r="AQ197" s="15">
        <f>IF(ISNA(VLOOKUP(A197,'Données projet'!$A$61:$I$81,4,0)),0,VLOOKUP(A197,'Données projet'!$A$61:$I$81,4,0))</f>
        <v>0</v>
      </c>
      <c r="AR197" s="16">
        <f>IF(ISNA(VLOOKUP(A197,'Données projet'!$A$61:$I$81,5,0)),0%,VLOOKUP(A197,'Données projet'!$A$61:$I$81,5,0)*VLOOKUP('Données projet'!$B$10,Paramètres!$A$1:$I$89,7,0))</f>
        <v>0</v>
      </c>
      <c r="AS197" s="16">
        <f>IF(ISNA(VLOOKUP(A197,'Données projet'!$A$61:$I$81,6,0)),0%,VLOOKUP(A197,'Données projet'!$A$61:$I$81,6,0)*VLOOKUP('Données projet'!$B$10,Paramètres!$A$1:$I$89,7,0))</f>
        <v>0</v>
      </c>
      <c r="AT197" s="16">
        <f>IF(ISNA(VLOOKUP(A197,'Données projet'!$A$61:$I$81,7,0)),0%,VLOOKUP(A197,'Données projet'!$A$61:$I$81,7,0))</f>
        <v>0</v>
      </c>
      <c r="AU197" s="21">
        <f>EXP(-LN(2)/35)*AU196+(1-EXP(-LN(2)/35))/(LN(2)/35)*AQ197*AR197*VLOOKUP('Données projet'!$B$10,Paramètres!$A$1:$I$89,3,0)*0.475*44/12</f>
        <v>0.32421486804931743</v>
      </c>
      <c r="AV197" s="21">
        <f>EXP(-LN(2)/25)*AV196+(1-EXP(-LN(2)/25))/(LN(2)/25)*Calculateur!AQ197*Calculateur!AS197*VLOOKUP('Données projet'!$B$10,Paramètres!$A$1:$I$89,3,0)*0.475*44/12</f>
        <v>0.29537799328585523</v>
      </c>
      <c r="AW197" s="21">
        <f>EXP(-LN(2)/2)*AW196+(1-EXP(-LN(2)/2))/(LN(2)/2)*AQ197*AT197*VLOOKUP('Données projet'!$B$10,Paramètres!$A$1:$I$89,3,0)*0.475*44/12</f>
        <v>5.0460480579135697E-24</v>
      </c>
      <c r="AX197" s="21">
        <f t="shared" si="166"/>
        <v>0.61959286133517266</v>
      </c>
      <c r="AY197" s="74">
        <f>('Scénario référence'!$F$8+'Scénario référence'!$F$9+'Scénario référence'!$B$17+'Scénario référence'!$B$9+'Scénario référence'!$B$10)*70+IF((45+25*(1-EXP(-0.0175*A197)))&lt;70,'Scénario référence'!$B$16*(45+25*(1-EXP(-0.0175*A197))),70*'Scénario référence'!$B$16)+IF((32+38*(1-EXP(-0.0175*A197)))&lt;70,'Scénario référence'!$B$18*(32+38*(1-EXP(-0.0175*A197))),70*'Scénario référence'!$B$18)</f>
        <v>70</v>
      </c>
      <c r="AZ197" s="12">
        <f>IF(A197&gt;30,10,('Scénario référence'!$B$16+'Scénario référence'!$B$17+'Scénario référence'!$B$18+'Scénario référence'!$B$9+'Scénario référence'!$B$10)*A197*10/30+('Scénario référence'!$F$8+'Scénario référence'!$F$9)*10)</f>
        <v>10</v>
      </c>
      <c r="BA197" s="12" t="e">
        <f>VLOOKUP(A197,'Données projet'!$A$87:$I$107,2,0)</f>
        <v>#N/A</v>
      </c>
      <c r="BB197" s="12" t="e">
        <f>VLOOKUP(A197,'Données projet'!$A$87:$I$107,9,0)</f>
        <v>#N/A</v>
      </c>
      <c r="BC197" s="12">
        <f t="array" ref="BC197">INDEX(BB:BB,MIN(IF(ISNUMBER(BB197:BB393),ROW(BB197:BB393),"")))</f>
        <v>0</v>
      </c>
      <c r="BD197" s="12">
        <f>IF('Données projet'!$A$88&gt;35,BD196+BC197-BL196,IF(A197&lt;'Données projet'!$A$88,$BA$205^A197,IF(A197='Données projet'!$A$88,'Données projet'!$B$88,BD196+BC197-BL196)))</f>
        <v>553.99999999999955</v>
      </c>
      <c r="BE197" s="13">
        <f>BD197*VLOOKUP('Données projet'!$B$11,Paramètres!$A$1:$I$89,3,0)*VLOOKUP('Données projet'!$B$11,Paramètres!$A$1:$I$89,5,0)</f>
        <v>331.29199999999975</v>
      </c>
      <c r="BF197" s="13">
        <f t="shared" si="167"/>
        <v>77.698110787752</v>
      </c>
      <c r="BG197" s="20">
        <f t="shared" si="168"/>
        <v>712.32444295533423</v>
      </c>
      <c r="BH197" s="59">
        <f t="shared" si="194"/>
        <v>1005.6577762886675</v>
      </c>
      <c r="BI197" s="59">
        <f ca="1">AVERAGE(OFFSET($BH$3,0,0,'Données projet'!$E$11+1,1))-AVERAGE(OFFSET($H$3,0,0,'Données projet'!$E$11+1,1))</f>
        <v>316.58509520829671</v>
      </c>
      <c r="BJ197" s="59">
        <f t="shared" ref="BJ197:BJ203" si="206">$BJ$3</f>
        <v>240.71332110643596</v>
      </c>
      <c r="BK197" s="15">
        <f>IF(ISNA(VLOOKUP(A197,'Données projet'!$A$87:$I$107,3,0)),0,VLOOKUP(A197,'Données projet'!$A$87:$I$107,3,0))</f>
        <v>0</v>
      </c>
      <c r="BL197" s="15">
        <f>IF(ISNA(VLOOKUP(A197,'Données projet'!$A$87:$I$107,4,0)),0,VLOOKUP(A197,'Données projet'!$A$87:$I$107,4,0))</f>
        <v>0</v>
      </c>
      <c r="BM197" s="16">
        <f>IF(ISNA(VLOOKUP(A197,'Données projet'!$A$87:$I$107,5,0)),0%,VLOOKUP(A197,'Données projet'!$A$87:$I$107,5,0)*VLOOKUP('Données projet'!$B$11,Paramètres!$A$1:$I$89,7,0))</f>
        <v>0</v>
      </c>
      <c r="BN197" s="16">
        <f>IF(ISNA(VLOOKUP(A197,'Données projet'!$A$87:$I$107,6,0)),0%,VLOOKUP(A197,'Données projet'!$A$87:$I$107,6,0)*VLOOKUP('Données projet'!$B$11,Paramètres!$A$1:$I$89,7,0))</f>
        <v>0</v>
      </c>
      <c r="BO197" s="16">
        <f>IF(ISNA(VLOOKUP(A197,'Données projet'!$A$87:$I$107,7,0)),0%,VLOOKUP(A197,'Données projet'!$A$87:$I$107,7,0))</f>
        <v>0</v>
      </c>
      <c r="BP197" s="21">
        <f>EXP(-LN(2)/35)*BP196+(1-EXP(-LN(2)/35))/(LN(2)/35)*BL197*BM197*VLOOKUP('Données projet'!$B$11,Paramètres!$A$1:$I$89,3,0)*0.475*44/12</f>
        <v>9.8482678482986613E-2</v>
      </c>
      <c r="BQ197" s="21">
        <f>EXP(-LN(2)/25)*BQ196+(1-EXP(-LN(2)/25))/(LN(2)/25)*Calculateur!BL197*Calculateur!BN197*VLOOKUP('Données projet'!$B$11,Paramètres!$A$1:$I$89,3,0)*0.475*44/12</f>
        <v>0.16181668328370202</v>
      </c>
      <c r="BR197" s="21">
        <f>EXP(-LN(2)/2)*BR196+(1-EXP(-LN(2)/2))/(LN(2)/2)*BL197*BO197*VLOOKUP('Données projet'!$B$11,Paramètres!$A$1:$I$89,3,0)*0.475*44/12</f>
        <v>4.5369498099425498E-24</v>
      </c>
      <c r="BS197" s="22">
        <f t="shared" si="169"/>
        <v>0.26029936176668866</v>
      </c>
      <c r="BT197" s="75">
        <f>('Scénario référence'!$F$8+'Scénario référence'!$F$9+'Scénario référence'!$B$17+'Scénario référence'!$B$9+'Scénario référence'!$B$10)*70+IF((45+25*(1-EXP(-0.0175*A197)))&lt;70,'Scénario référence'!$B$16*(45+25*(1-EXP(-0.0175*A197))),70*'Scénario référence'!$B$16)+IF((32+38*(1-EXP(-0.0175*A197)))&lt;70,'Scénario référence'!$B$18*(32+38*(1-EXP(-0.0175*A197))),70*'Scénario référence'!$B$18)</f>
        <v>70</v>
      </c>
      <c r="BU197" s="12">
        <f>IF(A197&gt;30,10,('Scénario référence'!$B$16+'Scénario référence'!$B$17+'Scénario référence'!$B$18+'Scénario référence'!$B$9+'Scénario référence'!$B$10)*A197*10/30+('Scénario référence'!$F$8+'Scénario référence'!$F$9)*10)</f>
        <v>10</v>
      </c>
      <c r="BV197" s="12" t="e">
        <f>VLOOKUP(A197,'Données projet'!$A$113:$I$133,2,0)</f>
        <v>#N/A</v>
      </c>
      <c r="BW197" s="12" t="e">
        <f>VLOOKUP(A197,'Données projet'!$A$113:$I$133,9,0)</f>
        <v>#N/A</v>
      </c>
      <c r="BX197" s="12">
        <f t="array" ref="BX197">INDEX(BW:BW,MIN(IF(ISNUMBER(BW197:BW393),ROW(BW197:BW393),"")))</f>
        <v>0</v>
      </c>
      <c r="BY197" s="12">
        <f>IF('Données projet'!$A$114&gt;35,BY196+BX197-CG196,IF(A197&lt;'Données projet'!$A$114,$BV$205^A197,IF(A197='Données projet'!$A$114,'Données projet'!$B$114,BY196+BX197-CG196)))</f>
        <v>333.99999999999977</v>
      </c>
      <c r="BZ197" s="13">
        <f>BY197*VLOOKUP('Données projet'!$B$12,Paramètres!$A$1:$I$89,3,0)*VLOOKUP('Données projet'!$B$12,Paramètres!$A$1:$I$89,5,0)</f>
        <v>191.04799999999986</v>
      </c>
      <c r="CA197" s="13">
        <f t="shared" si="170"/>
        <v>47.771576544305155</v>
      </c>
      <c r="CB197" s="20">
        <f t="shared" si="171"/>
        <v>415.94409581466454</v>
      </c>
      <c r="CC197" s="59">
        <f t="shared" si="195"/>
        <v>709.27742914799785</v>
      </c>
      <c r="CD197" s="59">
        <f ca="1">AVERAGE(OFFSET($CC$3,0,0,'Données projet'!$E$12+1,1))-AVERAGE(OFFSET($H$3,0,0,'Données projet'!$E$12+1,1))</f>
        <v>188.64374818906128</v>
      </c>
      <c r="CE197" s="59">
        <f t="shared" ref="CE197:CE203" si="207">$CE$3</f>
        <v>211.95157880548652</v>
      </c>
      <c r="CF197" s="15">
        <f>IF(ISNA(VLOOKUP(A197,'Données projet'!$A$113:$I$133,3,0)),0,VLOOKUP(A197,'Données projet'!$A$113:$I$133,3,0))</f>
        <v>0</v>
      </c>
      <c r="CG197" s="15">
        <f>IF(ISNA(VLOOKUP(A197,'Données projet'!$A$113:$I$133,4,0)),0,VLOOKUP(A197,'Données projet'!$A$113:$I$133,4,0))</f>
        <v>0</v>
      </c>
      <c r="CH197" s="16">
        <f>IF(ISNA(VLOOKUP(A197,'Données projet'!$A$113:$I$133,5,0)),0%,VLOOKUP(A197,'Données projet'!$A$113:$I$133,5,0)*VLOOKUP('Données projet'!$B$12,Paramètres!$A$1:$I$89,7,0))</f>
        <v>0</v>
      </c>
      <c r="CI197" s="16">
        <f>IF(ISNA(VLOOKUP(A197,'Données projet'!$A$113:$I$133,6,0)),0%,VLOOKUP(A197,'Données projet'!$A$113:$I$133,6,0)*VLOOKUP('Données projet'!$B$12,Paramètres!$A$1:$I$89,7,0))</f>
        <v>0</v>
      </c>
      <c r="CJ197" s="16">
        <f>IF(ISNA(VLOOKUP(A197,'Données projet'!$A$113:$I$133,7,0)),0%,VLOOKUP(A197,'Données projet'!$A$113:$I$133,7,0))</f>
        <v>0</v>
      </c>
      <c r="CK197" s="21">
        <f>EXP(-LN(2)/35)*CK196+(1-EXP(-LN(2)/35))/(LN(2)/35)*CG197*CH197*VLOOKUP('Données projet'!$B$12,Paramètres!$A$1:$I$89,3,0)*0.475*44/12</f>
        <v>9.5527595050245329E-2</v>
      </c>
      <c r="CL197" s="21">
        <f>EXP(-LN(2)/25)*CL196+(1-EXP(-LN(2)/25))/(LN(2)/25)*Calculateur!CG197*Calculateur!CI197*VLOOKUP('Données projet'!$B$12,Paramètres!$A$1:$I$89,3,0)*0.475*44/12</f>
        <v>0.15230552612156836</v>
      </c>
      <c r="CM197" s="21">
        <f>EXP(-LN(2)/2)*CM196+(1-EXP(-LN(2)/2))/(LN(2)/2)*CG197*CJ197*VLOOKUP('Données projet'!$B$12,Paramètres!$A$1:$I$89,3,0)*0.475*44/12</f>
        <v>4.3936809147043121E-24</v>
      </c>
      <c r="CN197" s="22">
        <f t="shared" si="172"/>
        <v>0.24783312117181369</v>
      </c>
      <c r="CO197" s="75">
        <f>('Scénario référence'!$F$8+'Scénario référence'!$F$9+'Scénario référence'!$B$17+'Scénario référence'!$B$9+'Scénario référence'!$B$10)*70+IF((45+25*(1-EXP(-0.0175*A197)))&lt;70,'Scénario référence'!$B$16*(45+25*(1-EXP(-0.0175*A197))),70*'Scénario référence'!$B$16)+IF((32+38*(1-EXP(-0.0175*A197)))&lt;70,'Scénario référence'!$B$18*(32+38*(1-EXP(-0.0175*A197))),70*'Scénario référence'!$B$18)</f>
        <v>70</v>
      </c>
      <c r="CP197" s="12">
        <f>IF(A197&gt;30,10,('Scénario référence'!$B$16+'Scénario référence'!$B$17+'Scénario référence'!$B$18+'Scénario référence'!$B$9+'Scénario référence'!$B$10)*A197*10/30+('Scénario référence'!$F$8+'Scénario référence'!$F$9)*10)</f>
        <v>10</v>
      </c>
      <c r="CQ197" s="12" t="e">
        <f>VLOOKUP(A197,'Données projet'!$A$139:$I$159,2,0)</f>
        <v>#N/A</v>
      </c>
      <c r="CR197" s="12" t="e">
        <f>VLOOKUP(A197,'Données projet'!$A$139:$I$159,9,0)</f>
        <v>#N/A</v>
      </c>
      <c r="CS197" s="12">
        <f t="array" ref="CS197">INDEX(CR:CR,MIN(IF(ISNUMBER(CR197:CR393),ROW(CR197:CR393),"")))</f>
        <v>0</v>
      </c>
      <c r="CT197" s="12">
        <f>IF('Données projet'!$A$140&gt;35,CT196+CS197-DB196,IF(A197&lt;'Données projet'!$A$140,$CQ$205^A197,IF(A197='Données projet'!$A$140,'Données projet'!$B$140,CT196+CS197-DB196)))</f>
        <v>0</v>
      </c>
      <c r="CU197" s="17" t="e">
        <f>CT197*VLOOKUP('Données projet'!$B$13,Paramètres!$A$1:$I$89,3,0)*VLOOKUP('Données projet'!$B$13,Paramètres!$A$1:$I$89,5,0)</f>
        <v>#N/A</v>
      </c>
      <c r="CV197" s="13" t="e">
        <f t="shared" si="173"/>
        <v>#N/A</v>
      </c>
      <c r="CW197" s="20" t="e">
        <f t="shared" si="174"/>
        <v>#N/A</v>
      </c>
      <c r="CX197" s="59" t="e">
        <f t="shared" si="196"/>
        <v>#N/A</v>
      </c>
      <c r="CY197" s="59" t="e">
        <f ca="1">AVERAGE(OFFSET($CX$3,0,0,'Données projet'!$E$13+1,1))-AVERAGE(OFFSET($H$3,0,0,'Données projet'!$E$13+1,1))</f>
        <v>#N/A</v>
      </c>
      <c r="CZ197" s="59" t="e">
        <f t="shared" ref="CZ197:CZ203" si="208">$CZ$3</f>
        <v>#N/A</v>
      </c>
      <c r="DA197" s="15">
        <f>IF(ISNA(VLOOKUP(A197,'Données projet'!$A$139:$I$159,3,0)),0,VLOOKUP(A197,'Données projet'!$A$139:$I$159,3,0))</f>
        <v>0</v>
      </c>
      <c r="DB197" s="15">
        <f>IF(ISNA(VLOOKUP(A197,'Données projet'!$A$139:$I$159,4,0)),0,VLOOKUP(A197,'Données projet'!$A$139:$I$159,4,0))</f>
        <v>0</v>
      </c>
      <c r="DC197" s="16">
        <f>IF(ISNA(VLOOKUP(A197,'Données projet'!$A$139:$I$159,5,0)),0%,VLOOKUP(A197,'Données projet'!$A$139:$I$159,5,0)*VLOOKUP('Données projet'!$B$13,Paramètres!$A$1:$I$89,7,0))</f>
        <v>0</v>
      </c>
      <c r="DD197" s="16">
        <f>IF(ISNA(VLOOKUP(A197,'Données projet'!$A$139:$I$159,6,0)),0%,VLOOKUP(A197,'Données projet'!$A$139:$I$159,6,0)*VLOOKUP('Données projet'!$B$13,Paramètres!$A$1:$I$89,7,0))</f>
        <v>0</v>
      </c>
      <c r="DE197" s="16">
        <f>IF(ISNA(VLOOKUP(A197,'Données projet'!$A$139:$I$159,7,0)),0%,VLOOKUP(A197,'Données projet'!$A$139:$I$159,7,0))</f>
        <v>0</v>
      </c>
      <c r="DF197" s="21" t="e">
        <f>EXP(-LN(2)/35)*DF196+(1-EXP(-LN(2)/35))/(LN(2)/35)*DB197*DC197*VLOOKUP('Données projet'!$B$13,Paramètres!$A$1:$I$89,3,0)*0.475*44/12</f>
        <v>#N/A</v>
      </c>
      <c r="DG197" s="21" t="e">
        <f>EXP(-LN(2)/25)*DG196+(1-EXP(-LN(2)/25))/(LN(2)/25)*Calculateur!DB197*Calculateur!DD197*VLOOKUP('Données projet'!$B$13,Paramètres!$A$1:$I$89,3,0)*0.475*44/12</f>
        <v>#N/A</v>
      </c>
      <c r="DH197" s="21" t="e">
        <f>EXP(-LN(2)/2)*DH196+(1-EXP(-LN(2)/2))/(LN(2)/2)*DB197*DE197*VLOOKUP('Données projet'!$B$13,Paramètres!$A$1:$I$89,3,0)*0.475*44/12</f>
        <v>#N/A</v>
      </c>
      <c r="DI197" s="22" t="e">
        <f t="shared" si="175"/>
        <v>#N/A</v>
      </c>
      <c r="DJ197" s="75">
        <f>('Scénario référence'!$F$8+'Scénario référence'!$F$9+'Scénario référence'!$B$17+'Scénario référence'!$B$9+'Scénario référence'!$B$10)*70+IF((45+25*(1-EXP(-0.0175*A197)))&lt;70,'Scénario référence'!$B$16*(45+25*(1-EXP(-0.0175*A197))),70*'Scénario référence'!$B$16)+IF((32+38*(1-EXP(-0.0175*A197)))&lt;70,'Scénario référence'!$B$18*(32+38*(1-EXP(-0.0175*A197))),70*'Scénario référence'!$B$18)</f>
        <v>70</v>
      </c>
      <c r="DK197" s="12">
        <f>IF(A197&gt;30,10,('Scénario référence'!$B$16+'Scénario référence'!$B$17+'Scénario référence'!$B$18+'Scénario référence'!$B$9+'Scénario référence'!$B$10)*A197*10/30+('Scénario référence'!$F$8+'Scénario référence'!$F$9)*10)</f>
        <v>10</v>
      </c>
      <c r="DL197" s="12" t="e">
        <f>VLOOKUP(A197,'Données projet'!$A$165:$I$185,2,0)</f>
        <v>#N/A</v>
      </c>
      <c r="DM197" s="12" t="e">
        <f>VLOOKUP(A197,'Données projet'!$A$165:$I$185,9,0)</f>
        <v>#N/A</v>
      </c>
      <c r="DN197" s="12">
        <f t="array" ref="DN197">INDEX(DM:DM,MIN(IF(ISNUMBER(DM197:DM393),ROW(DM197:DM393),"")))</f>
        <v>0</v>
      </c>
      <c r="DO197" s="12">
        <f>IF('Données projet'!$A$166&gt;35,DO196+DN197-DW196,IF(A197&lt;'Données projet'!$A$166,$DL$205^A197,IF(A197='Données projet'!$A$166,'Données projet'!$B$166,DO196+DN197-DW196)))</f>
        <v>268.00000000000017</v>
      </c>
      <c r="DP197" s="17">
        <f>DO197*VLOOKUP('Données projet'!$B$14,Paramètres!$A$1:$I$89,3,0)*VLOOKUP('Données projet'!$B$14,Paramètres!$A$1:$I$89,5,0)</f>
        <v>175.59360000000012</v>
      </c>
      <c r="DQ197" s="13">
        <f t="shared" si="176"/>
        <v>44.340433728638573</v>
      </c>
      <c r="DR197" s="20">
        <f t="shared" si="177"/>
        <v>383.05177541071242</v>
      </c>
      <c r="DS197" s="59">
        <f t="shared" si="197"/>
        <v>676.38510874404574</v>
      </c>
      <c r="DT197" s="59">
        <f ca="1">AVERAGE(OFFSET($DS$3,0,0,'Données projet'!$E$14+1,1))-AVERAGE(OFFSET($H$3,0,0,'Données projet'!$E$14+1,1))</f>
        <v>188.68915783955595</v>
      </c>
      <c r="DU197" s="59">
        <f t="shared" ref="DU197:DU203" si="209">$DU$3</f>
        <v>240.82467772396944</v>
      </c>
      <c r="DV197" s="15">
        <f>IF(ISNA(VLOOKUP(A197,'Données projet'!$A$165:$I$185,3,0)),0,VLOOKUP(A197,'Données projet'!$A$165:$I$185,3,0))</f>
        <v>0</v>
      </c>
      <c r="DW197" s="15">
        <f>IF(ISNA(VLOOKUP(A197,'Données projet'!$A$165:$I$185,4,0)),0,VLOOKUP(A197,'Données projet'!$A$165:$I$185,4,0))</f>
        <v>0</v>
      </c>
      <c r="DX197" s="16">
        <f>IF(ISNA(VLOOKUP(A197,'Données projet'!$A$165:$I$185,5,0)),0%,VLOOKUP(A197,'Données projet'!$A$165:$I$185,5,0)*VLOOKUP('Données projet'!$B$14,Paramètres!$A$1:$I$89,7,0))</f>
        <v>0</v>
      </c>
      <c r="DY197" s="16">
        <f>IF(ISNA(VLOOKUP(A197,'Données projet'!$A$165:$I$185,6,0)),0%,VLOOKUP(A197,'Données projet'!$A$165:$I$185,6,0)*VLOOKUP('Données projet'!$B$14,Paramètres!$A$1:$I$89,7,0))</f>
        <v>0</v>
      </c>
      <c r="DZ197" s="16">
        <f>IF(ISNA(VLOOKUP(A197,'Données projet'!$A$165:$I$185,7,0)),0%,VLOOKUP(A197,'Données projet'!$A$165:$I$185,7,0))</f>
        <v>0</v>
      </c>
      <c r="EA197" s="21">
        <f>EXP(-LN(2)/35)*EA196+(1-EXP(-LN(2)/35))/(LN(2)/35)*DW197*DX197*VLOOKUP('Données projet'!$B$14,Paramètres!$A$1:$I$89,3,0)*0.475*44/12</f>
        <v>6.0508851241843138E-2</v>
      </c>
      <c r="EB197" s="21">
        <f>EXP(-LN(2)/25)*EB196+(1-EXP(-LN(2)/25))/(LN(2)/25)*Calculateur!DW197*Calculateur!DY197*VLOOKUP('Données projet'!$B$14,Paramètres!$A$1:$I$89,3,0)*0.475*44/12</f>
        <v>8.5190822303695193E-2</v>
      </c>
      <c r="EC197" s="21">
        <f>EXP(-LN(2)/2)*EC196+(1-EXP(-LN(2)/2))/(LN(2)/2)*DW197*DZ197*VLOOKUP('Données projet'!$B$14,Paramètres!$A$1:$I$89,3,0)*0.475*44/12</f>
        <v>2.8943893328932167E-24</v>
      </c>
      <c r="ED197" s="22">
        <f t="shared" si="178"/>
        <v>0.14569967354553834</v>
      </c>
      <c r="EE197" s="75">
        <f>('Scénario référence'!$F$8+'Scénario référence'!$F$9+'Scénario référence'!$B$17+'Scénario référence'!$B$9+'Scénario référence'!$B$10)*70+IF((45+25*(1-EXP(-0.0175*A197)))&lt;70,'Scénario référence'!$B$16*(45+25*(1-EXP(-0.0175*A197))),70*'Scénario référence'!$B$16)+IF((32+38*(1-EXP(-0.0175*A197)))&lt;70,'Scénario référence'!$B$18*(32+38*(1-EXP(-0.0175*A197))),70*'Scénario référence'!$B$18)</f>
        <v>70</v>
      </c>
      <c r="EF197" s="12">
        <f>IF(A197&gt;30,10,('Scénario référence'!$B$16+'Scénario référence'!$B$17+'Scénario référence'!$B$18+'Scénario référence'!$B$9+'Scénario référence'!$B$10)*A197*10/30+('Scénario référence'!$F$8+'Scénario référence'!$F$9)*10)</f>
        <v>10</v>
      </c>
      <c r="EG197" s="12" t="e">
        <f>VLOOKUP(A197,'Données projet'!$A$191:$I$211,2,0)</f>
        <v>#N/A</v>
      </c>
      <c r="EH197" s="12" t="e">
        <f>VLOOKUP(A197,'Données projet'!$A$191:$I$211,9,0)</f>
        <v>#N/A</v>
      </c>
      <c r="EI197" s="12">
        <f t="array" ref="EI197">INDEX(EH:EH,MIN(IF(ISNUMBER(EH197:EH393),ROW(EH197:EH393),"")))</f>
        <v>0</v>
      </c>
      <c r="EJ197" s="12">
        <f>IF('Données projet'!$A$192&gt;35,EJ196+EI197-ER196,IF(A197&lt;'Données projet'!$A$192,$EG$205^A197,IF(A197='Données projet'!$A$192,'Données projet'!$B$192,EJ196+EI197-ER196)))</f>
        <v>275.99999999999972</v>
      </c>
      <c r="EK197" s="17">
        <f>EJ197*VLOOKUP('Données projet'!$B$15,Paramètres!$A$1:$I$89,3,0)*VLOOKUP('Données projet'!$B$15,Paramètres!$A$1:$I$89,5,0)</f>
        <v>223.8911999999998</v>
      </c>
      <c r="EL197" s="13">
        <f t="shared" si="179"/>
        <v>54.95975389514858</v>
      </c>
      <c r="EM197" s="20">
        <f t="shared" si="180"/>
        <v>485.66541136738346</v>
      </c>
      <c r="EN197" s="59">
        <f t="shared" si="198"/>
        <v>778.99874470071677</v>
      </c>
      <c r="EO197" s="59">
        <f ca="1">AVERAGE(OFFSET($EN$3,0,0,'Données projet'!$E$15+1,1))-AVERAGE(OFFSET($H$3,0,0,'Données projet'!$E$15+1,1))</f>
        <v>205.5272583787887</v>
      </c>
      <c r="EP197" s="59">
        <f t="shared" ref="EP197:EP203" si="210">$EP$3</f>
        <v>180.54762778843178</v>
      </c>
      <c r="EQ197" s="15">
        <f>IF(ISNA(VLOOKUP(A197,'Données projet'!$A$191:$I$211,3,0)),0,VLOOKUP(A197,'Données projet'!$A$191:$I$211,3,0))</f>
        <v>0</v>
      </c>
      <c r="ER197" s="15">
        <f>IF(ISNA(VLOOKUP(A197,'Données projet'!$A$191:$I$211,4,0)),0,VLOOKUP(A197,'Données projet'!$A$191:$I$211,4,0))</f>
        <v>0</v>
      </c>
      <c r="ES197" s="16">
        <f>IF(ISNA(VLOOKUP(A197,'Données projet'!$A$191:$I$211,5,0)),0%,VLOOKUP(A197,'Données projet'!$A$191:$I$211,5,0)*VLOOKUP('Données projet'!$B$15,Paramètres!$A$1:$I$89,7,0))</f>
        <v>0</v>
      </c>
      <c r="ET197" s="16">
        <f>IF(ISNA(VLOOKUP(A197,'Données projet'!$A$191:$I$211,6,0)),0%,VLOOKUP(A197,'Données projet'!$A$191:$I$211,6,0)*VLOOKUP('Données projet'!$B$15,Paramètres!$A$1:$I$89,7,0))</f>
        <v>0</v>
      </c>
      <c r="EU197" s="16">
        <f>IF(ISNA(VLOOKUP(A197,'Données projet'!$A$191:$I$211,7,0)),0%,VLOOKUP(A197,'Données projet'!$A$191:$I$211,7,0))</f>
        <v>0</v>
      </c>
      <c r="EV197" s="21">
        <f>EXP(-LN(2)/35)*EV196+(1-EXP(-LN(2)/35))/(LN(2)/35)*ER197*ES197*VLOOKUP('Données projet'!$B$15,Paramètres!$A$1:$I$89,3,0)*0.475*44/12</f>
        <v>3.8956174704272331E-2</v>
      </c>
      <c r="EW197" s="21">
        <f>EXP(-LN(2)/25)*EW196+(1-EXP(-LN(2)/25))/(LN(2)/25)*Calculateur!ER197*Calculateur!ET197*VLOOKUP('Données projet'!$B$15,Paramètres!$A$1:$I$89,3,0)*0.475*44/12</f>
        <v>6.1510358049061388E-2</v>
      </c>
      <c r="EX197" s="21">
        <f>EXP(-LN(2)/2)*EX196+(1-EXP(-LN(2)/2))/(LN(2)/2)*ER197*EU197*VLOOKUP('Données projet'!$B$15,Paramètres!$A$1:$I$89,3,0)*0.475*44/12</f>
        <v>1.8741192332356807E-24</v>
      </c>
      <c r="EY197" s="22">
        <f t="shared" si="181"/>
        <v>0.10046653275333373</v>
      </c>
      <c r="EZ197" s="75">
        <f>('Scénario référence'!$F$8+'Scénario référence'!$F$9+'Scénario référence'!$B$17+'Scénario référence'!$B$9+'Scénario référence'!$B$10)*70+IF((45+25*(1-EXP(-0.0175*A197)))&lt;70,'Scénario référence'!$B$16*(45+25*(1-EXP(-0.0175*A197))),70*'Scénario référence'!$B$16)+IF((32+38*(1-EXP(-0.0175*A197)))&lt;70,'Scénario référence'!$B$18*(32+38*(1-EXP(-0.0175*A197))),70*'Scénario référence'!$B$18)</f>
        <v>70</v>
      </c>
      <c r="FA197" s="12">
        <f>IF(A197&gt;30,10,('Scénario référence'!$B$16+'Scénario référence'!$B$17+'Scénario référence'!$B$18+'Scénario référence'!$B$9+'Scénario référence'!$B$10)*A197*10/30+('Scénario référence'!$F$8+'Scénario référence'!$F$9)*10)</f>
        <v>10</v>
      </c>
      <c r="FB197" s="12" t="e">
        <f>VLOOKUP(A197,'Données projet'!$A$217:$I$237,2,0)</f>
        <v>#N/A</v>
      </c>
      <c r="FC197" s="12" t="e">
        <f>VLOOKUP(A197,'Données projet'!$A$217:$I$237,9,0)</f>
        <v>#N/A</v>
      </c>
      <c r="FD197" s="12">
        <f t="array" ref="FD197">INDEX(FC:FC,MIN(IF(ISNUMBER(FC197:FC393),ROW(FC197:FC393),"")))</f>
        <v>0</v>
      </c>
      <c r="FE197" s="12">
        <f>IF('Données projet'!$A$218&gt;35,FE196+FD197-FM196,IF(A197&lt;'Données projet'!$A$218,$FB$205^A197,IF(A197='Données projet'!$A$218,'Données projet'!$B$218,FE196+FD197-FM196)))</f>
        <v>418.99999999999983</v>
      </c>
      <c r="FF197" s="17">
        <f>FE197*VLOOKUP('Données projet'!$B$16,Paramètres!$A$1:$I$89,3,0)*VLOOKUP('Données projet'!$B$16,Paramètres!$A$1:$I$89,5,0)</f>
        <v>359.5019999999999</v>
      </c>
      <c r="FG197" s="13">
        <f t="shared" si="182"/>
        <v>83.516011055432813</v>
      </c>
      <c r="FH197" s="20">
        <f t="shared" si="183"/>
        <v>771.58970258821194</v>
      </c>
      <c r="FI197" s="59">
        <f t="shared" si="199"/>
        <v>1064.9230359215453</v>
      </c>
      <c r="FJ197" s="59">
        <f ca="1">AVERAGE(OFFSET($FI$3,0,0,'Données projet'!$E$16+1,1))-AVERAGE(OFFSET($H$3,0,0,'Données projet'!$E$16+1,1))</f>
        <v>383.97627237444709</v>
      </c>
      <c r="FK197" s="59">
        <f t="shared" ref="FK197:FK203" si="211">$FK$3</f>
        <v>203.35476578922339</v>
      </c>
      <c r="FL197" s="15">
        <f>IF(ISNA(VLOOKUP(A197,'Données projet'!$A$217:$I$237,3,0)),0,VLOOKUP(A197,'Données projet'!$A$217:$I$237,3,0))</f>
        <v>0</v>
      </c>
      <c r="FM197" s="15">
        <f>IF(ISNA(VLOOKUP(A197,'Données projet'!$A$217:$I$237,4,0)),0,VLOOKUP(A197,'Données projet'!$A$217:$I$237,4,0))</f>
        <v>0</v>
      </c>
      <c r="FN197" s="16">
        <f>IF(ISNA(VLOOKUP(A197,'Données projet'!$A$217:$I$237,5,0)),0%,VLOOKUP(A197,'Données projet'!$A$217:$I$237,5,0)*VLOOKUP('Données projet'!$B$16,Paramètres!$A$1:$I$89,7,0))</f>
        <v>0</v>
      </c>
      <c r="FO197" s="16">
        <f>IF(ISNA(VLOOKUP(A197,'Données projet'!$A$217:$I$237,6,0)),0%,VLOOKUP(A197,'Données projet'!$A$217:$I$237,6,0)*VLOOKUP('Données projet'!$B$16,Paramètres!$A$1:$I$89,7,0))</f>
        <v>0</v>
      </c>
      <c r="FP197" s="16">
        <f>IF(ISNA(VLOOKUP(A197,'Données projet'!$A$217:$I$237,7,0)),0%,VLOOKUP(A197,'Données projet'!$A$217:$I$237,7,0))</f>
        <v>0</v>
      </c>
      <c r="FQ197" s="21">
        <f>EXP(-LN(2)/35)*FQ196+(1-EXP(-LN(2)/35))/(LN(2)/35)*FM197*FN197*VLOOKUP('Données projet'!$B$16,Paramètres!$A$1:$I$89,3,0)*0.475*44/12</f>
        <v>0.20021360343767727</v>
      </c>
      <c r="FR197" s="21">
        <f>EXP(-LN(2)/25)*FR196+(1-EXP(-LN(2)/25))/(LN(2)/25)*Calculateur!FM197*Calculateur!FO197*VLOOKUP('Données projet'!$B$16,Paramètres!$A$1:$I$89,3,0)*0.475*44/12</f>
        <v>6.2439371119518951E-2</v>
      </c>
      <c r="FS197" s="21">
        <f>EXP(-LN(2)/2)*FS196+(1-EXP(-LN(2)/2))/(LN(2)/2)*FM197*FP197*VLOOKUP('Données projet'!$B$16,Paramètres!$A$1:$I$89,3,0)*0.475*44/12</f>
        <v>3.44237240650056E-24</v>
      </c>
      <c r="FT197" s="22">
        <f t="shared" si="184"/>
        <v>0.26265297455719622</v>
      </c>
      <c r="FU197" s="75">
        <f>('Scénario référence'!$F$8+'Scénario référence'!$F$9+'Scénario référence'!$B$17+'Scénario référence'!$B$9+'Scénario référence'!$B$10)*70+IF((45+25*(1-EXP(-0.0175*A197)))&lt;70,'Scénario référence'!$B$16*(45+25*(1-EXP(-0.0175*A197))),70*'Scénario référence'!$B$16)+IF((32+38*(1-EXP(-0.0175*A197)))&lt;70,'Scénario référence'!$B$18*(32+38*(1-EXP(-0.0175*A197))),70*'Scénario référence'!$B$18)</f>
        <v>70</v>
      </c>
      <c r="FV197" s="12">
        <f>IF(A197&gt;30,10,('Scénario référence'!$B$16+'Scénario référence'!$B$17+'Scénario référence'!$B$18+'Scénario référence'!$B$9+'Scénario référence'!$B$10)*A197*10/30+('Scénario référence'!$F$8+'Scénario référence'!$F$9)*10)</f>
        <v>10</v>
      </c>
      <c r="FW197" s="12" t="e">
        <f>VLOOKUP(A197,'Données projet'!$A$243:$I$263,2,0)</f>
        <v>#N/A</v>
      </c>
      <c r="FX197" s="12" t="e">
        <f>VLOOKUP(A197,'Données projet'!$A$243:$I$263,9,0)</f>
        <v>#N/A</v>
      </c>
      <c r="FY197" s="12">
        <f t="array" ref="FY197">INDEX(FX:FX,MIN(IF(ISNUMBER(FX197:FX393),ROW(FX197:FX393),"")))</f>
        <v>0</v>
      </c>
      <c r="FZ197" s="12">
        <f>IF('Données projet'!$A$244&gt;35,FZ196+FY197-GH196,IF(A197&lt;'Données projet'!$A$244,$FW$205^A197,IF(A197='Données projet'!$A$244,'Données projet'!$B$244,FZ196+FY197-GH196)))</f>
        <v>4.5474735088646412E-13</v>
      </c>
      <c r="GA197" s="17">
        <f>FZ197*VLOOKUP('Données projet'!$B$17,Paramètres!$A$1:$I$89,3,0)*VLOOKUP('Données projet'!$B$17,Paramètres!$A$1:$I$89,5,0)</f>
        <v>4.8949004849418999E-13</v>
      </c>
      <c r="GB197" s="13">
        <f t="shared" si="185"/>
        <v>6.1123715499968684E-12</v>
      </c>
      <c r="GC197" s="20">
        <f t="shared" si="186"/>
        <v>1.1498242284038591E-11</v>
      </c>
      <c r="GD197" s="59">
        <f t="shared" si="200"/>
        <v>293.3333333333448</v>
      </c>
      <c r="GE197" s="59">
        <f ca="1">AVERAGE(OFFSET($GD$3,0,0,'Données projet'!$E$17+1,1))-AVERAGE(OFFSET($H$3,0,0,'Données projet'!$E$17+1,1))</f>
        <v>286.77702855541287</v>
      </c>
      <c r="GF197" s="59">
        <f t="shared" ref="GF197:GF203" si="212">$GF$3</f>
        <v>227.12211541860779</v>
      </c>
      <c r="GG197" s="15">
        <f>IF(ISNA(VLOOKUP(A197,'Données projet'!$A$243:$I$263,3,0)),0,VLOOKUP(A197,'Données projet'!$A$243:$I$263,3,0))</f>
        <v>0</v>
      </c>
      <c r="GH197" s="15">
        <f>IF(ISNA(VLOOKUP(A197,'Données projet'!$A$243:$I$263,4,0)),0,VLOOKUP(A197,'Données projet'!$A$243:$I$263,4,0))</f>
        <v>0</v>
      </c>
      <c r="GI197" s="16">
        <f>IF(ISNA(VLOOKUP(A197,'Données projet'!$A$243:$I$263,5,0)),0%,VLOOKUP(A197,'Données projet'!$A$243:$I$263,5,0)*VLOOKUP('Données projet'!$B$17,Paramètres!$A$1:$I$89,7,0))</f>
        <v>0</v>
      </c>
      <c r="GJ197" s="16">
        <f>IF(ISNA(VLOOKUP(A197,'Données projet'!$A$243:$I$263,6,0)),0%,VLOOKUP(A197,'Données projet'!$A$243:$I$263,6,0)*VLOOKUP('Données projet'!$B$17,Paramètres!$A$1:$I$89,7,0))</f>
        <v>0</v>
      </c>
      <c r="GK197" s="16">
        <f>IF(ISNA(VLOOKUP(A197,'Données projet'!$A$243:$I$263,7,0)),0%,VLOOKUP(A197,'Données projet'!$A$243:$I$263,7,0))</f>
        <v>0</v>
      </c>
      <c r="GL197" s="21">
        <f>EXP(-LN(2)/35)*GL196+(1-EXP(-LN(2)/35))/(LN(2)/35)*GH197*GI197*VLOOKUP('Données projet'!$B$17,Paramètres!$A$1:$I$89,3,0)*0.475*44/12</f>
        <v>0</v>
      </c>
      <c r="GM197" s="21">
        <f>EXP(-LN(2)/25)*GM196+(1-EXP(-LN(2)/25))/(LN(2)/25)*Calculateur!GH197*Calculateur!GJ197*VLOOKUP('Données projet'!$B$17,Paramètres!$A$1:$I$89,3,0)*0.475*44/12</f>
        <v>0</v>
      </c>
      <c r="GN197" s="21">
        <f>EXP(-LN(2)/2)*GN196+(1-EXP(-LN(2)/2))/(LN(2)/2)*GH197*GK197*VLOOKUP('Données projet'!$B$17,Paramètres!$A$1:$I$89,3,0)*0.475*44/12</f>
        <v>0</v>
      </c>
      <c r="GO197" s="21">
        <f t="shared" si="187"/>
        <v>0</v>
      </c>
      <c r="GP197" s="75">
        <f>('Scénario référence'!$F$8+'Scénario référence'!$F$9+'Scénario référence'!$B$17+'Scénario référence'!$B$9+'Scénario référence'!$B$10)*70+IF((45+25*(1-EXP(-0.0175*A197)))&lt;70,'Scénario référence'!$B$16*(45+25*(1-EXP(-0.0175*A197))),70*'Scénario référence'!$B$16)+IF((32+38*(1-EXP(-0.0175*A197)))&lt;70,'Scénario référence'!$B$18*(32+38*(1-EXP(-0.0175*A197))),70*'Scénario référence'!$B$18)</f>
        <v>70</v>
      </c>
      <c r="GQ197" s="12">
        <f>IF(A197&gt;30,10,('Scénario référence'!$B$16+'Scénario référence'!$B$17+'Scénario référence'!$B$18+'Scénario référence'!$B$9+'Scénario référence'!$B$10)*A197*10/30+('Scénario référence'!$F$8+'Scénario référence'!$F$9)*10)</f>
        <v>10</v>
      </c>
      <c r="GR197" s="12" t="e">
        <f>VLOOKUP(A197,'Données projet'!$A$269:$I$289,2,0)</f>
        <v>#N/A</v>
      </c>
      <c r="GS197" s="12" t="e">
        <f>VLOOKUP(A197,'Données projet'!$A$269:$I$289,9,0)</f>
        <v>#N/A</v>
      </c>
      <c r="GT197" s="12">
        <f t="array" ref="GT197">INDEX(GS:GS,MIN(IF(ISNUMBER(GS197:GS393),ROW(GS197:GS393),"")))</f>
        <v>0</v>
      </c>
      <c r="GU197" s="12">
        <f>IF('Données projet'!$A$270&gt;35,GU196+GT197-HC196,IF(A197&lt;'Données projet'!$A$270,$GR$205^A197,IF(A197='Données projet'!$A$270,'Données projet'!$B$270,GU196+GT197-HC196)))</f>
        <v>4.5474735088646412E-13</v>
      </c>
      <c r="GV197" s="17">
        <f>GU197*VLOOKUP('Données projet'!$B$18,Paramètres!$A$1:$I$89,3,0)*VLOOKUP('Données projet'!$B$18,Paramètres!$A$1:$I$89,5,0)</f>
        <v>4.8949004849418999E-13</v>
      </c>
      <c r="GW197" s="13">
        <f t="shared" si="188"/>
        <v>6.1123715499968684E-12</v>
      </c>
      <c r="GX197" s="20">
        <f t="shared" si="189"/>
        <v>1.1498242284038591E-11</v>
      </c>
      <c r="GY197" s="59">
        <f t="shared" si="201"/>
        <v>293.3333333333448</v>
      </c>
      <c r="GZ197" s="59">
        <f ca="1">AVERAGE(OFFSET($GY$3,0,0,'Données projet'!$E$18+1,1))-AVERAGE(OFFSET($H$3,0,0,'Données projet'!$E$18+1,1))</f>
        <v>286.77702855541287</v>
      </c>
      <c r="HA197" s="59">
        <f t="shared" ref="HA197:HA203" si="213">$HA$3</f>
        <v>227.12211541860779</v>
      </c>
      <c r="HB197" s="15">
        <f>IF(ISNA(VLOOKUP(A197,'Données projet'!$A$269:$I$289,3,0)),0,VLOOKUP(A197,'Données projet'!$A$269:$I$289,3,0))</f>
        <v>0</v>
      </c>
      <c r="HC197" s="15">
        <f>IF(ISNA(VLOOKUP(A197,'Données projet'!$A$269:$I$289,4,0)),0,VLOOKUP(A197,'Données projet'!$A$269:$I$289,4,0))</f>
        <v>0</v>
      </c>
      <c r="HD197" s="16">
        <f>IF(ISNA(VLOOKUP(A197,'Données projet'!$A$269:$I$289,5,0)),0%,VLOOKUP(A197,'Données projet'!$A$269:$I$289,5,0)*VLOOKUP('Données projet'!$B$18,Paramètres!$A$1:$I$89,7,0))</f>
        <v>0</v>
      </c>
      <c r="HE197" s="16">
        <f>IF(ISNA(VLOOKUP(A197,'Données projet'!$A$269:$I$289,6,0)),0%,VLOOKUP(A197,'Données projet'!$A$269:$I$289,6,0)*VLOOKUP('Données projet'!$B$18,Paramètres!$A$1:$I$89,7,0))</f>
        <v>0</v>
      </c>
      <c r="HF197" s="16">
        <f>IF(ISNA(VLOOKUP(A197,'Données projet'!$A$269:$I$289,7,0)),0%,VLOOKUP(A197,'Données projet'!$A$269:$I$289,7,0))</f>
        <v>0</v>
      </c>
      <c r="HG197" s="21">
        <f>EXP(-LN(2)/35)*HG196+(1-EXP(-LN(2)/35))/(LN(2)/35)*HC197*HD197*VLOOKUP('Données projet'!$B$18,Paramètres!$A$1:$I$89,3,0)*0.475*44/12</f>
        <v>0</v>
      </c>
      <c r="HH197" s="21">
        <f>EXP(-LN(2)/25)*HH196+(1-EXP(-LN(2)/25))/(LN(2)/25)*Calculateur!HC197*Calculateur!HE197*VLOOKUP('Données projet'!$B$18,Paramètres!$A$1:$I$89,3,0)*0.475*44/12</f>
        <v>0</v>
      </c>
      <c r="HI197" s="21">
        <f>EXP(-LN(2)/2)*HI196+(1-EXP(-LN(2)/2))/(LN(2)/2)*HC197*HF197*VLOOKUP('Données projet'!$B$18,Paramètres!$A$1:$I$89,3,0)*0.475*44/12</f>
        <v>0</v>
      </c>
      <c r="HJ197" s="22">
        <f t="shared" si="190"/>
        <v>0</v>
      </c>
    </row>
    <row r="198" spans="1:218" x14ac:dyDescent="0.25">
      <c r="A198" s="10">
        <f t="shared" si="161"/>
        <v>195</v>
      </c>
      <c r="B198" s="73">
        <f>'Scénario référence'!$B$16*5+'Scénario référence'!$B$17*0+'Scénario référence'!$B$18*5</f>
        <v>0</v>
      </c>
      <c r="C198" s="19">
        <f>Calculateur!C197+'Scénario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173.39399999999964</v>
      </c>
      <c r="D198" s="11">
        <f t="shared" si="202"/>
        <v>43.849289930196555</v>
      </c>
      <c r="E198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98" s="11">
        <f>IF(OR('Scénario référence'!$F$8&gt;0,'Scénario référence'!$F$9&gt;0),('Scénario référence'!$F$8+'Scénario référence'!$F$9)*10,0)</f>
        <v>10</v>
      </c>
      <c r="G198" s="11">
        <f>'Scénario référence'!$B$8*B198*44/12+'Scénario référence'!$B$9*(C198+D198)/0.475*44/12+'Scénario référence'!$B$10*(C198+D198)/0.475*44/12+'Scénario référence'!$F$8*(C198+D198)/0.475*44/12+'Scénario référence'!$F$9*(C198+D198)/0.475*44/12</f>
        <v>1676.9657468295848</v>
      </c>
      <c r="H198" s="67">
        <f t="shared" si="192"/>
        <v>671.69872996175832</v>
      </c>
      <c r="I198" s="70">
        <f>('Scénario référence'!$F$8+'Scénario référence'!$F$9+'Scénario référence'!$B$17+'Scénario référence'!$B$9+'Scénario référence'!$B$10)*70+IF((45+25*(1-EXP(-0.0175*A198)))&lt;70,'Scénario référence'!$B$16*(45+25*(1-EXP(-0.0175*A198))),70*'Scénario référence'!$B$16)+IF((32+38*(1-EXP(-0.0175*A198)))&lt;70,'Scénario référence'!$B$18*(32+38*(1-EXP(-0.0175*A198))),70*'Scénario référence'!$B$18)</f>
        <v>70</v>
      </c>
      <c r="J198" s="13">
        <f>IF(A198&gt;30,10,('Scénario référence'!$B$16+'Scénario référence'!$B$17+'Scénario référence'!$B$18+'Scénario référence'!$B$9+'Scénario référence'!$B$10)*A198*10/30+('Scénario référence'!$F$8+'Scénario référence'!$F$9)*10)</f>
        <v>10</v>
      </c>
      <c r="K198" s="12" t="e">
        <f>VLOOKUP(A198,'Données projet'!$A$35:$I$55,2,0)</f>
        <v>#N/A</v>
      </c>
      <c r="L198" s="12" t="e">
        <f>VLOOKUP(A198,'Données projet'!$A$35:$I$55,9,0)</f>
        <v>#N/A</v>
      </c>
      <c r="M198" s="12">
        <f t="array" ref="M198">INDEX(L:L,MIN(IF(ISNUMBER(L198:L394),ROW(L198:L394),"")))</f>
        <v>0</v>
      </c>
      <c r="N198" s="13">
        <f>IF('Données projet'!$A$36&gt;35,N197+M198-V197,IF(A198&lt;'Données projet'!$A$36,$K$205^A198,IF(A198='Données projet'!$A$36,'Données projet'!$B$36,N197+M198-V197)))</f>
        <v>-2.2737367544323206E-13</v>
      </c>
      <c r="O198" s="13">
        <f>N198*VLOOKUP('Données projet'!$B$9,Paramètres!$A$1:$I$89,3,0)*VLOOKUP('Données projet'!$B$9,Paramètres!$A$1:$I$89,5,0)</f>
        <v>-1.2710188457276673E-13</v>
      </c>
      <c r="P198" s="13" t="e">
        <f t="shared" si="203"/>
        <v>#NUM!</v>
      </c>
      <c r="Q198" s="20" t="e">
        <f t="shared" si="162"/>
        <v>#NUM!</v>
      </c>
      <c r="R198" s="59" t="e">
        <f t="shared" si="191"/>
        <v>#NUM!</v>
      </c>
      <c r="S198" s="59">
        <f ca="1">AVERAGE(OFFSET($R$3,0,0,'Données projet'!$E$9+1,1))-AVERAGE(OFFSET($H$3,0,0,'Données projet'!$E$9+1,1))</f>
        <v>255.5374979188561</v>
      </c>
      <c r="T198" s="59">
        <f t="shared" si="204"/>
        <v>343.10418468620901</v>
      </c>
      <c r="U198" s="15">
        <f>IF(ISNA(VLOOKUP(A198,'Données projet'!$A$35:$I$55,3,0)),0,VLOOKUP(A198,'Données projet'!$A$35:$I$55,3,0))</f>
        <v>0</v>
      </c>
      <c r="V198" s="15">
        <f>IF(ISNA(VLOOKUP(A198,'Données projet'!$A$35:$I$55,4,0)),0,VLOOKUP(A198,'Données projet'!$A$35:$I$55,4,0))</f>
        <v>0</v>
      </c>
      <c r="W198" s="16">
        <f>IF(ISNA(VLOOKUP(A198,'Données projet'!$A$35:$I$55,5,0)),0%,VLOOKUP(A198,'Données projet'!$A$35:$I$55,5,0)*VLOOKUP('Données projet'!$B$9,Paramètres!$A$1:$I$89,7,0))</f>
        <v>0</v>
      </c>
      <c r="X198" s="16">
        <f>IF(ISNA(VLOOKUP(A198,'Données projet'!$A$35:$I$55,6,0)),0%,VLOOKUP(A198,'Données projet'!$A$35:$I$55,6,0)*VLOOKUP('Données projet'!$B$9,Paramètres!$A$1:$I$89,7,0))</f>
        <v>0</v>
      </c>
      <c r="Y198" s="16">
        <f>IF(ISNA(VLOOKUP(A198,'Données projet'!$A$35:$I$55,7,0)),0%,VLOOKUP(A198,'Données projet'!$A$35:$I$55,7,0))</f>
        <v>0</v>
      </c>
      <c r="Z198" s="21">
        <f>EXP(-LN(2)/35)*Z197+(1-EXP(-LN(2)/35))/(LN(2)/35)*V198*W198*VLOOKUP('Données projet'!$B$9,Paramètres!$A$1:$I$89,3,0)*0.475*44/12</f>
        <v>0.11771256199998026</v>
      </c>
      <c r="AA198" s="21">
        <f>EXP(-LN(2)/25)*AA197+(1-EXP(-LN(2)/25))/(LN(2)/25)*Calculateur!V198*Calculateur!X198*VLOOKUP('Données projet'!$B$9,Paramètres!$A$1:$I$89,3,0)*0.475*44/12</f>
        <v>0.16452881390917193</v>
      </c>
      <c r="AB198" s="21">
        <f>EXP(-LN(2)/2)*AB197+(1-EXP(-LN(2)/2))/(LN(2)/2)*V198*Y198*VLOOKUP('Données projet'!$B$9,Paramètres!$A$1:$I$89,3,0)*0.475*44/12</f>
        <v>2.4751017476676396E-25</v>
      </c>
      <c r="AC198" s="22">
        <f t="shared" si="163"/>
        <v>0.28224137590915221</v>
      </c>
      <c r="AD198" s="13">
        <f>('Scénario référence'!$F$8+'Scénario référence'!$F$9+'Scénario référence'!$B$17+'Scénario référence'!$B$9+'Scénario référence'!$B$10)*70+IF((45+25*(1-EXP(-0.0175*A198)))&lt;70,'Scénario référence'!$B$16*(45+25*(1-EXP(-0.0175*A198))),70*'Scénario référence'!$B$16)+IF((32+38*(1-EXP(-0.0175*A198)))&lt;70,'Scénario référence'!$B$18*(32+38*(1-EXP(-0.0175*A198))),70*'Scénario référence'!$B$18)</f>
        <v>70</v>
      </c>
      <c r="AE198" s="13">
        <f>IF(A198&gt;30,10,('Scénario référence'!$B$16+'Scénario référence'!$B$17+'Scénario référence'!$B$18+'Scénario référence'!$B$9+'Scénario référence'!$B$10)*A198*10/30+('Scénario référence'!$F$8+'Scénario référence'!$F$9)*10)</f>
        <v>10</v>
      </c>
      <c r="AF198" s="12" t="e">
        <f>VLOOKUP(A198,'Données projet'!$A$61:$I$81,2,0)</f>
        <v>#N/A</v>
      </c>
      <c r="AG198" s="12" t="e">
        <f>VLOOKUP(A198,'Données projet'!$A$61:$I$81,9,0)</f>
        <v>#N/A</v>
      </c>
      <c r="AH198" s="12">
        <f t="array" ref="AH198">INDEX(AG:AG,MIN(IF(ISNUMBER(AG198:AG394),ROW(AG198:AG394),"")))</f>
        <v>0</v>
      </c>
      <c r="AI198" s="13">
        <f>IF('Données projet'!$A$62&gt;35,AI197+AH198-AQ197,IF(A198&lt;'Données projet'!$A$62,$AF$205^A198,IF(A198='Données projet'!$A$62,'Données projet'!$B$62,AI197+AH198-AQ197)))</f>
        <v>0</v>
      </c>
      <c r="AJ198" s="13">
        <f>AI198*VLOOKUP('Données projet'!$B$10,Paramètres!$A$1:$I$89,3,0)*VLOOKUP('Données projet'!$B$10,Paramètres!$A$1:$I$89,5,0)</f>
        <v>0</v>
      </c>
      <c r="AK198" s="13" t="e">
        <f t="shared" si="164"/>
        <v>#NUM!</v>
      </c>
      <c r="AL198" s="20" t="e">
        <f t="shared" si="165"/>
        <v>#NUM!</v>
      </c>
      <c r="AM198" s="59" t="e">
        <f t="shared" si="193"/>
        <v>#NUM!</v>
      </c>
      <c r="AN198" s="59">
        <f ca="1">AVERAGE(OFFSET($AM$3,0,0,'Données projet'!$E$10+1,1))-AVERAGE(OFFSET($H$3,0,0,'Données projet'!$E$10+1,1))</f>
        <v>261.78489480911571</v>
      </c>
      <c r="AO198" s="59">
        <f t="shared" si="205"/>
        <v>297.50513563712764</v>
      </c>
      <c r="AP198" s="15">
        <f>IF(ISNA(VLOOKUP(A198,'Données projet'!$A$61:$I$81,3,0)),0,VLOOKUP(A198,'Données projet'!$A$61:$I$81,3,0))</f>
        <v>0</v>
      </c>
      <c r="AQ198" s="15">
        <f>IF(ISNA(VLOOKUP(A198,'Données projet'!$A$61:$I$81,4,0)),0,VLOOKUP(A198,'Données projet'!$A$61:$I$81,4,0))</f>
        <v>0</v>
      </c>
      <c r="AR198" s="16">
        <f>IF(ISNA(VLOOKUP(A198,'Données projet'!$A$61:$I$81,5,0)),0%,VLOOKUP(A198,'Données projet'!$A$61:$I$81,5,0)*VLOOKUP('Données projet'!$B$10,Paramètres!$A$1:$I$89,7,0))</f>
        <v>0</v>
      </c>
      <c r="AS198" s="16">
        <f>IF(ISNA(VLOOKUP(A198,'Données projet'!$A$61:$I$81,6,0)),0%,VLOOKUP(A198,'Données projet'!$A$61:$I$81,6,0)*VLOOKUP('Données projet'!$B$10,Paramètres!$A$1:$I$89,7,0))</f>
        <v>0</v>
      </c>
      <c r="AT198" s="16">
        <f>IF(ISNA(VLOOKUP(A198,'Données projet'!$A$61:$I$81,7,0)),0%,VLOOKUP(A198,'Données projet'!$A$61:$I$81,7,0))</f>
        <v>0</v>
      </c>
      <c r="AU198" s="21">
        <f>EXP(-LN(2)/35)*AU197+(1-EXP(-LN(2)/35))/(LN(2)/35)*AQ198*AR198*VLOOKUP('Données projet'!$B$10,Paramètres!$A$1:$I$89,3,0)*0.475*44/12</f>
        <v>0.31785721223841346</v>
      </c>
      <c r="AV198" s="21">
        <f>EXP(-LN(2)/25)*AV197+(1-EXP(-LN(2)/25))/(LN(2)/25)*Calculateur!AQ198*Calculateur!AS198*VLOOKUP('Données projet'!$B$10,Paramètres!$A$1:$I$89,3,0)*0.475*44/12</f>
        <v>0.28730086652619996</v>
      </c>
      <c r="AW198" s="21">
        <f>EXP(-LN(2)/2)*AW197+(1-EXP(-LN(2)/2))/(LN(2)/2)*AQ198*AT198*VLOOKUP('Données projet'!$B$10,Paramètres!$A$1:$I$89,3,0)*0.475*44/12</f>
        <v>3.5680947999438935E-24</v>
      </c>
      <c r="AX198" s="21">
        <f t="shared" si="166"/>
        <v>0.60515807876461336</v>
      </c>
      <c r="AY198" s="74">
        <f>('Scénario référence'!$F$8+'Scénario référence'!$F$9+'Scénario référence'!$B$17+'Scénario référence'!$B$9+'Scénario référence'!$B$10)*70+IF((45+25*(1-EXP(-0.0175*A198)))&lt;70,'Scénario référence'!$B$16*(45+25*(1-EXP(-0.0175*A198))),70*'Scénario référence'!$B$16)+IF((32+38*(1-EXP(-0.0175*A198)))&lt;70,'Scénario référence'!$B$18*(32+38*(1-EXP(-0.0175*A198))),70*'Scénario référence'!$B$18)</f>
        <v>70</v>
      </c>
      <c r="AZ198" s="12">
        <f>IF(A198&gt;30,10,('Scénario référence'!$B$16+'Scénario référence'!$B$17+'Scénario référence'!$B$18+'Scénario référence'!$B$9+'Scénario référence'!$B$10)*A198*10/30+('Scénario référence'!$F$8+'Scénario référence'!$F$9)*10)</f>
        <v>10</v>
      </c>
      <c r="BA198" s="12" t="e">
        <f>VLOOKUP(A198,'Données projet'!$A$87:$I$107,2,0)</f>
        <v>#N/A</v>
      </c>
      <c r="BB198" s="12" t="e">
        <f>VLOOKUP(A198,'Données projet'!$A$87:$I$107,9,0)</f>
        <v>#N/A</v>
      </c>
      <c r="BC198" s="12">
        <f t="array" ref="BC198">INDEX(BB:BB,MIN(IF(ISNUMBER(BB198:BB394),ROW(BB198:BB394),"")))</f>
        <v>0</v>
      </c>
      <c r="BD198" s="12">
        <f>IF('Données projet'!$A$88&gt;35,BD197+BC198-BL197,IF(A198&lt;'Données projet'!$A$88,$BA$205^A198,IF(A198='Données projet'!$A$88,'Données projet'!$B$88,BD197+BC198-BL197)))</f>
        <v>553.99999999999955</v>
      </c>
      <c r="BE198" s="13">
        <f>BD198*VLOOKUP('Données projet'!$B$11,Paramètres!$A$1:$I$89,3,0)*VLOOKUP('Données projet'!$B$11,Paramètres!$A$1:$I$89,5,0)</f>
        <v>331.29199999999975</v>
      </c>
      <c r="BF198" s="13">
        <f t="shared" si="167"/>
        <v>77.698110787752</v>
      </c>
      <c r="BG198" s="20">
        <f t="shared" si="168"/>
        <v>712.32444295533423</v>
      </c>
      <c r="BH198" s="59">
        <f t="shared" si="194"/>
        <v>1005.6577762886675</v>
      </c>
      <c r="BI198" s="59">
        <f ca="1">AVERAGE(OFFSET($BH$3,0,0,'Données projet'!$E$11+1,1))-AVERAGE(OFFSET($H$3,0,0,'Données projet'!$E$11+1,1))</f>
        <v>316.58509520829671</v>
      </c>
      <c r="BJ198" s="59">
        <f t="shared" si="206"/>
        <v>240.71332110643596</v>
      </c>
      <c r="BK198" s="15">
        <f>IF(ISNA(VLOOKUP(A198,'Données projet'!$A$87:$I$107,3,0)),0,VLOOKUP(A198,'Données projet'!$A$87:$I$107,3,0))</f>
        <v>0</v>
      </c>
      <c r="BL198" s="15">
        <f>IF(ISNA(VLOOKUP(A198,'Données projet'!$A$87:$I$107,4,0)),0,VLOOKUP(A198,'Données projet'!$A$87:$I$107,4,0))</f>
        <v>0</v>
      </c>
      <c r="BM198" s="16">
        <f>IF(ISNA(VLOOKUP(A198,'Données projet'!$A$87:$I$107,5,0)),0%,VLOOKUP(A198,'Données projet'!$A$87:$I$107,5,0)*VLOOKUP('Données projet'!$B$11,Paramètres!$A$1:$I$89,7,0))</f>
        <v>0</v>
      </c>
      <c r="BN198" s="16">
        <f>IF(ISNA(VLOOKUP(A198,'Données projet'!$A$87:$I$107,6,0)),0%,VLOOKUP(A198,'Données projet'!$A$87:$I$107,6,0)*VLOOKUP('Données projet'!$B$11,Paramètres!$A$1:$I$89,7,0))</f>
        <v>0</v>
      </c>
      <c r="BO198" s="16">
        <f>IF(ISNA(VLOOKUP(A198,'Données projet'!$A$87:$I$107,7,0)),0%,VLOOKUP(A198,'Données projet'!$A$87:$I$107,7,0))</f>
        <v>0</v>
      </c>
      <c r="BP198" s="21">
        <f>EXP(-LN(2)/35)*BP197+(1-EXP(-LN(2)/35))/(LN(2)/35)*BL198*BM198*VLOOKUP('Données projet'!$B$11,Paramètres!$A$1:$I$89,3,0)*0.475*44/12</f>
        <v>9.6551493226437843E-2</v>
      </c>
      <c r="BQ198" s="21">
        <f>EXP(-LN(2)/25)*BQ197+(1-EXP(-LN(2)/25))/(LN(2)/25)*Calculateur!BL198*Calculateur!BN198*VLOOKUP('Données projet'!$B$11,Paramètres!$A$1:$I$89,3,0)*0.475*44/12</f>
        <v>0.15739179756973964</v>
      </c>
      <c r="BR198" s="21">
        <f>EXP(-LN(2)/2)*BR197+(1-EXP(-LN(2)/2))/(LN(2)/2)*BL198*BO198*VLOOKUP('Données projet'!$B$11,Paramètres!$A$1:$I$89,3,0)*0.475*44/12</f>
        <v>3.208107976513395E-24</v>
      </c>
      <c r="BS198" s="22">
        <f t="shared" si="169"/>
        <v>0.2539432907961775</v>
      </c>
      <c r="BT198" s="75">
        <f>('Scénario référence'!$F$8+'Scénario référence'!$F$9+'Scénario référence'!$B$17+'Scénario référence'!$B$9+'Scénario référence'!$B$10)*70+IF((45+25*(1-EXP(-0.0175*A198)))&lt;70,'Scénario référence'!$B$16*(45+25*(1-EXP(-0.0175*A198))),70*'Scénario référence'!$B$16)+IF((32+38*(1-EXP(-0.0175*A198)))&lt;70,'Scénario référence'!$B$18*(32+38*(1-EXP(-0.0175*A198))),70*'Scénario référence'!$B$18)</f>
        <v>70</v>
      </c>
      <c r="BU198" s="12">
        <f>IF(A198&gt;30,10,('Scénario référence'!$B$16+'Scénario référence'!$B$17+'Scénario référence'!$B$18+'Scénario référence'!$B$9+'Scénario référence'!$B$10)*A198*10/30+('Scénario référence'!$F$8+'Scénario référence'!$F$9)*10)</f>
        <v>10</v>
      </c>
      <c r="BV198" s="12" t="e">
        <f>VLOOKUP(A198,'Données projet'!$A$113:$I$133,2,0)</f>
        <v>#N/A</v>
      </c>
      <c r="BW198" s="12" t="e">
        <f>VLOOKUP(A198,'Données projet'!$A$113:$I$133,9,0)</f>
        <v>#N/A</v>
      </c>
      <c r="BX198" s="12">
        <f t="array" ref="BX198">INDEX(BW:BW,MIN(IF(ISNUMBER(BW198:BW394),ROW(BW198:BW394),"")))</f>
        <v>0</v>
      </c>
      <c r="BY198" s="12">
        <f>IF('Données projet'!$A$114&gt;35,BY197+BX198-CG197,IF(A198&lt;'Données projet'!$A$114,$BV$205^A198,IF(A198='Données projet'!$A$114,'Données projet'!$B$114,BY197+BX198-CG197)))</f>
        <v>333.99999999999977</v>
      </c>
      <c r="BZ198" s="13">
        <f>BY198*VLOOKUP('Données projet'!$B$12,Paramètres!$A$1:$I$89,3,0)*VLOOKUP('Données projet'!$B$12,Paramètres!$A$1:$I$89,5,0)</f>
        <v>191.04799999999986</v>
      </c>
      <c r="CA198" s="13">
        <f t="shared" si="170"/>
        <v>47.771576544305155</v>
      </c>
      <c r="CB198" s="20">
        <f t="shared" si="171"/>
        <v>415.94409581466454</v>
      </c>
      <c r="CC198" s="59">
        <f t="shared" si="195"/>
        <v>709.27742914799785</v>
      </c>
      <c r="CD198" s="59">
        <f ca="1">AVERAGE(OFFSET($CC$3,0,0,'Données projet'!$E$12+1,1))-AVERAGE(OFFSET($H$3,0,0,'Données projet'!$E$12+1,1))</f>
        <v>188.64374818906128</v>
      </c>
      <c r="CE198" s="59">
        <f t="shared" si="207"/>
        <v>211.95157880548652</v>
      </c>
      <c r="CF198" s="15">
        <f>IF(ISNA(VLOOKUP(A198,'Données projet'!$A$113:$I$133,3,0)),0,VLOOKUP(A198,'Données projet'!$A$113:$I$133,3,0))</f>
        <v>0</v>
      </c>
      <c r="CG198" s="15">
        <f>IF(ISNA(VLOOKUP(A198,'Données projet'!$A$113:$I$133,4,0)),0,VLOOKUP(A198,'Données projet'!$A$113:$I$133,4,0))</f>
        <v>0</v>
      </c>
      <c r="CH198" s="16">
        <f>IF(ISNA(VLOOKUP(A198,'Données projet'!$A$113:$I$133,5,0)),0%,VLOOKUP(A198,'Données projet'!$A$113:$I$133,5,0)*VLOOKUP('Données projet'!$B$12,Paramètres!$A$1:$I$89,7,0))</f>
        <v>0</v>
      </c>
      <c r="CI198" s="16">
        <f>IF(ISNA(VLOOKUP(A198,'Données projet'!$A$113:$I$133,6,0)),0%,VLOOKUP(A198,'Données projet'!$A$113:$I$133,6,0)*VLOOKUP('Données projet'!$B$12,Paramètres!$A$1:$I$89,7,0))</f>
        <v>0</v>
      </c>
      <c r="CJ198" s="16">
        <f>IF(ISNA(VLOOKUP(A198,'Données projet'!$A$113:$I$133,7,0)),0%,VLOOKUP(A198,'Données projet'!$A$113:$I$133,7,0))</f>
        <v>0</v>
      </c>
      <c r="CK198" s="21">
        <f>EXP(-LN(2)/35)*CK197+(1-EXP(-LN(2)/35))/(LN(2)/35)*CG198*CH198*VLOOKUP('Données projet'!$B$12,Paramètres!$A$1:$I$89,3,0)*0.475*44/12</f>
        <v>9.3654357177389708E-2</v>
      </c>
      <c r="CL198" s="21">
        <f>EXP(-LN(2)/25)*CL197+(1-EXP(-LN(2)/25))/(LN(2)/25)*Calculateur!CG198*Calculateur!CI198*VLOOKUP('Données projet'!$B$12,Paramètres!$A$1:$I$89,3,0)*0.475*44/12</f>
        <v>0.14814072350037455</v>
      </c>
      <c r="CM198" s="21">
        <f>EXP(-LN(2)/2)*CM197+(1-EXP(-LN(2)/2))/(LN(2)/2)*CG198*CJ198*VLOOKUP('Données projet'!$B$12,Paramètres!$A$1:$I$89,3,0)*0.475*44/12</f>
        <v>3.106801569157332E-24</v>
      </c>
      <c r="CN198" s="22">
        <f t="shared" si="172"/>
        <v>0.24179508067776426</v>
      </c>
      <c r="CO198" s="75">
        <f>('Scénario référence'!$F$8+'Scénario référence'!$F$9+'Scénario référence'!$B$17+'Scénario référence'!$B$9+'Scénario référence'!$B$10)*70+IF((45+25*(1-EXP(-0.0175*A198)))&lt;70,'Scénario référence'!$B$16*(45+25*(1-EXP(-0.0175*A198))),70*'Scénario référence'!$B$16)+IF((32+38*(1-EXP(-0.0175*A198)))&lt;70,'Scénario référence'!$B$18*(32+38*(1-EXP(-0.0175*A198))),70*'Scénario référence'!$B$18)</f>
        <v>70</v>
      </c>
      <c r="CP198" s="12">
        <f>IF(A198&gt;30,10,('Scénario référence'!$B$16+'Scénario référence'!$B$17+'Scénario référence'!$B$18+'Scénario référence'!$B$9+'Scénario référence'!$B$10)*A198*10/30+('Scénario référence'!$F$8+'Scénario référence'!$F$9)*10)</f>
        <v>10</v>
      </c>
      <c r="CQ198" s="12" t="e">
        <f>VLOOKUP(A198,'Données projet'!$A$139:$I$159,2,0)</f>
        <v>#N/A</v>
      </c>
      <c r="CR198" s="12" t="e">
        <f>VLOOKUP(A198,'Données projet'!$A$139:$I$159,9,0)</f>
        <v>#N/A</v>
      </c>
      <c r="CS198" s="12">
        <f t="array" ref="CS198">INDEX(CR:CR,MIN(IF(ISNUMBER(CR198:CR394),ROW(CR198:CR394),"")))</f>
        <v>0</v>
      </c>
      <c r="CT198" s="12">
        <f>IF('Données projet'!$A$140&gt;35,CT197+CS198-DB197,IF(A198&lt;'Données projet'!$A$140,$CQ$205^A198,IF(A198='Données projet'!$A$140,'Données projet'!$B$140,CT197+CS198-DB197)))</f>
        <v>0</v>
      </c>
      <c r="CU198" s="17" t="e">
        <f>CT198*VLOOKUP('Données projet'!$B$13,Paramètres!$A$1:$I$89,3,0)*VLOOKUP('Données projet'!$B$13,Paramètres!$A$1:$I$89,5,0)</f>
        <v>#N/A</v>
      </c>
      <c r="CV198" s="13" t="e">
        <f t="shared" si="173"/>
        <v>#N/A</v>
      </c>
      <c r="CW198" s="20" t="e">
        <f t="shared" si="174"/>
        <v>#N/A</v>
      </c>
      <c r="CX198" s="59" t="e">
        <f t="shared" si="196"/>
        <v>#N/A</v>
      </c>
      <c r="CY198" s="59" t="e">
        <f ca="1">AVERAGE(OFFSET($CX$3,0,0,'Données projet'!$E$13+1,1))-AVERAGE(OFFSET($H$3,0,0,'Données projet'!$E$13+1,1))</f>
        <v>#N/A</v>
      </c>
      <c r="CZ198" s="59" t="e">
        <f t="shared" si="208"/>
        <v>#N/A</v>
      </c>
      <c r="DA198" s="15">
        <f>IF(ISNA(VLOOKUP(A198,'Données projet'!$A$139:$I$159,3,0)),0,VLOOKUP(A198,'Données projet'!$A$139:$I$159,3,0))</f>
        <v>0</v>
      </c>
      <c r="DB198" s="15">
        <f>IF(ISNA(VLOOKUP(A198,'Données projet'!$A$139:$I$159,4,0)),0,VLOOKUP(A198,'Données projet'!$A$139:$I$159,4,0))</f>
        <v>0</v>
      </c>
      <c r="DC198" s="16">
        <f>IF(ISNA(VLOOKUP(A198,'Données projet'!$A$139:$I$159,5,0)),0%,VLOOKUP(A198,'Données projet'!$A$139:$I$159,5,0)*VLOOKUP('Données projet'!$B$13,Paramètres!$A$1:$I$89,7,0))</f>
        <v>0</v>
      </c>
      <c r="DD198" s="16">
        <f>IF(ISNA(VLOOKUP(A198,'Données projet'!$A$139:$I$159,6,0)),0%,VLOOKUP(A198,'Données projet'!$A$139:$I$159,6,0)*VLOOKUP('Données projet'!$B$13,Paramètres!$A$1:$I$89,7,0))</f>
        <v>0</v>
      </c>
      <c r="DE198" s="16">
        <f>IF(ISNA(VLOOKUP(A198,'Données projet'!$A$139:$I$159,7,0)),0%,VLOOKUP(A198,'Données projet'!$A$139:$I$159,7,0))</f>
        <v>0</v>
      </c>
      <c r="DF198" s="21" t="e">
        <f>EXP(-LN(2)/35)*DF197+(1-EXP(-LN(2)/35))/(LN(2)/35)*DB198*DC198*VLOOKUP('Données projet'!$B$13,Paramètres!$A$1:$I$89,3,0)*0.475*44/12</f>
        <v>#N/A</v>
      </c>
      <c r="DG198" s="21" t="e">
        <f>EXP(-LN(2)/25)*DG197+(1-EXP(-LN(2)/25))/(LN(2)/25)*Calculateur!DB198*Calculateur!DD198*VLOOKUP('Données projet'!$B$13,Paramètres!$A$1:$I$89,3,0)*0.475*44/12</f>
        <v>#N/A</v>
      </c>
      <c r="DH198" s="21" t="e">
        <f>EXP(-LN(2)/2)*DH197+(1-EXP(-LN(2)/2))/(LN(2)/2)*DB198*DE198*VLOOKUP('Données projet'!$B$13,Paramètres!$A$1:$I$89,3,0)*0.475*44/12</f>
        <v>#N/A</v>
      </c>
      <c r="DI198" s="22" t="e">
        <f t="shared" si="175"/>
        <v>#N/A</v>
      </c>
      <c r="DJ198" s="75">
        <f>('Scénario référence'!$F$8+'Scénario référence'!$F$9+'Scénario référence'!$B$17+'Scénario référence'!$B$9+'Scénario référence'!$B$10)*70+IF((45+25*(1-EXP(-0.0175*A198)))&lt;70,'Scénario référence'!$B$16*(45+25*(1-EXP(-0.0175*A198))),70*'Scénario référence'!$B$16)+IF((32+38*(1-EXP(-0.0175*A198)))&lt;70,'Scénario référence'!$B$18*(32+38*(1-EXP(-0.0175*A198))),70*'Scénario référence'!$B$18)</f>
        <v>70</v>
      </c>
      <c r="DK198" s="12">
        <f>IF(A198&gt;30,10,('Scénario référence'!$B$16+'Scénario référence'!$B$17+'Scénario référence'!$B$18+'Scénario référence'!$B$9+'Scénario référence'!$B$10)*A198*10/30+('Scénario référence'!$F$8+'Scénario référence'!$F$9)*10)</f>
        <v>10</v>
      </c>
      <c r="DL198" s="12" t="e">
        <f>VLOOKUP(A198,'Données projet'!$A$165:$I$185,2,0)</f>
        <v>#N/A</v>
      </c>
      <c r="DM198" s="12" t="e">
        <f>VLOOKUP(A198,'Données projet'!$A$165:$I$185,9,0)</f>
        <v>#N/A</v>
      </c>
      <c r="DN198" s="12">
        <f t="array" ref="DN198">INDEX(DM:DM,MIN(IF(ISNUMBER(DM198:DM394),ROW(DM198:DM394),"")))</f>
        <v>0</v>
      </c>
      <c r="DO198" s="12">
        <f>IF('Données projet'!$A$166&gt;35,DO197+DN198-DW197,IF(A198&lt;'Données projet'!$A$166,$DL$205^A198,IF(A198='Données projet'!$A$166,'Données projet'!$B$166,DO197+DN198-DW197)))</f>
        <v>268.00000000000017</v>
      </c>
      <c r="DP198" s="17">
        <f>DO198*VLOOKUP('Données projet'!$B$14,Paramètres!$A$1:$I$89,3,0)*VLOOKUP('Données projet'!$B$14,Paramètres!$A$1:$I$89,5,0)</f>
        <v>175.59360000000012</v>
      </c>
      <c r="DQ198" s="13">
        <f t="shared" si="176"/>
        <v>44.340433728638573</v>
      </c>
      <c r="DR198" s="20">
        <f t="shared" si="177"/>
        <v>383.05177541071242</v>
      </c>
      <c r="DS198" s="59">
        <f t="shared" si="197"/>
        <v>676.38510874404574</v>
      </c>
      <c r="DT198" s="59">
        <f ca="1">AVERAGE(OFFSET($DS$3,0,0,'Données projet'!$E$14+1,1))-AVERAGE(OFFSET($H$3,0,0,'Données projet'!$E$14+1,1))</f>
        <v>188.68915783955595</v>
      </c>
      <c r="DU198" s="59">
        <f t="shared" si="209"/>
        <v>240.82467772396944</v>
      </c>
      <c r="DV198" s="15">
        <f>IF(ISNA(VLOOKUP(A198,'Données projet'!$A$165:$I$185,3,0)),0,VLOOKUP(A198,'Données projet'!$A$165:$I$185,3,0))</f>
        <v>0</v>
      </c>
      <c r="DW198" s="15">
        <f>IF(ISNA(VLOOKUP(A198,'Données projet'!$A$165:$I$185,4,0)),0,VLOOKUP(A198,'Données projet'!$A$165:$I$185,4,0))</f>
        <v>0</v>
      </c>
      <c r="DX198" s="16">
        <f>IF(ISNA(VLOOKUP(A198,'Données projet'!$A$165:$I$185,5,0)),0%,VLOOKUP(A198,'Données projet'!$A$165:$I$185,5,0)*VLOOKUP('Données projet'!$B$14,Paramètres!$A$1:$I$89,7,0))</f>
        <v>0</v>
      </c>
      <c r="DY198" s="16">
        <f>IF(ISNA(VLOOKUP(A198,'Données projet'!$A$165:$I$185,6,0)),0%,VLOOKUP(A198,'Données projet'!$A$165:$I$185,6,0)*VLOOKUP('Données projet'!$B$14,Paramètres!$A$1:$I$89,7,0))</f>
        <v>0</v>
      </c>
      <c r="DZ198" s="16">
        <f>IF(ISNA(VLOOKUP(A198,'Données projet'!$A$165:$I$185,7,0)),0%,VLOOKUP(A198,'Données projet'!$A$165:$I$185,7,0))</f>
        <v>0</v>
      </c>
      <c r="EA198" s="21">
        <f>EXP(-LN(2)/35)*EA197+(1-EXP(-LN(2)/35))/(LN(2)/35)*DW198*DX198*VLOOKUP('Données projet'!$B$14,Paramètres!$A$1:$I$89,3,0)*0.475*44/12</f>
        <v>5.9322309575745615E-2</v>
      </c>
      <c r="EB198" s="21">
        <f>EXP(-LN(2)/25)*EB197+(1-EXP(-LN(2)/25))/(LN(2)/25)*Calculateur!DW198*Calculateur!DY198*VLOOKUP('Données projet'!$B$14,Paramètres!$A$1:$I$89,3,0)*0.475*44/12</f>
        <v>8.286127478781001E-2</v>
      </c>
      <c r="EC198" s="21">
        <f>EXP(-LN(2)/2)*EC197+(1-EXP(-LN(2)/2))/(LN(2)/2)*DW198*DZ198*VLOOKUP('Données projet'!$B$14,Paramètres!$A$1:$I$89,3,0)*0.475*44/12</f>
        <v>2.046642324682801E-24</v>
      </c>
      <c r="ED198" s="22">
        <f t="shared" si="178"/>
        <v>0.14218358436355563</v>
      </c>
      <c r="EE198" s="75">
        <f>('Scénario référence'!$F$8+'Scénario référence'!$F$9+'Scénario référence'!$B$17+'Scénario référence'!$B$9+'Scénario référence'!$B$10)*70+IF((45+25*(1-EXP(-0.0175*A198)))&lt;70,'Scénario référence'!$B$16*(45+25*(1-EXP(-0.0175*A198))),70*'Scénario référence'!$B$16)+IF((32+38*(1-EXP(-0.0175*A198)))&lt;70,'Scénario référence'!$B$18*(32+38*(1-EXP(-0.0175*A198))),70*'Scénario référence'!$B$18)</f>
        <v>70</v>
      </c>
      <c r="EF198" s="12">
        <f>IF(A198&gt;30,10,('Scénario référence'!$B$16+'Scénario référence'!$B$17+'Scénario référence'!$B$18+'Scénario référence'!$B$9+'Scénario référence'!$B$10)*A198*10/30+('Scénario référence'!$F$8+'Scénario référence'!$F$9)*10)</f>
        <v>10</v>
      </c>
      <c r="EG198" s="12" t="e">
        <f>VLOOKUP(A198,'Données projet'!$A$191:$I$211,2,0)</f>
        <v>#N/A</v>
      </c>
      <c r="EH198" s="12" t="e">
        <f>VLOOKUP(A198,'Données projet'!$A$191:$I$211,9,0)</f>
        <v>#N/A</v>
      </c>
      <c r="EI198" s="12">
        <f t="array" ref="EI198">INDEX(EH:EH,MIN(IF(ISNUMBER(EH198:EH394),ROW(EH198:EH394),"")))</f>
        <v>0</v>
      </c>
      <c r="EJ198" s="12">
        <f>IF('Données projet'!$A$192&gt;35,EJ197+EI198-ER197,IF(A198&lt;'Données projet'!$A$192,$EG$205^A198,IF(A198='Données projet'!$A$192,'Données projet'!$B$192,EJ197+EI198-ER197)))</f>
        <v>275.99999999999972</v>
      </c>
      <c r="EK198" s="17">
        <f>EJ198*VLOOKUP('Données projet'!$B$15,Paramètres!$A$1:$I$89,3,0)*VLOOKUP('Données projet'!$B$15,Paramètres!$A$1:$I$89,5,0)</f>
        <v>223.8911999999998</v>
      </c>
      <c r="EL198" s="13">
        <f t="shared" si="179"/>
        <v>54.95975389514858</v>
      </c>
      <c r="EM198" s="20">
        <f t="shared" si="180"/>
        <v>485.66541136738346</v>
      </c>
      <c r="EN198" s="59">
        <f t="shared" si="198"/>
        <v>778.99874470071677</v>
      </c>
      <c r="EO198" s="59">
        <f ca="1">AVERAGE(OFFSET($EN$3,0,0,'Données projet'!$E$15+1,1))-AVERAGE(OFFSET($H$3,0,0,'Données projet'!$E$15+1,1))</f>
        <v>205.5272583787887</v>
      </c>
      <c r="EP198" s="59">
        <f t="shared" si="210"/>
        <v>180.54762778843178</v>
      </c>
      <c r="EQ198" s="15">
        <f>IF(ISNA(VLOOKUP(A198,'Données projet'!$A$191:$I$211,3,0)),0,VLOOKUP(A198,'Données projet'!$A$191:$I$211,3,0))</f>
        <v>0</v>
      </c>
      <c r="ER198" s="15">
        <f>IF(ISNA(VLOOKUP(A198,'Données projet'!$A$191:$I$211,4,0)),0,VLOOKUP(A198,'Données projet'!$A$191:$I$211,4,0))</f>
        <v>0</v>
      </c>
      <c r="ES198" s="16">
        <f>IF(ISNA(VLOOKUP(A198,'Données projet'!$A$191:$I$211,5,0)),0%,VLOOKUP(A198,'Données projet'!$A$191:$I$211,5,0)*VLOOKUP('Données projet'!$B$15,Paramètres!$A$1:$I$89,7,0))</f>
        <v>0</v>
      </c>
      <c r="ET198" s="16">
        <f>IF(ISNA(VLOOKUP(A198,'Données projet'!$A$191:$I$211,6,0)),0%,VLOOKUP(A198,'Données projet'!$A$191:$I$211,6,0)*VLOOKUP('Données projet'!$B$15,Paramètres!$A$1:$I$89,7,0))</f>
        <v>0</v>
      </c>
      <c r="EU198" s="16">
        <f>IF(ISNA(VLOOKUP(A198,'Données projet'!$A$191:$I$211,7,0)),0%,VLOOKUP(A198,'Données projet'!$A$191:$I$211,7,0))</f>
        <v>0</v>
      </c>
      <c r="EV198" s="21">
        <f>EXP(-LN(2)/35)*EV197+(1-EXP(-LN(2)/35))/(LN(2)/35)*ER198*ES198*VLOOKUP('Données projet'!$B$15,Paramètres!$A$1:$I$89,3,0)*0.475*44/12</f>
        <v>3.8192267879241924E-2</v>
      </c>
      <c r="EW198" s="21">
        <f>EXP(-LN(2)/25)*EW197+(1-EXP(-LN(2)/25))/(LN(2)/25)*Calculateur!ER198*Calculateur!ET198*VLOOKUP('Données projet'!$B$15,Paramètres!$A$1:$I$89,3,0)*0.475*44/12</f>
        <v>5.9828354073520655E-2</v>
      </c>
      <c r="EX198" s="21">
        <f>EXP(-LN(2)/2)*EX197+(1-EXP(-LN(2)/2))/(LN(2)/2)*ER198*EU198*VLOOKUP('Données projet'!$B$15,Paramètres!$A$1:$I$89,3,0)*0.475*44/12</f>
        <v>1.3252024185730827E-24</v>
      </c>
      <c r="EY198" s="22">
        <f t="shared" si="181"/>
        <v>9.8020621952762579E-2</v>
      </c>
      <c r="EZ198" s="75">
        <f>('Scénario référence'!$F$8+'Scénario référence'!$F$9+'Scénario référence'!$B$17+'Scénario référence'!$B$9+'Scénario référence'!$B$10)*70+IF((45+25*(1-EXP(-0.0175*A198)))&lt;70,'Scénario référence'!$B$16*(45+25*(1-EXP(-0.0175*A198))),70*'Scénario référence'!$B$16)+IF((32+38*(1-EXP(-0.0175*A198)))&lt;70,'Scénario référence'!$B$18*(32+38*(1-EXP(-0.0175*A198))),70*'Scénario référence'!$B$18)</f>
        <v>70</v>
      </c>
      <c r="FA198" s="12">
        <f>IF(A198&gt;30,10,('Scénario référence'!$B$16+'Scénario référence'!$B$17+'Scénario référence'!$B$18+'Scénario référence'!$B$9+'Scénario référence'!$B$10)*A198*10/30+('Scénario référence'!$F$8+'Scénario référence'!$F$9)*10)</f>
        <v>10</v>
      </c>
      <c r="FB198" s="12" t="e">
        <f>VLOOKUP(A198,'Données projet'!$A$217:$I$237,2,0)</f>
        <v>#N/A</v>
      </c>
      <c r="FC198" s="12" t="e">
        <f>VLOOKUP(A198,'Données projet'!$A$217:$I$237,9,0)</f>
        <v>#N/A</v>
      </c>
      <c r="FD198" s="12">
        <f t="array" ref="FD198">INDEX(FC:FC,MIN(IF(ISNUMBER(FC198:FC394),ROW(FC198:FC394),"")))</f>
        <v>0</v>
      </c>
      <c r="FE198" s="12">
        <f>IF('Données projet'!$A$218&gt;35,FE197+FD198-FM197,IF(A198&lt;'Données projet'!$A$218,$FB$205^A198,IF(A198='Données projet'!$A$218,'Données projet'!$B$218,FE197+FD198-FM197)))</f>
        <v>418.99999999999983</v>
      </c>
      <c r="FF198" s="17">
        <f>FE198*VLOOKUP('Données projet'!$B$16,Paramètres!$A$1:$I$89,3,0)*VLOOKUP('Données projet'!$B$16,Paramètres!$A$1:$I$89,5,0)</f>
        <v>359.5019999999999</v>
      </c>
      <c r="FG198" s="13">
        <f t="shared" si="182"/>
        <v>83.516011055432813</v>
      </c>
      <c r="FH198" s="20">
        <f t="shared" si="183"/>
        <v>771.58970258821194</v>
      </c>
      <c r="FI198" s="59">
        <f t="shared" si="199"/>
        <v>1064.9230359215453</v>
      </c>
      <c r="FJ198" s="59">
        <f ca="1">AVERAGE(OFFSET($FI$3,0,0,'Données projet'!$E$16+1,1))-AVERAGE(OFFSET($H$3,0,0,'Données projet'!$E$16+1,1))</f>
        <v>383.97627237444709</v>
      </c>
      <c r="FK198" s="59">
        <f t="shared" si="211"/>
        <v>203.35476578922339</v>
      </c>
      <c r="FL198" s="15">
        <f>IF(ISNA(VLOOKUP(A198,'Données projet'!$A$217:$I$237,3,0)),0,VLOOKUP(A198,'Données projet'!$A$217:$I$237,3,0))</f>
        <v>0</v>
      </c>
      <c r="FM198" s="15">
        <f>IF(ISNA(VLOOKUP(A198,'Données projet'!$A$217:$I$237,4,0)),0,VLOOKUP(A198,'Données projet'!$A$217:$I$237,4,0))</f>
        <v>0</v>
      </c>
      <c r="FN198" s="16">
        <f>IF(ISNA(VLOOKUP(A198,'Données projet'!$A$217:$I$237,5,0)),0%,VLOOKUP(A198,'Données projet'!$A$217:$I$237,5,0)*VLOOKUP('Données projet'!$B$16,Paramètres!$A$1:$I$89,7,0))</f>
        <v>0</v>
      </c>
      <c r="FO198" s="16">
        <f>IF(ISNA(VLOOKUP(A198,'Données projet'!$A$217:$I$237,6,0)),0%,VLOOKUP(A198,'Données projet'!$A$217:$I$237,6,0)*VLOOKUP('Données projet'!$B$16,Paramètres!$A$1:$I$89,7,0))</f>
        <v>0</v>
      </c>
      <c r="FP198" s="16">
        <f>IF(ISNA(VLOOKUP(A198,'Données projet'!$A$217:$I$237,7,0)),0%,VLOOKUP(A198,'Données projet'!$A$217:$I$237,7,0))</f>
        <v>0</v>
      </c>
      <c r="FQ198" s="21">
        <f>EXP(-LN(2)/35)*FQ197+(1-EXP(-LN(2)/35))/(LN(2)/35)*FM198*FN198*VLOOKUP('Données projet'!$B$16,Paramètres!$A$1:$I$89,3,0)*0.475*44/12</f>
        <v>0.19628753679250435</v>
      </c>
      <c r="FR198" s="21">
        <f>EXP(-LN(2)/25)*FR197+(1-EXP(-LN(2)/25))/(LN(2)/25)*Calculateur!FM198*Calculateur!FO198*VLOOKUP('Données projet'!$B$16,Paramètres!$A$1:$I$89,3,0)*0.475*44/12</f>
        <v>6.0731963232711884E-2</v>
      </c>
      <c r="FS198" s="21">
        <f>EXP(-LN(2)/2)*FS197+(1-EXP(-LN(2)/2))/(LN(2)/2)*FM198*FP198*VLOOKUP('Données projet'!$B$16,Paramètres!$A$1:$I$89,3,0)*0.475*44/12</f>
        <v>2.4341248720060005E-24</v>
      </c>
      <c r="FT198" s="22">
        <f t="shared" si="184"/>
        <v>0.25701950002521623</v>
      </c>
      <c r="FU198" s="75">
        <f>('Scénario référence'!$F$8+'Scénario référence'!$F$9+'Scénario référence'!$B$17+'Scénario référence'!$B$9+'Scénario référence'!$B$10)*70+IF((45+25*(1-EXP(-0.0175*A198)))&lt;70,'Scénario référence'!$B$16*(45+25*(1-EXP(-0.0175*A198))),70*'Scénario référence'!$B$16)+IF((32+38*(1-EXP(-0.0175*A198)))&lt;70,'Scénario référence'!$B$18*(32+38*(1-EXP(-0.0175*A198))),70*'Scénario référence'!$B$18)</f>
        <v>70</v>
      </c>
      <c r="FV198" s="12">
        <f>IF(A198&gt;30,10,('Scénario référence'!$B$16+'Scénario référence'!$B$17+'Scénario référence'!$B$18+'Scénario référence'!$B$9+'Scénario référence'!$B$10)*A198*10/30+('Scénario référence'!$F$8+'Scénario référence'!$F$9)*10)</f>
        <v>10</v>
      </c>
      <c r="FW198" s="12" t="e">
        <f>VLOOKUP(A198,'Données projet'!$A$243:$I$263,2,0)</f>
        <v>#N/A</v>
      </c>
      <c r="FX198" s="12" t="e">
        <f>VLOOKUP(A198,'Données projet'!$A$243:$I$263,9,0)</f>
        <v>#N/A</v>
      </c>
      <c r="FY198" s="12">
        <f t="array" ref="FY198">INDEX(FX:FX,MIN(IF(ISNUMBER(FX198:FX394),ROW(FX198:FX394),"")))</f>
        <v>0</v>
      </c>
      <c r="FZ198" s="12">
        <f>IF('Données projet'!$A$244&gt;35,FZ197+FY198-GH197,IF(A198&lt;'Données projet'!$A$244,$FW$205^A198,IF(A198='Données projet'!$A$244,'Données projet'!$B$244,FZ197+FY198-GH197)))</f>
        <v>4.5474735088646412E-13</v>
      </c>
      <c r="GA198" s="17">
        <f>FZ198*VLOOKUP('Données projet'!$B$17,Paramètres!$A$1:$I$89,3,0)*VLOOKUP('Données projet'!$B$17,Paramètres!$A$1:$I$89,5,0)</f>
        <v>4.8949004849418999E-13</v>
      </c>
      <c r="GB198" s="13">
        <f t="shared" si="185"/>
        <v>6.1123715499968684E-12</v>
      </c>
      <c r="GC198" s="20">
        <f t="shared" si="186"/>
        <v>1.1498242284038591E-11</v>
      </c>
      <c r="GD198" s="59">
        <f t="shared" si="200"/>
        <v>293.3333333333448</v>
      </c>
      <c r="GE198" s="59">
        <f ca="1">AVERAGE(OFFSET($GD$3,0,0,'Données projet'!$E$17+1,1))-AVERAGE(OFFSET($H$3,0,0,'Données projet'!$E$17+1,1))</f>
        <v>286.77702855541287</v>
      </c>
      <c r="GF198" s="59">
        <f t="shared" si="212"/>
        <v>227.12211541860779</v>
      </c>
      <c r="GG198" s="15">
        <f>IF(ISNA(VLOOKUP(A198,'Données projet'!$A$243:$I$263,3,0)),0,VLOOKUP(A198,'Données projet'!$A$243:$I$263,3,0))</f>
        <v>0</v>
      </c>
      <c r="GH198" s="15">
        <f>IF(ISNA(VLOOKUP(A198,'Données projet'!$A$243:$I$263,4,0)),0,VLOOKUP(A198,'Données projet'!$A$243:$I$263,4,0))</f>
        <v>0</v>
      </c>
      <c r="GI198" s="16">
        <f>IF(ISNA(VLOOKUP(A198,'Données projet'!$A$243:$I$263,5,0)),0%,VLOOKUP(A198,'Données projet'!$A$243:$I$263,5,0)*VLOOKUP('Données projet'!$B$17,Paramètres!$A$1:$I$89,7,0))</f>
        <v>0</v>
      </c>
      <c r="GJ198" s="16">
        <f>IF(ISNA(VLOOKUP(A198,'Données projet'!$A$243:$I$263,6,0)),0%,VLOOKUP(A198,'Données projet'!$A$243:$I$263,6,0)*VLOOKUP('Données projet'!$B$17,Paramètres!$A$1:$I$89,7,0))</f>
        <v>0</v>
      </c>
      <c r="GK198" s="16">
        <f>IF(ISNA(VLOOKUP(A198,'Données projet'!$A$243:$I$263,7,0)),0%,VLOOKUP(A198,'Données projet'!$A$243:$I$263,7,0))</f>
        <v>0</v>
      </c>
      <c r="GL198" s="21">
        <f>EXP(-LN(2)/35)*GL197+(1-EXP(-LN(2)/35))/(LN(2)/35)*GH198*GI198*VLOOKUP('Données projet'!$B$17,Paramètres!$A$1:$I$89,3,0)*0.475*44/12</f>
        <v>0</v>
      </c>
      <c r="GM198" s="21">
        <f>EXP(-LN(2)/25)*GM197+(1-EXP(-LN(2)/25))/(LN(2)/25)*Calculateur!GH198*Calculateur!GJ198*VLOOKUP('Données projet'!$B$17,Paramètres!$A$1:$I$89,3,0)*0.475*44/12</f>
        <v>0</v>
      </c>
      <c r="GN198" s="21">
        <f>EXP(-LN(2)/2)*GN197+(1-EXP(-LN(2)/2))/(LN(2)/2)*GH198*GK198*VLOOKUP('Données projet'!$B$17,Paramètres!$A$1:$I$89,3,0)*0.475*44/12</f>
        <v>0</v>
      </c>
      <c r="GO198" s="21">
        <f t="shared" si="187"/>
        <v>0</v>
      </c>
      <c r="GP198" s="75">
        <f>('Scénario référence'!$F$8+'Scénario référence'!$F$9+'Scénario référence'!$B$17+'Scénario référence'!$B$9+'Scénario référence'!$B$10)*70+IF((45+25*(1-EXP(-0.0175*A198)))&lt;70,'Scénario référence'!$B$16*(45+25*(1-EXP(-0.0175*A198))),70*'Scénario référence'!$B$16)+IF((32+38*(1-EXP(-0.0175*A198)))&lt;70,'Scénario référence'!$B$18*(32+38*(1-EXP(-0.0175*A198))),70*'Scénario référence'!$B$18)</f>
        <v>70</v>
      </c>
      <c r="GQ198" s="12">
        <f>IF(A198&gt;30,10,('Scénario référence'!$B$16+'Scénario référence'!$B$17+'Scénario référence'!$B$18+'Scénario référence'!$B$9+'Scénario référence'!$B$10)*A198*10/30+('Scénario référence'!$F$8+'Scénario référence'!$F$9)*10)</f>
        <v>10</v>
      </c>
      <c r="GR198" s="12" t="e">
        <f>VLOOKUP(A198,'Données projet'!$A$269:$I$289,2,0)</f>
        <v>#N/A</v>
      </c>
      <c r="GS198" s="12" t="e">
        <f>VLOOKUP(A198,'Données projet'!$A$269:$I$289,9,0)</f>
        <v>#N/A</v>
      </c>
      <c r="GT198" s="12">
        <f t="array" ref="GT198">INDEX(GS:GS,MIN(IF(ISNUMBER(GS198:GS394),ROW(GS198:GS394),"")))</f>
        <v>0</v>
      </c>
      <c r="GU198" s="12">
        <f>IF('Données projet'!$A$270&gt;35,GU197+GT198-HC197,IF(A198&lt;'Données projet'!$A$270,$GR$205^A198,IF(A198='Données projet'!$A$270,'Données projet'!$B$270,GU197+GT198-HC197)))</f>
        <v>4.5474735088646412E-13</v>
      </c>
      <c r="GV198" s="17">
        <f>GU198*VLOOKUP('Données projet'!$B$18,Paramètres!$A$1:$I$89,3,0)*VLOOKUP('Données projet'!$B$18,Paramètres!$A$1:$I$89,5,0)</f>
        <v>4.8949004849418999E-13</v>
      </c>
      <c r="GW198" s="13">
        <f t="shared" si="188"/>
        <v>6.1123715499968684E-12</v>
      </c>
      <c r="GX198" s="20">
        <f t="shared" si="189"/>
        <v>1.1498242284038591E-11</v>
      </c>
      <c r="GY198" s="59">
        <f t="shared" si="201"/>
        <v>293.3333333333448</v>
      </c>
      <c r="GZ198" s="59">
        <f ca="1">AVERAGE(OFFSET($GY$3,0,0,'Données projet'!$E$18+1,1))-AVERAGE(OFFSET($H$3,0,0,'Données projet'!$E$18+1,1))</f>
        <v>286.77702855541287</v>
      </c>
      <c r="HA198" s="59">
        <f t="shared" si="213"/>
        <v>227.12211541860779</v>
      </c>
      <c r="HB198" s="15">
        <f>IF(ISNA(VLOOKUP(A198,'Données projet'!$A$269:$I$289,3,0)),0,VLOOKUP(A198,'Données projet'!$A$269:$I$289,3,0))</f>
        <v>0</v>
      </c>
      <c r="HC198" s="15">
        <f>IF(ISNA(VLOOKUP(A198,'Données projet'!$A$269:$I$289,4,0)),0,VLOOKUP(A198,'Données projet'!$A$269:$I$289,4,0))</f>
        <v>0</v>
      </c>
      <c r="HD198" s="16">
        <f>IF(ISNA(VLOOKUP(A198,'Données projet'!$A$269:$I$289,5,0)),0%,VLOOKUP(A198,'Données projet'!$A$269:$I$289,5,0)*VLOOKUP('Données projet'!$B$18,Paramètres!$A$1:$I$89,7,0))</f>
        <v>0</v>
      </c>
      <c r="HE198" s="16">
        <f>IF(ISNA(VLOOKUP(A198,'Données projet'!$A$269:$I$289,6,0)),0%,VLOOKUP(A198,'Données projet'!$A$269:$I$289,6,0)*VLOOKUP('Données projet'!$B$18,Paramètres!$A$1:$I$89,7,0))</f>
        <v>0</v>
      </c>
      <c r="HF198" s="16">
        <f>IF(ISNA(VLOOKUP(A198,'Données projet'!$A$269:$I$289,7,0)),0%,VLOOKUP(A198,'Données projet'!$A$269:$I$289,7,0))</f>
        <v>0</v>
      </c>
      <c r="HG198" s="21">
        <f>EXP(-LN(2)/35)*HG197+(1-EXP(-LN(2)/35))/(LN(2)/35)*HC198*HD198*VLOOKUP('Données projet'!$B$18,Paramètres!$A$1:$I$89,3,0)*0.475*44/12</f>
        <v>0</v>
      </c>
      <c r="HH198" s="21">
        <f>EXP(-LN(2)/25)*HH197+(1-EXP(-LN(2)/25))/(LN(2)/25)*Calculateur!HC198*Calculateur!HE198*VLOOKUP('Données projet'!$B$18,Paramètres!$A$1:$I$89,3,0)*0.475*44/12</f>
        <v>0</v>
      </c>
      <c r="HI198" s="21">
        <f>EXP(-LN(2)/2)*HI197+(1-EXP(-LN(2)/2))/(LN(2)/2)*HC198*HF198*VLOOKUP('Données projet'!$B$18,Paramètres!$A$1:$I$89,3,0)*0.475*44/12</f>
        <v>0</v>
      </c>
      <c r="HJ198" s="22">
        <f t="shared" si="190"/>
        <v>0</v>
      </c>
    </row>
    <row r="199" spans="1:218" x14ac:dyDescent="0.25">
      <c r="A199" s="10">
        <f t="shared" si="161"/>
        <v>196</v>
      </c>
      <c r="B199" s="73">
        <f>'Scénario référence'!$B$16*5+'Scénario référence'!$B$17*0+'Scénario référence'!$B$18*5</f>
        <v>0</v>
      </c>
      <c r="C199" s="19">
        <f>Calculateur!C198+'Scénario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174.28319999999962</v>
      </c>
      <c r="D199" s="11">
        <f t="shared" si="202"/>
        <v>44.047924241116036</v>
      </c>
      <c r="E199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199" s="11">
        <f>IF(OR('Scénario référence'!$F$8&gt;0,'Scénario référence'!$F$9&gt;0),('Scénario référence'!$F$8+'Scénario référence'!$F$9)*10,0)</f>
        <v>10</v>
      </c>
      <c r="G199" s="11">
        <f>'Scénario référence'!$B$8*B199*44/12+'Scénario référence'!$B$9*(C199+D199)/0.475*44/12+'Scénario référence'!$B$10*(C199+D199)/0.475*44/12+'Scénario référence'!$F$8*(C199+D199)/0.475*44/12+'Scénario référence'!$F$9*(C199+D199)/0.475*44/12</f>
        <v>1685.3630643173844</v>
      </c>
      <c r="H199" s="67">
        <f t="shared" si="192"/>
        <v>673.59337471994309</v>
      </c>
      <c r="I199" s="70">
        <f>('Scénario référence'!$F$8+'Scénario référence'!$F$9+'Scénario référence'!$B$17+'Scénario référence'!$B$9+'Scénario référence'!$B$10)*70+IF((45+25*(1-EXP(-0.0175*A199)))&lt;70,'Scénario référence'!$B$16*(45+25*(1-EXP(-0.0175*A199))),70*'Scénario référence'!$B$16)+IF((32+38*(1-EXP(-0.0175*A199)))&lt;70,'Scénario référence'!$B$18*(32+38*(1-EXP(-0.0175*A199))),70*'Scénario référence'!$B$18)</f>
        <v>70</v>
      </c>
      <c r="J199" s="13">
        <f>IF(A199&gt;30,10,('Scénario référence'!$B$16+'Scénario référence'!$B$17+'Scénario référence'!$B$18+'Scénario référence'!$B$9+'Scénario référence'!$B$10)*A199*10/30+('Scénario référence'!$F$8+'Scénario référence'!$F$9)*10)</f>
        <v>10</v>
      </c>
      <c r="K199" s="12" t="e">
        <f>VLOOKUP(A199,'Données projet'!$A$35:$I$55,2,0)</f>
        <v>#N/A</v>
      </c>
      <c r="L199" s="12" t="e">
        <f>VLOOKUP(A199,'Données projet'!$A$35:$I$55,9,0)</f>
        <v>#N/A</v>
      </c>
      <c r="M199" s="12">
        <f t="array" ref="M199">INDEX(L:L,MIN(IF(ISNUMBER(L199:L395),ROW(L199:L395),"")))</f>
        <v>0</v>
      </c>
      <c r="N199" s="13">
        <f>IF('Données projet'!$A$36&gt;35,N198+M199-V198,IF(A199&lt;'Données projet'!$A$36,$K$205^A199,IF(A199='Données projet'!$A$36,'Données projet'!$B$36,N198+M199-V198)))</f>
        <v>-2.2737367544323206E-13</v>
      </c>
      <c r="O199" s="13">
        <f>N199*VLOOKUP('Données projet'!$B$9,Paramètres!$A$1:$I$89,3,0)*VLOOKUP('Données projet'!$B$9,Paramètres!$A$1:$I$89,5,0)</f>
        <v>-1.2710188457276673E-13</v>
      </c>
      <c r="P199" s="13" t="e">
        <f t="shared" si="203"/>
        <v>#NUM!</v>
      </c>
      <c r="Q199" s="20" t="e">
        <f t="shared" si="162"/>
        <v>#NUM!</v>
      </c>
      <c r="R199" s="59" t="e">
        <f t="shared" si="191"/>
        <v>#NUM!</v>
      </c>
      <c r="S199" s="59">
        <f ca="1">AVERAGE(OFFSET($R$3,0,0,'Données projet'!$E$9+1,1))-AVERAGE(OFFSET($H$3,0,0,'Données projet'!$E$9+1,1))</f>
        <v>255.5374979188561</v>
      </c>
      <c r="T199" s="59">
        <f t="shared" si="204"/>
        <v>343.10418468620901</v>
      </c>
      <c r="U199" s="15">
        <f>IF(ISNA(VLOOKUP(A199,'Données projet'!$A$35:$I$55,3,0)),0,VLOOKUP(A199,'Données projet'!$A$35:$I$55,3,0))</f>
        <v>0</v>
      </c>
      <c r="V199" s="15">
        <f>IF(ISNA(VLOOKUP(A199,'Données projet'!$A$35:$I$55,4,0)),0,VLOOKUP(A199,'Données projet'!$A$35:$I$55,4,0))</f>
        <v>0</v>
      </c>
      <c r="W199" s="16">
        <f>IF(ISNA(VLOOKUP(A199,'Données projet'!$A$35:$I$55,5,0)),0%,VLOOKUP(A199,'Données projet'!$A$35:$I$55,5,0)*VLOOKUP('Données projet'!$B$9,Paramètres!$A$1:$I$89,7,0))</f>
        <v>0</v>
      </c>
      <c r="X199" s="16">
        <f>IF(ISNA(VLOOKUP(A199,'Données projet'!$A$35:$I$55,6,0)),0%,VLOOKUP(A199,'Données projet'!$A$35:$I$55,6,0)*VLOOKUP('Données projet'!$B$9,Paramètres!$A$1:$I$89,7,0))</f>
        <v>0</v>
      </c>
      <c r="Y199" s="16">
        <f>IF(ISNA(VLOOKUP(A199,'Données projet'!$A$35:$I$55,7,0)),0%,VLOOKUP(A199,'Données projet'!$A$35:$I$55,7,0))</f>
        <v>0</v>
      </c>
      <c r="Z199" s="21">
        <f>EXP(-LN(2)/35)*Z198+(1-EXP(-LN(2)/35))/(LN(2)/35)*V199*W199*VLOOKUP('Données projet'!$B$9,Paramètres!$A$1:$I$89,3,0)*0.475*44/12</f>
        <v>0.11540429045673405</v>
      </c>
      <c r="AA199" s="21">
        <f>EXP(-LN(2)/25)*AA198+(1-EXP(-LN(2)/25))/(LN(2)/25)*Calculateur!V199*Calculateur!X199*VLOOKUP('Données projet'!$B$9,Paramètres!$A$1:$I$89,3,0)*0.475*44/12</f>
        <v>0.16002976484063133</v>
      </c>
      <c r="AB199" s="21">
        <f>EXP(-LN(2)/2)*AB198+(1-EXP(-LN(2)/2))/(LN(2)/2)*V199*Y199*VLOOKUP('Données projet'!$B$9,Paramètres!$A$1:$I$89,3,0)*0.475*44/12</f>
        <v>1.750161229902463E-25</v>
      </c>
      <c r="AC199" s="22">
        <f t="shared" si="163"/>
        <v>0.27543405529736537</v>
      </c>
      <c r="AD199" s="13">
        <f>('Scénario référence'!$F$8+'Scénario référence'!$F$9+'Scénario référence'!$B$17+'Scénario référence'!$B$9+'Scénario référence'!$B$10)*70+IF((45+25*(1-EXP(-0.0175*A199)))&lt;70,'Scénario référence'!$B$16*(45+25*(1-EXP(-0.0175*A199))),70*'Scénario référence'!$B$16)+IF((32+38*(1-EXP(-0.0175*A199)))&lt;70,'Scénario référence'!$B$18*(32+38*(1-EXP(-0.0175*A199))),70*'Scénario référence'!$B$18)</f>
        <v>70</v>
      </c>
      <c r="AE199" s="13">
        <f>IF(A199&gt;30,10,('Scénario référence'!$B$16+'Scénario référence'!$B$17+'Scénario référence'!$B$18+'Scénario référence'!$B$9+'Scénario référence'!$B$10)*A199*10/30+('Scénario référence'!$F$8+'Scénario référence'!$F$9)*10)</f>
        <v>10</v>
      </c>
      <c r="AF199" s="12" t="e">
        <f>VLOOKUP(A199,'Données projet'!$A$61:$I$81,2,0)</f>
        <v>#N/A</v>
      </c>
      <c r="AG199" s="12" t="e">
        <f>VLOOKUP(A199,'Données projet'!$A$61:$I$81,9,0)</f>
        <v>#N/A</v>
      </c>
      <c r="AH199" s="12">
        <f t="array" ref="AH199">INDEX(AG:AG,MIN(IF(ISNUMBER(AG199:AG395),ROW(AG199:AG395),"")))</f>
        <v>0</v>
      </c>
      <c r="AI199" s="13">
        <f>IF('Données projet'!$A$62&gt;35,AI198+AH199-AQ198,IF(A199&lt;'Données projet'!$A$62,$AF$205^A199,IF(A199='Données projet'!$A$62,'Données projet'!$B$62,AI198+AH199-AQ198)))</f>
        <v>0</v>
      </c>
      <c r="AJ199" s="13">
        <f>AI199*VLOOKUP('Données projet'!$B$10,Paramètres!$A$1:$I$89,3,0)*VLOOKUP('Données projet'!$B$10,Paramètres!$A$1:$I$89,5,0)</f>
        <v>0</v>
      </c>
      <c r="AK199" s="13" t="e">
        <f t="shared" si="164"/>
        <v>#NUM!</v>
      </c>
      <c r="AL199" s="20" t="e">
        <f t="shared" si="165"/>
        <v>#NUM!</v>
      </c>
      <c r="AM199" s="59" t="e">
        <f t="shared" si="193"/>
        <v>#NUM!</v>
      </c>
      <c r="AN199" s="59">
        <f ca="1">AVERAGE(OFFSET($AM$3,0,0,'Données projet'!$E$10+1,1))-AVERAGE(OFFSET($H$3,0,0,'Données projet'!$E$10+1,1))</f>
        <v>261.78489480911571</v>
      </c>
      <c r="AO199" s="59">
        <f t="shared" si="205"/>
        <v>297.50513563712764</v>
      </c>
      <c r="AP199" s="15">
        <f>IF(ISNA(VLOOKUP(A199,'Données projet'!$A$61:$I$81,3,0)),0,VLOOKUP(A199,'Données projet'!$A$61:$I$81,3,0))</f>
        <v>0</v>
      </c>
      <c r="AQ199" s="15">
        <f>IF(ISNA(VLOOKUP(A199,'Données projet'!$A$61:$I$81,4,0)),0,VLOOKUP(A199,'Données projet'!$A$61:$I$81,4,0))</f>
        <v>0</v>
      </c>
      <c r="AR199" s="16">
        <f>IF(ISNA(VLOOKUP(A199,'Données projet'!$A$61:$I$81,5,0)),0%,VLOOKUP(A199,'Données projet'!$A$61:$I$81,5,0)*VLOOKUP('Données projet'!$B$10,Paramètres!$A$1:$I$89,7,0))</f>
        <v>0</v>
      </c>
      <c r="AS199" s="16">
        <f>IF(ISNA(VLOOKUP(A199,'Données projet'!$A$61:$I$81,6,0)),0%,VLOOKUP(A199,'Données projet'!$A$61:$I$81,6,0)*VLOOKUP('Données projet'!$B$10,Paramètres!$A$1:$I$89,7,0))</f>
        <v>0</v>
      </c>
      <c r="AT199" s="16">
        <f>IF(ISNA(VLOOKUP(A199,'Données projet'!$A$61:$I$81,7,0)),0%,VLOOKUP(A199,'Données projet'!$A$61:$I$81,7,0))</f>
        <v>0</v>
      </c>
      <c r="AU199" s="21">
        <f>EXP(-LN(2)/35)*AU198+(1-EXP(-LN(2)/35))/(LN(2)/35)*AQ199*AR199*VLOOKUP('Données projet'!$B$10,Paramètres!$A$1:$I$89,3,0)*0.475*44/12</f>
        <v>0.31162422618017421</v>
      </c>
      <c r="AV199" s="21">
        <f>EXP(-LN(2)/25)*AV198+(1-EXP(-LN(2)/25))/(LN(2)/25)*Calculateur!AQ199*Calculateur!AS199*VLOOKUP('Données projet'!$B$10,Paramètres!$A$1:$I$89,3,0)*0.475*44/12</f>
        <v>0.2794446092225451</v>
      </c>
      <c r="AW199" s="21">
        <f>EXP(-LN(2)/2)*AW198+(1-EXP(-LN(2)/2))/(LN(2)/2)*AQ199*AT199*VLOOKUP('Données projet'!$B$10,Paramètres!$A$1:$I$89,3,0)*0.475*44/12</f>
        <v>2.5230240289567848E-24</v>
      </c>
      <c r="AX199" s="21">
        <f t="shared" si="166"/>
        <v>0.59106883540271937</v>
      </c>
      <c r="AY199" s="74">
        <f>('Scénario référence'!$F$8+'Scénario référence'!$F$9+'Scénario référence'!$B$17+'Scénario référence'!$B$9+'Scénario référence'!$B$10)*70+IF((45+25*(1-EXP(-0.0175*A199)))&lt;70,'Scénario référence'!$B$16*(45+25*(1-EXP(-0.0175*A199))),70*'Scénario référence'!$B$16)+IF((32+38*(1-EXP(-0.0175*A199)))&lt;70,'Scénario référence'!$B$18*(32+38*(1-EXP(-0.0175*A199))),70*'Scénario référence'!$B$18)</f>
        <v>70</v>
      </c>
      <c r="AZ199" s="12">
        <f>IF(A199&gt;30,10,('Scénario référence'!$B$16+'Scénario référence'!$B$17+'Scénario référence'!$B$18+'Scénario référence'!$B$9+'Scénario référence'!$B$10)*A199*10/30+('Scénario référence'!$F$8+'Scénario référence'!$F$9)*10)</f>
        <v>10</v>
      </c>
      <c r="BA199" s="12" t="e">
        <f>VLOOKUP(A199,'Données projet'!$A$87:$I$107,2,0)</f>
        <v>#N/A</v>
      </c>
      <c r="BB199" s="12" t="e">
        <f>VLOOKUP(A199,'Données projet'!$A$87:$I$107,9,0)</f>
        <v>#N/A</v>
      </c>
      <c r="BC199" s="12">
        <f t="array" ref="BC199">INDEX(BB:BB,MIN(IF(ISNUMBER(BB199:BB395),ROW(BB199:BB395),"")))</f>
        <v>0</v>
      </c>
      <c r="BD199" s="12">
        <f>IF('Données projet'!$A$88&gt;35,BD198+BC199-BL198,IF(A199&lt;'Données projet'!$A$88,$BA$205^A199,IF(A199='Données projet'!$A$88,'Données projet'!$B$88,BD198+BC199-BL198)))</f>
        <v>553.99999999999955</v>
      </c>
      <c r="BE199" s="13">
        <f>BD199*VLOOKUP('Données projet'!$B$11,Paramètres!$A$1:$I$89,3,0)*VLOOKUP('Données projet'!$B$11,Paramètres!$A$1:$I$89,5,0)</f>
        <v>331.29199999999975</v>
      </c>
      <c r="BF199" s="13">
        <f t="shared" si="167"/>
        <v>77.698110787752</v>
      </c>
      <c r="BG199" s="20">
        <f t="shared" si="168"/>
        <v>712.32444295533423</v>
      </c>
      <c r="BH199" s="59">
        <f t="shared" si="194"/>
        <v>1005.6577762886675</v>
      </c>
      <c r="BI199" s="59">
        <f ca="1">AVERAGE(OFFSET($BH$3,0,0,'Données projet'!$E$11+1,1))-AVERAGE(OFFSET($H$3,0,0,'Données projet'!$E$11+1,1))</f>
        <v>316.58509520829671</v>
      </c>
      <c r="BJ199" s="59">
        <f t="shared" si="206"/>
        <v>240.71332110643596</v>
      </c>
      <c r="BK199" s="15">
        <f>IF(ISNA(VLOOKUP(A199,'Données projet'!$A$87:$I$107,3,0)),0,VLOOKUP(A199,'Données projet'!$A$87:$I$107,3,0))</f>
        <v>0</v>
      </c>
      <c r="BL199" s="15">
        <f>IF(ISNA(VLOOKUP(A199,'Données projet'!$A$87:$I$107,4,0)),0,VLOOKUP(A199,'Données projet'!$A$87:$I$107,4,0))</f>
        <v>0</v>
      </c>
      <c r="BM199" s="16">
        <f>IF(ISNA(VLOOKUP(A199,'Données projet'!$A$87:$I$107,5,0)),0%,VLOOKUP(A199,'Données projet'!$A$87:$I$107,5,0)*VLOOKUP('Données projet'!$B$11,Paramètres!$A$1:$I$89,7,0))</f>
        <v>0</v>
      </c>
      <c r="BN199" s="16">
        <f>IF(ISNA(VLOOKUP(A199,'Données projet'!$A$87:$I$107,6,0)),0%,VLOOKUP(A199,'Données projet'!$A$87:$I$107,6,0)*VLOOKUP('Données projet'!$B$11,Paramètres!$A$1:$I$89,7,0))</f>
        <v>0</v>
      </c>
      <c r="BO199" s="16">
        <f>IF(ISNA(VLOOKUP(A199,'Données projet'!$A$87:$I$107,7,0)),0%,VLOOKUP(A199,'Données projet'!$A$87:$I$107,7,0))</f>
        <v>0</v>
      </c>
      <c r="BP199" s="21">
        <f>EXP(-LN(2)/35)*BP198+(1-EXP(-LN(2)/35))/(LN(2)/35)*BL199*BM199*VLOOKUP('Données projet'!$B$11,Paramètres!$A$1:$I$89,3,0)*0.475*44/12</f>
        <v>9.46581773348633E-2</v>
      </c>
      <c r="BQ199" s="21">
        <f>EXP(-LN(2)/25)*BQ198+(1-EXP(-LN(2)/25))/(LN(2)/25)*Calculateur!BL199*Calculateur!BN199*VLOOKUP('Données projet'!$B$11,Paramètres!$A$1:$I$89,3,0)*0.475*44/12</f>
        <v>0.15308791058832019</v>
      </c>
      <c r="BR199" s="21">
        <f>EXP(-LN(2)/2)*BR198+(1-EXP(-LN(2)/2))/(LN(2)/2)*BL199*BO199*VLOOKUP('Données projet'!$B$11,Paramètres!$A$1:$I$89,3,0)*0.475*44/12</f>
        <v>2.2684749049712749E-24</v>
      </c>
      <c r="BS199" s="22">
        <f t="shared" si="169"/>
        <v>0.24774608792318348</v>
      </c>
      <c r="BT199" s="75">
        <f>('Scénario référence'!$F$8+'Scénario référence'!$F$9+'Scénario référence'!$B$17+'Scénario référence'!$B$9+'Scénario référence'!$B$10)*70+IF((45+25*(1-EXP(-0.0175*A199)))&lt;70,'Scénario référence'!$B$16*(45+25*(1-EXP(-0.0175*A199))),70*'Scénario référence'!$B$16)+IF((32+38*(1-EXP(-0.0175*A199)))&lt;70,'Scénario référence'!$B$18*(32+38*(1-EXP(-0.0175*A199))),70*'Scénario référence'!$B$18)</f>
        <v>70</v>
      </c>
      <c r="BU199" s="12">
        <f>IF(A199&gt;30,10,('Scénario référence'!$B$16+'Scénario référence'!$B$17+'Scénario référence'!$B$18+'Scénario référence'!$B$9+'Scénario référence'!$B$10)*A199*10/30+('Scénario référence'!$F$8+'Scénario référence'!$F$9)*10)</f>
        <v>10</v>
      </c>
      <c r="BV199" s="12" t="e">
        <f>VLOOKUP(A199,'Données projet'!$A$113:$I$133,2,0)</f>
        <v>#N/A</v>
      </c>
      <c r="BW199" s="12" t="e">
        <f>VLOOKUP(A199,'Données projet'!$A$113:$I$133,9,0)</f>
        <v>#N/A</v>
      </c>
      <c r="BX199" s="12">
        <f t="array" ref="BX199">INDEX(BW:BW,MIN(IF(ISNUMBER(BW199:BW395),ROW(BW199:BW395),"")))</f>
        <v>0</v>
      </c>
      <c r="BY199" s="12">
        <f>IF('Données projet'!$A$114&gt;35,BY198+BX199-CG198,IF(A199&lt;'Données projet'!$A$114,$BV$205^A199,IF(A199='Données projet'!$A$114,'Données projet'!$B$114,BY198+BX199-CG198)))</f>
        <v>333.99999999999977</v>
      </c>
      <c r="BZ199" s="13">
        <f>BY199*VLOOKUP('Données projet'!$B$12,Paramètres!$A$1:$I$89,3,0)*VLOOKUP('Données projet'!$B$12,Paramètres!$A$1:$I$89,5,0)</f>
        <v>191.04799999999986</v>
      </c>
      <c r="CA199" s="13">
        <f t="shared" si="170"/>
        <v>47.771576544305155</v>
      </c>
      <c r="CB199" s="20">
        <f t="shared" si="171"/>
        <v>415.94409581466454</v>
      </c>
      <c r="CC199" s="59">
        <f t="shared" si="195"/>
        <v>709.27742914799785</v>
      </c>
      <c r="CD199" s="59">
        <f ca="1">AVERAGE(OFFSET($CC$3,0,0,'Données projet'!$E$12+1,1))-AVERAGE(OFFSET($H$3,0,0,'Données projet'!$E$12+1,1))</f>
        <v>188.64374818906128</v>
      </c>
      <c r="CE199" s="59">
        <f t="shared" si="207"/>
        <v>211.95157880548652</v>
      </c>
      <c r="CF199" s="15">
        <f>IF(ISNA(VLOOKUP(A199,'Données projet'!$A$113:$I$133,3,0)),0,VLOOKUP(A199,'Données projet'!$A$113:$I$133,3,0))</f>
        <v>0</v>
      </c>
      <c r="CG199" s="15">
        <f>IF(ISNA(VLOOKUP(A199,'Données projet'!$A$113:$I$133,4,0)),0,VLOOKUP(A199,'Données projet'!$A$113:$I$133,4,0))</f>
        <v>0</v>
      </c>
      <c r="CH199" s="16">
        <f>IF(ISNA(VLOOKUP(A199,'Données projet'!$A$113:$I$133,5,0)),0%,VLOOKUP(A199,'Données projet'!$A$113:$I$133,5,0)*VLOOKUP('Données projet'!$B$12,Paramètres!$A$1:$I$89,7,0))</f>
        <v>0</v>
      </c>
      <c r="CI199" s="16">
        <f>IF(ISNA(VLOOKUP(A199,'Données projet'!$A$113:$I$133,6,0)),0%,VLOOKUP(A199,'Données projet'!$A$113:$I$133,6,0)*VLOOKUP('Données projet'!$B$12,Paramètres!$A$1:$I$89,7,0))</f>
        <v>0</v>
      </c>
      <c r="CJ199" s="16">
        <f>IF(ISNA(VLOOKUP(A199,'Données projet'!$A$113:$I$133,7,0)),0%,VLOOKUP(A199,'Données projet'!$A$113:$I$133,7,0))</f>
        <v>0</v>
      </c>
      <c r="CK199" s="21">
        <f>EXP(-LN(2)/35)*CK198+(1-EXP(-LN(2)/35))/(LN(2)/35)*CG199*CH199*VLOOKUP('Données projet'!$B$12,Paramètres!$A$1:$I$89,3,0)*0.475*44/12</f>
        <v>9.18178523566585E-2</v>
      </c>
      <c r="CL199" s="21">
        <f>EXP(-LN(2)/25)*CL198+(1-EXP(-LN(2)/25))/(LN(2)/25)*Calculateur!CG199*Calculateur!CI199*VLOOKUP('Données projet'!$B$12,Paramètres!$A$1:$I$89,3,0)*0.475*44/12</f>
        <v>0.14408980762587473</v>
      </c>
      <c r="CM199" s="21">
        <f>EXP(-LN(2)/2)*CM198+(1-EXP(-LN(2)/2))/(LN(2)/2)*CG199*CJ199*VLOOKUP('Données projet'!$B$12,Paramètres!$A$1:$I$89,3,0)*0.475*44/12</f>
        <v>2.196840457352156E-24</v>
      </c>
      <c r="CN199" s="22">
        <f t="shared" si="172"/>
        <v>0.23590765998253321</v>
      </c>
      <c r="CO199" s="75">
        <f>('Scénario référence'!$F$8+'Scénario référence'!$F$9+'Scénario référence'!$B$17+'Scénario référence'!$B$9+'Scénario référence'!$B$10)*70+IF((45+25*(1-EXP(-0.0175*A199)))&lt;70,'Scénario référence'!$B$16*(45+25*(1-EXP(-0.0175*A199))),70*'Scénario référence'!$B$16)+IF((32+38*(1-EXP(-0.0175*A199)))&lt;70,'Scénario référence'!$B$18*(32+38*(1-EXP(-0.0175*A199))),70*'Scénario référence'!$B$18)</f>
        <v>70</v>
      </c>
      <c r="CP199" s="12">
        <f>IF(A199&gt;30,10,('Scénario référence'!$B$16+'Scénario référence'!$B$17+'Scénario référence'!$B$18+'Scénario référence'!$B$9+'Scénario référence'!$B$10)*A199*10/30+('Scénario référence'!$F$8+'Scénario référence'!$F$9)*10)</f>
        <v>10</v>
      </c>
      <c r="CQ199" s="12" t="e">
        <f>VLOOKUP(A199,'Données projet'!$A$139:$I$159,2,0)</f>
        <v>#N/A</v>
      </c>
      <c r="CR199" s="12" t="e">
        <f>VLOOKUP(A199,'Données projet'!$A$139:$I$159,9,0)</f>
        <v>#N/A</v>
      </c>
      <c r="CS199" s="12">
        <f t="array" ref="CS199">INDEX(CR:CR,MIN(IF(ISNUMBER(CR199:CR395),ROW(CR199:CR395),"")))</f>
        <v>0</v>
      </c>
      <c r="CT199" s="12">
        <f>IF('Données projet'!$A$140&gt;35,CT198+CS199-DB198,IF(A199&lt;'Données projet'!$A$140,$CQ$205^A199,IF(A199='Données projet'!$A$140,'Données projet'!$B$140,CT198+CS199-DB198)))</f>
        <v>0</v>
      </c>
      <c r="CU199" s="17" t="e">
        <f>CT199*VLOOKUP('Données projet'!$B$13,Paramètres!$A$1:$I$89,3,0)*VLOOKUP('Données projet'!$B$13,Paramètres!$A$1:$I$89,5,0)</f>
        <v>#N/A</v>
      </c>
      <c r="CV199" s="13" t="e">
        <f t="shared" si="173"/>
        <v>#N/A</v>
      </c>
      <c r="CW199" s="20" t="e">
        <f t="shared" si="174"/>
        <v>#N/A</v>
      </c>
      <c r="CX199" s="59" t="e">
        <f t="shared" si="196"/>
        <v>#N/A</v>
      </c>
      <c r="CY199" s="59" t="e">
        <f ca="1">AVERAGE(OFFSET($CX$3,0,0,'Données projet'!$E$13+1,1))-AVERAGE(OFFSET($H$3,0,0,'Données projet'!$E$13+1,1))</f>
        <v>#N/A</v>
      </c>
      <c r="CZ199" s="59" t="e">
        <f t="shared" si="208"/>
        <v>#N/A</v>
      </c>
      <c r="DA199" s="15">
        <f>IF(ISNA(VLOOKUP(A199,'Données projet'!$A$139:$I$159,3,0)),0,VLOOKUP(A199,'Données projet'!$A$139:$I$159,3,0))</f>
        <v>0</v>
      </c>
      <c r="DB199" s="15">
        <f>IF(ISNA(VLOOKUP(A199,'Données projet'!$A$139:$I$159,4,0)),0,VLOOKUP(A199,'Données projet'!$A$139:$I$159,4,0))</f>
        <v>0</v>
      </c>
      <c r="DC199" s="16">
        <f>IF(ISNA(VLOOKUP(A199,'Données projet'!$A$139:$I$159,5,0)),0%,VLOOKUP(A199,'Données projet'!$A$139:$I$159,5,0)*VLOOKUP('Données projet'!$B$13,Paramètres!$A$1:$I$89,7,0))</f>
        <v>0</v>
      </c>
      <c r="DD199" s="16">
        <f>IF(ISNA(VLOOKUP(A199,'Données projet'!$A$139:$I$159,6,0)),0%,VLOOKUP(A199,'Données projet'!$A$139:$I$159,6,0)*VLOOKUP('Données projet'!$B$13,Paramètres!$A$1:$I$89,7,0))</f>
        <v>0</v>
      </c>
      <c r="DE199" s="16">
        <f>IF(ISNA(VLOOKUP(A199,'Données projet'!$A$139:$I$159,7,0)),0%,VLOOKUP(A199,'Données projet'!$A$139:$I$159,7,0))</f>
        <v>0</v>
      </c>
      <c r="DF199" s="21" t="e">
        <f>EXP(-LN(2)/35)*DF198+(1-EXP(-LN(2)/35))/(LN(2)/35)*DB199*DC199*VLOOKUP('Données projet'!$B$13,Paramètres!$A$1:$I$89,3,0)*0.475*44/12</f>
        <v>#N/A</v>
      </c>
      <c r="DG199" s="21" t="e">
        <f>EXP(-LN(2)/25)*DG198+(1-EXP(-LN(2)/25))/(LN(2)/25)*Calculateur!DB199*Calculateur!DD199*VLOOKUP('Données projet'!$B$13,Paramètres!$A$1:$I$89,3,0)*0.475*44/12</f>
        <v>#N/A</v>
      </c>
      <c r="DH199" s="21" t="e">
        <f>EXP(-LN(2)/2)*DH198+(1-EXP(-LN(2)/2))/(LN(2)/2)*DB199*DE199*VLOOKUP('Données projet'!$B$13,Paramètres!$A$1:$I$89,3,0)*0.475*44/12</f>
        <v>#N/A</v>
      </c>
      <c r="DI199" s="22" t="e">
        <f t="shared" si="175"/>
        <v>#N/A</v>
      </c>
      <c r="DJ199" s="75">
        <f>('Scénario référence'!$F$8+'Scénario référence'!$F$9+'Scénario référence'!$B$17+'Scénario référence'!$B$9+'Scénario référence'!$B$10)*70+IF((45+25*(1-EXP(-0.0175*A199)))&lt;70,'Scénario référence'!$B$16*(45+25*(1-EXP(-0.0175*A199))),70*'Scénario référence'!$B$16)+IF((32+38*(1-EXP(-0.0175*A199)))&lt;70,'Scénario référence'!$B$18*(32+38*(1-EXP(-0.0175*A199))),70*'Scénario référence'!$B$18)</f>
        <v>70</v>
      </c>
      <c r="DK199" s="12">
        <f>IF(A199&gt;30,10,('Scénario référence'!$B$16+'Scénario référence'!$B$17+'Scénario référence'!$B$18+'Scénario référence'!$B$9+'Scénario référence'!$B$10)*A199*10/30+('Scénario référence'!$F$8+'Scénario référence'!$F$9)*10)</f>
        <v>10</v>
      </c>
      <c r="DL199" s="12" t="e">
        <f>VLOOKUP(A199,'Données projet'!$A$165:$I$185,2,0)</f>
        <v>#N/A</v>
      </c>
      <c r="DM199" s="12" t="e">
        <f>VLOOKUP(A199,'Données projet'!$A$165:$I$185,9,0)</f>
        <v>#N/A</v>
      </c>
      <c r="DN199" s="12">
        <f t="array" ref="DN199">INDEX(DM:DM,MIN(IF(ISNUMBER(DM199:DM395),ROW(DM199:DM395),"")))</f>
        <v>0</v>
      </c>
      <c r="DO199" s="12">
        <f>IF('Données projet'!$A$166&gt;35,DO198+DN199-DW198,IF(A199&lt;'Données projet'!$A$166,$DL$205^A199,IF(A199='Données projet'!$A$166,'Données projet'!$B$166,DO198+DN199-DW198)))</f>
        <v>268.00000000000017</v>
      </c>
      <c r="DP199" s="17">
        <f>DO199*VLOOKUP('Données projet'!$B$14,Paramètres!$A$1:$I$89,3,0)*VLOOKUP('Données projet'!$B$14,Paramètres!$A$1:$I$89,5,0)</f>
        <v>175.59360000000012</v>
      </c>
      <c r="DQ199" s="13">
        <f t="shared" si="176"/>
        <v>44.340433728638573</v>
      </c>
      <c r="DR199" s="20">
        <f t="shared" si="177"/>
        <v>383.05177541071242</v>
      </c>
      <c r="DS199" s="59">
        <f t="shared" si="197"/>
        <v>676.38510874404574</v>
      </c>
      <c r="DT199" s="59">
        <f ca="1">AVERAGE(OFFSET($DS$3,0,0,'Données projet'!$E$14+1,1))-AVERAGE(OFFSET($H$3,0,0,'Données projet'!$E$14+1,1))</f>
        <v>188.68915783955595</v>
      </c>
      <c r="DU199" s="59">
        <f t="shared" si="209"/>
        <v>240.82467772396944</v>
      </c>
      <c r="DV199" s="15">
        <f>IF(ISNA(VLOOKUP(A199,'Données projet'!$A$165:$I$185,3,0)),0,VLOOKUP(A199,'Données projet'!$A$165:$I$185,3,0))</f>
        <v>0</v>
      </c>
      <c r="DW199" s="15">
        <f>IF(ISNA(VLOOKUP(A199,'Données projet'!$A$165:$I$185,4,0)),0,VLOOKUP(A199,'Données projet'!$A$165:$I$185,4,0))</f>
        <v>0</v>
      </c>
      <c r="DX199" s="16">
        <f>IF(ISNA(VLOOKUP(A199,'Données projet'!$A$165:$I$185,5,0)),0%,VLOOKUP(A199,'Données projet'!$A$165:$I$185,5,0)*VLOOKUP('Données projet'!$B$14,Paramètres!$A$1:$I$89,7,0))</f>
        <v>0</v>
      </c>
      <c r="DY199" s="16">
        <f>IF(ISNA(VLOOKUP(A199,'Données projet'!$A$165:$I$185,6,0)),0%,VLOOKUP(A199,'Données projet'!$A$165:$I$185,6,0)*VLOOKUP('Données projet'!$B$14,Paramètres!$A$1:$I$89,7,0))</f>
        <v>0</v>
      </c>
      <c r="DZ199" s="16">
        <f>IF(ISNA(VLOOKUP(A199,'Données projet'!$A$165:$I$185,7,0)),0%,VLOOKUP(A199,'Données projet'!$A$165:$I$185,7,0))</f>
        <v>0</v>
      </c>
      <c r="EA199" s="21">
        <f>EXP(-LN(2)/35)*EA198+(1-EXP(-LN(2)/35))/(LN(2)/35)*DW199*DX199*VLOOKUP('Données projet'!$B$14,Paramètres!$A$1:$I$89,3,0)*0.475*44/12</f>
        <v>5.8159035268001306E-2</v>
      </c>
      <c r="EB199" s="21">
        <f>EXP(-LN(2)/25)*EB198+(1-EXP(-LN(2)/25))/(LN(2)/25)*Calculateur!DW199*Calculateur!DY199*VLOOKUP('Données projet'!$B$14,Paramètres!$A$1:$I$89,3,0)*0.475*44/12</f>
        <v>8.0595428871252289E-2</v>
      </c>
      <c r="EC199" s="21">
        <f>EXP(-LN(2)/2)*EC198+(1-EXP(-LN(2)/2))/(LN(2)/2)*DW199*DZ199*VLOOKUP('Données projet'!$B$14,Paramètres!$A$1:$I$89,3,0)*0.475*44/12</f>
        <v>1.4471946664466084E-24</v>
      </c>
      <c r="ED199" s="22">
        <f t="shared" si="178"/>
        <v>0.1387544641392536</v>
      </c>
      <c r="EE199" s="75">
        <f>('Scénario référence'!$F$8+'Scénario référence'!$F$9+'Scénario référence'!$B$17+'Scénario référence'!$B$9+'Scénario référence'!$B$10)*70+IF((45+25*(1-EXP(-0.0175*A199)))&lt;70,'Scénario référence'!$B$16*(45+25*(1-EXP(-0.0175*A199))),70*'Scénario référence'!$B$16)+IF((32+38*(1-EXP(-0.0175*A199)))&lt;70,'Scénario référence'!$B$18*(32+38*(1-EXP(-0.0175*A199))),70*'Scénario référence'!$B$18)</f>
        <v>70</v>
      </c>
      <c r="EF199" s="12">
        <f>IF(A199&gt;30,10,('Scénario référence'!$B$16+'Scénario référence'!$B$17+'Scénario référence'!$B$18+'Scénario référence'!$B$9+'Scénario référence'!$B$10)*A199*10/30+('Scénario référence'!$F$8+'Scénario référence'!$F$9)*10)</f>
        <v>10</v>
      </c>
      <c r="EG199" s="12" t="e">
        <f>VLOOKUP(A199,'Données projet'!$A$191:$I$211,2,0)</f>
        <v>#N/A</v>
      </c>
      <c r="EH199" s="12" t="e">
        <f>VLOOKUP(A199,'Données projet'!$A$191:$I$211,9,0)</f>
        <v>#N/A</v>
      </c>
      <c r="EI199" s="12">
        <f t="array" ref="EI199">INDEX(EH:EH,MIN(IF(ISNUMBER(EH199:EH395),ROW(EH199:EH395),"")))</f>
        <v>0</v>
      </c>
      <c r="EJ199" s="12">
        <f>IF('Données projet'!$A$192&gt;35,EJ198+EI199-ER198,IF(A199&lt;'Données projet'!$A$192,$EG$205^A199,IF(A199='Données projet'!$A$192,'Données projet'!$B$192,EJ198+EI199-ER198)))</f>
        <v>275.99999999999972</v>
      </c>
      <c r="EK199" s="17">
        <f>EJ199*VLOOKUP('Données projet'!$B$15,Paramètres!$A$1:$I$89,3,0)*VLOOKUP('Données projet'!$B$15,Paramètres!$A$1:$I$89,5,0)</f>
        <v>223.8911999999998</v>
      </c>
      <c r="EL199" s="13">
        <f t="shared" si="179"/>
        <v>54.95975389514858</v>
      </c>
      <c r="EM199" s="20">
        <f t="shared" si="180"/>
        <v>485.66541136738346</v>
      </c>
      <c r="EN199" s="59">
        <f t="shared" si="198"/>
        <v>778.99874470071677</v>
      </c>
      <c r="EO199" s="59">
        <f ca="1">AVERAGE(OFFSET($EN$3,0,0,'Données projet'!$E$15+1,1))-AVERAGE(OFFSET($H$3,0,0,'Données projet'!$E$15+1,1))</f>
        <v>205.5272583787887</v>
      </c>
      <c r="EP199" s="59">
        <f t="shared" si="210"/>
        <v>180.54762778843178</v>
      </c>
      <c r="EQ199" s="15">
        <f>IF(ISNA(VLOOKUP(A199,'Données projet'!$A$191:$I$211,3,0)),0,VLOOKUP(A199,'Données projet'!$A$191:$I$211,3,0))</f>
        <v>0</v>
      </c>
      <c r="ER199" s="15">
        <f>IF(ISNA(VLOOKUP(A199,'Données projet'!$A$191:$I$211,4,0)),0,VLOOKUP(A199,'Données projet'!$A$191:$I$211,4,0))</f>
        <v>0</v>
      </c>
      <c r="ES199" s="16">
        <f>IF(ISNA(VLOOKUP(A199,'Données projet'!$A$191:$I$211,5,0)),0%,VLOOKUP(A199,'Données projet'!$A$191:$I$211,5,0)*VLOOKUP('Données projet'!$B$15,Paramètres!$A$1:$I$89,7,0))</f>
        <v>0</v>
      </c>
      <c r="ET199" s="16">
        <f>IF(ISNA(VLOOKUP(A199,'Données projet'!$A$191:$I$211,6,0)),0%,VLOOKUP(A199,'Données projet'!$A$191:$I$211,6,0)*VLOOKUP('Données projet'!$B$15,Paramètres!$A$1:$I$89,7,0))</f>
        <v>0</v>
      </c>
      <c r="EU199" s="16">
        <f>IF(ISNA(VLOOKUP(A199,'Données projet'!$A$191:$I$211,7,0)),0%,VLOOKUP(A199,'Données projet'!$A$191:$I$211,7,0))</f>
        <v>0</v>
      </c>
      <c r="EV199" s="21">
        <f>EXP(-LN(2)/35)*EV198+(1-EXP(-LN(2)/35))/(LN(2)/35)*ER199*ES199*VLOOKUP('Données projet'!$B$15,Paramètres!$A$1:$I$89,3,0)*0.475*44/12</f>
        <v>3.7443340801113209E-2</v>
      </c>
      <c r="EW199" s="21">
        <f>EXP(-LN(2)/25)*EW198+(1-EXP(-LN(2)/25))/(LN(2)/25)*Calculateur!ER199*Calculateur!ET199*VLOOKUP('Données projet'!$B$15,Paramètres!$A$1:$I$89,3,0)*0.475*44/12</f>
        <v>5.8192344585143829E-2</v>
      </c>
      <c r="EX199" s="21">
        <f>EXP(-LN(2)/2)*EX198+(1-EXP(-LN(2)/2))/(LN(2)/2)*ER199*EU199*VLOOKUP('Données projet'!$B$15,Paramètres!$A$1:$I$89,3,0)*0.475*44/12</f>
        <v>9.3705961661784035E-25</v>
      </c>
      <c r="EY199" s="22">
        <f t="shared" si="181"/>
        <v>9.5635685386257038E-2</v>
      </c>
      <c r="EZ199" s="75">
        <f>('Scénario référence'!$F$8+'Scénario référence'!$F$9+'Scénario référence'!$B$17+'Scénario référence'!$B$9+'Scénario référence'!$B$10)*70+IF((45+25*(1-EXP(-0.0175*A199)))&lt;70,'Scénario référence'!$B$16*(45+25*(1-EXP(-0.0175*A199))),70*'Scénario référence'!$B$16)+IF((32+38*(1-EXP(-0.0175*A199)))&lt;70,'Scénario référence'!$B$18*(32+38*(1-EXP(-0.0175*A199))),70*'Scénario référence'!$B$18)</f>
        <v>70</v>
      </c>
      <c r="FA199" s="12">
        <f>IF(A199&gt;30,10,('Scénario référence'!$B$16+'Scénario référence'!$B$17+'Scénario référence'!$B$18+'Scénario référence'!$B$9+'Scénario référence'!$B$10)*A199*10/30+('Scénario référence'!$F$8+'Scénario référence'!$F$9)*10)</f>
        <v>10</v>
      </c>
      <c r="FB199" s="12" t="e">
        <f>VLOOKUP(A199,'Données projet'!$A$217:$I$237,2,0)</f>
        <v>#N/A</v>
      </c>
      <c r="FC199" s="12" t="e">
        <f>VLOOKUP(A199,'Données projet'!$A$217:$I$237,9,0)</f>
        <v>#N/A</v>
      </c>
      <c r="FD199" s="12">
        <f t="array" ref="FD199">INDEX(FC:FC,MIN(IF(ISNUMBER(FC199:FC395),ROW(FC199:FC395),"")))</f>
        <v>0</v>
      </c>
      <c r="FE199" s="12">
        <f>IF('Données projet'!$A$218&gt;35,FE198+FD199-FM198,IF(A199&lt;'Données projet'!$A$218,$FB$205^A199,IF(A199='Données projet'!$A$218,'Données projet'!$B$218,FE198+FD199-FM198)))</f>
        <v>418.99999999999983</v>
      </c>
      <c r="FF199" s="17">
        <f>FE199*VLOOKUP('Données projet'!$B$16,Paramètres!$A$1:$I$89,3,0)*VLOOKUP('Données projet'!$B$16,Paramètres!$A$1:$I$89,5,0)</f>
        <v>359.5019999999999</v>
      </c>
      <c r="FG199" s="13">
        <f t="shared" si="182"/>
        <v>83.516011055432813</v>
      </c>
      <c r="FH199" s="20">
        <f t="shared" si="183"/>
        <v>771.58970258821194</v>
      </c>
      <c r="FI199" s="59">
        <f t="shared" si="199"/>
        <v>1064.9230359215453</v>
      </c>
      <c r="FJ199" s="59">
        <f ca="1">AVERAGE(OFFSET($FI$3,0,0,'Données projet'!$E$16+1,1))-AVERAGE(OFFSET($H$3,0,0,'Données projet'!$E$16+1,1))</f>
        <v>383.97627237444709</v>
      </c>
      <c r="FK199" s="59">
        <f t="shared" si="211"/>
        <v>203.35476578922339</v>
      </c>
      <c r="FL199" s="15">
        <f>IF(ISNA(VLOOKUP(A199,'Données projet'!$A$217:$I$237,3,0)),0,VLOOKUP(A199,'Données projet'!$A$217:$I$237,3,0))</f>
        <v>0</v>
      </c>
      <c r="FM199" s="15">
        <f>IF(ISNA(VLOOKUP(A199,'Données projet'!$A$217:$I$237,4,0)),0,VLOOKUP(A199,'Données projet'!$A$217:$I$237,4,0))</f>
        <v>0</v>
      </c>
      <c r="FN199" s="16">
        <f>IF(ISNA(VLOOKUP(A199,'Données projet'!$A$217:$I$237,5,0)),0%,VLOOKUP(A199,'Données projet'!$A$217:$I$237,5,0)*VLOOKUP('Données projet'!$B$16,Paramètres!$A$1:$I$89,7,0))</f>
        <v>0</v>
      </c>
      <c r="FO199" s="16">
        <f>IF(ISNA(VLOOKUP(A199,'Données projet'!$A$217:$I$237,6,0)),0%,VLOOKUP(A199,'Données projet'!$A$217:$I$237,6,0)*VLOOKUP('Données projet'!$B$16,Paramètres!$A$1:$I$89,7,0))</f>
        <v>0</v>
      </c>
      <c r="FP199" s="16">
        <f>IF(ISNA(VLOOKUP(A199,'Données projet'!$A$217:$I$237,7,0)),0%,VLOOKUP(A199,'Données projet'!$A$217:$I$237,7,0))</f>
        <v>0</v>
      </c>
      <c r="FQ199" s="21">
        <f>EXP(-LN(2)/35)*FQ198+(1-EXP(-LN(2)/35))/(LN(2)/35)*FM199*FN199*VLOOKUP('Données projet'!$B$16,Paramètres!$A$1:$I$89,3,0)*0.475*44/12</f>
        <v>0.19243845791957906</v>
      </c>
      <c r="FR199" s="21">
        <f>EXP(-LN(2)/25)*FR198+(1-EXP(-LN(2)/25))/(LN(2)/25)*Calculateur!FM199*Calculateur!FO199*VLOOKUP('Données projet'!$B$16,Paramètres!$A$1:$I$89,3,0)*0.475*44/12</f>
        <v>5.9071244504358238E-2</v>
      </c>
      <c r="FS199" s="21">
        <f>EXP(-LN(2)/2)*FS198+(1-EXP(-LN(2)/2))/(LN(2)/2)*FM199*FP199*VLOOKUP('Données projet'!$B$16,Paramètres!$A$1:$I$89,3,0)*0.475*44/12</f>
        <v>1.72118620325028E-24</v>
      </c>
      <c r="FT199" s="22">
        <f t="shared" si="184"/>
        <v>0.25150970242393728</v>
      </c>
      <c r="FU199" s="75">
        <f>('Scénario référence'!$F$8+'Scénario référence'!$F$9+'Scénario référence'!$B$17+'Scénario référence'!$B$9+'Scénario référence'!$B$10)*70+IF((45+25*(1-EXP(-0.0175*A199)))&lt;70,'Scénario référence'!$B$16*(45+25*(1-EXP(-0.0175*A199))),70*'Scénario référence'!$B$16)+IF((32+38*(1-EXP(-0.0175*A199)))&lt;70,'Scénario référence'!$B$18*(32+38*(1-EXP(-0.0175*A199))),70*'Scénario référence'!$B$18)</f>
        <v>70</v>
      </c>
      <c r="FV199" s="12">
        <f>IF(A199&gt;30,10,('Scénario référence'!$B$16+'Scénario référence'!$B$17+'Scénario référence'!$B$18+'Scénario référence'!$B$9+'Scénario référence'!$B$10)*A199*10/30+('Scénario référence'!$F$8+'Scénario référence'!$F$9)*10)</f>
        <v>10</v>
      </c>
      <c r="FW199" s="12" t="e">
        <f>VLOOKUP(A199,'Données projet'!$A$243:$I$263,2,0)</f>
        <v>#N/A</v>
      </c>
      <c r="FX199" s="12" t="e">
        <f>VLOOKUP(A199,'Données projet'!$A$243:$I$263,9,0)</f>
        <v>#N/A</v>
      </c>
      <c r="FY199" s="12">
        <f t="array" ref="FY199">INDEX(FX:FX,MIN(IF(ISNUMBER(FX199:FX395),ROW(FX199:FX395),"")))</f>
        <v>0</v>
      </c>
      <c r="FZ199" s="12">
        <f>IF('Données projet'!$A$244&gt;35,FZ198+FY199-GH198,IF(A199&lt;'Données projet'!$A$244,$FW$205^A199,IF(A199='Données projet'!$A$244,'Données projet'!$B$244,FZ198+FY199-GH198)))</f>
        <v>4.5474735088646412E-13</v>
      </c>
      <c r="GA199" s="17">
        <f>FZ199*VLOOKUP('Données projet'!$B$17,Paramètres!$A$1:$I$89,3,0)*VLOOKUP('Données projet'!$B$17,Paramètres!$A$1:$I$89,5,0)</f>
        <v>4.8949004849418999E-13</v>
      </c>
      <c r="GB199" s="13">
        <f t="shared" si="185"/>
        <v>6.1123715499968684E-12</v>
      </c>
      <c r="GC199" s="20">
        <f t="shared" si="186"/>
        <v>1.1498242284038591E-11</v>
      </c>
      <c r="GD199" s="59">
        <f t="shared" si="200"/>
        <v>293.3333333333448</v>
      </c>
      <c r="GE199" s="59">
        <f ca="1">AVERAGE(OFFSET($GD$3,0,0,'Données projet'!$E$17+1,1))-AVERAGE(OFFSET($H$3,0,0,'Données projet'!$E$17+1,1))</f>
        <v>286.77702855541287</v>
      </c>
      <c r="GF199" s="59">
        <f t="shared" si="212"/>
        <v>227.12211541860779</v>
      </c>
      <c r="GG199" s="15">
        <f>IF(ISNA(VLOOKUP(A199,'Données projet'!$A$243:$I$263,3,0)),0,VLOOKUP(A199,'Données projet'!$A$243:$I$263,3,0))</f>
        <v>0</v>
      </c>
      <c r="GH199" s="15">
        <f>IF(ISNA(VLOOKUP(A199,'Données projet'!$A$243:$I$263,4,0)),0,VLOOKUP(A199,'Données projet'!$A$243:$I$263,4,0))</f>
        <v>0</v>
      </c>
      <c r="GI199" s="16">
        <f>IF(ISNA(VLOOKUP(A199,'Données projet'!$A$243:$I$263,5,0)),0%,VLOOKUP(A199,'Données projet'!$A$243:$I$263,5,0)*VLOOKUP('Données projet'!$B$17,Paramètres!$A$1:$I$89,7,0))</f>
        <v>0</v>
      </c>
      <c r="GJ199" s="16">
        <f>IF(ISNA(VLOOKUP(A199,'Données projet'!$A$243:$I$263,6,0)),0%,VLOOKUP(A199,'Données projet'!$A$243:$I$263,6,0)*VLOOKUP('Données projet'!$B$17,Paramètres!$A$1:$I$89,7,0))</f>
        <v>0</v>
      </c>
      <c r="GK199" s="16">
        <f>IF(ISNA(VLOOKUP(A199,'Données projet'!$A$243:$I$263,7,0)),0%,VLOOKUP(A199,'Données projet'!$A$243:$I$263,7,0))</f>
        <v>0</v>
      </c>
      <c r="GL199" s="21">
        <f>EXP(-LN(2)/35)*GL198+(1-EXP(-LN(2)/35))/(LN(2)/35)*GH199*GI199*VLOOKUP('Données projet'!$B$17,Paramètres!$A$1:$I$89,3,0)*0.475*44/12</f>
        <v>0</v>
      </c>
      <c r="GM199" s="21">
        <f>EXP(-LN(2)/25)*GM198+(1-EXP(-LN(2)/25))/(LN(2)/25)*Calculateur!GH199*Calculateur!GJ199*VLOOKUP('Données projet'!$B$17,Paramètres!$A$1:$I$89,3,0)*0.475*44/12</f>
        <v>0</v>
      </c>
      <c r="GN199" s="21">
        <f>EXP(-LN(2)/2)*GN198+(1-EXP(-LN(2)/2))/(LN(2)/2)*GH199*GK199*VLOOKUP('Données projet'!$B$17,Paramètres!$A$1:$I$89,3,0)*0.475*44/12</f>
        <v>0</v>
      </c>
      <c r="GO199" s="21">
        <f t="shared" si="187"/>
        <v>0</v>
      </c>
      <c r="GP199" s="75">
        <f>('Scénario référence'!$F$8+'Scénario référence'!$F$9+'Scénario référence'!$B$17+'Scénario référence'!$B$9+'Scénario référence'!$B$10)*70+IF((45+25*(1-EXP(-0.0175*A199)))&lt;70,'Scénario référence'!$B$16*(45+25*(1-EXP(-0.0175*A199))),70*'Scénario référence'!$B$16)+IF((32+38*(1-EXP(-0.0175*A199)))&lt;70,'Scénario référence'!$B$18*(32+38*(1-EXP(-0.0175*A199))),70*'Scénario référence'!$B$18)</f>
        <v>70</v>
      </c>
      <c r="GQ199" s="12">
        <f>IF(A199&gt;30,10,('Scénario référence'!$B$16+'Scénario référence'!$B$17+'Scénario référence'!$B$18+'Scénario référence'!$B$9+'Scénario référence'!$B$10)*A199*10/30+('Scénario référence'!$F$8+'Scénario référence'!$F$9)*10)</f>
        <v>10</v>
      </c>
      <c r="GR199" s="12" t="e">
        <f>VLOOKUP(A199,'Données projet'!$A$269:$I$289,2,0)</f>
        <v>#N/A</v>
      </c>
      <c r="GS199" s="12" t="e">
        <f>VLOOKUP(A199,'Données projet'!$A$269:$I$289,9,0)</f>
        <v>#N/A</v>
      </c>
      <c r="GT199" s="12">
        <f t="array" ref="GT199">INDEX(GS:GS,MIN(IF(ISNUMBER(GS199:GS395),ROW(GS199:GS395),"")))</f>
        <v>0</v>
      </c>
      <c r="GU199" s="12">
        <f>IF('Données projet'!$A$270&gt;35,GU198+GT199-HC198,IF(A199&lt;'Données projet'!$A$270,$GR$205^A199,IF(A199='Données projet'!$A$270,'Données projet'!$B$270,GU198+GT199-HC198)))</f>
        <v>4.5474735088646412E-13</v>
      </c>
      <c r="GV199" s="17">
        <f>GU199*VLOOKUP('Données projet'!$B$18,Paramètres!$A$1:$I$89,3,0)*VLOOKUP('Données projet'!$B$18,Paramètres!$A$1:$I$89,5,0)</f>
        <v>4.8949004849418999E-13</v>
      </c>
      <c r="GW199" s="13">
        <f t="shared" si="188"/>
        <v>6.1123715499968684E-12</v>
      </c>
      <c r="GX199" s="20">
        <f t="shared" si="189"/>
        <v>1.1498242284038591E-11</v>
      </c>
      <c r="GY199" s="59">
        <f t="shared" si="201"/>
        <v>293.3333333333448</v>
      </c>
      <c r="GZ199" s="59">
        <f ca="1">AVERAGE(OFFSET($GY$3,0,0,'Données projet'!$E$18+1,1))-AVERAGE(OFFSET($H$3,0,0,'Données projet'!$E$18+1,1))</f>
        <v>286.77702855541287</v>
      </c>
      <c r="HA199" s="59">
        <f t="shared" si="213"/>
        <v>227.12211541860779</v>
      </c>
      <c r="HB199" s="15">
        <f>IF(ISNA(VLOOKUP(A199,'Données projet'!$A$269:$I$289,3,0)),0,VLOOKUP(A199,'Données projet'!$A$269:$I$289,3,0))</f>
        <v>0</v>
      </c>
      <c r="HC199" s="15">
        <f>IF(ISNA(VLOOKUP(A199,'Données projet'!$A$269:$I$289,4,0)),0,VLOOKUP(A199,'Données projet'!$A$269:$I$289,4,0))</f>
        <v>0</v>
      </c>
      <c r="HD199" s="16">
        <f>IF(ISNA(VLOOKUP(A199,'Données projet'!$A$269:$I$289,5,0)),0%,VLOOKUP(A199,'Données projet'!$A$269:$I$289,5,0)*VLOOKUP('Données projet'!$B$18,Paramètres!$A$1:$I$89,7,0))</f>
        <v>0</v>
      </c>
      <c r="HE199" s="16">
        <f>IF(ISNA(VLOOKUP(A199,'Données projet'!$A$269:$I$289,6,0)),0%,VLOOKUP(A199,'Données projet'!$A$269:$I$289,6,0)*VLOOKUP('Données projet'!$B$18,Paramètres!$A$1:$I$89,7,0))</f>
        <v>0</v>
      </c>
      <c r="HF199" s="16">
        <f>IF(ISNA(VLOOKUP(A199,'Données projet'!$A$269:$I$289,7,0)),0%,VLOOKUP(A199,'Données projet'!$A$269:$I$289,7,0))</f>
        <v>0</v>
      </c>
      <c r="HG199" s="21">
        <f>EXP(-LN(2)/35)*HG198+(1-EXP(-LN(2)/35))/(LN(2)/35)*HC199*HD199*VLOOKUP('Données projet'!$B$18,Paramètres!$A$1:$I$89,3,0)*0.475*44/12</f>
        <v>0</v>
      </c>
      <c r="HH199" s="21">
        <f>EXP(-LN(2)/25)*HH198+(1-EXP(-LN(2)/25))/(LN(2)/25)*Calculateur!HC199*Calculateur!HE199*VLOOKUP('Données projet'!$B$18,Paramètres!$A$1:$I$89,3,0)*0.475*44/12</f>
        <v>0</v>
      </c>
      <c r="HI199" s="21">
        <f>EXP(-LN(2)/2)*HI198+(1-EXP(-LN(2)/2))/(LN(2)/2)*HC199*HF199*VLOOKUP('Données projet'!$B$18,Paramètres!$A$1:$I$89,3,0)*0.475*44/12</f>
        <v>0</v>
      </c>
      <c r="HJ199" s="22">
        <f t="shared" si="190"/>
        <v>0</v>
      </c>
    </row>
    <row r="200" spans="1:218" x14ac:dyDescent="0.25">
      <c r="A200" s="10">
        <f t="shared" si="161"/>
        <v>197</v>
      </c>
      <c r="B200" s="73">
        <f>'Scénario référence'!$B$16*5+'Scénario référence'!$B$17*0+'Scénario référence'!$B$18*5</f>
        <v>0</v>
      </c>
      <c r="C200" s="19">
        <f>Calculateur!C199+'Scénario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175.17239999999961</v>
      </c>
      <c r="D200" s="11">
        <f t="shared" si="202"/>
        <v>44.246440622057428</v>
      </c>
      <c r="E200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00" s="11">
        <f>IF(OR('Scénario référence'!$F$8&gt;0,'Scénario référence'!$F$9&gt;0),('Scénario référence'!$F$8+'Scénario référence'!$F$9)*10,0)</f>
        <v>10</v>
      </c>
      <c r="G200" s="11">
        <f>'Scénario référence'!$B$8*B200*44/12+'Scénario référence'!$B$9*(C200+D200)/0.475*44/12+'Scénario référence'!$B$10*(C200+D200)/0.475*44/12+'Scénario référence'!$F$8*(C200+D200)/0.475*44/12+'Scénario référence'!$F$9*(C200+D200)/0.475*44/12</f>
        <v>1693.7594714685104</v>
      </c>
      <c r="H200" s="67">
        <f t="shared" si="192"/>
        <v>675.48781408341597</v>
      </c>
      <c r="I200" s="70">
        <f>('Scénario référence'!$F$8+'Scénario référence'!$F$9+'Scénario référence'!$B$17+'Scénario référence'!$B$9+'Scénario référence'!$B$10)*70+IF((45+25*(1-EXP(-0.0175*A200)))&lt;70,'Scénario référence'!$B$16*(45+25*(1-EXP(-0.0175*A200))),70*'Scénario référence'!$B$16)+IF((32+38*(1-EXP(-0.0175*A200)))&lt;70,'Scénario référence'!$B$18*(32+38*(1-EXP(-0.0175*A200))),70*'Scénario référence'!$B$18)</f>
        <v>70</v>
      </c>
      <c r="J200" s="13">
        <f>IF(A200&gt;30,10,('Scénario référence'!$B$16+'Scénario référence'!$B$17+'Scénario référence'!$B$18+'Scénario référence'!$B$9+'Scénario référence'!$B$10)*A200*10/30+('Scénario référence'!$F$8+'Scénario référence'!$F$9)*10)</f>
        <v>10</v>
      </c>
      <c r="K200" s="12" t="e">
        <f>VLOOKUP(A200,'Données projet'!$A$35:$I$55,2,0)</f>
        <v>#N/A</v>
      </c>
      <c r="L200" s="12" t="e">
        <f>VLOOKUP(A200,'Données projet'!$A$35:$I$55,9,0)</f>
        <v>#N/A</v>
      </c>
      <c r="M200" s="12">
        <f t="array" ref="M200">INDEX(L:L,MIN(IF(ISNUMBER(L200:L396),ROW(L200:L396),"")))</f>
        <v>0</v>
      </c>
      <c r="N200" s="13">
        <f>IF('Données projet'!$A$36&gt;35,N199+M200-V199,IF(A200&lt;'Données projet'!$A$36,$K$205^A200,IF(A200='Données projet'!$A$36,'Données projet'!$B$36,N199+M200-V199)))</f>
        <v>-2.2737367544323206E-13</v>
      </c>
      <c r="O200" s="13">
        <f>N200*VLOOKUP('Données projet'!$B$9,Paramètres!$A$1:$I$89,3,0)*VLOOKUP('Données projet'!$B$9,Paramètres!$A$1:$I$89,5,0)</f>
        <v>-1.2710188457276673E-13</v>
      </c>
      <c r="P200" s="13" t="e">
        <f t="shared" si="203"/>
        <v>#NUM!</v>
      </c>
      <c r="Q200" s="20" t="e">
        <f t="shared" si="162"/>
        <v>#NUM!</v>
      </c>
      <c r="R200" s="59" t="e">
        <f t="shared" si="191"/>
        <v>#NUM!</v>
      </c>
      <c r="S200" s="59">
        <f ca="1">AVERAGE(OFFSET($R$3,0,0,'Données projet'!$E$9+1,1))-AVERAGE(OFFSET($H$3,0,0,'Données projet'!$E$9+1,1))</f>
        <v>255.5374979188561</v>
      </c>
      <c r="T200" s="59">
        <f t="shared" si="204"/>
        <v>343.10418468620901</v>
      </c>
      <c r="U200" s="15">
        <f>IF(ISNA(VLOOKUP(A200,'Données projet'!$A$35:$I$55,3,0)),0,VLOOKUP(A200,'Données projet'!$A$35:$I$55,3,0))</f>
        <v>0</v>
      </c>
      <c r="V200" s="15">
        <f>IF(ISNA(VLOOKUP(A200,'Données projet'!$A$35:$I$55,4,0)),0,VLOOKUP(A200,'Données projet'!$A$35:$I$55,4,0))</f>
        <v>0</v>
      </c>
      <c r="W200" s="16">
        <f>IF(ISNA(VLOOKUP(A200,'Données projet'!$A$35:$I$55,5,0)),0%,VLOOKUP(A200,'Données projet'!$A$35:$I$55,5,0)*VLOOKUP('Données projet'!$B$9,Paramètres!$A$1:$I$89,7,0))</f>
        <v>0</v>
      </c>
      <c r="X200" s="16">
        <f>IF(ISNA(VLOOKUP(A200,'Données projet'!$A$35:$I$55,6,0)),0%,VLOOKUP(A200,'Données projet'!$A$35:$I$55,6,0)*VLOOKUP('Données projet'!$B$9,Paramètres!$A$1:$I$89,7,0))</f>
        <v>0</v>
      </c>
      <c r="Y200" s="16">
        <f>IF(ISNA(VLOOKUP(A200,'Données projet'!$A$35:$I$55,7,0)),0%,VLOOKUP(A200,'Données projet'!$A$35:$I$55,7,0))</f>
        <v>0</v>
      </c>
      <c r="Z200" s="21">
        <f>EXP(-LN(2)/35)*Z199+(1-EXP(-LN(2)/35))/(LN(2)/35)*V200*W200*VLOOKUP('Données projet'!$B$9,Paramètres!$A$1:$I$89,3,0)*0.475*44/12</f>
        <v>0.11314128271054427</v>
      </c>
      <c r="AA200" s="21">
        <f>EXP(-LN(2)/25)*AA199+(1-EXP(-LN(2)/25))/(LN(2)/25)*Calculateur!V200*Calculateur!X200*VLOOKUP('Données projet'!$B$9,Paramètres!$A$1:$I$89,3,0)*0.475*44/12</f>
        <v>0.15565374250546468</v>
      </c>
      <c r="AB200" s="21">
        <f>EXP(-LN(2)/2)*AB199+(1-EXP(-LN(2)/2))/(LN(2)/2)*V200*Y200*VLOOKUP('Données projet'!$B$9,Paramètres!$A$1:$I$89,3,0)*0.475*44/12</f>
        <v>1.2375508738338198E-25</v>
      </c>
      <c r="AC200" s="22">
        <f t="shared" si="163"/>
        <v>0.26879502521600895</v>
      </c>
      <c r="AD200" s="13">
        <f>('Scénario référence'!$F$8+'Scénario référence'!$F$9+'Scénario référence'!$B$17+'Scénario référence'!$B$9+'Scénario référence'!$B$10)*70+IF((45+25*(1-EXP(-0.0175*A200)))&lt;70,'Scénario référence'!$B$16*(45+25*(1-EXP(-0.0175*A200))),70*'Scénario référence'!$B$16)+IF((32+38*(1-EXP(-0.0175*A200)))&lt;70,'Scénario référence'!$B$18*(32+38*(1-EXP(-0.0175*A200))),70*'Scénario référence'!$B$18)</f>
        <v>70</v>
      </c>
      <c r="AE200" s="13">
        <f>IF(A200&gt;30,10,('Scénario référence'!$B$16+'Scénario référence'!$B$17+'Scénario référence'!$B$18+'Scénario référence'!$B$9+'Scénario référence'!$B$10)*A200*10/30+('Scénario référence'!$F$8+'Scénario référence'!$F$9)*10)</f>
        <v>10</v>
      </c>
      <c r="AF200" s="12" t="e">
        <f>VLOOKUP(A200,'Données projet'!$A$61:$I$81,2,0)</f>
        <v>#N/A</v>
      </c>
      <c r="AG200" s="12" t="e">
        <f>VLOOKUP(A200,'Données projet'!$A$61:$I$81,9,0)</f>
        <v>#N/A</v>
      </c>
      <c r="AH200" s="12">
        <f t="array" ref="AH200">INDEX(AG:AG,MIN(IF(ISNUMBER(AG200:AG396),ROW(AG200:AG396),"")))</f>
        <v>0</v>
      </c>
      <c r="AI200" s="13">
        <f>IF('Données projet'!$A$62&gt;35,AI199+AH200-AQ199,IF(A200&lt;'Données projet'!$A$62,$AF$205^A200,IF(A200='Données projet'!$A$62,'Données projet'!$B$62,AI199+AH200-AQ199)))</f>
        <v>0</v>
      </c>
      <c r="AJ200" s="13">
        <f>AI200*VLOOKUP('Données projet'!$B$10,Paramètres!$A$1:$I$89,3,0)*VLOOKUP('Données projet'!$B$10,Paramètres!$A$1:$I$89,5,0)</f>
        <v>0</v>
      </c>
      <c r="AK200" s="13" t="e">
        <f t="shared" si="164"/>
        <v>#NUM!</v>
      </c>
      <c r="AL200" s="20" t="e">
        <f t="shared" si="165"/>
        <v>#NUM!</v>
      </c>
      <c r="AM200" s="59" t="e">
        <f t="shared" si="193"/>
        <v>#NUM!</v>
      </c>
      <c r="AN200" s="59">
        <f ca="1">AVERAGE(OFFSET($AM$3,0,0,'Données projet'!$E$10+1,1))-AVERAGE(OFFSET($H$3,0,0,'Données projet'!$E$10+1,1))</f>
        <v>261.78489480911571</v>
      </c>
      <c r="AO200" s="59">
        <f t="shared" si="205"/>
        <v>297.50513563712764</v>
      </c>
      <c r="AP200" s="15">
        <f>IF(ISNA(VLOOKUP(A200,'Données projet'!$A$61:$I$81,3,0)),0,VLOOKUP(A200,'Données projet'!$A$61:$I$81,3,0))</f>
        <v>0</v>
      </c>
      <c r="AQ200" s="15">
        <f>IF(ISNA(VLOOKUP(A200,'Données projet'!$A$61:$I$81,4,0)),0,VLOOKUP(A200,'Données projet'!$A$61:$I$81,4,0))</f>
        <v>0</v>
      </c>
      <c r="AR200" s="16">
        <f>IF(ISNA(VLOOKUP(A200,'Données projet'!$A$61:$I$81,5,0)),0%,VLOOKUP(A200,'Données projet'!$A$61:$I$81,5,0)*VLOOKUP('Données projet'!$B$10,Paramètres!$A$1:$I$89,7,0))</f>
        <v>0</v>
      </c>
      <c r="AS200" s="16">
        <f>IF(ISNA(VLOOKUP(A200,'Données projet'!$A$61:$I$81,6,0)),0%,VLOOKUP(A200,'Données projet'!$A$61:$I$81,6,0)*VLOOKUP('Données projet'!$B$10,Paramètres!$A$1:$I$89,7,0))</f>
        <v>0</v>
      </c>
      <c r="AT200" s="16">
        <f>IF(ISNA(VLOOKUP(A200,'Données projet'!$A$61:$I$81,7,0)),0%,VLOOKUP(A200,'Données projet'!$A$61:$I$81,7,0))</f>
        <v>0</v>
      </c>
      <c r="AU200" s="21">
        <f>EXP(-LN(2)/35)*AU199+(1-EXP(-LN(2)/35))/(LN(2)/35)*AQ200*AR200*VLOOKUP('Données projet'!$B$10,Paramètres!$A$1:$I$89,3,0)*0.475*44/12</f>
        <v>0.3055134651767909</v>
      </c>
      <c r="AV200" s="21">
        <f>EXP(-LN(2)/25)*AV199+(1-EXP(-LN(2)/25))/(LN(2)/25)*Calculateur!AQ200*Calculateur!AS200*VLOOKUP('Données projet'!$B$10,Paramètres!$A$1:$I$89,3,0)*0.475*44/12</f>
        <v>0.27180318168800127</v>
      </c>
      <c r="AW200" s="21">
        <f>EXP(-LN(2)/2)*AW199+(1-EXP(-LN(2)/2))/(LN(2)/2)*AQ200*AT200*VLOOKUP('Données projet'!$B$10,Paramètres!$A$1:$I$89,3,0)*0.475*44/12</f>
        <v>1.7840473999719468E-24</v>
      </c>
      <c r="AX200" s="21">
        <f t="shared" si="166"/>
        <v>0.57731664686479212</v>
      </c>
      <c r="AY200" s="74">
        <f>('Scénario référence'!$F$8+'Scénario référence'!$F$9+'Scénario référence'!$B$17+'Scénario référence'!$B$9+'Scénario référence'!$B$10)*70+IF((45+25*(1-EXP(-0.0175*A200)))&lt;70,'Scénario référence'!$B$16*(45+25*(1-EXP(-0.0175*A200))),70*'Scénario référence'!$B$16)+IF((32+38*(1-EXP(-0.0175*A200)))&lt;70,'Scénario référence'!$B$18*(32+38*(1-EXP(-0.0175*A200))),70*'Scénario référence'!$B$18)</f>
        <v>70</v>
      </c>
      <c r="AZ200" s="12">
        <f>IF(A200&gt;30,10,('Scénario référence'!$B$16+'Scénario référence'!$B$17+'Scénario référence'!$B$18+'Scénario référence'!$B$9+'Scénario référence'!$B$10)*A200*10/30+('Scénario référence'!$F$8+'Scénario référence'!$F$9)*10)</f>
        <v>10</v>
      </c>
      <c r="BA200" s="12" t="e">
        <f>VLOOKUP(A200,'Données projet'!$A$87:$I$107,2,0)</f>
        <v>#N/A</v>
      </c>
      <c r="BB200" s="12" t="e">
        <f>VLOOKUP(A200,'Données projet'!$A$87:$I$107,9,0)</f>
        <v>#N/A</v>
      </c>
      <c r="BC200" s="12">
        <f t="array" ref="BC200">INDEX(BB:BB,MIN(IF(ISNUMBER(BB200:BB396),ROW(BB200:BB396),"")))</f>
        <v>0</v>
      </c>
      <c r="BD200" s="12">
        <f>IF('Données projet'!$A$88&gt;35,BD199+BC200-BL199,IF(A200&lt;'Données projet'!$A$88,$BA$205^A200,IF(A200='Données projet'!$A$88,'Données projet'!$B$88,BD199+BC200-BL199)))</f>
        <v>553.99999999999955</v>
      </c>
      <c r="BE200" s="13">
        <f>BD200*VLOOKUP('Données projet'!$B$11,Paramètres!$A$1:$I$89,3,0)*VLOOKUP('Données projet'!$B$11,Paramètres!$A$1:$I$89,5,0)</f>
        <v>331.29199999999975</v>
      </c>
      <c r="BF200" s="13">
        <f t="shared" si="167"/>
        <v>77.698110787752</v>
      </c>
      <c r="BG200" s="20">
        <f t="shared" si="168"/>
        <v>712.32444295533423</v>
      </c>
      <c r="BH200" s="59">
        <f t="shared" si="194"/>
        <v>1005.6577762886675</v>
      </c>
      <c r="BI200" s="59">
        <f ca="1">AVERAGE(OFFSET($BH$3,0,0,'Données projet'!$E$11+1,1))-AVERAGE(OFFSET($H$3,0,0,'Données projet'!$E$11+1,1))</f>
        <v>316.58509520829671</v>
      </c>
      <c r="BJ200" s="59">
        <f t="shared" si="206"/>
        <v>240.71332110643596</v>
      </c>
      <c r="BK200" s="15">
        <f>IF(ISNA(VLOOKUP(A200,'Données projet'!$A$87:$I$107,3,0)),0,VLOOKUP(A200,'Données projet'!$A$87:$I$107,3,0))</f>
        <v>0</v>
      </c>
      <c r="BL200" s="15">
        <f>IF(ISNA(VLOOKUP(A200,'Données projet'!$A$87:$I$107,4,0)),0,VLOOKUP(A200,'Données projet'!$A$87:$I$107,4,0))</f>
        <v>0</v>
      </c>
      <c r="BM200" s="16">
        <f>IF(ISNA(VLOOKUP(A200,'Données projet'!$A$87:$I$107,5,0)),0%,VLOOKUP(A200,'Données projet'!$A$87:$I$107,5,0)*VLOOKUP('Données projet'!$B$11,Paramètres!$A$1:$I$89,7,0))</f>
        <v>0</v>
      </c>
      <c r="BN200" s="16">
        <f>IF(ISNA(VLOOKUP(A200,'Données projet'!$A$87:$I$107,6,0)),0%,VLOOKUP(A200,'Données projet'!$A$87:$I$107,6,0)*VLOOKUP('Données projet'!$B$11,Paramètres!$A$1:$I$89,7,0))</f>
        <v>0</v>
      </c>
      <c r="BO200" s="16">
        <f>IF(ISNA(VLOOKUP(A200,'Données projet'!$A$87:$I$107,7,0)),0%,VLOOKUP(A200,'Données projet'!$A$87:$I$107,7,0))</f>
        <v>0</v>
      </c>
      <c r="BP200" s="21">
        <f>EXP(-LN(2)/35)*BP199+(1-EXP(-LN(2)/35))/(LN(2)/35)*BL200*BM200*VLOOKUP('Données projet'!$B$11,Paramètres!$A$1:$I$89,3,0)*0.475*44/12</f>
        <v>9.2801988213113876E-2</v>
      </c>
      <c r="BQ200" s="21">
        <f>EXP(-LN(2)/25)*BQ199+(1-EXP(-LN(2)/25))/(LN(2)/25)*Calculateur!BL200*Calculateur!BN200*VLOOKUP('Données projet'!$B$11,Paramètres!$A$1:$I$89,3,0)*0.475*44/12</f>
        <v>0.14890171362273924</v>
      </c>
      <c r="BR200" s="21">
        <f>EXP(-LN(2)/2)*BR199+(1-EXP(-LN(2)/2))/(LN(2)/2)*BL200*BO200*VLOOKUP('Données projet'!$B$11,Paramètres!$A$1:$I$89,3,0)*0.475*44/12</f>
        <v>1.6040539882566975E-24</v>
      </c>
      <c r="BS200" s="22">
        <f t="shared" si="169"/>
        <v>0.2417037018358531</v>
      </c>
      <c r="BT200" s="75">
        <f>('Scénario référence'!$F$8+'Scénario référence'!$F$9+'Scénario référence'!$B$17+'Scénario référence'!$B$9+'Scénario référence'!$B$10)*70+IF((45+25*(1-EXP(-0.0175*A200)))&lt;70,'Scénario référence'!$B$16*(45+25*(1-EXP(-0.0175*A200))),70*'Scénario référence'!$B$16)+IF((32+38*(1-EXP(-0.0175*A200)))&lt;70,'Scénario référence'!$B$18*(32+38*(1-EXP(-0.0175*A200))),70*'Scénario référence'!$B$18)</f>
        <v>70</v>
      </c>
      <c r="BU200" s="12">
        <f>IF(A200&gt;30,10,('Scénario référence'!$B$16+'Scénario référence'!$B$17+'Scénario référence'!$B$18+'Scénario référence'!$B$9+'Scénario référence'!$B$10)*A200*10/30+('Scénario référence'!$F$8+'Scénario référence'!$F$9)*10)</f>
        <v>10</v>
      </c>
      <c r="BV200" s="12" t="e">
        <f>VLOOKUP(A200,'Données projet'!$A$113:$I$133,2,0)</f>
        <v>#N/A</v>
      </c>
      <c r="BW200" s="12" t="e">
        <f>VLOOKUP(A200,'Données projet'!$A$113:$I$133,9,0)</f>
        <v>#N/A</v>
      </c>
      <c r="BX200" s="12">
        <f t="array" ref="BX200">INDEX(BW:BW,MIN(IF(ISNUMBER(BW200:BW396),ROW(BW200:BW396),"")))</f>
        <v>0</v>
      </c>
      <c r="BY200" s="12">
        <f>IF('Données projet'!$A$114&gt;35,BY199+BX200-CG199,IF(A200&lt;'Données projet'!$A$114,$BV$205^A200,IF(A200='Données projet'!$A$114,'Données projet'!$B$114,BY199+BX200-CG199)))</f>
        <v>333.99999999999977</v>
      </c>
      <c r="BZ200" s="13">
        <f>BY200*VLOOKUP('Données projet'!$B$12,Paramètres!$A$1:$I$89,3,0)*VLOOKUP('Données projet'!$B$12,Paramètres!$A$1:$I$89,5,0)</f>
        <v>191.04799999999986</v>
      </c>
      <c r="CA200" s="13">
        <f t="shared" si="170"/>
        <v>47.771576544305155</v>
      </c>
      <c r="CB200" s="20">
        <f t="shared" si="171"/>
        <v>415.94409581466454</v>
      </c>
      <c r="CC200" s="59">
        <f t="shared" si="195"/>
        <v>709.27742914799785</v>
      </c>
      <c r="CD200" s="59">
        <f ca="1">AVERAGE(OFFSET($CC$3,0,0,'Données projet'!$E$12+1,1))-AVERAGE(OFFSET($H$3,0,0,'Données projet'!$E$12+1,1))</f>
        <v>188.64374818906128</v>
      </c>
      <c r="CE200" s="59">
        <f t="shared" si="207"/>
        <v>211.95157880548652</v>
      </c>
      <c r="CF200" s="15">
        <f>IF(ISNA(VLOOKUP(A200,'Données projet'!$A$113:$I$133,3,0)),0,VLOOKUP(A200,'Données projet'!$A$113:$I$133,3,0))</f>
        <v>0</v>
      </c>
      <c r="CG200" s="15">
        <f>IF(ISNA(VLOOKUP(A200,'Données projet'!$A$113:$I$133,4,0)),0,VLOOKUP(A200,'Données projet'!$A$113:$I$133,4,0))</f>
        <v>0</v>
      </c>
      <c r="CH200" s="16">
        <f>IF(ISNA(VLOOKUP(A200,'Données projet'!$A$113:$I$133,5,0)),0%,VLOOKUP(A200,'Données projet'!$A$113:$I$133,5,0)*VLOOKUP('Données projet'!$B$12,Paramètres!$A$1:$I$89,7,0))</f>
        <v>0</v>
      </c>
      <c r="CI200" s="16">
        <f>IF(ISNA(VLOOKUP(A200,'Données projet'!$A$113:$I$133,6,0)),0%,VLOOKUP(A200,'Données projet'!$A$113:$I$133,6,0)*VLOOKUP('Données projet'!$B$12,Paramètres!$A$1:$I$89,7,0))</f>
        <v>0</v>
      </c>
      <c r="CJ200" s="16">
        <f>IF(ISNA(VLOOKUP(A200,'Données projet'!$A$113:$I$133,7,0)),0%,VLOOKUP(A200,'Données projet'!$A$113:$I$133,7,0))</f>
        <v>0</v>
      </c>
      <c r="CK200" s="21">
        <f>EXP(-LN(2)/35)*CK199+(1-EXP(-LN(2)/35))/(LN(2)/35)*CG200*CH200*VLOOKUP('Données projet'!$B$12,Paramètres!$A$1:$I$89,3,0)*0.475*44/12</f>
        <v>9.0017360275304492E-2</v>
      </c>
      <c r="CL200" s="21">
        <f>EXP(-LN(2)/25)*CL199+(1-EXP(-LN(2)/25))/(LN(2)/25)*Calculateur!CG200*Calculateur!CI200*VLOOKUP('Données projet'!$B$12,Paramètres!$A$1:$I$89,3,0)*0.475*44/12</f>
        <v>0.14014966425899153</v>
      </c>
      <c r="CM200" s="21">
        <f>EXP(-LN(2)/2)*CM199+(1-EXP(-LN(2)/2))/(LN(2)/2)*CG200*CJ200*VLOOKUP('Données projet'!$B$12,Paramètres!$A$1:$I$89,3,0)*0.475*44/12</f>
        <v>1.553400784578666E-24</v>
      </c>
      <c r="CN200" s="22">
        <f t="shared" si="172"/>
        <v>0.23016702453429602</v>
      </c>
      <c r="CO200" s="75">
        <f>('Scénario référence'!$F$8+'Scénario référence'!$F$9+'Scénario référence'!$B$17+'Scénario référence'!$B$9+'Scénario référence'!$B$10)*70+IF((45+25*(1-EXP(-0.0175*A200)))&lt;70,'Scénario référence'!$B$16*(45+25*(1-EXP(-0.0175*A200))),70*'Scénario référence'!$B$16)+IF((32+38*(1-EXP(-0.0175*A200)))&lt;70,'Scénario référence'!$B$18*(32+38*(1-EXP(-0.0175*A200))),70*'Scénario référence'!$B$18)</f>
        <v>70</v>
      </c>
      <c r="CP200" s="12">
        <f>IF(A200&gt;30,10,('Scénario référence'!$B$16+'Scénario référence'!$B$17+'Scénario référence'!$B$18+'Scénario référence'!$B$9+'Scénario référence'!$B$10)*A200*10/30+('Scénario référence'!$F$8+'Scénario référence'!$F$9)*10)</f>
        <v>10</v>
      </c>
      <c r="CQ200" s="12" t="e">
        <f>VLOOKUP(A200,'Données projet'!$A$139:$I$159,2,0)</f>
        <v>#N/A</v>
      </c>
      <c r="CR200" s="12" t="e">
        <f>VLOOKUP(A200,'Données projet'!$A$139:$I$159,9,0)</f>
        <v>#N/A</v>
      </c>
      <c r="CS200" s="12">
        <f t="array" ref="CS200">INDEX(CR:CR,MIN(IF(ISNUMBER(CR200:CR396),ROW(CR200:CR396),"")))</f>
        <v>0</v>
      </c>
      <c r="CT200" s="12">
        <f>IF('Données projet'!$A$140&gt;35,CT199+CS200-DB199,IF(A200&lt;'Données projet'!$A$140,$CQ$205^A200,IF(A200='Données projet'!$A$140,'Données projet'!$B$140,CT199+CS200-DB199)))</f>
        <v>0</v>
      </c>
      <c r="CU200" s="17" t="e">
        <f>CT200*VLOOKUP('Données projet'!$B$13,Paramètres!$A$1:$I$89,3,0)*VLOOKUP('Données projet'!$B$13,Paramètres!$A$1:$I$89,5,0)</f>
        <v>#N/A</v>
      </c>
      <c r="CV200" s="13" t="e">
        <f t="shared" si="173"/>
        <v>#N/A</v>
      </c>
      <c r="CW200" s="20" t="e">
        <f t="shared" si="174"/>
        <v>#N/A</v>
      </c>
      <c r="CX200" s="59" t="e">
        <f t="shared" si="196"/>
        <v>#N/A</v>
      </c>
      <c r="CY200" s="59" t="e">
        <f ca="1">AVERAGE(OFFSET($CX$3,0,0,'Données projet'!$E$13+1,1))-AVERAGE(OFFSET($H$3,0,0,'Données projet'!$E$13+1,1))</f>
        <v>#N/A</v>
      </c>
      <c r="CZ200" s="59" t="e">
        <f t="shared" si="208"/>
        <v>#N/A</v>
      </c>
      <c r="DA200" s="15">
        <f>IF(ISNA(VLOOKUP(A200,'Données projet'!$A$139:$I$159,3,0)),0,VLOOKUP(A200,'Données projet'!$A$139:$I$159,3,0))</f>
        <v>0</v>
      </c>
      <c r="DB200" s="15">
        <f>IF(ISNA(VLOOKUP(A200,'Données projet'!$A$139:$I$159,4,0)),0,VLOOKUP(A200,'Données projet'!$A$139:$I$159,4,0))</f>
        <v>0</v>
      </c>
      <c r="DC200" s="16">
        <f>IF(ISNA(VLOOKUP(A200,'Données projet'!$A$139:$I$159,5,0)),0%,VLOOKUP(A200,'Données projet'!$A$139:$I$159,5,0)*VLOOKUP('Données projet'!$B$13,Paramètres!$A$1:$I$89,7,0))</f>
        <v>0</v>
      </c>
      <c r="DD200" s="16">
        <f>IF(ISNA(VLOOKUP(A200,'Données projet'!$A$139:$I$159,6,0)),0%,VLOOKUP(A200,'Données projet'!$A$139:$I$159,6,0)*VLOOKUP('Données projet'!$B$13,Paramètres!$A$1:$I$89,7,0))</f>
        <v>0</v>
      </c>
      <c r="DE200" s="16">
        <f>IF(ISNA(VLOOKUP(A200,'Données projet'!$A$139:$I$159,7,0)),0%,VLOOKUP(A200,'Données projet'!$A$139:$I$159,7,0))</f>
        <v>0</v>
      </c>
      <c r="DF200" s="21" t="e">
        <f>EXP(-LN(2)/35)*DF199+(1-EXP(-LN(2)/35))/(LN(2)/35)*DB200*DC200*VLOOKUP('Données projet'!$B$13,Paramètres!$A$1:$I$89,3,0)*0.475*44/12</f>
        <v>#N/A</v>
      </c>
      <c r="DG200" s="21" t="e">
        <f>EXP(-LN(2)/25)*DG199+(1-EXP(-LN(2)/25))/(LN(2)/25)*Calculateur!DB200*Calculateur!DD200*VLOOKUP('Données projet'!$B$13,Paramètres!$A$1:$I$89,3,0)*0.475*44/12</f>
        <v>#N/A</v>
      </c>
      <c r="DH200" s="21" t="e">
        <f>EXP(-LN(2)/2)*DH199+(1-EXP(-LN(2)/2))/(LN(2)/2)*DB200*DE200*VLOOKUP('Données projet'!$B$13,Paramètres!$A$1:$I$89,3,0)*0.475*44/12</f>
        <v>#N/A</v>
      </c>
      <c r="DI200" s="22" t="e">
        <f t="shared" si="175"/>
        <v>#N/A</v>
      </c>
      <c r="DJ200" s="75">
        <f>('Scénario référence'!$F$8+'Scénario référence'!$F$9+'Scénario référence'!$B$17+'Scénario référence'!$B$9+'Scénario référence'!$B$10)*70+IF((45+25*(1-EXP(-0.0175*A200)))&lt;70,'Scénario référence'!$B$16*(45+25*(1-EXP(-0.0175*A200))),70*'Scénario référence'!$B$16)+IF((32+38*(1-EXP(-0.0175*A200)))&lt;70,'Scénario référence'!$B$18*(32+38*(1-EXP(-0.0175*A200))),70*'Scénario référence'!$B$18)</f>
        <v>70</v>
      </c>
      <c r="DK200" s="12">
        <f>IF(A200&gt;30,10,('Scénario référence'!$B$16+'Scénario référence'!$B$17+'Scénario référence'!$B$18+'Scénario référence'!$B$9+'Scénario référence'!$B$10)*A200*10/30+('Scénario référence'!$F$8+'Scénario référence'!$F$9)*10)</f>
        <v>10</v>
      </c>
      <c r="DL200" s="12" t="e">
        <f>VLOOKUP(A200,'Données projet'!$A$165:$I$185,2,0)</f>
        <v>#N/A</v>
      </c>
      <c r="DM200" s="12" t="e">
        <f>VLOOKUP(A200,'Données projet'!$A$165:$I$185,9,0)</f>
        <v>#N/A</v>
      </c>
      <c r="DN200" s="12">
        <f t="array" ref="DN200">INDEX(DM:DM,MIN(IF(ISNUMBER(DM200:DM396),ROW(DM200:DM396),"")))</f>
        <v>0</v>
      </c>
      <c r="DO200" s="12">
        <f>IF('Données projet'!$A$166&gt;35,DO199+DN200-DW199,IF(A200&lt;'Données projet'!$A$166,$DL$205^A200,IF(A200='Données projet'!$A$166,'Données projet'!$B$166,DO199+DN200-DW199)))</f>
        <v>268.00000000000017</v>
      </c>
      <c r="DP200" s="17">
        <f>DO200*VLOOKUP('Données projet'!$B$14,Paramètres!$A$1:$I$89,3,0)*VLOOKUP('Données projet'!$B$14,Paramètres!$A$1:$I$89,5,0)</f>
        <v>175.59360000000012</v>
      </c>
      <c r="DQ200" s="13">
        <f t="shared" si="176"/>
        <v>44.340433728638573</v>
      </c>
      <c r="DR200" s="20">
        <f t="shared" si="177"/>
        <v>383.05177541071242</v>
      </c>
      <c r="DS200" s="59">
        <f t="shared" si="197"/>
        <v>676.38510874404574</v>
      </c>
      <c r="DT200" s="59">
        <f ca="1">AVERAGE(OFFSET($DS$3,0,0,'Données projet'!$E$14+1,1))-AVERAGE(OFFSET($H$3,0,0,'Données projet'!$E$14+1,1))</f>
        <v>188.68915783955595</v>
      </c>
      <c r="DU200" s="59">
        <f t="shared" si="209"/>
        <v>240.82467772396944</v>
      </c>
      <c r="DV200" s="15">
        <f>IF(ISNA(VLOOKUP(A200,'Données projet'!$A$165:$I$185,3,0)),0,VLOOKUP(A200,'Données projet'!$A$165:$I$185,3,0))</f>
        <v>0</v>
      </c>
      <c r="DW200" s="15">
        <f>IF(ISNA(VLOOKUP(A200,'Données projet'!$A$165:$I$185,4,0)),0,VLOOKUP(A200,'Données projet'!$A$165:$I$185,4,0))</f>
        <v>0</v>
      </c>
      <c r="DX200" s="16">
        <f>IF(ISNA(VLOOKUP(A200,'Données projet'!$A$165:$I$185,5,0)),0%,VLOOKUP(A200,'Données projet'!$A$165:$I$185,5,0)*VLOOKUP('Données projet'!$B$14,Paramètres!$A$1:$I$89,7,0))</f>
        <v>0</v>
      </c>
      <c r="DY200" s="16">
        <f>IF(ISNA(VLOOKUP(A200,'Données projet'!$A$165:$I$185,6,0)),0%,VLOOKUP(A200,'Données projet'!$A$165:$I$185,6,0)*VLOOKUP('Données projet'!$B$14,Paramètres!$A$1:$I$89,7,0))</f>
        <v>0</v>
      </c>
      <c r="DZ200" s="16">
        <f>IF(ISNA(VLOOKUP(A200,'Données projet'!$A$165:$I$185,7,0)),0%,VLOOKUP(A200,'Données projet'!$A$165:$I$185,7,0))</f>
        <v>0</v>
      </c>
      <c r="EA200" s="21">
        <f>EXP(-LN(2)/35)*EA199+(1-EXP(-LN(2)/35))/(LN(2)/35)*DW200*DX200*VLOOKUP('Données projet'!$B$14,Paramètres!$A$1:$I$89,3,0)*0.475*44/12</f>
        <v>5.7018572059904599E-2</v>
      </c>
      <c r="EB200" s="21">
        <f>EXP(-LN(2)/25)*EB199+(1-EXP(-LN(2)/25))/(LN(2)/25)*Calculateur!DW200*Calculateur!DY200*VLOOKUP('Données projet'!$B$14,Paramètres!$A$1:$I$89,3,0)*0.475*44/12</f>
        <v>7.8391542630438488E-2</v>
      </c>
      <c r="EC200" s="21">
        <f>EXP(-LN(2)/2)*EC199+(1-EXP(-LN(2)/2))/(LN(2)/2)*DW200*DZ200*VLOOKUP('Données projet'!$B$14,Paramètres!$A$1:$I$89,3,0)*0.475*44/12</f>
        <v>1.0233211623414005E-24</v>
      </c>
      <c r="ED200" s="22">
        <f t="shared" si="178"/>
        <v>0.13541011469034309</v>
      </c>
      <c r="EE200" s="75">
        <f>('Scénario référence'!$F$8+'Scénario référence'!$F$9+'Scénario référence'!$B$17+'Scénario référence'!$B$9+'Scénario référence'!$B$10)*70+IF((45+25*(1-EXP(-0.0175*A200)))&lt;70,'Scénario référence'!$B$16*(45+25*(1-EXP(-0.0175*A200))),70*'Scénario référence'!$B$16)+IF((32+38*(1-EXP(-0.0175*A200)))&lt;70,'Scénario référence'!$B$18*(32+38*(1-EXP(-0.0175*A200))),70*'Scénario référence'!$B$18)</f>
        <v>70</v>
      </c>
      <c r="EF200" s="12">
        <f>IF(A200&gt;30,10,('Scénario référence'!$B$16+'Scénario référence'!$B$17+'Scénario référence'!$B$18+'Scénario référence'!$B$9+'Scénario référence'!$B$10)*A200*10/30+('Scénario référence'!$F$8+'Scénario référence'!$F$9)*10)</f>
        <v>10</v>
      </c>
      <c r="EG200" s="12" t="e">
        <f>VLOOKUP(A200,'Données projet'!$A$191:$I$211,2,0)</f>
        <v>#N/A</v>
      </c>
      <c r="EH200" s="12" t="e">
        <f>VLOOKUP(A200,'Données projet'!$A$191:$I$211,9,0)</f>
        <v>#N/A</v>
      </c>
      <c r="EI200" s="12">
        <f t="array" ref="EI200">INDEX(EH:EH,MIN(IF(ISNUMBER(EH200:EH396),ROW(EH200:EH396),"")))</f>
        <v>0</v>
      </c>
      <c r="EJ200" s="12">
        <f>IF('Données projet'!$A$192&gt;35,EJ199+EI200-ER199,IF(A200&lt;'Données projet'!$A$192,$EG$205^A200,IF(A200='Données projet'!$A$192,'Données projet'!$B$192,EJ199+EI200-ER199)))</f>
        <v>275.99999999999972</v>
      </c>
      <c r="EK200" s="17">
        <f>EJ200*VLOOKUP('Données projet'!$B$15,Paramètres!$A$1:$I$89,3,0)*VLOOKUP('Données projet'!$B$15,Paramètres!$A$1:$I$89,5,0)</f>
        <v>223.8911999999998</v>
      </c>
      <c r="EL200" s="13">
        <f t="shared" si="179"/>
        <v>54.95975389514858</v>
      </c>
      <c r="EM200" s="20">
        <f t="shared" si="180"/>
        <v>485.66541136738346</v>
      </c>
      <c r="EN200" s="59">
        <f t="shared" si="198"/>
        <v>778.99874470071677</v>
      </c>
      <c r="EO200" s="59">
        <f ca="1">AVERAGE(OFFSET($EN$3,0,0,'Données projet'!$E$15+1,1))-AVERAGE(OFFSET($H$3,0,0,'Données projet'!$E$15+1,1))</f>
        <v>205.5272583787887</v>
      </c>
      <c r="EP200" s="59">
        <f t="shared" si="210"/>
        <v>180.54762778843178</v>
      </c>
      <c r="EQ200" s="15">
        <f>IF(ISNA(VLOOKUP(A200,'Données projet'!$A$191:$I$211,3,0)),0,VLOOKUP(A200,'Données projet'!$A$191:$I$211,3,0))</f>
        <v>0</v>
      </c>
      <c r="ER200" s="15">
        <f>IF(ISNA(VLOOKUP(A200,'Données projet'!$A$191:$I$211,4,0)),0,VLOOKUP(A200,'Données projet'!$A$191:$I$211,4,0))</f>
        <v>0</v>
      </c>
      <c r="ES200" s="16">
        <f>IF(ISNA(VLOOKUP(A200,'Données projet'!$A$191:$I$211,5,0)),0%,VLOOKUP(A200,'Données projet'!$A$191:$I$211,5,0)*VLOOKUP('Données projet'!$B$15,Paramètres!$A$1:$I$89,7,0))</f>
        <v>0</v>
      </c>
      <c r="ET200" s="16">
        <f>IF(ISNA(VLOOKUP(A200,'Données projet'!$A$191:$I$211,6,0)),0%,VLOOKUP(A200,'Données projet'!$A$191:$I$211,6,0)*VLOOKUP('Données projet'!$B$15,Paramètres!$A$1:$I$89,7,0))</f>
        <v>0</v>
      </c>
      <c r="EU200" s="16">
        <f>IF(ISNA(VLOOKUP(A200,'Données projet'!$A$191:$I$211,7,0)),0%,VLOOKUP(A200,'Données projet'!$A$191:$I$211,7,0))</f>
        <v>0</v>
      </c>
      <c r="EV200" s="21">
        <f>EXP(-LN(2)/35)*EV199+(1-EXP(-LN(2)/35))/(LN(2)/35)*ER200*ES200*VLOOKUP('Données projet'!$B$15,Paramètres!$A$1:$I$89,3,0)*0.475*44/12</f>
        <v>3.6709099726186183E-2</v>
      </c>
      <c r="EW200" s="21">
        <f>EXP(-LN(2)/25)*EW199+(1-EXP(-LN(2)/25))/(LN(2)/25)*Calculateur!ER200*Calculateur!ET200*VLOOKUP('Données projet'!$B$15,Paramètres!$A$1:$I$89,3,0)*0.475*44/12</f>
        <v>5.6601071862260668E-2</v>
      </c>
      <c r="EX200" s="21">
        <f>EXP(-LN(2)/2)*EX199+(1-EXP(-LN(2)/2))/(LN(2)/2)*ER200*EU200*VLOOKUP('Données projet'!$B$15,Paramètres!$A$1:$I$89,3,0)*0.475*44/12</f>
        <v>6.6260120928654136E-25</v>
      </c>
      <c r="EY200" s="22">
        <f t="shared" si="181"/>
        <v>9.3310171588446844E-2</v>
      </c>
      <c r="EZ200" s="75">
        <f>('Scénario référence'!$F$8+'Scénario référence'!$F$9+'Scénario référence'!$B$17+'Scénario référence'!$B$9+'Scénario référence'!$B$10)*70+IF((45+25*(1-EXP(-0.0175*A200)))&lt;70,'Scénario référence'!$B$16*(45+25*(1-EXP(-0.0175*A200))),70*'Scénario référence'!$B$16)+IF((32+38*(1-EXP(-0.0175*A200)))&lt;70,'Scénario référence'!$B$18*(32+38*(1-EXP(-0.0175*A200))),70*'Scénario référence'!$B$18)</f>
        <v>70</v>
      </c>
      <c r="FA200" s="12">
        <f>IF(A200&gt;30,10,('Scénario référence'!$B$16+'Scénario référence'!$B$17+'Scénario référence'!$B$18+'Scénario référence'!$B$9+'Scénario référence'!$B$10)*A200*10/30+('Scénario référence'!$F$8+'Scénario référence'!$F$9)*10)</f>
        <v>10</v>
      </c>
      <c r="FB200" s="12" t="e">
        <f>VLOOKUP(A200,'Données projet'!$A$217:$I$237,2,0)</f>
        <v>#N/A</v>
      </c>
      <c r="FC200" s="12" t="e">
        <f>VLOOKUP(A200,'Données projet'!$A$217:$I$237,9,0)</f>
        <v>#N/A</v>
      </c>
      <c r="FD200" s="12">
        <f t="array" ref="FD200">INDEX(FC:FC,MIN(IF(ISNUMBER(FC200:FC396),ROW(FC200:FC396),"")))</f>
        <v>0</v>
      </c>
      <c r="FE200" s="12">
        <f>IF('Données projet'!$A$218&gt;35,FE199+FD200-FM199,IF(A200&lt;'Données projet'!$A$218,$FB$205^A200,IF(A200='Données projet'!$A$218,'Données projet'!$B$218,FE199+FD200-FM199)))</f>
        <v>418.99999999999983</v>
      </c>
      <c r="FF200" s="17">
        <f>FE200*VLOOKUP('Données projet'!$B$16,Paramètres!$A$1:$I$89,3,0)*VLOOKUP('Données projet'!$B$16,Paramètres!$A$1:$I$89,5,0)</f>
        <v>359.5019999999999</v>
      </c>
      <c r="FG200" s="13">
        <f t="shared" si="182"/>
        <v>83.516011055432813</v>
      </c>
      <c r="FH200" s="20">
        <f t="shared" si="183"/>
        <v>771.58970258821194</v>
      </c>
      <c r="FI200" s="59">
        <f t="shared" si="199"/>
        <v>1064.9230359215453</v>
      </c>
      <c r="FJ200" s="59">
        <f ca="1">AVERAGE(OFFSET($FI$3,0,0,'Données projet'!$E$16+1,1))-AVERAGE(OFFSET($H$3,0,0,'Données projet'!$E$16+1,1))</f>
        <v>383.97627237444709</v>
      </c>
      <c r="FK200" s="59">
        <f t="shared" si="211"/>
        <v>203.35476578922339</v>
      </c>
      <c r="FL200" s="15">
        <f>IF(ISNA(VLOOKUP(A200,'Données projet'!$A$217:$I$237,3,0)),0,VLOOKUP(A200,'Données projet'!$A$217:$I$237,3,0))</f>
        <v>0</v>
      </c>
      <c r="FM200" s="15">
        <f>IF(ISNA(VLOOKUP(A200,'Données projet'!$A$217:$I$237,4,0)),0,VLOOKUP(A200,'Données projet'!$A$217:$I$237,4,0))</f>
        <v>0</v>
      </c>
      <c r="FN200" s="16">
        <f>IF(ISNA(VLOOKUP(A200,'Données projet'!$A$217:$I$237,5,0)),0%,VLOOKUP(A200,'Données projet'!$A$217:$I$237,5,0)*VLOOKUP('Données projet'!$B$16,Paramètres!$A$1:$I$89,7,0))</f>
        <v>0</v>
      </c>
      <c r="FO200" s="16">
        <f>IF(ISNA(VLOOKUP(A200,'Données projet'!$A$217:$I$237,6,0)),0%,VLOOKUP(A200,'Données projet'!$A$217:$I$237,6,0)*VLOOKUP('Données projet'!$B$16,Paramètres!$A$1:$I$89,7,0))</f>
        <v>0</v>
      </c>
      <c r="FP200" s="16">
        <f>IF(ISNA(VLOOKUP(A200,'Données projet'!$A$217:$I$237,7,0)),0%,VLOOKUP(A200,'Données projet'!$A$217:$I$237,7,0))</f>
        <v>0</v>
      </c>
      <c r="FQ200" s="21">
        <f>EXP(-LN(2)/35)*FQ199+(1-EXP(-LN(2)/35))/(LN(2)/35)*FM200*FN200*VLOOKUP('Données projet'!$B$16,Paramètres!$A$1:$I$89,3,0)*0.475*44/12</f>
        <v>0.18866485713564554</v>
      </c>
      <c r="FR200" s="21">
        <f>EXP(-LN(2)/25)*FR199+(1-EXP(-LN(2)/25))/(LN(2)/25)*Calculateur!FM200*Calculateur!FO200*VLOOKUP('Données projet'!$B$16,Paramètres!$A$1:$I$89,3,0)*0.475*44/12</f>
        <v>5.7455938216964819E-2</v>
      </c>
      <c r="FS200" s="21">
        <f>EXP(-LN(2)/2)*FS199+(1-EXP(-LN(2)/2))/(LN(2)/2)*FM200*FP200*VLOOKUP('Données projet'!$B$16,Paramètres!$A$1:$I$89,3,0)*0.475*44/12</f>
        <v>1.2170624360030003E-24</v>
      </c>
      <c r="FT200" s="22">
        <f t="shared" si="184"/>
        <v>0.24612079535261036</v>
      </c>
      <c r="FU200" s="75">
        <f>('Scénario référence'!$F$8+'Scénario référence'!$F$9+'Scénario référence'!$B$17+'Scénario référence'!$B$9+'Scénario référence'!$B$10)*70+IF((45+25*(1-EXP(-0.0175*A200)))&lt;70,'Scénario référence'!$B$16*(45+25*(1-EXP(-0.0175*A200))),70*'Scénario référence'!$B$16)+IF((32+38*(1-EXP(-0.0175*A200)))&lt;70,'Scénario référence'!$B$18*(32+38*(1-EXP(-0.0175*A200))),70*'Scénario référence'!$B$18)</f>
        <v>70</v>
      </c>
      <c r="FV200" s="12">
        <f>IF(A200&gt;30,10,('Scénario référence'!$B$16+'Scénario référence'!$B$17+'Scénario référence'!$B$18+'Scénario référence'!$B$9+'Scénario référence'!$B$10)*A200*10/30+('Scénario référence'!$F$8+'Scénario référence'!$F$9)*10)</f>
        <v>10</v>
      </c>
      <c r="FW200" s="12" t="e">
        <f>VLOOKUP(A200,'Données projet'!$A$243:$I$263,2,0)</f>
        <v>#N/A</v>
      </c>
      <c r="FX200" s="12" t="e">
        <f>VLOOKUP(A200,'Données projet'!$A$243:$I$263,9,0)</f>
        <v>#N/A</v>
      </c>
      <c r="FY200" s="12">
        <f t="array" ref="FY200">INDEX(FX:FX,MIN(IF(ISNUMBER(FX200:FX396),ROW(FX200:FX396),"")))</f>
        <v>0</v>
      </c>
      <c r="FZ200" s="12">
        <f>IF('Données projet'!$A$244&gt;35,FZ199+FY200-GH199,IF(A200&lt;'Données projet'!$A$244,$FW$205^A200,IF(A200='Données projet'!$A$244,'Données projet'!$B$244,FZ199+FY200-GH199)))</f>
        <v>4.5474735088646412E-13</v>
      </c>
      <c r="GA200" s="17">
        <f>FZ200*VLOOKUP('Données projet'!$B$17,Paramètres!$A$1:$I$89,3,0)*VLOOKUP('Données projet'!$B$17,Paramètres!$A$1:$I$89,5,0)</f>
        <v>4.8949004849418999E-13</v>
      </c>
      <c r="GB200" s="13">
        <f t="shared" si="185"/>
        <v>6.1123715499968684E-12</v>
      </c>
      <c r="GC200" s="20">
        <f t="shared" si="186"/>
        <v>1.1498242284038591E-11</v>
      </c>
      <c r="GD200" s="59">
        <f t="shared" si="200"/>
        <v>293.3333333333448</v>
      </c>
      <c r="GE200" s="59">
        <f ca="1">AVERAGE(OFFSET($GD$3,0,0,'Données projet'!$E$17+1,1))-AVERAGE(OFFSET($H$3,0,0,'Données projet'!$E$17+1,1))</f>
        <v>286.77702855541287</v>
      </c>
      <c r="GF200" s="59">
        <f t="shared" si="212"/>
        <v>227.12211541860779</v>
      </c>
      <c r="GG200" s="15">
        <f>IF(ISNA(VLOOKUP(A200,'Données projet'!$A$243:$I$263,3,0)),0,VLOOKUP(A200,'Données projet'!$A$243:$I$263,3,0))</f>
        <v>0</v>
      </c>
      <c r="GH200" s="15">
        <f>IF(ISNA(VLOOKUP(A200,'Données projet'!$A$243:$I$263,4,0)),0,VLOOKUP(A200,'Données projet'!$A$243:$I$263,4,0))</f>
        <v>0</v>
      </c>
      <c r="GI200" s="16">
        <f>IF(ISNA(VLOOKUP(A200,'Données projet'!$A$243:$I$263,5,0)),0%,VLOOKUP(A200,'Données projet'!$A$243:$I$263,5,0)*VLOOKUP('Données projet'!$B$17,Paramètres!$A$1:$I$89,7,0))</f>
        <v>0</v>
      </c>
      <c r="GJ200" s="16">
        <f>IF(ISNA(VLOOKUP(A200,'Données projet'!$A$243:$I$263,6,0)),0%,VLOOKUP(A200,'Données projet'!$A$243:$I$263,6,0)*VLOOKUP('Données projet'!$B$17,Paramètres!$A$1:$I$89,7,0))</f>
        <v>0</v>
      </c>
      <c r="GK200" s="16">
        <f>IF(ISNA(VLOOKUP(A200,'Données projet'!$A$243:$I$263,7,0)),0%,VLOOKUP(A200,'Données projet'!$A$243:$I$263,7,0))</f>
        <v>0</v>
      </c>
      <c r="GL200" s="21">
        <f>EXP(-LN(2)/35)*GL199+(1-EXP(-LN(2)/35))/(LN(2)/35)*GH200*GI200*VLOOKUP('Données projet'!$B$17,Paramètres!$A$1:$I$89,3,0)*0.475*44/12</f>
        <v>0</v>
      </c>
      <c r="GM200" s="21">
        <f>EXP(-LN(2)/25)*GM199+(1-EXP(-LN(2)/25))/(LN(2)/25)*Calculateur!GH200*Calculateur!GJ200*VLOOKUP('Données projet'!$B$17,Paramètres!$A$1:$I$89,3,0)*0.475*44/12</f>
        <v>0</v>
      </c>
      <c r="GN200" s="21">
        <f>EXP(-LN(2)/2)*GN199+(1-EXP(-LN(2)/2))/(LN(2)/2)*GH200*GK200*VLOOKUP('Données projet'!$B$17,Paramètres!$A$1:$I$89,3,0)*0.475*44/12</f>
        <v>0</v>
      </c>
      <c r="GO200" s="21">
        <f t="shared" si="187"/>
        <v>0</v>
      </c>
      <c r="GP200" s="75">
        <f>('Scénario référence'!$F$8+'Scénario référence'!$F$9+'Scénario référence'!$B$17+'Scénario référence'!$B$9+'Scénario référence'!$B$10)*70+IF((45+25*(1-EXP(-0.0175*A200)))&lt;70,'Scénario référence'!$B$16*(45+25*(1-EXP(-0.0175*A200))),70*'Scénario référence'!$B$16)+IF((32+38*(1-EXP(-0.0175*A200)))&lt;70,'Scénario référence'!$B$18*(32+38*(1-EXP(-0.0175*A200))),70*'Scénario référence'!$B$18)</f>
        <v>70</v>
      </c>
      <c r="GQ200" s="12">
        <f>IF(A200&gt;30,10,('Scénario référence'!$B$16+'Scénario référence'!$B$17+'Scénario référence'!$B$18+'Scénario référence'!$B$9+'Scénario référence'!$B$10)*A200*10/30+('Scénario référence'!$F$8+'Scénario référence'!$F$9)*10)</f>
        <v>10</v>
      </c>
      <c r="GR200" s="12" t="e">
        <f>VLOOKUP(A200,'Données projet'!$A$269:$I$289,2,0)</f>
        <v>#N/A</v>
      </c>
      <c r="GS200" s="12" t="e">
        <f>VLOOKUP(A200,'Données projet'!$A$269:$I$289,9,0)</f>
        <v>#N/A</v>
      </c>
      <c r="GT200" s="12">
        <f t="array" ref="GT200">INDEX(GS:GS,MIN(IF(ISNUMBER(GS200:GS396),ROW(GS200:GS396),"")))</f>
        <v>0</v>
      </c>
      <c r="GU200" s="12">
        <f>IF('Données projet'!$A$270&gt;35,GU199+GT200-HC199,IF(A200&lt;'Données projet'!$A$270,$GR$205^A200,IF(A200='Données projet'!$A$270,'Données projet'!$B$270,GU199+GT200-HC199)))</f>
        <v>4.5474735088646412E-13</v>
      </c>
      <c r="GV200" s="17">
        <f>GU200*VLOOKUP('Données projet'!$B$18,Paramètres!$A$1:$I$89,3,0)*VLOOKUP('Données projet'!$B$18,Paramètres!$A$1:$I$89,5,0)</f>
        <v>4.8949004849418999E-13</v>
      </c>
      <c r="GW200" s="13">
        <f t="shared" si="188"/>
        <v>6.1123715499968684E-12</v>
      </c>
      <c r="GX200" s="20">
        <f t="shared" si="189"/>
        <v>1.1498242284038591E-11</v>
      </c>
      <c r="GY200" s="59">
        <f t="shared" si="201"/>
        <v>293.3333333333448</v>
      </c>
      <c r="GZ200" s="59">
        <f ca="1">AVERAGE(OFFSET($GY$3,0,0,'Données projet'!$E$18+1,1))-AVERAGE(OFFSET($H$3,0,0,'Données projet'!$E$18+1,1))</f>
        <v>286.77702855541287</v>
      </c>
      <c r="HA200" s="59">
        <f t="shared" si="213"/>
        <v>227.12211541860779</v>
      </c>
      <c r="HB200" s="15">
        <f>IF(ISNA(VLOOKUP(A200,'Données projet'!$A$269:$I$289,3,0)),0,VLOOKUP(A200,'Données projet'!$A$269:$I$289,3,0))</f>
        <v>0</v>
      </c>
      <c r="HC200" s="15">
        <f>IF(ISNA(VLOOKUP(A200,'Données projet'!$A$269:$I$289,4,0)),0,VLOOKUP(A200,'Données projet'!$A$269:$I$289,4,0))</f>
        <v>0</v>
      </c>
      <c r="HD200" s="16">
        <f>IF(ISNA(VLOOKUP(A200,'Données projet'!$A$269:$I$289,5,0)),0%,VLOOKUP(A200,'Données projet'!$A$269:$I$289,5,0)*VLOOKUP('Données projet'!$B$18,Paramètres!$A$1:$I$89,7,0))</f>
        <v>0</v>
      </c>
      <c r="HE200" s="16">
        <f>IF(ISNA(VLOOKUP(A200,'Données projet'!$A$269:$I$289,6,0)),0%,VLOOKUP(A200,'Données projet'!$A$269:$I$289,6,0)*VLOOKUP('Données projet'!$B$18,Paramètres!$A$1:$I$89,7,0))</f>
        <v>0</v>
      </c>
      <c r="HF200" s="16">
        <f>IF(ISNA(VLOOKUP(A200,'Données projet'!$A$269:$I$289,7,0)),0%,VLOOKUP(A200,'Données projet'!$A$269:$I$289,7,0))</f>
        <v>0</v>
      </c>
      <c r="HG200" s="21">
        <f>EXP(-LN(2)/35)*HG199+(1-EXP(-LN(2)/35))/(LN(2)/35)*HC200*HD200*VLOOKUP('Données projet'!$B$18,Paramètres!$A$1:$I$89,3,0)*0.475*44/12</f>
        <v>0</v>
      </c>
      <c r="HH200" s="21">
        <f>EXP(-LN(2)/25)*HH199+(1-EXP(-LN(2)/25))/(LN(2)/25)*Calculateur!HC200*Calculateur!HE200*VLOOKUP('Données projet'!$B$18,Paramètres!$A$1:$I$89,3,0)*0.475*44/12</f>
        <v>0</v>
      </c>
      <c r="HI200" s="21">
        <f>EXP(-LN(2)/2)*HI199+(1-EXP(-LN(2)/2))/(LN(2)/2)*HC200*HF200*VLOOKUP('Données projet'!$B$18,Paramètres!$A$1:$I$89,3,0)*0.475*44/12</f>
        <v>0</v>
      </c>
      <c r="HJ200" s="22">
        <f t="shared" si="190"/>
        <v>0</v>
      </c>
    </row>
    <row r="201" spans="1:218" x14ac:dyDescent="0.25">
      <c r="A201" s="10">
        <f>A200+1</f>
        <v>198</v>
      </c>
      <c r="B201" s="73">
        <f>'Scénario référence'!$B$16*5+'Scénario référence'!$B$17*0+'Scénario référence'!$B$18*5</f>
        <v>0</v>
      </c>
      <c r="C201" s="19">
        <f>Calculateur!C200+'Scénario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176.0615999999996</v>
      </c>
      <c r="D201" s="11">
        <f t="shared" si="202"/>
        <v>44.44483974113885</v>
      </c>
      <c r="E201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01" s="11">
        <f>IF(OR('Scénario référence'!$F$8&gt;0,'Scénario référence'!$F$9&gt;0),('Scénario référence'!$F$8+'Scénario référence'!$F$9)*10,0)</f>
        <v>10</v>
      </c>
      <c r="G201" s="11">
        <f>'Scénario référence'!$B$8*B201*44/12+'Scénario référence'!$B$9*(C201+D201)/0.475*44/12+'Scénario référence'!$B$10*(C201+D201)/0.475*44/12+'Scénario référence'!$F$8*(C201+D201)/0.475*44/12+'Scénario référence'!$F$9*(C201+D201)/0.475*44/12</f>
        <v>1702.154973440367</v>
      </c>
      <c r="H201" s="67">
        <f t="shared" si="192"/>
        <v>677.3820492158161</v>
      </c>
      <c r="I201" s="70">
        <f>('Scénario référence'!$F$8+'Scénario référence'!$F$9+'Scénario référence'!$B$17+'Scénario référence'!$B$9+'Scénario référence'!$B$10)*70+IF((45+25*(1-EXP(-0.0175*A201)))&lt;70,'Scénario référence'!$B$16*(45+25*(1-EXP(-0.0175*A201))),70*'Scénario référence'!$B$16)+IF((32+38*(1-EXP(-0.0175*A201)))&lt;70,'Scénario référence'!$B$18*(32+38*(1-EXP(-0.0175*A201))),70*'Scénario référence'!$B$18)</f>
        <v>70</v>
      </c>
      <c r="J201" s="13">
        <f>IF(A201&gt;30,10,('Scénario référence'!$B$16+'Scénario référence'!$B$17+'Scénario référence'!$B$18+'Scénario référence'!$B$9+'Scénario référence'!$B$10)*A201*10/30+('Scénario référence'!$F$8+'Scénario référence'!$F$9)*10)</f>
        <v>10</v>
      </c>
      <c r="K201" s="12" t="e">
        <f>VLOOKUP(A201,'Données projet'!$A$35:$I$55,2,0)</f>
        <v>#N/A</v>
      </c>
      <c r="L201" s="12" t="e">
        <f>VLOOKUP(A201,'Données projet'!$A$35:$I$55,9,0)</f>
        <v>#N/A</v>
      </c>
      <c r="M201" s="12">
        <f t="array" ref="M201">INDEX(L:L,MIN(IF(ISNUMBER(L201:L397),ROW(L201:L397),"")))</f>
        <v>0</v>
      </c>
      <c r="N201" s="13">
        <f>IF('Données projet'!$A$36&gt;35,N200+M201-V200,IF(A201&lt;'Données projet'!$A$36,$K$205^A201,IF(A201='Données projet'!$A$36,'Données projet'!$B$36,N200+M201-V200)))</f>
        <v>-2.2737367544323206E-13</v>
      </c>
      <c r="O201" s="13">
        <f>N201*VLOOKUP('Données projet'!$B$9,Paramètres!$A$1:$I$89,3,0)*VLOOKUP('Données projet'!$B$9,Paramètres!$A$1:$I$89,5,0)</f>
        <v>-1.2710188457276673E-13</v>
      </c>
      <c r="P201" s="13" t="e">
        <f t="shared" si="203"/>
        <v>#NUM!</v>
      </c>
      <c r="Q201" s="20" t="e">
        <f t="shared" si="162"/>
        <v>#NUM!</v>
      </c>
      <c r="R201" s="59" t="e">
        <f t="shared" si="191"/>
        <v>#NUM!</v>
      </c>
      <c r="S201" s="59">
        <f ca="1">AVERAGE(OFFSET($R$3,0,0,'Données projet'!$E$9+1,1))-AVERAGE(OFFSET($H$3,0,0,'Données projet'!$E$9+1,1))</f>
        <v>255.5374979188561</v>
      </c>
      <c r="T201" s="59">
        <f t="shared" si="204"/>
        <v>343.10418468620901</v>
      </c>
      <c r="U201" s="15">
        <f>IF(ISNA(VLOOKUP(A201,'Données projet'!$A$35:$I$55,3,0)),0,VLOOKUP(A201,'Données projet'!$A$35:$I$55,3,0))</f>
        <v>0</v>
      </c>
      <c r="V201" s="15">
        <f>IF(ISNA(VLOOKUP(A201,'Données projet'!$A$35:$I$55,4,0)),0,VLOOKUP(A201,'Données projet'!$A$35:$I$55,4,0))</f>
        <v>0</v>
      </c>
      <c r="W201" s="16">
        <f>IF(ISNA(VLOOKUP(A201,'Données projet'!$A$35:$I$55,5,0)),0%,VLOOKUP(A201,'Données projet'!$A$35:$I$55,5,0)*VLOOKUP('Données projet'!$B$9,Paramètres!$A$1:$I$89,7,0))</f>
        <v>0</v>
      </c>
      <c r="X201" s="16">
        <f>IF(ISNA(VLOOKUP(A201,'Données projet'!$A$35:$I$55,6,0)),0%,VLOOKUP(A201,'Données projet'!$A$35:$I$55,6,0)*VLOOKUP('Données projet'!$B$9,Paramètres!$A$1:$I$89,7,0))</f>
        <v>0</v>
      </c>
      <c r="Y201" s="16">
        <f>IF(ISNA(VLOOKUP(A201,'Données projet'!$A$35:$I$55,7,0)),0%,VLOOKUP(A201,'Données projet'!$A$35:$I$55,7,0))</f>
        <v>0</v>
      </c>
      <c r="Z201" s="21">
        <f>EXP(-LN(2)/35)*Z200+(1-EXP(-LN(2)/35))/(LN(2)/35)*V201*W201*VLOOKUP('Données projet'!$B$9,Paramètres!$A$1:$I$89,3,0)*0.475*44/12</f>
        <v>0.11092265116595884</v>
      </c>
      <c r="AA201" s="21">
        <f>EXP(-LN(2)/25)*AA200+(1-EXP(-LN(2)/25))/(LN(2)/25)*Calculateur!V201*Calculateur!X201*VLOOKUP('Données projet'!$B$9,Paramètres!$A$1:$I$89,3,0)*0.475*44/12</f>
        <v>0.15139738273117817</v>
      </c>
      <c r="AB201" s="21">
        <f>EXP(-LN(2)/2)*AB200+(1-EXP(-LN(2)/2))/(LN(2)/2)*V201*Y201*VLOOKUP('Données projet'!$B$9,Paramètres!$A$1:$I$89,3,0)*0.475*44/12</f>
        <v>8.7508061495123151E-26</v>
      </c>
      <c r="AC201" s="22">
        <f t="shared" si="163"/>
        <v>0.26232003389713698</v>
      </c>
      <c r="AD201" s="13">
        <f>('Scénario référence'!$F$8+'Scénario référence'!$F$9+'Scénario référence'!$B$17+'Scénario référence'!$B$9+'Scénario référence'!$B$10)*70+IF((45+25*(1-EXP(-0.0175*A201)))&lt;70,'Scénario référence'!$B$16*(45+25*(1-EXP(-0.0175*A201))),70*'Scénario référence'!$B$16)+IF((32+38*(1-EXP(-0.0175*A201)))&lt;70,'Scénario référence'!$B$18*(32+38*(1-EXP(-0.0175*A201))),70*'Scénario référence'!$B$18)</f>
        <v>70</v>
      </c>
      <c r="AE201" s="13">
        <f>IF(A201&gt;30,10,('Scénario référence'!$B$16+'Scénario référence'!$B$17+'Scénario référence'!$B$18+'Scénario référence'!$B$9+'Scénario référence'!$B$10)*A201*10/30+('Scénario référence'!$F$8+'Scénario référence'!$F$9)*10)</f>
        <v>10</v>
      </c>
      <c r="AF201" s="12" t="e">
        <f>VLOOKUP(A201,'Données projet'!$A$61:$I$81,2,0)</f>
        <v>#N/A</v>
      </c>
      <c r="AG201" s="12" t="e">
        <f>VLOOKUP(A201,'Données projet'!$A$61:$I$81,9,0)</f>
        <v>#N/A</v>
      </c>
      <c r="AH201" s="12">
        <f t="array" ref="AH201">INDEX(AG:AG,MIN(IF(ISNUMBER(AG201:AG397),ROW(AG201:AG397),"")))</f>
        <v>0</v>
      </c>
      <c r="AI201" s="13">
        <f>IF('Données projet'!$A$62&gt;35,AI200+AH201-AQ200,IF(A201&lt;'Données projet'!$A$62,$AF$205^A201,IF(A201='Données projet'!$A$62,'Données projet'!$B$62,AI200+AH201-AQ200)))</f>
        <v>0</v>
      </c>
      <c r="AJ201" s="13">
        <f>AI201*VLOOKUP('Données projet'!$B$10,Paramètres!$A$1:$I$89,3,0)*VLOOKUP('Données projet'!$B$10,Paramètres!$A$1:$I$89,5,0)</f>
        <v>0</v>
      </c>
      <c r="AK201" s="13" t="e">
        <f t="shared" si="164"/>
        <v>#NUM!</v>
      </c>
      <c r="AL201" s="20" t="e">
        <f t="shared" si="165"/>
        <v>#NUM!</v>
      </c>
      <c r="AM201" s="59" t="e">
        <f t="shared" si="193"/>
        <v>#NUM!</v>
      </c>
      <c r="AN201" s="59">
        <f ca="1">AVERAGE(OFFSET($AM$3,0,0,'Données projet'!$E$10+1,1))-AVERAGE(OFFSET($H$3,0,0,'Données projet'!$E$10+1,1))</f>
        <v>261.78489480911571</v>
      </c>
      <c r="AO201" s="59">
        <f t="shared" si="205"/>
        <v>297.50513563712764</v>
      </c>
      <c r="AP201" s="15">
        <f>IF(ISNA(VLOOKUP(A201,'Données projet'!$A$61:$I$81,3,0)),0,VLOOKUP(A201,'Données projet'!$A$61:$I$81,3,0))</f>
        <v>0</v>
      </c>
      <c r="AQ201" s="15">
        <f>IF(ISNA(VLOOKUP(A201,'Données projet'!$A$61:$I$81,4,0)),0,VLOOKUP(A201,'Données projet'!$A$61:$I$81,4,0))</f>
        <v>0</v>
      </c>
      <c r="AR201" s="16">
        <f>IF(ISNA(VLOOKUP(A201,'Données projet'!$A$61:$I$81,5,0)),0%,VLOOKUP(A201,'Données projet'!$A$61:$I$81,5,0)*VLOOKUP('Données projet'!$B$10,Paramètres!$A$1:$I$89,7,0))</f>
        <v>0</v>
      </c>
      <c r="AS201" s="16">
        <f>IF(ISNA(VLOOKUP(A201,'Données projet'!$A$61:$I$81,6,0)),0%,VLOOKUP(A201,'Données projet'!$A$61:$I$81,6,0)*VLOOKUP('Données projet'!$B$10,Paramètres!$A$1:$I$89,7,0))</f>
        <v>0</v>
      </c>
      <c r="AT201" s="16">
        <f>IF(ISNA(VLOOKUP(A201,'Données projet'!$A$61:$I$81,7,0)),0%,VLOOKUP(A201,'Données projet'!$A$61:$I$81,7,0))</f>
        <v>0</v>
      </c>
      <c r="AU201" s="21">
        <f>EXP(-LN(2)/35)*AU200+(1-EXP(-LN(2)/35))/(LN(2)/35)*AQ201*AR201*VLOOKUP('Données projet'!$B$10,Paramètres!$A$1:$I$89,3,0)*0.475*44/12</f>
        <v>0.29952253246948779</v>
      </c>
      <c r="AV201" s="21">
        <f>EXP(-LN(2)/25)*AV200+(1-EXP(-LN(2)/25))/(LN(2)/25)*Calculateur!AQ201*Calculateur!AS201*VLOOKUP('Données projet'!$B$10,Paramètres!$A$1:$I$89,3,0)*0.475*44/12</f>
        <v>0.26437070939123475</v>
      </c>
      <c r="AW201" s="21">
        <f>EXP(-LN(2)/2)*AW200+(1-EXP(-LN(2)/2))/(LN(2)/2)*AQ201*AT201*VLOOKUP('Données projet'!$B$10,Paramètres!$A$1:$I$89,3,0)*0.475*44/12</f>
        <v>1.2615120144783924E-24</v>
      </c>
      <c r="AX201" s="21">
        <f t="shared" si="166"/>
        <v>0.56389324186072254</v>
      </c>
      <c r="AY201" s="74">
        <f>('Scénario référence'!$F$8+'Scénario référence'!$F$9+'Scénario référence'!$B$17+'Scénario référence'!$B$9+'Scénario référence'!$B$10)*70+IF((45+25*(1-EXP(-0.0175*A201)))&lt;70,'Scénario référence'!$B$16*(45+25*(1-EXP(-0.0175*A201))),70*'Scénario référence'!$B$16)+IF((32+38*(1-EXP(-0.0175*A201)))&lt;70,'Scénario référence'!$B$18*(32+38*(1-EXP(-0.0175*A201))),70*'Scénario référence'!$B$18)</f>
        <v>70</v>
      </c>
      <c r="AZ201" s="12">
        <f>IF(A201&gt;30,10,('Scénario référence'!$B$16+'Scénario référence'!$B$17+'Scénario référence'!$B$18+'Scénario référence'!$B$9+'Scénario référence'!$B$10)*A201*10/30+('Scénario référence'!$F$8+'Scénario référence'!$F$9)*10)</f>
        <v>10</v>
      </c>
      <c r="BA201" s="12" t="e">
        <f>VLOOKUP(A201,'Données projet'!$A$87:$I$107,2,0)</f>
        <v>#N/A</v>
      </c>
      <c r="BB201" s="12" t="e">
        <f>VLOOKUP(A201,'Données projet'!$A$87:$I$107,9,0)</f>
        <v>#N/A</v>
      </c>
      <c r="BC201" s="12">
        <f t="array" ref="BC201">INDEX(BB:BB,MIN(IF(ISNUMBER(BB201:BB397),ROW(BB201:BB397),"")))</f>
        <v>0</v>
      </c>
      <c r="BD201" s="12">
        <f>IF('Données projet'!$A$88&gt;35,BD200+BC201-BL200,IF(A201&lt;'Données projet'!$A$88,$BA$205^A201,IF(A201='Données projet'!$A$88,'Données projet'!$B$88,BD200+BC201-BL200)))</f>
        <v>553.99999999999955</v>
      </c>
      <c r="BE201" s="13">
        <f>BD201*VLOOKUP('Données projet'!$B$11,Paramètres!$A$1:$I$89,3,0)*VLOOKUP('Données projet'!$B$11,Paramètres!$A$1:$I$89,5,0)</f>
        <v>331.29199999999975</v>
      </c>
      <c r="BF201" s="13">
        <f t="shared" si="167"/>
        <v>77.698110787752</v>
      </c>
      <c r="BG201" s="20">
        <f t="shared" si="168"/>
        <v>712.32444295533423</v>
      </c>
      <c r="BH201" s="59">
        <f t="shared" si="194"/>
        <v>1005.6577762886675</v>
      </c>
      <c r="BI201" s="59">
        <f ca="1">AVERAGE(OFFSET($BH$3,0,0,'Données projet'!$E$11+1,1))-AVERAGE(OFFSET($H$3,0,0,'Données projet'!$E$11+1,1))</f>
        <v>316.58509520829671</v>
      </c>
      <c r="BJ201" s="59">
        <f t="shared" si="206"/>
        <v>240.71332110643596</v>
      </c>
      <c r="BK201" s="15">
        <f>IF(ISNA(VLOOKUP(A201,'Données projet'!$A$87:$I$107,3,0)),0,VLOOKUP(A201,'Données projet'!$A$87:$I$107,3,0))</f>
        <v>0</v>
      </c>
      <c r="BL201" s="15">
        <f>IF(ISNA(VLOOKUP(A201,'Données projet'!$A$87:$I$107,4,0)),0,VLOOKUP(A201,'Données projet'!$A$87:$I$107,4,0))</f>
        <v>0</v>
      </c>
      <c r="BM201" s="16">
        <f>IF(ISNA(VLOOKUP(A201,'Données projet'!$A$87:$I$107,5,0)),0%,VLOOKUP(A201,'Données projet'!$A$87:$I$107,5,0)*VLOOKUP('Données projet'!$B$11,Paramètres!$A$1:$I$89,7,0))</f>
        <v>0</v>
      </c>
      <c r="BN201" s="16">
        <f>IF(ISNA(VLOOKUP(A201,'Données projet'!$A$87:$I$107,6,0)),0%,VLOOKUP(A201,'Données projet'!$A$87:$I$107,6,0)*VLOOKUP('Données projet'!$B$11,Paramètres!$A$1:$I$89,7,0))</f>
        <v>0</v>
      </c>
      <c r="BO201" s="16">
        <f>IF(ISNA(VLOOKUP(A201,'Données projet'!$A$87:$I$107,7,0)),0%,VLOOKUP(A201,'Données projet'!$A$87:$I$107,7,0))</f>
        <v>0</v>
      </c>
      <c r="BP201" s="21">
        <f>EXP(-LN(2)/35)*BP200+(1-EXP(-LN(2)/35))/(LN(2)/35)*BL201*BM201*VLOOKUP('Données projet'!$B$11,Paramètres!$A$1:$I$89,3,0)*0.475*44/12</f>
        <v>9.0982197827878378E-2</v>
      </c>
      <c r="BQ201" s="21">
        <f>EXP(-LN(2)/25)*BQ200+(1-EXP(-LN(2)/25))/(LN(2)/25)*Calculateur!BL201*Calculateur!BN201*VLOOKUP('Données projet'!$B$11,Paramètres!$A$1:$I$89,3,0)*0.475*44/12</f>
        <v>0.14482998843332465</v>
      </c>
      <c r="BR201" s="21">
        <f>EXP(-LN(2)/2)*BR200+(1-EXP(-LN(2)/2))/(LN(2)/2)*BL201*BO201*VLOOKUP('Données projet'!$B$11,Paramètres!$A$1:$I$89,3,0)*0.475*44/12</f>
        <v>1.1342374524856374E-24</v>
      </c>
      <c r="BS201" s="22">
        <f t="shared" si="169"/>
        <v>0.23581218626120304</v>
      </c>
      <c r="BT201" s="75">
        <f>('Scénario référence'!$F$8+'Scénario référence'!$F$9+'Scénario référence'!$B$17+'Scénario référence'!$B$9+'Scénario référence'!$B$10)*70+IF((45+25*(1-EXP(-0.0175*A201)))&lt;70,'Scénario référence'!$B$16*(45+25*(1-EXP(-0.0175*A201))),70*'Scénario référence'!$B$16)+IF((32+38*(1-EXP(-0.0175*A201)))&lt;70,'Scénario référence'!$B$18*(32+38*(1-EXP(-0.0175*A201))),70*'Scénario référence'!$B$18)</f>
        <v>70</v>
      </c>
      <c r="BU201" s="12">
        <f>IF(A201&gt;30,10,('Scénario référence'!$B$16+'Scénario référence'!$B$17+'Scénario référence'!$B$18+'Scénario référence'!$B$9+'Scénario référence'!$B$10)*A201*10/30+('Scénario référence'!$F$8+'Scénario référence'!$F$9)*10)</f>
        <v>10</v>
      </c>
      <c r="BV201" s="12" t="e">
        <f>VLOOKUP(A201,'Données projet'!$A$113:$I$133,2,0)</f>
        <v>#N/A</v>
      </c>
      <c r="BW201" s="12" t="e">
        <f>VLOOKUP(A201,'Données projet'!$A$113:$I$133,9,0)</f>
        <v>#N/A</v>
      </c>
      <c r="BX201" s="12">
        <f t="array" ref="BX201">INDEX(BW:BW,MIN(IF(ISNUMBER(BW201:BW397),ROW(BW201:BW397),"")))</f>
        <v>0</v>
      </c>
      <c r="BY201" s="12">
        <f>IF('Données projet'!$A$114&gt;35,BY200+BX201-CG200,IF(A201&lt;'Données projet'!$A$114,$BV$205^A201,IF(A201='Données projet'!$A$114,'Données projet'!$B$114,BY200+BX201-CG200)))</f>
        <v>333.99999999999977</v>
      </c>
      <c r="BZ201" s="13">
        <f>BY201*VLOOKUP('Données projet'!$B$12,Paramètres!$A$1:$I$89,3,0)*VLOOKUP('Données projet'!$B$12,Paramètres!$A$1:$I$89,5,0)</f>
        <v>191.04799999999986</v>
      </c>
      <c r="CA201" s="13">
        <f t="shared" si="170"/>
        <v>47.771576544305155</v>
      </c>
      <c r="CB201" s="20">
        <f t="shared" si="171"/>
        <v>415.94409581466454</v>
      </c>
      <c r="CC201" s="59">
        <f t="shared" si="195"/>
        <v>709.27742914799785</v>
      </c>
      <c r="CD201" s="59">
        <f ca="1">AVERAGE(OFFSET($CC$3,0,0,'Données projet'!$E$12+1,1))-AVERAGE(OFFSET($H$3,0,0,'Données projet'!$E$12+1,1))</f>
        <v>188.64374818906128</v>
      </c>
      <c r="CE201" s="59">
        <f t="shared" si="207"/>
        <v>211.95157880548652</v>
      </c>
      <c r="CF201" s="15">
        <f>IF(ISNA(VLOOKUP(A201,'Données projet'!$A$113:$I$133,3,0)),0,VLOOKUP(A201,'Données projet'!$A$113:$I$133,3,0))</f>
        <v>0</v>
      </c>
      <c r="CG201" s="15">
        <f>IF(ISNA(VLOOKUP(A201,'Données projet'!$A$113:$I$133,4,0)),0,VLOOKUP(A201,'Données projet'!$A$113:$I$133,4,0))</f>
        <v>0</v>
      </c>
      <c r="CH201" s="16">
        <f>IF(ISNA(VLOOKUP(A201,'Données projet'!$A$113:$I$133,5,0)),0%,VLOOKUP(A201,'Données projet'!$A$113:$I$133,5,0)*VLOOKUP('Données projet'!$B$12,Paramètres!$A$1:$I$89,7,0))</f>
        <v>0</v>
      </c>
      <c r="CI201" s="16">
        <f>IF(ISNA(VLOOKUP(A201,'Données projet'!$A$113:$I$133,6,0)),0%,VLOOKUP(A201,'Données projet'!$A$113:$I$133,6,0)*VLOOKUP('Données projet'!$B$12,Paramètres!$A$1:$I$89,7,0))</f>
        <v>0</v>
      </c>
      <c r="CJ201" s="16">
        <f>IF(ISNA(VLOOKUP(A201,'Données projet'!$A$113:$I$133,7,0)),0%,VLOOKUP(A201,'Données projet'!$A$113:$I$133,7,0))</f>
        <v>0</v>
      </c>
      <c r="CK201" s="21">
        <f>EXP(-LN(2)/35)*CK200+(1-EXP(-LN(2)/35))/(LN(2)/35)*CG201*CH201*VLOOKUP('Données projet'!$B$12,Paramètres!$A$1:$I$89,3,0)*0.475*44/12</f>
        <v>8.8252174745474102E-2</v>
      </c>
      <c r="CL201" s="21">
        <f>EXP(-LN(2)/25)*CL200+(1-EXP(-LN(2)/25))/(LN(2)/25)*Calculateur!CG201*Calculateur!CI201*VLOOKUP('Données projet'!$B$12,Paramètres!$A$1:$I$89,3,0)*0.475*44/12</f>
        <v>0.13631726431967889</v>
      </c>
      <c r="CM201" s="21">
        <f>EXP(-LN(2)/2)*CM200+(1-EXP(-LN(2)/2))/(LN(2)/2)*CG201*CJ201*VLOOKUP('Données projet'!$B$12,Paramètres!$A$1:$I$89,3,0)*0.475*44/12</f>
        <v>1.098420228676078E-24</v>
      </c>
      <c r="CN201" s="22">
        <f t="shared" si="172"/>
        <v>0.22456943906515298</v>
      </c>
      <c r="CO201" s="75">
        <f>('Scénario référence'!$F$8+'Scénario référence'!$F$9+'Scénario référence'!$B$17+'Scénario référence'!$B$9+'Scénario référence'!$B$10)*70+IF((45+25*(1-EXP(-0.0175*A201)))&lt;70,'Scénario référence'!$B$16*(45+25*(1-EXP(-0.0175*A201))),70*'Scénario référence'!$B$16)+IF((32+38*(1-EXP(-0.0175*A201)))&lt;70,'Scénario référence'!$B$18*(32+38*(1-EXP(-0.0175*A201))),70*'Scénario référence'!$B$18)</f>
        <v>70</v>
      </c>
      <c r="CP201" s="12">
        <f>IF(A201&gt;30,10,('Scénario référence'!$B$16+'Scénario référence'!$B$17+'Scénario référence'!$B$18+'Scénario référence'!$B$9+'Scénario référence'!$B$10)*A201*10/30+('Scénario référence'!$F$8+'Scénario référence'!$F$9)*10)</f>
        <v>10</v>
      </c>
      <c r="CQ201" s="12" t="e">
        <f>VLOOKUP(A201,'Données projet'!$A$139:$I$159,2,0)</f>
        <v>#N/A</v>
      </c>
      <c r="CR201" s="12" t="e">
        <f>VLOOKUP(A201,'Données projet'!$A$139:$I$159,9,0)</f>
        <v>#N/A</v>
      </c>
      <c r="CS201" s="12">
        <f t="array" ref="CS201">INDEX(CR:CR,MIN(IF(ISNUMBER(CR201:CR397),ROW(CR201:CR397),"")))</f>
        <v>0</v>
      </c>
      <c r="CT201" s="12">
        <f>IF('Données projet'!$A$140&gt;35,CT200+CS201-DB200,IF(A201&lt;'Données projet'!$A$140,$CQ$205^A201,IF(A201='Données projet'!$A$140,'Données projet'!$B$140,CT200+CS201-DB200)))</f>
        <v>0</v>
      </c>
      <c r="CU201" s="17" t="e">
        <f>CT201*VLOOKUP('Données projet'!$B$13,Paramètres!$A$1:$I$89,3,0)*VLOOKUP('Données projet'!$B$13,Paramètres!$A$1:$I$89,5,0)</f>
        <v>#N/A</v>
      </c>
      <c r="CV201" s="13" t="e">
        <f t="shared" si="173"/>
        <v>#N/A</v>
      </c>
      <c r="CW201" s="20" t="e">
        <f t="shared" si="174"/>
        <v>#N/A</v>
      </c>
      <c r="CX201" s="59" t="e">
        <f t="shared" si="196"/>
        <v>#N/A</v>
      </c>
      <c r="CY201" s="59" t="e">
        <f ca="1">AVERAGE(OFFSET($CX$3,0,0,'Données projet'!$E$13+1,1))-AVERAGE(OFFSET($H$3,0,0,'Données projet'!$E$13+1,1))</f>
        <v>#N/A</v>
      </c>
      <c r="CZ201" s="59" t="e">
        <f t="shared" si="208"/>
        <v>#N/A</v>
      </c>
      <c r="DA201" s="15">
        <f>IF(ISNA(VLOOKUP(A201,'Données projet'!$A$139:$I$159,3,0)),0,VLOOKUP(A201,'Données projet'!$A$139:$I$159,3,0))</f>
        <v>0</v>
      </c>
      <c r="DB201" s="15">
        <f>IF(ISNA(VLOOKUP(A201,'Données projet'!$A$139:$I$159,4,0)),0,VLOOKUP(A201,'Données projet'!$A$139:$I$159,4,0))</f>
        <v>0</v>
      </c>
      <c r="DC201" s="16">
        <f>IF(ISNA(VLOOKUP(A201,'Données projet'!$A$139:$I$159,5,0)),0%,VLOOKUP(A201,'Données projet'!$A$139:$I$159,5,0)*VLOOKUP('Données projet'!$B$13,Paramètres!$A$1:$I$89,7,0))</f>
        <v>0</v>
      </c>
      <c r="DD201" s="16">
        <f>IF(ISNA(VLOOKUP(A201,'Données projet'!$A$139:$I$159,6,0)),0%,VLOOKUP(A201,'Données projet'!$A$139:$I$159,6,0)*VLOOKUP('Données projet'!$B$13,Paramètres!$A$1:$I$89,7,0))</f>
        <v>0</v>
      </c>
      <c r="DE201" s="16">
        <f>IF(ISNA(VLOOKUP(A201,'Données projet'!$A$139:$I$159,7,0)),0%,VLOOKUP(A201,'Données projet'!$A$139:$I$159,7,0))</f>
        <v>0</v>
      </c>
      <c r="DF201" s="21" t="e">
        <f>EXP(-LN(2)/35)*DF200+(1-EXP(-LN(2)/35))/(LN(2)/35)*DB201*DC201*VLOOKUP('Données projet'!$B$13,Paramètres!$A$1:$I$89,3,0)*0.475*44/12</f>
        <v>#N/A</v>
      </c>
      <c r="DG201" s="21" t="e">
        <f>EXP(-LN(2)/25)*DG200+(1-EXP(-LN(2)/25))/(LN(2)/25)*Calculateur!DB201*Calculateur!DD201*VLOOKUP('Données projet'!$B$13,Paramètres!$A$1:$I$89,3,0)*0.475*44/12</f>
        <v>#N/A</v>
      </c>
      <c r="DH201" s="21" t="e">
        <f>EXP(-LN(2)/2)*DH200+(1-EXP(-LN(2)/2))/(LN(2)/2)*DB201*DE201*VLOOKUP('Données projet'!$B$13,Paramètres!$A$1:$I$89,3,0)*0.475*44/12</f>
        <v>#N/A</v>
      </c>
      <c r="DI201" s="22" t="e">
        <f t="shared" si="175"/>
        <v>#N/A</v>
      </c>
      <c r="DJ201" s="75">
        <f>('Scénario référence'!$F$8+'Scénario référence'!$F$9+'Scénario référence'!$B$17+'Scénario référence'!$B$9+'Scénario référence'!$B$10)*70+IF((45+25*(1-EXP(-0.0175*A201)))&lt;70,'Scénario référence'!$B$16*(45+25*(1-EXP(-0.0175*A201))),70*'Scénario référence'!$B$16)+IF((32+38*(1-EXP(-0.0175*A201)))&lt;70,'Scénario référence'!$B$18*(32+38*(1-EXP(-0.0175*A201))),70*'Scénario référence'!$B$18)</f>
        <v>70</v>
      </c>
      <c r="DK201" s="12">
        <f>IF(A201&gt;30,10,('Scénario référence'!$B$16+'Scénario référence'!$B$17+'Scénario référence'!$B$18+'Scénario référence'!$B$9+'Scénario référence'!$B$10)*A201*10/30+('Scénario référence'!$F$8+'Scénario référence'!$F$9)*10)</f>
        <v>10</v>
      </c>
      <c r="DL201" s="12" t="e">
        <f>VLOOKUP(A201,'Données projet'!$A$165:$I$185,2,0)</f>
        <v>#N/A</v>
      </c>
      <c r="DM201" s="12" t="e">
        <f>VLOOKUP(A201,'Données projet'!$A$165:$I$185,9,0)</f>
        <v>#N/A</v>
      </c>
      <c r="DN201" s="12">
        <f t="array" ref="DN201">INDEX(DM:DM,MIN(IF(ISNUMBER(DM201:DM397),ROW(DM201:DM397),"")))</f>
        <v>0</v>
      </c>
      <c r="DO201" s="12">
        <f>IF('Données projet'!$A$166&gt;35,DO200+DN201-DW200,IF(A201&lt;'Données projet'!$A$166,$DL$205^A201,IF(A201='Données projet'!$A$166,'Données projet'!$B$166,DO200+DN201-DW200)))</f>
        <v>268.00000000000017</v>
      </c>
      <c r="DP201" s="17">
        <f>DO201*VLOOKUP('Données projet'!$B$14,Paramètres!$A$1:$I$89,3,0)*VLOOKUP('Données projet'!$B$14,Paramètres!$A$1:$I$89,5,0)</f>
        <v>175.59360000000012</v>
      </c>
      <c r="DQ201" s="13">
        <f t="shared" si="176"/>
        <v>44.340433728638573</v>
      </c>
      <c r="DR201" s="20">
        <f t="shared" si="177"/>
        <v>383.05177541071242</v>
      </c>
      <c r="DS201" s="59">
        <f t="shared" si="197"/>
        <v>676.38510874404574</v>
      </c>
      <c r="DT201" s="59">
        <f ca="1">AVERAGE(OFFSET($DS$3,0,0,'Données projet'!$E$14+1,1))-AVERAGE(OFFSET($H$3,0,0,'Données projet'!$E$14+1,1))</f>
        <v>188.68915783955595</v>
      </c>
      <c r="DU201" s="59">
        <f t="shared" si="209"/>
        <v>240.82467772396944</v>
      </c>
      <c r="DV201" s="15">
        <f>IF(ISNA(VLOOKUP(A201,'Données projet'!$A$165:$I$185,3,0)),0,VLOOKUP(A201,'Données projet'!$A$165:$I$185,3,0))</f>
        <v>0</v>
      </c>
      <c r="DW201" s="15">
        <f>IF(ISNA(VLOOKUP(A201,'Données projet'!$A$165:$I$185,4,0)),0,VLOOKUP(A201,'Données projet'!$A$165:$I$185,4,0))</f>
        <v>0</v>
      </c>
      <c r="DX201" s="16">
        <f>IF(ISNA(VLOOKUP(A201,'Données projet'!$A$165:$I$185,5,0)),0%,VLOOKUP(A201,'Données projet'!$A$165:$I$185,5,0)*VLOOKUP('Données projet'!$B$14,Paramètres!$A$1:$I$89,7,0))</f>
        <v>0</v>
      </c>
      <c r="DY201" s="16">
        <f>IF(ISNA(VLOOKUP(A201,'Données projet'!$A$165:$I$185,6,0)),0%,VLOOKUP(A201,'Données projet'!$A$165:$I$185,6,0)*VLOOKUP('Données projet'!$B$14,Paramètres!$A$1:$I$89,7,0))</f>
        <v>0</v>
      </c>
      <c r="DZ201" s="16">
        <f>IF(ISNA(VLOOKUP(A201,'Données projet'!$A$165:$I$185,7,0)),0%,VLOOKUP(A201,'Données projet'!$A$165:$I$185,7,0))</f>
        <v>0</v>
      </c>
      <c r="EA201" s="21">
        <f>EXP(-LN(2)/35)*EA200+(1-EXP(-LN(2)/35))/(LN(2)/35)*DW201*DX201*VLOOKUP('Données projet'!$B$14,Paramètres!$A$1:$I$89,3,0)*0.475*44/12</f>
        <v>5.5900472639704796E-2</v>
      </c>
      <c r="EB201" s="21">
        <f>EXP(-LN(2)/25)*EB200+(1-EXP(-LN(2)/25))/(LN(2)/25)*Calculateur!DW201*Calculateur!DY201*VLOOKUP('Données projet'!$B$14,Paramètres!$A$1:$I$89,3,0)*0.475*44/12</f>
        <v>7.6247921774777086E-2</v>
      </c>
      <c r="EC201" s="21">
        <f>EXP(-LN(2)/2)*EC200+(1-EXP(-LN(2)/2))/(LN(2)/2)*DW201*DZ201*VLOOKUP('Données projet'!$B$14,Paramètres!$A$1:$I$89,3,0)*0.475*44/12</f>
        <v>7.2359733322330418E-25</v>
      </c>
      <c r="ED201" s="22">
        <f t="shared" si="178"/>
        <v>0.1321483944144819</v>
      </c>
      <c r="EE201" s="75">
        <f>('Scénario référence'!$F$8+'Scénario référence'!$F$9+'Scénario référence'!$B$17+'Scénario référence'!$B$9+'Scénario référence'!$B$10)*70+IF((45+25*(1-EXP(-0.0175*A201)))&lt;70,'Scénario référence'!$B$16*(45+25*(1-EXP(-0.0175*A201))),70*'Scénario référence'!$B$16)+IF((32+38*(1-EXP(-0.0175*A201)))&lt;70,'Scénario référence'!$B$18*(32+38*(1-EXP(-0.0175*A201))),70*'Scénario référence'!$B$18)</f>
        <v>70</v>
      </c>
      <c r="EF201" s="12">
        <f>IF(A201&gt;30,10,('Scénario référence'!$B$16+'Scénario référence'!$B$17+'Scénario référence'!$B$18+'Scénario référence'!$B$9+'Scénario référence'!$B$10)*A201*10/30+('Scénario référence'!$F$8+'Scénario référence'!$F$9)*10)</f>
        <v>10</v>
      </c>
      <c r="EG201" s="12" t="e">
        <f>VLOOKUP(A201,'Données projet'!$A$191:$I$211,2,0)</f>
        <v>#N/A</v>
      </c>
      <c r="EH201" s="12" t="e">
        <f>VLOOKUP(A201,'Données projet'!$A$191:$I$211,9,0)</f>
        <v>#N/A</v>
      </c>
      <c r="EI201" s="12">
        <f t="array" ref="EI201">INDEX(EH:EH,MIN(IF(ISNUMBER(EH201:EH397),ROW(EH201:EH397),"")))</f>
        <v>0</v>
      </c>
      <c r="EJ201" s="12">
        <f>IF('Données projet'!$A$192&gt;35,EJ200+EI201-ER200,IF(A201&lt;'Données projet'!$A$192,$EG$205^A201,IF(A201='Données projet'!$A$192,'Données projet'!$B$192,EJ200+EI201-ER200)))</f>
        <v>275.99999999999972</v>
      </c>
      <c r="EK201" s="17">
        <f>EJ201*VLOOKUP('Données projet'!$B$15,Paramètres!$A$1:$I$89,3,0)*VLOOKUP('Données projet'!$B$15,Paramètres!$A$1:$I$89,5,0)</f>
        <v>223.8911999999998</v>
      </c>
      <c r="EL201" s="13">
        <f t="shared" si="179"/>
        <v>54.95975389514858</v>
      </c>
      <c r="EM201" s="20">
        <f t="shared" si="180"/>
        <v>485.66541136738346</v>
      </c>
      <c r="EN201" s="59">
        <f t="shared" si="198"/>
        <v>778.99874470071677</v>
      </c>
      <c r="EO201" s="59">
        <f ca="1">AVERAGE(OFFSET($EN$3,0,0,'Données projet'!$E$15+1,1))-AVERAGE(OFFSET($H$3,0,0,'Données projet'!$E$15+1,1))</f>
        <v>205.5272583787887</v>
      </c>
      <c r="EP201" s="59">
        <f t="shared" si="210"/>
        <v>180.54762778843178</v>
      </c>
      <c r="EQ201" s="15">
        <f>IF(ISNA(VLOOKUP(A201,'Données projet'!$A$191:$I$211,3,0)),0,VLOOKUP(A201,'Données projet'!$A$191:$I$211,3,0))</f>
        <v>0</v>
      </c>
      <c r="ER201" s="15">
        <f>IF(ISNA(VLOOKUP(A201,'Données projet'!$A$191:$I$211,4,0)),0,VLOOKUP(A201,'Données projet'!$A$191:$I$211,4,0))</f>
        <v>0</v>
      </c>
      <c r="ES201" s="16">
        <f>IF(ISNA(VLOOKUP(A201,'Données projet'!$A$191:$I$211,5,0)),0%,VLOOKUP(A201,'Données projet'!$A$191:$I$211,5,0)*VLOOKUP('Données projet'!$B$15,Paramètres!$A$1:$I$89,7,0))</f>
        <v>0</v>
      </c>
      <c r="ET201" s="16">
        <f>IF(ISNA(VLOOKUP(A201,'Données projet'!$A$191:$I$211,6,0)),0%,VLOOKUP(A201,'Données projet'!$A$191:$I$211,6,0)*VLOOKUP('Données projet'!$B$15,Paramètres!$A$1:$I$89,7,0))</f>
        <v>0</v>
      </c>
      <c r="EU201" s="16">
        <f>IF(ISNA(VLOOKUP(A201,'Données projet'!$A$191:$I$211,7,0)),0%,VLOOKUP(A201,'Données projet'!$A$191:$I$211,7,0))</f>
        <v>0</v>
      </c>
      <c r="EV201" s="21">
        <f>EXP(-LN(2)/35)*EV200+(1-EXP(-LN(2)/35))/(LN(2)/35)*ER201*ES201*VLOOKUP('Données projet'!$B$15,Paramètres!$A$1:$I$89,3,0)*0.475*44/12</f>
        <v>3.5989256670895642E-2</v>
      </c>
      <c r="EW201" s="21">
        <f>EXP(-LN(2)/25)*EW200+(1-EXP(-LN(2)/25))/(LN(2)/25)*Calculateur!ER201*Calculateur!ET201*VLOOKUP('Données projet'!$B$15,Paramètres!$A$1:$I$89,3,0)*0.475*44/12</f>
        <v>5.5053312575666147E-2</v>
      </c>
      <c r="EX201" s="21">
        <f>EXP(-LN(2)/2)*EX200+(1-EXP(-LN(2)/2))/(LN(2)/2)*ER201*EU201*VLOOKUP('Données projet'!$B$15,Paramètres!$A$1:$I$89,3,0)*0.475*44/12</f>
        <v>4.6852980830892017E-25</v>
      </c>
      <c r="EY201" s="22">
        <f t="shared" si="181"/>
        <v>9.1042569246561789E-2</v>
      </c>
      <c r="EZ201" s="75">
        <f>('Scénario référence'!$F$8+'Scénario référence'!$F$9+'Scénario référence'!$B$17+'Scénario référence'!$B$9+'Scénario référence'!$B$10)*70+IF((45+25*(1-EXP(-0.0175*A201)))&lt;70,'Scénario référence'!$B$16*(45+25*(1-EXP(-0.0175*A201))),70*'Scénario référence'!$B$16)+IF((32+38*(1-EXP(-0.0175*A201)))&lt;70,'Scénario référence'!$B$18*(32+38*(1-EXP(-0.0175*A201))),70*'Scénario référence'!$B$18)</f>
        <v>70</v>
      </c>
      <c r="FA201" s="12">
        <f>IF(A201&gt;30,10,('Scénario référence'!$B$16+'Scénario référence'!$B$17+'Scénario référence'!$B$18+'Scénario référence'!$B$9+'Scénario référence'!$B$10)*A201*10/30+('Scénario référence'!$F$8+'Scénario référence'!$F$9)*10)</f>
        <v>10</v>
      </c>
      <c r="FB201" s="12" t="e">
        <f>VLOOKUP(A201,'Données projet'!$A$217:$I$237,2,0)</f>
        <v>#N/A</v>
      </c>
      <c r="FC201" s="12" t="e">
        <f>VLOOKUP(A201,'Données projet'!$A$217:$I$237,9,0)</f>
        <v>#N/A</v>
      </c>
      <c r="FD201" s="12">
        <f t="array" ref="FD201">INDEX(FC:FC,MIN(IF(ISNUMBER(FC201:FC397),ROW(FC201:FC397),"")))</f>
        <v>0</v>
      </c>
      <c r="FE201" s="12">
        <f>IF('Données projet'!$A$218&gt;35,FE200+FD201-FM200,IF(A201&lt;'Données projet'!$A$218,$FB$205^A201,IF(A201='Données projet'!$A$218,'Données projet'!$B$218,FE200+FD201-FM200)))</f>
        <v>418.99999999999983</v>
      </c>
      <c r="FF201" s="17">
        <f>FE201*VLOOKUP('Données projet'!$B$16,Paramètres!$A$1:$I$89,3,0)*VLOOKUP('Données projet'!$B$16,Paramètres!$A$1:$I$89,5,0)</f>
        <v>359.5019999999999</v>
      </c>
      <c r="FG201" s="13">
        <f t="shared" si="182"/>
        <v>83.516011055432813</v>
      </c>
      <c r="FH201" s="20">
        <f t="shared" si="183"/>
        <v>771.58970258821194</v>
      </c>
      <c r="FI201" s="59">
        <f t="shared" si="199"/>
        <v>1064.9230359215453</v>
      </c>
      <c r="FJ201" s="59">
        <f ca="1">AVERAGE(OFFSET($FI$3,0,0,'Données projet'!$E$16+1,1))-AVERAGE(OFFSET($H$3,0,0,'Données projet'!$E$16+1,1))</f>
        <v>383.97627237444709</v>
      </c>
      <c r="FK201" s="59">
        <f t="shared" si="211"/>
        <v>203.35476578922339</v>
      </c>
      <c r="FL201" s="15">
        <f>IF(ISNA(VLOOKUP(A201,'Données projet'!$A$217:$I$237,3,0)),0,VLOOKUP(A201,'Données projet'!$A$217:$I$237,3,0))</f>
        <v>0</v>
      </c>
      <c r="FM201" s="15">
        <f>IF(ISNA(VLOOKUP(A201,'Données projet'!$A$217:$I$237,4,0)),0,VLOOKUP(A201,'Données projet'!$A$217:$I$237,4,0))</f>
        <v>0</v>
      </c>
      <c r="FN201" s="16">
        <f>IF(ISNA(VLOOKUP(A201,'Données projet'!$A$217:$I$237,5,0)),0%,VLOOKUP(A201,'Données projet'!$A$217:$I$237,5,0)*VLOOKUP('Données projet'!$B$16,Paramètres!$A$1:$I$89,7,0))</f>
        <v>0</v>
      </c>
      <c r="FO201" s="16">
        <f>IF(ISNA(VLOOKUP(A201,'Données projet'!$A$217:$I$237,6,0)),0%,VLOOKUP(A201,'Données projet'!$A$217:$I$237,6,0)*VLOOKUP('Données projet'!$B$16,Paramètres!$A$1:$I$89,7,0))</f>
        <v>0</v>
      </c>
      <c r="FP201" s="16">
        <f>IF(ISNA(VLOOKUP(A201,'Données projet'!$A$217:$I$237,7,0)),0%,VLOOKUP(A201,'Données projet'!$A$217:$I$237,7,0))</f>
        <v>0</v>
      </c>
      <c r="FQ201" s="21">
        <f>EXP(-LN(2)/35)*FQ200+(1-EXP(-LN(2)/35))/(LN(2)/35)*FM201*FN201*VLOOKUP('Données projet'!$B$16,Paramètres!$A$1:$I$89,3,0)*0.475*44/12</f>
        <v>0.18496525436141575</v>
      </c>
      <c r="FR201" s="21">
        <f>EXP(-LN(2)/25)*FR200+(1-EXP(-LN(2)/25))/(LN(2)/25)*Calculateur!FM201*Calculateur!FO201*VLOOKUP('Données projet'!$B$16,Paramètres!$A$1:$I$89,3,0)*0.475*44/12</f>
        <v>5.5884802564945442E-2</v>
      </c>
      <c r="FS201" s="21">
        <f>EXP(-LN(2)/2)*FS200+(1-EXP(-LN(2)/2))/(LN(2)/2)*FM201*FP201*VLOOKUP('Données projet'!$B$16,Paramètres!$A$1:$I$89,3,0)*0.475*44/12</f>
        <v>8.6059310162514001E-25</v>
      </c>
      <c r="FT201" s="22">
        <f t="shared" si="184"/>
        <v>0.24085005692636119</v>
      </c>
      <c r="FU201" s="75">
        <f>('Scénario référence'!$F$8+'Scénario référence'!$F$9+'Scénario référence'!$B$17+'Scénario référence'!$B$9+'Scénario référence'!$B$10)*70+IF((45+25*(1-EXP(-0.0175*A201)))&lt;70,'Scénario référence'!$B$16*(45+25*(1-EXP(-0.0175*A201))),70*'Scénario référence'!$B$16)+IF((32+38*(1-EXP(-0.0175*A201)))&lt;70,'Scénario référence'!$B$18*(32+38*(1-EXP(-0.0175*A201))),70*'Scénario référence'!$B$18)</f>
        <v>70</v>
      </c>
      <c r="FV201" s="12">
        <f>IF(A201&gt;30,10,('Scénario référence'!$B$16+'Scénario référence'!$B$17+'Scénario référence'!$B$18+'Scénario référence'!$B$9+'Scénario référence'!$B$10)*A201*10/30+('Scénario référence'!$F$8+'Scénario référence'!$F$9)*10)</f>
        <v>10</v>
      </c>
      <c r="FW201" s="12" t="e">
        <f>VLOOKUP(A201,'Données projet'!$A$243:$I$263,2,0)</f>
        <v>#N/A</v>
      </c>
      <c r="FX201" s="12" t="e">
        <f>VLOOKUP(A201,'Données projet'!$A$243:$I$263,9,0)</f>
        <v>#N/A</v>
      </c>
      <c r="FY201" s="12">
        <f t="array" ref="FY201">INDEX(FX:FX,MIN(IF(ISNUMBER(FX201:FX397),ROW(FX201:FX397),"")))</f>
        <v>0</v>
      </c>
      <c r="FZ201" s="12">
        <f>IF('Données projet'!$A$244&gt;35,FZ200+FY201-GH200,IF(A201&lt;'Données projet'!$A$244,$FW$205^A201,IF(A201='Données projet'!$A$244,'Données projet'!$B$244,FZ200+FY201-GH200)))</f>
        <v>4.5474735088646412E-13</v>
      </c>
      <c r="GA201" s="17">
        <f>FZ201*VLOOKUP('Données projet'!$B$17,Paramètres!$A$1:$I$89,3,0)*VLOOKUP('Données projet'!$B$17,Paramètres!$A$1:$I$89,5,0)</f>
        <v>4.8949004849418999E-13</v>
      </c>
      <c r="GB201" s="13">
        <f t="shared" si="185"/>
        <v>6.1123715499968684E-12</v>
      </c>
      <c r="GC201" s="20">
        <f t="shared" si="186"/>
        <v>1.1498242284038591E-11</v>
      </c>
      <c r="GD201" s="59">
        <f t="shared" si="200"/>
        <v>293.3333333333448</v>
      </c>
      <c r="GE201" s="59">
        <f ca="1">AVERAGE(OFFSET($GD$3,0,0,'Données projet'!$E$17+1,1))-AVERAGE(OFFSET($H$3,0,0,'Données projet'!$E$17+1,1))</f>
        <v>286.77702855541287</v>
      </c>
      <c r="GF201" s="59">
        <f t="shared" si="212"/>
        <v>227.12211541860779</v>
      </c>
      <c r="GG201" s="15">
        <f>IF(ISNA(VLOOKUP(A201,'Données projet'!$A$243:$I$263,3,0)),0,VLOOKUP(A201,'Données projet'!$A$243:$I$263,3,0))</f>
        <v>0</v>
      </c>
      <c r="GH201" s="15">
        <f>IF(ISNA(VLOOKUP(A201,'Données projet'!$A$243:$I$263,4,0)),0,VLOOKUP(A201,'Données projet'!$A$243:$I$263,4,0))</f>
        <v>0</v>
      </c>
      <c r="GI201" s="16">
        <f>IF(ISNA(VLOOKUP(A201,'Données projet'!$A$243:$I$263,5,0)),0%,VLOOKUP(A201,'Données projet'!$A$243:$I$263,5,0)*VLOOKUP('Données projet'!$B$17,Paramètres!$A$1:$I$89,7,0))</f>
        <v>0</v>
      </c>
      <c r="GJ201" s="16">
        <f>IF(ISNA(VLOOKUP(A201,'Données projet'!$A$243:$I$263,6,0)),0%,VLOOKUP(A201,'Données projet'!$A$243:$I$263,6,0)*VLOOKUP('Données projet'!$B$17,Paramètres!$A$1:$I$89,7,0))</f>
        <v>0</v>
      </c>
      <c r="GK201" s="16">
        <f>IF(ISNA(VLOOKUP(A201,'Données projet'!$A$243:$I$263,7,0)),0%,VLOOKUP(A201,'Données projet'!$A$243:$I$263,7,0))</f>
        <v>0</v>
      </c>
      <c r="GL201" s="21">
        <f>EXP(-LN(2)/35)*GL200+(1-EXP(-LN(2)/35))/(LN(2)/35)*GH201*GI201*VLOOKUP('Données projet'!$B$17,Paramètres!$A$1:$I$89,3,0)*0.475*44/12</f>
        <v>0</v>
      </c>
      <c r="GM201" s="21">
        <f>EXP(-LN(2)/25)*GM200+(1-EXP(-LN(2)/25))/(LN(2)/25)*Calculateur!GH201*Calculateur!GJ201*VLOOKUP('Données projet'!$B$17,Paramètres!$A$1:$I$89,3,0)*0.475*44/12</f>
        <v>0</v>
      </c>
      <c r="GN201" s="21">
        <f>EXP(-LN(2)/2)*GN200+(1-EXP(-LN(2)/2))/(LN(2)/2)*GH201*GK201*VLOOKUP('Données projet'!$B$17,Paramètres!$A$1:$I$89,3,0)*0.475*44/12</f>
        <v>0</v>
      </c>
      <c r="GO201" s="21">
        <f t="shared" si="187"/>
        <v>0</v>
      </c>
      <c r="GP201" s="75">
        <f>('Scénario référence'!$F$8+'Scénario référence'!$F$9+'Scénario référence'!$B$17+'Scénario référence'!$B$9+'Scénario référence'!$B$10)*70+IF((45+25*(1-EXP(-0.0175*A201)))&lt;70,'Scénario référence'!$B$16*(45+25*(1-EXP(-0.0175*A201))),70*'Scénario référence'!$B$16)+IF((32+38*(1-EXP(-0.0175*A201)))&lt;70,'Scénario référence'!$B$18*(32+38*(1-EXP(-0.0175*A201))),70*'Scénario référence'!$B$18)</f>
        <v>70</v>
      </c>
      <c r="GQ201" s="12">
        <f>IF(A201&gt;30,10,('Scénario référence'!$B$16+'Scénario référence'!$B$17+'Scénario référence'!$B$18+'Scénario référence'!$B$9+'Scénario référence'!$B$10)*A201*10/30+('Scénario référence'!$F$8+'Scénario référence'!$F$9)*10)</f>
        <v>10</v>
      </c>
      <c r="GR201" s="12" t="e">
        <f>VLOOKUP(A201,'Données projet'!$A$269:$I$289,2,0)</f>
        <v>#N/A</v>
      </c>
      <c r="GS201" s="12" t="e">
        <f>VLOOKUP(A201,'Données projet'!$A$269:$I$289,9,0)</f>
        <v>#N/A</v>
      </c>
      <c r="GT201" s="12">
        <f t="array" ref="GT201">INDEX(GS:GS,MIN(IF(ISNUMBER(GS201:GS397),ROW(GS201:GS397),"")))</f>
        <v>0</v>
      </c>
      <c r="GU201" s="12">
        <f>IF('Données projet'!$A$270&gt;35,GU200+GT201-HC200,IF(A201&lt;'Données projet'!$A$270,$GR$205^A201,IF(A201='Données projet'!$A$270,'Données projet'!$B$270,GU200+GT201-HC200)))</f>
        <v>4.5474735088646412E-13</v>
      </c>
      <c r="GV201" s="17">
        <f>GU201*VLOOKUP('Données projet'!$B$18,Paramètres!$A$1:$I$89,3,0)*VLOOKUP('Données projet'!$B$18,Paramètres!$A$1:$I$89,5,0)</f>
        <v>4.8949004849418999E-13</v>
      </c>
      <c r="GW201" s="13">
        <f t="shared" si="188"/>
        <v>6.1123715499968684E-12</v>
      </c>
      <c r="GX201" s="20">
        <f t="shared" si="189"/>
        <v>1.1498242284038591E-11</v>
      </c>
      <c r="GY201" s="59">
        <f t="shared" si="201"/>
        <v>293.3333333333448</v>
      </c>
      <c r="GZ201" s="59">
        <f ca="1">AVERAGE(OFFSET($GY$3,0,0,'Données projet'!$E$18+1,1))-AVERAGE(OFFSET($H$3,0,0,'Données projet'!$E$18+1,1))</f>
        <v>286.77702855541287</v>
      </c>
      <c r="HA201" s="59">
        <f t="shared" si="213"/>
        <v>227.12211541860779</v>
      </c>
      <c r="HB201" s="15">
        <f>IF(ISNA(VLOOKUP(A201,'Données projet'!$A$269:$I$289,3,0)),0,VLOOKUP(A201,'Données projet'!$A$269:$I$289,3,0))</f>
        <v>0</v>
      </c>
      <c r="HC201" s="15">
        <f>IF(ISNA(VLOOKUP(A201,'Données projet'!$A$269:$I$289,4,0)),0,VLOOKUP(A201,'Données projet'!$A$269:$I$289,4,0))</f>
        <v>0</v>
      </c>
      <c r="HD201" s="16">
        <f>IF(ISNA(VLOOKUP(A201,'Données projet'!$A$269:$I$289,5,0)),0%,VLOOKUP(A201,'Données projet'!$A$269:$I$289,5,0)*VLOOKUP('Données projet'!$B$18,Paramètres!$A$1:$I$89,7,0))</f>
        <v>0</v>
      </c>
      <c r="HE201" s="16">
        <f>IF(ISNA(VLOOKUP(A201,'Données projet'!$A$269:$I$289,6,0)),0%,VLOOKUP(A201,'Données projet'!$A$269:$I$289,6,0)*VLOOKUP('Données projet'!$B$18,Paramètres!$A$1:$I$89,7,0))</f>
        <v>0</v>
      </c>
      <c r="HF201" s="16">
        <f>IF(ISNA(VLOOKUP(A201,'Données projet'!$A$269:$I$289,7,0)),0%,VLOOKUP(A201,'Données projet'!$A$269:$I$289,7,0))</f>
        <v>0</v>
      </c>
      <c r="HG201" s="21">
        <f>EXP(-LN(2)/35)*HG200+(1-EXP(-LN(2)/35))/(LN(2)/35)*HC201*HD201*VLOOKUP('Données projet'!$B$18,Paramètres!$A$1:$I$89,3,0)*0.475*44/12</f>
        <v>0</v>
      </c>
      <c r="HH201" s="21">
        <f>EXP(-LN(2)/25)*HH200+(1-EXP(-LN(2)/25))/(LN(2)/25)*Calculateur!HC201*Calculateur!HE201*VLOOKUP('Données projet'!$B$18,Paramètres!$A$1:$I$89,3,0)*0.475*44/12</f>
        <v>0</v>
      </c>
      <c r="HI201" s="21">
        <f>EXP(-LN(2)/2)*HI200+(1-EXP(-LN(2)/2))/(LN(2)/2)*HC201*HF201*VLOOKUP('Données projet'!$B$18,Paramètres!$A$1:$I$89,3,0)*0.475*44/12</f>
        <v>0</v>
      </c>
      <c r="HJ201" s="22">
        <f t="shared" si="190"/>
        <v>0</v>
      </c>
    </row>
    <row r="202" spans="1:218" x14ac:dyDescent="0.25">
      <c r="A202" s="10">
        <f t="shared" si="161"/>
        <v>199</v>
      </c>
      <c r="B202" s="73">
        <f>'Scénario référence'!$B$16*5+'Scénario référence'!$B$17*0+'Scénario référence'!$B$18*5</f>
        <v>0</v>
      </c>
      <c r="C202" s="19">
        <f>Calculateur!C201+'Scénario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176.95079999999959</v>
      </c>
      <c r="D202" s="11">
        <f t="shared" si="202"/>
        <v>44.643122259339037</v>
      </c>
      <c r="E202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02" s="11">
        <f>IF(OR('Scénario référence'!$F$8&gt;0,'Scénario référence'!$F$9&gt;0),('Scénario référence'!$F$8+'Scénario référence'!$F$9)*10,0)</f>
        <v>10</v>
      </c>
      <c r="G202" s="11">
        <f>'Scénario référence'!$B$8*B202*44/12+'Scénario référence'!$B$9*(C202+D202)/0.475*44/12+'Scénario référence'!$B$10*(C202+D202)/0.475*44/12+'Scénario référence'!$F$8*(C202+D202)/0.475*44/12+'Scénario référence'!$F$9*(C202+D202)/0.475*44/12</f>
        <v>1710.5495753352454</v>
      </c>
      <c r="H202" s="67">
        <f t="shared" si="192"/>
        <v>679.27608126834809</v>
      </c>
      <c r="I202" s="70">
        <f>('Scénario référence'!$F$8+'Scénario référence'!$F$9+'Scénario référence'!$B$17+'Scénario référence'!$B$9+'Scénario référence'!$B$10)*70+IF((45+25*(1-EXP(-0.0175*A202)))&lt;70,'Scénario référence'!$B$16*(45+25*(1-EXP(-0.0175*A202))),70*'Scénario référence'!$B$16)+IF((32+38*(1-EXP(-0.0175*A202)))&lt;70,'Scénario référence'!$B$18*(32+38*(1-EXP(-0.0175*A202))),70*'Scénario référence'!$B$18)</f>
        <v>70</v>
      </c>
      <c r="J202" s="13">
        <f>IF(A202&gt;30,10,('Scénario référence'!$B$16+'Scénario référence'!$B$17+'Scénario référence'!$B$18+'Scénario référence'!$B$9+'Scénario référence'!$B$10)*A202*10/30+('Scénario référence'!$F$8+'Scénario référence'!$F$9)*10)</f>
        <v>10</v>
      </c>
      <c r="K202" s="12" t="e">
        <f>VLOOKUP(A202,'Données projet'!$A$35:$I$55,2,0)</f>
        <v>#N/A</v>
      </c>
      <c r="L202" s="12" t="e">
        <f>VLOOKUP(A202,'Données projet'!$A$35:$I$55,9,0)</f>
        <v>#N/A</v>
      </c>
      <c r="M202" s="12">
        <f t="array" ref="M202">INDEX(L:L,MIN(IF(ISNUMBER(L202:L398),ROW(L202:L398),"")))</f>
        <v>0</v>
      </c>
      <c r="N202" s="13">
        <f>IF('Données projet'!$A$36&gt;35,N201+M202-V201,IF(A202&lt;'Données projet'!$A$36,$K$205^A202,IF(A202='Données projet'!$A$36,'Données projet'!$B$36,N201+M202-V201)))</f>
        <v>-2.2737367544323206E-13</v>
      </c>
      <c r="O202" s="13">
        <f>N202*VLOOKUP('Données projet'!$B$9,Paramètres!$A$1:$I$89,3,0)*VLOOKUP('Données projet'!$B$9,Paramètres!$A$1:$I$89,5,0)</f>
        <v>-1.2710188457276673E-13</v>
      </c>
      <c r="P202" s="13" t="e">
        <f t="shared" si="203"/>
        <v>#NUM!</v>
      </c>
      <c r="Q202" s="20" t="e">
        <f t="shared" si="162"/>
        <v>#NUM!</v>
      </c>
      <c r="R202" s="59" t="e">
        <f t="shared" si="191"/>
        <v>#NUM!</v>
      </c>
      <c r="S202" s="59">
        <f ca="1">AVERAGE(OFFSET($R$3,0,0,'Données projet'!$E$9+1,1))-AVERAGE(OFFSET($H$3,0,0,'Données projet'!$E$9+1,1))</f>
        <v>255.5374979188561</v>
      </c>
      <c r="T202" s="59">
        <f t="shared" si="204"/>
        <v>343.10418468620901</v>
      </c>
      <c r="U202" s="15">
        <f>IF(ISNA(VLOOKUP(A202,'Données projet'!$A$35:$I$55,3,0)),0,VLOOKUP(A202,'Données projet'!$A$35:$I$55,3,0))</f>
        <v>0</v>
      </c>
      <c r="V202" s="15">
        <f>IF(ISNA(VLOOKUP(A202,'Données projet'!$A$35:$I$55,4,0)),0,VLOOKUP(A202,'Données projet'!$A$35:$I$55,4,0))</f>
        <v>0</v>
      </c>
      <c r="W202" s="16">
        <f>IF(ISNA(VLOOKUP(A202,'Données projet'!$A$35:$I$55,5,0)),0%,VLOOKUP(A202,'Données projet'!$A$35:$I$55,5,0)*VLOOKUP('Données projet'!$B$9,Paramètres!$A$1:$I$89,7,0))</f>
        <v>0</v>
      </c>
      <c r="X202" s="16">
        <f>IF(ISNA(VLOOKUP(A202,'Données projet'!$A$35:$I$55,6,0)),0%,VLOOKUP(A202,'Données projet'!$A$35:$I$55,6,0)*VLOOKUP('Données projet'!$B$9,Paramètres!$A$1:$I$89,7,0))</f>
        <v>0</v>
      </c>
      <c r="Y202" s="16">
        <f>IF(ISNA(VLOOKUP(A202,'Données projet'!$A$35:$I$55,7,0)),0%,VLOOKUP(A202,'Données projet'!$A$35:$I$55,7,0))</f>
        <v>0</v>
      </c>
      <c r="Z202" s="21">
        <f>EXP(-LN(2)/35)*Z201+(1-EXP(-LN(2)/35))/(LN(2)/35)*V202*W202*VLOOKUP('Données projet'!$B$9,Paramètres!$A$1:$I$89,3,0)*0.475*44/12</f>
        <v>0.10874752563273112</v>
      </c>
      <c r="AA202" s="21">
        <f>EXP(-LN(2)/25)*AA201+(1-EXP(-LN(2)/25))/(LN(2)/25)*Calculateur!V202*Calculateur!X202*VLOOKUP('Données projet'!$B$9,Paramètres!$A$1:$I$89,3,0)*0.475*44/12</f>
        <v>0.14725741333875178</v>
      </c>
      <c r="AB202" s="21">
        <f>EXP(-LN(2)/2)*AB201+(1-EXP(-LN(2)/2))/(LN(2)/2)*V202*Y202*VLOOKUP('Données projet'!$B$9,Paramètres!$A$1:$I$89,3,0)*0.475*44/12</f>
        <v>6.187754369169099E-26</v>
      </c>
      <c r="AC202" s="22">
        <f t="shared" si="163"/>
        <v>0.25600493897148291</v>
      </c>
      <c r="AD202" s="13">
        <f>('Scénario référence'!$F$8+'Scénario référence'!$F$9+'Scénario référence'!$B$17+'Scénario référence'!$B$9+'Scénario référence'!$B$10)*70+IF((45+25*(1-EXP(-0.0175*A202)))&lt;70,'Scénario référence'!$B$16*(45+25*(1-EXP(-0.0175*A202))),70*'Scénario référence'!$B$16)+IF((32+38*(1-EXP(-0.0175*A202)))&lt;70,'Scénario référence'!$B$18*(32+38*(1-EXP(-0.0175*A202))),70*'Scénario référence'!$B$18)</f>
        <v>70</v>
      </c>
      <c r="AE202" s="13">
        <f>IF(A202&gt;30,10,('Scénario référence'!$B$16+'Scénario référence'!$B$17+'Scénario référence'!$B$18+'Scénario référence'!$B$9+'Scénario référence'!$B$10)*A202*10/30+('Scénario référence'!$F$8+'Scénario référence'!$F$9)*10)</f>
        <v>10</v>
      </c>
      <c r="AF202" s="12" t="e">
        <f>VLOOKUP(A202,'Données projet'!$A$61:$I$81,2,0)</f>
        <v>#N/A</v>
      </c>
      <c r="AG202" s="12" t="e">
        <f>VLOOKUP(A202,'Données projet'!$A$61:$I$81,9,0)</f>
        <v>#N/A</v>
      </c>
      <c r="AH202" s="12">
        <f t="array" ref="AH202">INDEX(AG:AG,MIN(IF(ISNUMBER(AG202:AG398),ROW(AG202:AG398),"")))</f>
        <v>0</v>
      </c>
      <c r="AI202" s="13">
        <f>IF('Données projet'!$A$62&gt;35,AI201+AH202-AQ201,IF(A202&lt;'Données projet'!$A$62,$AF$205^A202,IF(A202='Données projet'!$A$62,'Données projet'!$B$62,AI201+AH202-AQ201)))</f>
        <v>0</v>
      </c>
      <c r="AJ202" s="13">
        <f>AI202*VLOOKUP('Données projet'!$B$10,Paramètres!$A$1:$I$89,3,0)*VLOOKUP('Données projet'!$B$10,Paramètres!$A$1:$I$89,5,0)</f>
        <v>0</v>
      </c>
      <c r="AK202" s="13" t="e">
        <f t="shared" si="164"/>
        <v>#NUM!</v>
      </c>
      <c r="AL202" s="20" t="e">
        <f t="shared" si="165"/>
        <v>#NUM!</v>
      </c>
      <c r="AM202" s="59" t="e">
        <f t="shared" si="193"/>
        <v>#NUM!</v>
      </c>
      <c r="AN202" s="59">
        <f ca="1">AVERAGE(OFFSET($AM$3,0,0,'Données projet'!$E$10+1,1))-AVERAGE(OFFSET($H$3,0,0,'Données projet'!$E$10+1,1))</f>
        <v>261.78489480911571</v>
      </c>
      <c r="AO202" s="59">
        <f t="shared" si="205"/>
        <v>297.50513563712764</v>
      </c>
      <c r="AP202" s="15">
        <f>IF(ISNA(VLOOKUP(A202,'Données projet'!$A$61:$I$81,3,0)),0,VLOOKUP(A202,'Données projet'!$A$61:$I$81,3,0))</f>
        <v>0</v>
      </c>
      <c r="AQ202" s="15">
        <f>IF(ISNA(VLOOKUP(A202,'Données projet'!$A$61:$I$81,4,0)),0,VLOOKUP(A202,'Données projet'!$A$61:$I$81,4,0))</f>
        <v>0</v>
      </c>
      <c r="AR202" s="16">
        <f>IF(ISNA(VLOOKUP(A202,'Données projet'!$A$61:$I$81,5,0)),0%,VLOOKUP(A202,'Données projet'!$A$61:$I$81,5,0)*VLOOKUP('Données projet'!$B$10,Paramètres!$A$1:$I$89,7,0))</f>
        <v>0</v>
      </c>
      <c r="AS202" s="16">
        <f>IF(ISNA(VLOOKUP(A202,'Données projet'!$A$61:$I$81,6,0)),0%,VLOOKUP(A202,'Données projet'!$A$61:$I$81,6,0)*VLOOKUP('Données projet'!$B$10,Paramètres!$A$1:$I$89,7,0))</f>
        <v>0</v>
      </c>
      <c r="AT202" s="16">
        <f>IF(ISNA(VLOOKUP(A202,'Données projet'!$A$61:$I$81,7,0)),0%,VLOOKUP(A202,'Données projet'!$A$61:$I$81,7,0))</f>
        <v>0</v>
      </c>
      <c r="AU202" s="21">
        <f>EXP(-LN(2)/35)*AU201+(1-EXP(-LN(2)/35))/(LN(2)/35)*AQ202*AR202*VLOOKUP('Données projet'!$B$10,Paramètres!$A$1:$I$89,3,0)*0.475*44/12</f>
        <v>0.29364907829846676</v>
      </c>
      <c r="AV202" s="21">
        <f>EXP(-LN(2)/25)*AV201+(1-EXP(-LN(2)/25))/(LN(2)/25)*Calculateur!AQ202*Calculateur!AS202*VLOOKUP('Données projet'!$B$10,Paramètres!$A$1:$I$89,3,0)*0.475*44/12</f>
        <v>0.25714147844028007</v>
      </c>
      <c r="AW202" s="21">
        <f>EXP(-LN(2)/2)*AW201+(1-EXP(-LN(2)/2))/(LN(2)/2)*AQ202*AT202*VLOOKUP('Données projet'!$B$10,Paramètres!$A$1:$I$89,3,0)*0.475*44/12</f>
        <v>8.9202369998597338E-25</v>
      </c>
      <c r="AX202" s="21">
        <f t="shared" si="166"/>
        <v>0.55079055673874677</v>
      </c>
      <c r="AY202" s="74">
        <f>('Scénario référence'!$F$8+'Scénario référence'!$F$9+'Scénario référence'!$B$17+'Scénario référence'!$B$9+'Scénario référence'!$B$10)*70+IF((45+25*(1-EXP(-0.0175*A202)))&lt;70,'Scénario référence'!$B$16*(45+25*(1-EXP(-0.0175*A202))),70*'Scénario référence'!$B$16)+IF((32+38*(1-EXP(-0.0175*A202)))&lt;70,'Scénario référence'!$B$18*(32+38*(1-EXP(-0.0175*A202))),70*'Scénario référence'!$B$18)</f>
        <v>70</v>
      </c>
      <c r="AZ202" s="12">
        <f>IF(A202&gt;30,10,('Scénario référence'!$B$16+'Scénario référence'!$B$17+'Scénario référence'!$B$18+'Scénario référence'!$B$9+'Scénario référence'!$B$10)*A202*10/30+('Scénario référence'!$F$8+'Scénario référence'!$F$9)*10)</f>
        <v>10</v>
      </c>
      <c r="BA202" s="12" t="e">
        <f>VLOOKUP(A202,'Données projet'!$A$87:$I$107,2,0)</f>
        <v>#N/A</v>
      </c>
      <c r="BB202" s="12" t="e">
        <f>VLOOKUP(A202,'Données projet'!$A$87:$I$107,9,0)</f>
        <v>#N/A</v>
      </c>
      <c r="BC202" s="12">
        <f t="array" ref="BC202">INDEX(BB:BB,MIN(IF(ISNUMBER(BB202:BB398),ROW(BB202:BB398),"")))</f>
        <v>0</v>
      </c>
      <c r="BD202" s="12">
        <f>IF('Données projet'!$A$88&gt;35,BD201+BC202-BL201,IF(A202&lt;'Données projet'!$A$88,$BA$205^A202,IF(A202='Données projet'!$A$88,'Données projet'!$B$88,BD201+BC202-BL201)))</f>
        <v>553.99999999999955</v>
      </c>
      <c r="BE202" s="13">
        <f>BD202*VLOOKUP('Données projet'!$B$11,Paramètres!$A$1:$I$89,3,0)*VLOOKUP('Données projet'!$B$11,Paramètres!$A$1:$I$89,5,0)</f>
        <v>331.29199999999975</v>
      </c>
      <c r="BF202" s="13">
        <f t="shared" si="167"/>
        <v>77.698110787752</v>
      </c>
      <c r="BG202" s="20">
        <f t="shared" si="168"/>
        <v>712.32444295533423</v>
      </c>
      <c r="BH202" s="59">
        <f t="shared" si="194"/>
        <v>1005.6577762886675</v>
      </c>
      <c r="BI202" s="59">
        <f ca="1">AVERAGE(OFFSET($BH$3,0,0,'Données projet'!$E$11+1,1))-AVERAGE(OFFSET($H$3,0,0,'Données projet'!$E$11+1,1))</f>
        <v>316.58509520829671</v>
      </c>
      <c r="BJ202" s="59">
        <f t="shared" si="206"/>
        <v>240.71332110643596</v>
      </c>
      <c r="BK202" s="15">
        <f>IF(ISNA(VLOOKUP(A202,'Données projet'!$A$87:$I$107,3,0)),0,VLOOKUP(A202,'Données projet'!$A$87:$I$107,3,0))</f>
        <v>0</v>
      </c>
      <c r="BL202" s="15">
        <f>IF(ISNA(VLOOKUP(A202,'Données projet'!$A$87:$I$107,4,0)),0,VLOOKUP(A202,'Données projet'!$A$87:$I$107,4,0))</f>
        <v>0</v>
      </c>
      <c r="BM202" s="16">
        <f>IF(ISNA(VLOOKUP(A202,'Données projet'!$A$87:$I$107,5,0)),0%,VLOOKUP(A202,'Données projet'!$A$87:$I$107,5,0)*VLOOKUP('Données projet'!$B$11,Paramètres!$A$1:$I$89,7,0))</f>
        <v>0</v>
      </c>
      <c r="BN202" s="16">
        <f>IF(ISNA(VLOOKUP(A202,'Données projet'!$A$87:$I$107,6,0)),0%,VLOOKUP(A202,'Données projet'!$A$87:$I$107,6,0)*VLOOKUP('Données projet'!$B$11,Paramètres!$A$1:$I$89,7,0))</f>
        <v>0</v>
      </c>
      <c r="BO202" s="16">
        <f>IF(ISNA(VLOOKUP(A202,'Données projet'!$A$87:$I$107,7,0)),0%,VLOOKUP(A202,'Données projet'!$A$87:$I$107,7,0))</f>
        <v>0</v>
      </c>
      <c r="BP202" s="21">
        <f>EXP(-LN(2)/35)*BP201+(1-EXP(-LN(2)/35))/(LN(2)/35)*BL202*BM202*VLOOKUP('Données projet'!$B$11,Paramètres!$A$1:$I$89,3,0)*0.475*44/12</f>
        <v>8.919809242213482E-2</v>
      </c>
      <c r="BQ202" s="21">
        <f>EXP(-LN(2)/25)*BQ201+(1-EXP(-LN(2)/25))/(LN(2)/25)*Calculateur!BL202*Calculateur!BN202*VLOOKUP('Données projet'!$B$11,Paramètres!$A$1:$I$89,3,0)*0.475*44/12</f>
        <v>0.14086960478333729</v>
      </c>
      <c r="BR202" s="21">
        <f>EXP(-LN(2)/2)*BR201+(1-EXP(-LN(2)/2))/(LN(2)/2)*BL202*BO202*VLOOKUP('Données projet'!$B$11,Paramètres!$A$1:$I$89,3,0)*0.475*44/12</f>
        <v>8.0202699412834874E-25</v>
      </c>
      <c r="BS202" s="22">
        <f t="shared" si="169"/>
        <v>0.2300676972054721</v>
      </c>
      <c r="BT202" s="75">
        <f>('Scénario référence'!$F$8+'Scénario référence'!$F$9+'Scénario référence'!$B$17+'Scénario référence'!$B$9+'Scénario référence'!$B$10)*70+IF((45+25*(1-EXP(-0.0175*A202)))&lt;70,'Scénario référence'!$B$16*(45+25*(1-EXP(-0.0175*A202))),70*'Scénario référence'!$B$16)+IF((32+38*(1-EXP(-0.0175*A202)))&lt;70,'Scénario référence'!$B$18*(32+38*(1-EXP(-0.0175*A202))),70*'Scénario référence'!$B$18)</f>
        <v>70</v>
      </c>
      <c r="BU202" s="12">
        <f>IF(A202&gt;30,10,('Scénario référence'!$B$16+'Scénario référence'!$B$17+'Scénario référence'!$B$18+'Scénario référence'!$B$9+'Scénario référence'!$B$10)*A202*10/30+('Scénario référence'!$F$8+'Scénario référence'!$F$9)*10)</f>
        <v>10</v>
      </c>
      <c r="BV202" s="12" t="e">
        <f>VLOOKUP(A202,'Données projet'!$A$113:$I$133,2,0)</f>
        <v>#N/A</v>
      </c>
      <c r="BW202" s="12" t="e">
        <f>VLOOKUP(A202,'Données projet'!$A$113:$I$133,9,0)</f>
        <v>#N/A</v>
      </c>
      <c r="BX202" s="12">
        <f t="array" ref="BX202">INDEX(BW:BW,MIN(IF(ISNUMBER(BW202:BW398),ROW(BW202:BW398),"")))</f>
        <v>0</v>
      </c>
      <c r="BY202" s="12">
        <f>IF('Données projet'!$A$114&gt;35,BY201+BX202-CG201,IF(A202&lt;'Données projet'!$A$114,$BV$205^A202,IF(A202='Données projet'!$A$114,'Données projet'!$B$114,BY201+BX202-CG201)))</f>
        <v>333.99999999999977</v>
      </c>
      <c r="BZ202" s="13">
        <f>BY202*VLOOKUP('Données projet'!$B$12,Paramètres!$A$1:$I$89,3,0)*VLOOKUP('Données projet'!$B$12,Paramètres!$A$1:$I$89,5,0)</f>
        <v>191.04799999999986</v>
      </c>
      <c r="CA202" s="13">
        <f t="shared" si="170"/>
        <v>47.771576544305155</v>
      </c>
      <c r="CB202" s="20">
        <f t="shared" si="171"/>
        <v>415.94409581466454</v>
      </c>
      <c r="CC202" s="59">
        <f t="shared" si="195"/>
        <v>709.27742914799785</v>
      </c>
      <c r="CD202" s="59">
        <f ca="1">AVERAGE(OFFSET($CC$3,0,0,'Données projet'!$E$12+1,1))-AVERAGE(OFFSET($H$3,0,0,'Données projet'!$E$12+1,1))</f>
        <v>188.64374818906128</v>
      </c>
      <c r="CE202" s="59">
        <f t="shared" si="207"/>
        <v>211.95157880548652</v>
      </c>
      <c r="CF202" s="15">
        <f>IF(ISNA(VLOOKUP(A202,'Données projet'!$A$113:$I$133,3,0)),0,VLOOKUP(A202,'Données projet'!$A$113:$I$133,3,0))</f>
        <v>0</v>
      </c>
      <c r="CG202" s="15">
        <f>IF(ISNA(VLOOKUP(A202,'Données projet'!$A$113:$I$133,4,0)),0,VLOOKUP(A202,'Données projet'!$A$113:$I$133,4,0))</f>
        <v>0</v>
      </c>
      <c r="CH202" s="16">
        <f>IF(ISNA(VLOOKUP(A202,'Données projet'!$A$113:$I$133,5,0)),0%,VLOOKUP(A202,'Données projet'!$A$113:$I$133,5,0)*VLOOKUP('Données projet'!$B$12,Paramètres!$A$1:$I$89,7,0))</f>
        <v>0</v>
      </c>
      <c r="CI202" s="16">
        <f>IF(ISNA(VLOOKUP(A202,'Données projet'!$A$113:$I$133,6,0)),0%,VLOOKUP(A202,'Données projet'!$A$113:$I$133,6,0)*VLOOKUP('Données projet'!$B$12,Paramètres!$A$1:$I$89,7,0))</f>
        <v>0</v>
      </c>
      <c r="CJ202" s="16">
        <f>IF(ISNA(VLOOKUP(A202,'Données projet'!$A$113:$I$133,7,0)),0%,VLOOKUP(A202,'Données projet'!$A$113:$I$133,7,0))</f>
        <v>0</v>
      </c>
      <c r="CK202" s="21">
        <f>EXP(-LN(2)/35)*CK201+(1-EXP(-LN(2)/35))/(LN(2)/35)*CG202*CH202*VLOOKUP('Données projet'!$B$12,Paramètres!$A$1:$I$89,3,0)*0.475*44/12</f>
        <v>8.6521603427226826E-2</v>
      </c>
      <c r="CL202" s="21">
        <f>EXP(-LN(2)/25)*CL201+(1-EXP(-LN(2)/25))/(LN(2)/25)*Calculateur!CG202*Calculateur!CI202*VLOOKUP('Données projet'!$B$12,Paramètres!$A$1:$I$89,3,0)*0.475*44/12</f>
        <v>0.13258966155824389</v>
      </c>
      <c r="CM202" s="21">
        <f>EXP(-LN(2)/2)*CM201+(1-EXP(-LN(2)/2))/(LN(2)/2)*CG202*CJ202*VLOOKUP('Données projet'!$B$12,Paramètres!$A$1:$I$89,3,0)*0.475*44/12</f>
        <v>7.76700392289333E-25</v>
      </c>
      <c r="CN202" s="22">
        <f t="shared" si="172"/>
        <v>0.21911126498547073</v>
      </c>
      <c r="CO202" s="75">
        <f>('Scénario référence'!$F$8+'Scénario référence'!$F$9+'Scénario référence'!$B$17+'Scénario référence'!$B$9+'Scénario référence'!$B$10)*70+IF((45+25*(1-EXP(-0.0175*A202)))&lt;70,'Scénario référence'!$B$16*(45+25*(1-EXP(-0.0175*A202))),70*'Scénario référence'!$B$16)+IF((32+38*(1-EXP(-0.0175*A202)))&lt;70,'Scénario référence'!$B$18*(32+38*(1-EXP(-0.0175*A202))),70*'Scénario référence'!$B$18)</f>
        <v>70</v>
      </c>
      <c r="CP202" s="12">
        <f>IF(A202&gt;30,10,('Scénario référence'!$B$16+'Scénario référence'!$B$17+'Scénario référence'!$B$18+'Scénario référence'!$B$9+'Scénario référence'!$B$10)*A202*10/30+('Scénario référence'!$F$8+'Scénario référence'!$F$9)*10)</f>
        <v>10</v>
      </c>
      <c r="CQ202" s="12" t="e">
        <f>VLOOKUP(A202,'Données projet'!$A$139:$I$159,2,0)</f>
        <v>#N/A</v>
      </c>
      <c r="CR202" s="12" t="e">
        <f>VLOOKUP(A202,'Données projet'!$A$139:$I$159,9,0)</f>
        <v>#N/A</v>
      </c>
      <c r="CS202" s="12">
        <f t="array" ref="CS202">INDEX(CR:CR,MIN(IF(ISNUMBER(CR202:CR398),ROW(CR202:CR398),"")))</f>
        <v>0</v>
      </c>
      <c r="CT202" s="12">
        <f>IF('Données projet'!$A$140&gt;35,CT201+CS202-DB201,IF(A202&lt;'Données projet'!$A$140,$CQ$205^A202,IF(A202='Données projet'!$A$140,'Données projet'!$B$140,CT201+CS202-DB201)))</f>
        <v>0</v>
      </c>
      <c r="CU202" s="17" t="e">
        <f>CT202*VLOOKUP('Données projet'!$B$13,Paramètres!$A$1:$I$89,3,0)*VLOOKUP('Données projet'!$B$13,Paramètres!$A$1:$I$89,5,0)</f>
        <v>#N/A</v>
      </c>
      <c r="CV202" s="13" t="e">
        <f t="shared" si="173"/>
        <v>#N/A</v>
      </c>
      <c r="CW202" s="20" t="e">
        <f t="shared" si="174"/>
        <v>#N/A</v>
      </c>
      <c r="CX202" s="59" t="e">
        <f t="shared" si="196"/>
        <v>#N/A</v>
      </c>
      <c r="CY202" s="59" t="e">
        <f ca="1">AVERAGE(OFFSET($CX$3,0,0,'Données projet'!$E$13+1,1))-AVERAGE(OFFSET($H$3,0,0,'Données projet'!$E$13+1,1))</f>
        <v>#N/A</v>
      </c>
      <c r="CZ202" s="59" t="e">
        <f t="shared" si="208"/>
        <v>#N/A</v>
      </c>
      <c r="DA202" s="15">
        <f>IF(ISNA(VLOOKUP(A202,'Données projet'!$A$139:$I$159,3,0)),0,VLOOKUP(A202,'Données projet'!$A$139:$I$159,3,0))</f>
        <v>0</v>
      </c>
      <c r="DB202" s="15">
        <f>IF(ISNA(VLOOKUP(A202,'Données projet'!$A$139:$I$159,4,0)),0,VLOOKUP(A202,'Données projet'!$A$139:$I$159,4,0))</f>
        <v>0</v>
      </c>
      <c r="DC202" s="16">
        <f>IF(ISNA(VLOOKUP(A202,'Données projet'!$A$139:$I$159,5,0)),0%,VLOOKUP(A202,'Données projet'!$A$139:$I$159,5,0)*VLOOKUP('Données projet'!$B$13,Paramètres!$A$1:$I$89,7,0))</f>
        <v>0</v>
      </c>
      <c r="DD202" s="16">
        <f>IF(ISNA(VLOOKUP(A202,'Données projet'!$A$139:$I$159,6,0)),0%,VLOOKUP(A202,'Données projet'!$A$139:$I$159,6,0)*VLOOKUP('Données projet'!$B$13,Paramètres!$A$1:$I$89,7,0))</f>
        <v>0</v>
      </c>
      <c r="DE202" s="16">
        <f>IF(ISNA(VLOOKUP(A202,'Données projet'!$A$139:$I$159,7,0)),0%,VLOOKUP(A202,'Données projet'!$A$139:$I$159,7,0))</f>
        <v>0</v>
      </c>
      <c r="DF202" s="21" t="e">
        <f>EXP(-LN(2)/35)*DF201+(1-EXP(-LN(2)/35))/(LN(2)/35)*DB202*DC202*VLOOKUP('Données projet'!$B$13,Paramètres!$A$1:$I$89,3,0)*0.475*44/12</f>
        <v>#N/A</v>
      </c>
      <c r="DG202" s="21" t="e">
        <f>EXP(-LN(2)/25)*DG201+(1-EXP(-LN(2)/25))/(LN(2)/25)*Calculateur!DB202*Calculateur!DD202*VLOOKUP('Données projet'!$B$13,Paramètres!$A$1:$I$89,3,0)*0.475*44/12</f>
        <v>#N/A</v>
      </c>
      <c r="DH202" s="21" t="e">
        <f>EXP(-LN(2)/2)*DH201+(1-EXP(-LN(2)/2))/(LN(2)/2)*DB202*DE202*VLOOKUP('Données projet'!$B$13,Paramètres!$A$1:$I$89,3,0)*0.475*44/12</f>
        <v>#N/A</v>
      </c>
      <c r="DI202" s="22" t="e">
        <f t="shared" si="175"/>
        <v>#N/A</v>
      </c>
      <c r="DJ202" s="75">
        <f>('Scénario référence'!$F$8+'Scénario référence'!$F$9+'Scénario référence'!$B$17+'Scénario référence'!$B$9+'Scénario référence'!$B$10)*70+IF((45+25*(1-EXP(-0.0175*A202)))&lt;70,'Scénario référence'!$B$16*(45+25*(1-EXP(-0.0175*A202))),70*'Scénario référence'!$B$16)+IF((32+38*(1-EXP(-0.0175*A202)))&lt;70,'Scénario référence'!$B$18*(32+38*(1-EXP(-0.0175*A202))),70*'Scénario référence'!$B$18)</f>
        <v>70</v>
      </c>
      <c r="DK202" s="12">
        <f>IF(A202&gt;30,10,('Scénario référence'!$B$16+'Scénario référence'!$B$17+'Scénario référence'!$B$18+'Scénario référence'!$B$9+'Scénario référence'!$B$10)*A202*10/30+('Scénario référence'!$F$8+'Scénario référence'!$F$9)*10)</f>
        <v>10</v>
      </c>
      <c r="DL202" s="12" t="e">
        <f>VLOOKUP(A202,'Données projet'!$A$165:$I$185,2,0)</f>
        <v>#N/A</v>
      </c>
      <c r="DM202" s="12" t="e">
        <f>VLOOKUP(A202,'Données projet'!$A$165:$I$185,9,0)</f>
        <v>#N/A</v>
      </c>
      <c r="DN202" s="12">
        <f t="array" ref="DN202">INDEX(DM:DM,MIN(IF(ISNUMBER(DM202:DM398),ROW(DM202:DM398),"")))</f>
        <v>0</v>
      </c>
      <c r="DO202" s="12">
        <f>IF('Données projet'!$A$166&gt;35,DO201+DN202-DW201,IF(A202&lt;'Données projet'!$A$166,$DL$205^A202,IF(A202='Données projet'!$A$166,'Données projet'!$B$166,DO201+DN202-DW201)))</f>
        <v>268.00000000000017</v>
      </c>
      <c r="DP202" s="17">
        <f>DO202*VLOOKUP('Données projet'!$B$14,Paramètres!$A$1:$I$89,3,0)*VLOOKUP('Données projet'!$B$14,Paramètres!$A$1:$I$89,5,0)</f>
        <v>175.59360000000012</v>
      </c>
      <c r="DQ202" s="13">
        <f t="shared" si="176"/>
        <v>44.340433728638573</v>
      </c>
      <c r="DR202" s="20">
        <f t="shared" si="177"/>
        <v>383.05177541071242</v>
      </c>
      <c r="DS202" s="59">
        <f t="shared" si="197"/>
        <v>676.38510874404574</v>
      </c>
      <c r="DT202" s="59">
        <f ca="1">AVERAGE(OFFSET($DS$3,0,0,'Données projet'!$E$14+1,1))-AVERAGE(OFFSET($H$3,0,0,'Données projet'!$E$14+1,1))</f>
        <v>188.68915783955595</v>
      </c>
      <c r="DU202" s="59">
        <f t="shared" si="209"/>
        <v>240.82467772396944</v>
      </c>
      <c r="DV202" s="15">
        <f>IF(ISNA(VLOOKUP(A202,'Données projet'!$A$165:$I$185,3,0)),0,VLOOKUP(A202,'Données projet'!$A$165:$I$185,3,0))</f>
        <v>0</v>
      </c>
      <c r="DW202" s="15">
        <f>IF(ISNA(VLOOKUP(A202,'Données projet'!$A$165:$I$185,4,0)),0,VLOOKUP(A202,'Données projet'!$A$165:$I$185,4,0))</f>
        <v>0</v>
      </c>
      <c r="DX202" s="16">
        <f>IF(ISNA(VLOOKUP(A202,'Données projet'!$A$165:$I$185,5,0)),0%,VLOOKUP(A202,'Données projet'!$A$165:$I$185,5,0)*VLOOKUP('Données projet'!$B$14,Paramètres!$A$1:$I$89,7,0))</f>
        <v>0</v>
      </c>
      <c r="DY202" s="16">
        <f>IF(ISNA(VLOOKUP(A202,'Données projet'!$A$165:$I$185,6,0)),0%,VLOOKUP(A202,'Données projet'!$A$165:$I$185,6,0)*VLOOKUP('Données projet'!$B$14,Paramètres!$A$1:$I$89,7,0))</f>
        <v>0</v>
      </c>
      <c r="DZ202" s="16">
        <f>IF(ISNA(VLOOKUP(A202,'Données projet'!$A$165:$I$185,7,0)),0%,VLOOKUP(A202,'Données projet'!$A$165:$I$185,7,0))</f>
        <v>0</v>
      </c>
      <c r="EA202" s="21">
        <f>EXP(-LN(2)/35)*EA201+(1-EXP(-LN(2)/35))/(LN(2)/35)*DW202*DX202*VLOOKUP('Données projet'!$B$14,Paramètres!$A$1:$I$89,3,0)*0.475*44/12</f>
        <v>5.4804298467161804E-2</v>
      </c>
      <c r="EB202" s="21">
        <f>EXP(-LN(2)/25)*EB201+(1-EXP(-LN(2)/25))/(LN(2)/25)*Calculateur!DW202*Calculateur!DY202*VLOOKUP('Données projet'!$B$14,Paramètres!$A$1:$I$89,3,0)*0.475*44/12</f>
        <v>7.4162918344141862E-2</v>
      </c>
      <c r="EC202" s="21">
        <f>EXP(-LN(2)/2)*EC201+(1-EXP(-LN(2)/2))/(LN(2)/2)*DW202*DZ202*VLOOKUP('Données projet'!$B$14,Paramètres!$A$1:$I$89,3,0)*0.475*44/12</f>
        <v>5.1166058117070026E-25</v>
      </c>
      <c r="ED202" s="22">
        <f t="shared" si="178"/>
        <v>0.12896721681130366</v>
      </c>
      <c r="EE202" s="75">
        <f>('Scénario référence'!$F$8+'Scénario référence'!$F$9+'Scénario référence'!$B$17+'Scénario référence'!$B$9+'Scénario référence'!$B$10)*70+IF((45+25*(1-EXP(-0.0175*A202)))&lt;70,'Scénario référence'!$B$16*(45+25*(1-EXP(-0.0175*A202))),70*'Scénario référence'!$B$16)+IF((32+38*(1-EXP(-0.0175*A202)))&lt;70,'Scénario référence'!$B$18*(32+38*(1-EXP(-0.0175*A202))),70*'Scénario référence'!$B$18)</f>
        <v>70</v>
      </c>
      <c r="EF202" s="12">
        <f>IF(A202&gt;30,10,('Scénario référence'!$B$16+'Scénario référence'!$B$17+'Scénario référence'!$B$18+'Scénario référence'!$B$9+'Scénario référence'!$B$10)*A202*10/30+('Scénario référence'!$F$8+'Scénario référence'!$F$9)*10)</f>
        <v>10</v>
      </c>
      <c r="EG202" s="12" t="e">
        <f>VLOOKUP(A202,'Données projet'!$A$191:$I$211,2,0)</f>
        <v>#N/A</v>
      </c>
      <c r="EH202" s="12" t="e">
        <f>VLOOKUP(A202,'Données projet'!$A$191:$I$211,9,0)</f>
        <v>#N/A</v>
      </c>
      <c r="EI202" s="12">
        <f t="array" ref="EI202">INDEX(EH:EH,MIN(IF(ISNUMBER(EH202:EH398),ROW(EH202:EH398),"")))</f>
        <v>0</v>
      </c>
      <c r="EJ202" s="12">
        <f>IF('Données projet'!$A$192&gt;35,EJ201+EI202-ER201,IF(A202&lt;'Données projet'!$A$192,$EG$205^A202,IF(A202='Données projet'!$A$192,'Données projet'!$B$192,EJ201+EI202-ER201)))</f>
        <v>275.99999999999972</v>
      </c>
      <c r="EK202" s="17">
        <f>EJ202*VLOOKUP('Données projet'!$B$15,Paramètres!$A$1:$I$89,3,0)*VLOOKUP('Données projet'!$B$15,Paramètres!$A$1:$I$89,5,0)</f>
        <v>223.8911999999998</v>
      </c>
      <c r="EL202" s="13">
        <f t="shared" si="179"/>
        <v>54.95975389514858</v>
      </c>
      <c r="EM202" s="20">
        <f t="shared" si="180"/>
        <v>485.66541136738346</v>
      </c>
      <c r="EN202" s="59">
        <f t="shared" si="198"/>
        <v>778.99874470071677</v>
      </c>
      <c r="EO202" s="59">
        <f ca="1">AVERAGE(OFFSET($EN$3,0,0,'Données projet'!$E$15+1,1))-AVERAGE(OFFSET($H$3,0,0,'Données projet'!$E$15+1,1))</f>
        <v>205.5272583787887</v>
      </c>
      <c r="EP202" s="59">
        <f t="shared" si="210"/>
        <v>180.54762778843178</v>
      </c>
      <c r="EQ202" s="15">
        <f>IF(ISNA(VLOOKUP(A202,'Données projet'!$A$191:$I$211,3,0)),0,VLOOKUP(A202,'Données projet'!$A$191:$I$211,3,0))</f>
        <v>0</v>
      </c>
      <c r="ER202" s="15">
        <f>IF(ISNA(VLOOKUP(A202,'Données projet'!$A$191:$I$211,4,0)),0,VLOOKUP(A202,'Données projet'!$A$191:$I$211,4,0))</f>
        <v>0</v>
      </c>
      <c r="ES202" s="16">
        <f>IF(ISNA(VLOOKUP(A202,'Données projet'!$A$191:$I$211,5,0)),0%,VLOOKUP(A202,'Données projet'!$A$191:$I$211,5,0)*VLOOKUP('Données projet'!$B$15,Paramètres!$A$1:$I$89,7,0))</f>
        <v>0</v>
      </c>
      <c r="ET202" s="16">
        <f>IF(ISNA(VLOOKUP(A202,'Données projet'!$A$191:$I$211,6,0)),0%,VLOOKUP(A202,'Données projet'!$A$191:$I$211,6,0)*VLOOKUP('Données projet'!$B$15,Paramètres!$A$1:$I$89,7,0))</f>
        <v>0</v>
      </c>
      <c r="EU202" s="16">
        <f>IF(ISNA(VLOOKUP(A202,'Données projet'!$A$191:$I$211,7,0)),0%,VLOOKUP(A202,'Données projet'!$A$191:$I$211,7,0))</f>
        <v>0</v>
      </c>
      <c r="EV202" s="21">
        <f>EXP(-LN(2)/35)*EV201+(1-EXP(-LN(2)/35))/(LN(2)/35)*ER202*ES202*VLOOKUP('Données projet'!$B$15,Paramètres!$A$1:$I$89,3,0)*0.475*44/12</f>
        <v>3.5283529298858439E-2</v>
      </c>
      <c r="EW202" s="21">
        <f>EXP(-LN(2)/25)*EW201+(1-EXP(-LN(2)/25))/(LN(2)/25)*Calculateur!ER202*Calculateur!ET202*VLOOKUP('Données projet'!$B$15,Paramètres!$A$1:$I$89,3,0)*0.475*44/12</f>
        <v>5.3547876848156671E-2</v>
      </c>
      <c r="EX202" s="21">
        <f>EXP(-LN(2)/2)*EX201+(1-EXP(-LN(2)/2))/(LN(2)/2)*ER202*EU202*VLOOKUP('Données projet'!$B$15,Paramètres!$A$1:$I$89,3,0)*0.475*44/12</f>
        <v>3.3130060464327068E-25</v>
      </c>
      <c r="EY202" s="22">
        <f t="shared" si="181"/>
        <v>8.883140614701511E-2</v>
      </c>
      <c r="EZ202" s="75">
        <f>('Scénario référence'!$F$8+'Scénario référence'!$F$9+'Scénario référence'!$B$17+'Scénario référence'!$B$9+'Scénario référence'!$B$10)*70+IF((45+25*(1-EXP(-0.0175*A202)))&lt;70,'Scénario référence'!$B$16*(45+25*(1-EXP(-0.0175*A202))),70*'Scénario référence'!$B$16)+IF((32+38*(1-EXP(-0.0175*A202)))&lt;70,'Scénario référence'!$B$18*(32+38*(1-EXP(-0.0175*A202))),70*'Scénario référence'!$B$18)</f>
        <v>70</v>
      </c>
      <c r="FA202" s="12">
        <f>IF(A202&gt;30,10,('Scénario référence'!$B$16+'Scénario référence'!$B$17+'Scénario référence'!$B$18+'Scénario référence'!$B$9+'Scénario référence'!$B$10)*A202*10/30+('Scénario référence'!$F$8+'Scénario référence'!$F$9)*10)</f>
        <v>10</v>
      </c>
      <c r="FB202" s="12" t="e">
        <f>VLOOKUP(A202,'Données projet'!$A$217:$I$237,2,0)</f>
        <v>#N/A</v>
      </c>
      <c r="FC202" s="12" t="e">
        <f>VLOOKUP(A202,'Données projet'!$A$217:$I$237,9,0)</f>
        <v>#N/A</v>
      </c>
      <c r="FD202" s="12">
        <f t="array" ref="FD202">INDEX(FC:FC,MIN(IF(ISNUMBER(FC202:FC398),ROW(FC202:FC398),"")))</f>
        <v>0</v>
      </c>
      <c r="FE202" s="12">
        <f>IF('Données projet'!$A$218&gt;35,FE201+FD202-FM201,IF(A202&lt;'Données projet'!$A$218,$FB$205^A202,IF(A202='Données projet'!$A$218,'Données projet'!$B$218,FE201+FD202-FM201)))</f>
        <v>418.99999999999983</v>
      </c>
      <c r="FF202" s="17">
        <f>FE202*VLOOKUP('Données projet'!$B$16,Paramètres!$A$1:$I$89,3,0)*VLOOKUP('Données projet'!$B$16,Paramètres!$A$1:$I$89,5,0)</f>
        <v>359.5019999999999</v>
      </c>
      <c r="FG202" s="13">
        <f t="shared" si="182"/>
        <v>83.516011055432813</v>
      </c>
      <c r="FH202" s="20">
        <f t="shared" si="183"/>
        <v>771.58970258821194</v>
      </c>
      <c r="FI202" s="59">
        <f t="shared" si="199"/>
        <v>1064.9230359215453</v>
      </c>
      <c r="FJ202" s="59">
        <f ca="1">AVERAGE(OFFSET($FI$3,0,0,'Données projet'!$E$16+1,1))-AVERAGE(OFFSET($H$3,0,0,'Données projet'!$E$16+1,1))</f>
        <v>383.97627237444709</v>
      </c>
      <c r="FK202" s="59">
        <f t="shared" si="211"/>
        <v>203.35476578922339</v>
      </c>
      <c r="FL202" s="15">
        <f>IF(ISNA(VLOOKUP(A202,'Données projet'!$A$217:$I$237,3,0)),0,VLOOKUP(A202,'Données projet'!$A$217:$I$237,3,0))</f>
        <v>0</v>
      </c>
      <c r="FM202" s="15">
        <f>IF(ISNA(VLOOKUP(A202,'Données projet'!$A$217:$I$237,4,0)),0,VLOOKUP(A202,'Données projet'!$A$217:$I$237,4,0))</f>
        <v>0</v>
      </c>
      <c r="FN202" s="16">
        <f>IF(ISNA(VLOOKUP(A202,'Données projet'!$A$217:$I$237,5,0)),0%,VLOOKUP(A202,'Données projet'!$A$217:$I$237,5,0)*VLOOKUP('Données projet'!$B$16,Paramètres!$A$1:$I$89,7,0))</f>
        <v>0</v>
      </c>
      <c r="FO202" s="16">
        <f>IF(ISNA(VLOOKUP(A202,'Données projet'!$A$217:$I$237,6,0)),0%,VLOOKUP(A202,'Données projet'!$A$217:$I$237,6,0)*VLOOKUP('Données projet'!$B$16,Paramètres!$A$1:$I$89,7,0))</f>
        <v>0</v>
      </c>
      <c r="FP202" s="16">
        <f>IF(ISNA(VLOOKUP(A202,'Données projet'!$A$217:$I$237,7,0)),0%,VLOOKUP(A202,'Données projet'!$A$217:$I$237,7,0))</f>
        <v>0</v>
      </c>
      <c r="FQ202" s="21">
        <f>EXP(-LN(2)/35)*FQ201+(1-EXP(-LN(2)/35))/(LN(2)/35)*FM202*FN202*VLOOKUP('Données projet'!$B$16,Paramètres!$A$1:$I$89,3,0)*0.475*44/12</f>
        <v>0.18133819854105374</v>
      </c>
      <c r="FR202" s="21">
        <f>EXP(-LN(2)/25)*FR201+(1-EXP(-LN(2)/25))/(LN(2)/25)*Calculateur!FM202*Calculateur!FO202*VLOOKUP('Données projet'!$B$16,Paramètres!$A$1:$I$89,3,0)*0.475*44/12</f>
        <v>5.4356629699952967E-2</v>
      </c>
      <c r="FS202" s="21">
        <f>EXP(-LN(2)/2)*FS201+(1-EXP(-LN(2)/2))/(LN(2)/2)*FM202*FP202*VLOOKUP('Données projet'!$B$16,Paramètres!$A$1:$I$89,3,0)*0.475*44/12</f>
        <v>6.0853121800150014E-25</v>
      </c>
      <c r="FT202" s="22">
        <f t="shared" si="184"/>
        <v>0.23569482824100671</v>
      </c>
      <c r="FU202" s="75">
        <f>('Scénario référence'!$F$8+'Scénario référence'!$F$9+'Scénario référence'!$B$17+'Scénario référence'!$B$9+'Scénario référence'!$B$10)*70+IF((45+25*(1-EXP(-0.0175*A202)))&lt;70,'Scénario référence'!$B$16*(45+25*(1-EXP(-0.0175*A202))),70*'Scénario référence'!$B$16)+IF((32+38*(1-EXP(-0.0175*A202)))&lt;70,'Scénario référence'!$B$18*(32+38*(1-EXP(-0.0175*A202))),70*'Scénario référence'!$B$18)</f>
        <v>70</v>
      </c>
      <c r="FV202" s="12">
        <f>IF(A202&gt;30,10,('Scénario référence'!$B$16+'Scénario référence'!$B$17+'Scénario référence'!$B$18+'Scénario référence'!$B$9+'Scénario référence'!$B$10)*A202*10/30+('Scénario référence'!$F$8+'Scénario référence'!$F$9)*10)</f>
        <v>10</v>
      </c>
      <c r="FW202" s="12" t="e">
        <f>VLOOKUP(A202,'Données projet'!$A$243:$I$263,2,0)</f>
        <v>#N/A</v>
      </c>
      <c r="FX202" s="12" t="e">
        <f>VLOOKUP(A202,'Données projet'!$A$243:$I$263,9,0)</f>
        <v>#N/A</v>
      </c>
      <c r="FY202" s="12">
        <f t="array" ref="FY202">INDEX(FX:FX,MIN(IF(ISNUMBER(FX202:FX398),ROW(FX202:FX398),"")))</f>
        <v>0</v>
      </c>
      <c r="FZ202" s="12">
        <f>IF('Données projet'!$A$244&gt;35,FZ201+FY202-GH201,IF(A202&lt;'Données projet'!$A$244,$FW$205^A202,IF(A202='Données projet'!$A$244,'Données projet'!$B$244,FZ201+FY202-GH201)))</f>
        <v>4.5474735088646412E-13</v>
      </c>
      <c r="GA202" s="17">
        <f>FZ202*VLOOKUP('Données projet'!$B$17,Paramètres!$A$1:$I$89,3,0)*VLOOKUP('Données projet'!$B$17,Paramètres!$A$1:$I$89,5,0)</f>
        <v>4.8949004849418999E-13</v>
      </c>
      <c r="GB202" s="13">
        <f t="shared" si="185"/>
        <v>6.1123715499968684E-12</v>
      </c>
      <c r="GC202" s="20">
        <f t="shared" si="186"/>
        <v>1.1498242284038591E-11</v>
      </c>
      <c r="GD202" s="59">
        <f t="shared" si="200"/>
        <v>293.3333333333448</v>
      </c>
      <c r="GE202" s="59">
        <f ca="1">AVERAGE(OFFSET($GD$3,0,0,'Données projet'!$E$17+1,1))-AVERAGE(OFFSET($H$3,0,0,'Données projet'!$E$17+1,1))</f>
        <v>286.77702855541287</v>
      </c>
      <c r="GF202" s="59">
        <f t="shared" si="212"/>
        <v>227.12211541860779</v>
      </c>
      <c r="GG202" s="15">
        <f>IF(ISNA(VLOOKUP(A202,'Données projet'!$A$243:$I$263,3,0)),0,VLOOKUP(A202,'Données projet'!$A$243:$I$263,3,0))</f>
        <v>0</v>
      </c>
      <c r="GH202" s="15">
        <f>IF(ISNA(VLOOKUP(A202,'Données projet'!$A$243:$I$263,4,0)),0,VLOOKUP(A202,'Données projet'!$A$243:$I$263,4,0))</f>
        <v>0</v>
      </c>
      <c r="GI202" s="16">
        <f>IF(ISNA(VLOOKUP(A202,'Données projet'!$A$243:$I$263,5,0)),0%,VLOOKUP(A202,'Données projet'!$A$243:$I$263,5,0)*VLOOKUP('Données projet'!$B$17,Paramètres!$A$1:$I$89,7,0))</f>
        <v>0</v>
      </c>
      <c r="GJ202" s="16">
        <f>IF(ISNA(VLOOKUP(A202,'Données projet'!$A$243:$I$263,6,0)),0%,VLOOKUP(A202,'Données projet'!$A$243:$I$263,6,0)*VLOOKUP('Données projet'!$B$17,Paramètres!$A$1:$I$89,7,0))</f>
        <v>0</v>
      </c>
      <c r="GK202" s="16">
        <f>IF(ISNA(VLOOKUP(A202,'Données projet'!$A$243:$I$263,7,0)),0%,VLOOKUP(A202,'Données projet'!$A$243:$I$263,7,0))</f>
        <v>0</v>
      </c>
      <c r="GL202" s="21">
        <f>EXP(-LN(2)/35)*GL201+(1-EXP(-LN(2)/35))/(LN(2)/35)*GH202*GI202*VLOOKUP('Données projet'!$B$17,Paramètres!$A$1:$I$89,3,0)*0.475*44/12</f>
        <v>0</v>
      </c>
      <c r="GM202" s="21">
        <f>EXP(-LN(2)/25)*GM201+(1-EXP(-LN(2)/25))/(LN(2)/25)*Calculateur!GH202*Calculateur!GJ202*VLOOKUP('Données projet'!$B$17,Paramètres!$A$1:$I$89,3,0)*0.475*44/12</f>
        <v>0</v>
      </c>
      <c r="GN202" s="21">
        <f>EXP(-LN(2)/2)*GN201+(1-EXP(-LN(2)/2))/(LN(2)/2)*GH202*GK202*VLOOKUP('Données projet'!$B$17,Paramètres!$A$1:$I$89,3,0)*0.475*44/12</f>
        <v>0</v>
      </c>
      <c r="GO202" s="21">
        <f t="shared" si="187"/>
        <v>0</v>
      </c>
      <c r="GP202" s="75">
        <f>('Scénario référence'!$F$8+'Scénario référence'!$F$9+'Scénario référence'!$B$17+'Scénario référence'!$B$9+'Scénario référence'!$B$10)*70+IF((45+25*(1-EXP(-0.0175*A202)))&lt;70,'Scénario référence'!$B$16*(45+25*(1-EXP(-0.0175*A202))),70*'Scénario référence'!$B$16)+IF((32+38*(1-EXP(-0.0175*A202)))&lt;70,'Scénario référence'!$B$18*(32+38*(1-EXP(-0.0175*A202))),70*'Scénario référence'!$B$18)</f>
        <v>70</v>
      </c>
      <c r="GQ202" s="12">
        <f>IF(A202&gt;30,10,('Scénario référence'!$B$16+'Scénario référence'!$B$17+'Scénario référence'!$B$18+'Scénario référence'!$B$9+'Scénario référence'!$B$10)*A202*10/30+('Scénario référence'!$F$8+'Scénario référence'!$F$9)*10)</f>
        <v>10</v>
      </c>
      <c r="GR202" s="12" t="e">
        <f>VLOOKUP(A202,'Données projet'!$A$269:$I$289,2,0)</f>
        <v>#N/A</v>
      </c>
      <c r="GS202" s="12" t="e">
        <f>VLOOKUP(A202,'Données projet'!$A$269:$I$289,9,0)</f>
        <v>#N/A</v>
      </c>
      <c r="GT202" s="12">
        <f t="array" ref="GT202">INDEX(GS:GS,MIN(IF(ISNUMBER(GS202:GS398),ROW(GS202:GS398),"")))</f>
        <v>0</v>
      </c>
      <c r="GU202" s="12">
        <f>IF('Données projet'!$A$270&gt;35,GU201+GT202-HC201,IF(A202&lt;'Données projet'!$A$270,$GR$205^A202,IF(A202='Données projet'!$A$270,'Données projet'!$B$270,GU201+GT202-HC201)))</f>
        <v>4.5474735088646412E-13</v>
      </c>
      <c r="GV202" s="17">
        <f>GU202*VLOOKUP('Données projet'!$B$18,Paramètres!$A$1:$I$89,3,0)*VLOOKUP('Données projet'!$B$18,Paramètres!$A$1:$I$89,5,0)</f>
        <v>4.8949004849418999E-13</v>
      </c>
      <c r="GW202" s="13">
        <f t="shared" si="188"/>
        <v>6.1123715499968684E-12</v>
      </c>
      <c r="GX202" s="20">
        <f t="shared" si="189"/>
        <v>1.1498242284038591E-11</v>
      </c>
      <c r="GY202" s="59">
        <f t="shared" si="201"/>
        <v>293.3333333333448</v>
      </c>
      <c r="GZ202" s="59">
        <f ca="1">AVERAGE(OFFSET($GY$3,0,0,'Données projet'!$E$18+1,1))-AVERAGE(OFFSET($H$3,0,0,'Données projet'!$E$18+1,1))</f>
        <v>286.77702855541287</v>
      </c>
      <c r="HA202" s="59">
        <f t="shared" si="213"/>
        <v>227.12211541860779</v>
      </c>
      <c r="HB202" s="15">
        <f>IF(ISNA(VLOOKUP(A202,'Données projet'!$A$269:$I$289,3,0)),0,VLOOKUP(A202,'Données projet'!$A$269:$I$289,3,0))</f>
        <v>0</v>
      </c>
      <c r="HC202" s="15">
        <f>IF(ISNA(VLOOKUP(A202,'Données projet'!$A$269:$I$289,4,0)),0,VLOOKUP(A202,'Données projet'!$A$269:$I$289,4,0))</f>
        <v>0</v>
      </c>
      <c r="HD202" s="16">
        <f>IF(ISNA(VLOOKUP(A202,'Données projet'!$A$269:$I$289,5,0)),0%,VLOOKUP(A202,'Données projet'!$A$269:$I$289,5,0)*VLOOKUP('Données projet'!$B$18,Paramètres!$A$1:$I$89,7,0))</f>
        <v>0</v>
      </c>
      <c r="HE202" s="16">
        <f>IF(ISNA(VLOOKUP(A202,'Données projet'!$A$269:$I$289,6,0)),0%,VLOOKUP(A202,'Données projet'!$A$269:$I$289,6,0)*VLOOKUP('Données projet'!$B$18,Paramètres!$A$1:$I$89,7,0))</f>
        <v>0</v>
      </c>
      <c r="HF202" s="16">
        <f>IF(ISNA(VLOOKUP(A202,'Données projet'!$A$269:$I$289,7,0)),0%,VLOOKUP(A202,'Données projet'!$A$269:$I$289,7,0))</f>
        <v>0</v>
      </c>
      <c r="HG202" s="21">
        <f>EXP(-LN(2)/35)*HG201+(1-EXP(-LN(2)/35))/(LN(2)/35)*HC202*HD202*VLOOKUP('Données projet'!$B$18,Paramètres!$A$1:$I$89,3,0)*0.475*44/12</f>
        <v>0</v>
      </c>
      <c r="HH202" s="21">
        <f>EXP(-LN(2)/25)*HH201+(1-EXP(-LN(2)/25))/(LN(2)/25)*Calculateur!HC202*Calculateur!HE202*VLOOKUP('Données projet'!$B$18,Paramètres!$A$1:$I$89,3,0)*0.475*44/12</f>
        <v>0</v>
      </c>
      <c r="HI202" s="21">
        <f>EXP(-LN(2)/2)*HI201+(1-EXP(-LN(2)/2))/(LN(2)/2)*HC202*HF202*VLOOKUP('Données projet'!$B$18,Paramètres!$A$1:$I$89,3,0)*0.475*44/12</f>
        <v>0</v>
      </c>
      <c r="HJ202" s="22">
        <f t="shared" si="190"/>
        <v>0</v>
      </c>
    </row>
    <row r="203" spans="1:218" ht="15.75" thickBot="1" x14ac:dyDescent="0.3">
      <c r="A203" s="10">
        <f>A202+1</f>
        <v>200</v>
      </c>
      <c r="B203" s="73">
        <f>'Scénario référence'!$B$16*5+'Scénario référence'!$B$17*0+'Scénario référence'!$B$18*5</f>
        <v>0</v>
      </c>
      <c r="C203" s="19">
        <f>Calculateur!C202+'Scénario référence'!$B$9*VLOOKUP('Scénario référence'!$G$15,Paramètres!$A$1:$I$89,3,0)*VLOOKUP('Scénario référence'!$G$15,Paramètres!$A$1:$I$89,5,0)+'Scénario référence'!$F$8*VLOOKUP('Scénario référence'!$G$15,Paramètres!$A$1:$I$89,3,0)*VLOOKUP('Scénario référence'!$G$15,Paramètres!$A$1:$I$89,5,0)+'Scénario référence'!$B$10*0.5*VLOOKUP('Scénario référence'!$G$15,Paramètres!$A$1:$I$89,3,0)*VLOOKUP('Scénario référence'!$G$15,Paramètres!$A$1:$I$89,5,0)+'Scénario référence'!$F$9*0.5*VLOOKUP('Scénario référence'!$G$15,Paramètres!$A$1:$I$89,3,0)*VLOOKUP('Scénario référence'!$G$15,Paramètres!$A$1:$I$89,5,0)</f>
        <v>177.83999999999958</v>
      </c>
      <c r="D203" s="11">
        <f t="shared" si="202"/>
        <v>44.841288830609059</v>
      </c>
      <c r="E203" s="11">
        <f>'Scénario référence'!$B$16*45+('Scénario référence'!$B$17+'Scénario référence'!$F$8+'Scénario référence'!$F$9+'Scénario référence'!$B$10+'Scénario référence'!$B$9)*70+'Scénario référence'!$B$18*32</f>
        <v>70</v>
      </c>
      <c r="F203" s="11">
        <f>IF(OR('Scénario référence'!$F$8&gt;0,'Scénario référence'!$F$9&gt;0),('Scénario référence'!$F$8+'Scénario référence'!$F$9)*10,0)</f>
        <v>10</v>
      </c>
      <c r="G203" s="11">
        <f>'Scénario référence'!$B$8*B203*44/12+'Scénario référence'!$B$9*(C203+D203)/0.475*44/12+'Scénario référence'!$B$10*(C203+D203)/0.475*44/12+'Scénario référence'!$F$8*(C203+D203)/0.475*44/12+'Scénario référence'!$F$9*(C203+D203)/0.475*44/12</f>
        <v>1718.9432822011897</v>
      </c>
      <c r="H203" s="67">
        <f t="shared" si="192"/>
        <v>681.16991137997661</v>
      </c>
      <c r="I203" s="70">
        <f>('Scénario référence'!$F$8+'Scénario référence'!$F$9+'Scénario référence'!$B$17+'Scénario référence'!$B$9+'Scénario référence'!$B$10)*70+IF((45+25*(1-EXP(-0.0175*A203)))&lt;70,'Scénario référence'!$B$16*(45+25*(1-EXP(-0.0175*A203))),70*'Scénario référence'!$B$16)+IF((32+38*(1-EXP(-0.0175*A203)))&lt;70,'Scénario référence'!$B$18*(32+38*(1-EXP(-0.0175*A203))),70*'Scénario référence'!$B$18)</f>
        <v>70</v>
      </c>
      <c r="J203" s="13">
        <f>IF(A203&gt;30,10,('Scénario référence'!$B$16+'Scénario référence'!$B$17+'Scénario référence'!$B$18+'Scénario référence'!$B$9+'Scénario référence'!$B$10)*A203*10/30+('Scénario référence'!$F$8+'Scénario référence'!$F$9)*10)</f>
        <v>10</v>
      </c>
      <c r="K203" s="12" t="e">
        <f>VLOOKUP(A203,'Données projet'!$A$35:$I$55,2,0)</f>
        <v>#N/A</v>
      </c>
      <c r="L203" s="12" t="e">
        <f>VLOOKUP(A203,'Données projet'!$A$35:$I$55,9,0)</f>
        <v>#N/A</v>
      </c>
      <c r="M203" s="12">
        <f t="array" ref="M203">INDEX(L:L,MIN(IF(ISNUMBER(L203:L399),ROW(L203:L399),"")))</f>
        <v>0</v>
      </c>
      <c r="N203" s="13">
        <f>IF('Données projet'!$A$36&gt;35,N202+M203-V202,IF(A203&lt;'Données projet'!$A$36,$K$205^A203,IF(A203='Données projet'!$A$36,'Données projet'!$B$36,N202+M203-V202)))</f>
        <v>-2.2737367544323206E-13</v>
      </c>
      <c r="O203" s="13">
        <f>N203*VLOOKUP('Données projet'!$B$9,Paramètres!$A$1:$I$89,3,0)*VLOOKUP('Données projet'!$B$9,Paramètres!$A$1:$I$89,5,0)</f>
        <v>-1.2710188457276673E-13</v>
      </c>
      <c r="P203" s="13" t="e">
        <f t="shared" si="203"/>
        <v>#NUM!</v>
      </c>
      <c r="Q203" s="20" t="e">
        <f t="shared" si="162"/>
        <v>#NUM!</v>
      </c>
      <c r="R203" s="59" t="e">
        <f t="shared" si="191"/>
        <v>#NUM!</v>
      </c>
      <c r="S203" s="59">
        <f ca="1">AVERAGE(OFFSET($R$3,0,0,'Données projet'!$E$9+1,1))-AVERAGE(OFFSET($H$3,0,0,'Données projet'!$E$9+1,1))</f>
        <v>255.5374979188561</v>
      </c>
      <c r="T203" s="59">
        <f t="shared" si="204"/>
        <v>343.10418468620901</v>
      </c>
      <c r="U203" s="15">
        <f>IF(ISNA(VLOOKUP(A203,'Données projet'!$A$35:$I$55,3,0)),0,VLOOKUP(A203,'Données projet'!$A$35:$I$55,3,0))</f>
        <v>0</v>
      </c>
      <c r="V203" s="15">
        <f>IF(ISNA(VLOOKUP(A203,'Données projet'!$A$35:$I$55,4,0)),0,VLOOKUP(A203,'Données projet'!$A$35:$I$55,4,0))</f>
        <v>0</v>
      </c>
      <c r="W203" s="16">
        <f>IF(ISNA(VLOOKUP(A203,'Données projet'!$A$35:$I$55,5,0)),0%,VLOOKUP(A203,'Données projet'!$A$35:$I$55,5,0)*VLOOKUP('Données projet'!$B$9,Paramètres!$A$1:$I$89,7,0))</f>
        <v>0</v>
      </c>
      <c r="X203" s="16">
        <f>IF(ISNA(VLOOKUP(A203,'Données projet'!$A$35:$I$55,6,0)),0%,VLOOKUP(A203,'Données projet'!$A$35:$I$55,6,0)*VLOOKUP('Données projet'!$B$9,Paramètres!$A$1:$I$89,7,0))</f>
        <v>0</v>
      </c>
      <c r="Y203" s="16">
        <f>IF(ISNA(VLOOKUP(A203,'Données projet'!$A$35:$I$55,7,0)),0%,VLOOKUP(A203,'Données projet'!$A$35:$I$55,7,0))</f>
        <v>0</v>
      </c>
      <c r="Z203" s="21">
        <f>EXP(-LN(2)/35)*Z202+(1-EXP(-LN(2)/35))/(LN(2)/35)*V203*W203*VLOOKUP('Données projet'!$B$9,Paramètres!$A$1:$I$89,3,0)*0.475*44/12</f>
        <v>0.1066150529845144</v>
      </c>
      <c r="AA203" s="21">
        <f>EXP(-LN(2)/25)*AA202+(1-EXP(-LN(2)/25))/(LN(2)/25)*Calculateur!V203*Calculateur!X203*VLOOKUP('Données projet'!$B$9,Paramètres!$A$1:$I$89,3,0)*0.475*44/12</f>
        <v>0.1432306516270728</v>
      </c>
      <c r="AB203" s="21">
        <f>EXP(-LN(2)/2)*AB202+(1-EXP(-LN(2)/2))/(LN(2)/2)*V203*Y203*VLOOKUP('Données projet'!$B$9,Paramètres!$A$1:$I$89,3,0)*0.475*44/12</f>
        <v>4.3754030747561575E-26</v>
      </c>
      <c r="AC203" s="22">
        <f t="shared" si="163"/>
        <v>0.2498457046115872</v>
      </c>
      <c r="AD203" s="13">
        <f>('Scénario référence'!$F$8+'Scénario référence'!$F$9+'Scénario référence'!$B$17+'Scénario référence'!$B$9+'Scénario référence'!$B$10)*70+IF((45+25*(1-EXP(-0.0175*A203)))&lt;70,'Scénario référence'!$B$16*(45+25*(1-EXP(-0.0175*A203))),70*'Scénario référence'!$B$16)+IF((32+38*(1-EXP(-0.0175*A203)))&lt;70,'Scénario référence'!$B$18*(32+38*(1-EXP(-0.0175*A203))),70*'Scénario référence'!$B$18)</f>
        <v>70</v>
      </c>
      <c r="AE203" s="13">
        <f>IF(A203&gt;30,10,('Scénario référence'!$B$16+'Scénario référence'!$B$17+'Scénario référence'!$B$18+'Scénario référence'!$B$9+'Scénario référence'!$B$10)*A203*10/30+('Scénario référence'!$F$8+'Scénario référence'!$F$9)*10)</f>
        <v>10</v>
      </c>
      <c r="AF203" s="12" t="e">
        <f>VLOOKUP(A203,'Données projet'!$A$61:$I$81,2,0)</f>
        <v>#N/A</v>
      </c>
      <c r="AG203" s="12" t="e">
        <f>VLOOKUP(A203,'Données projet'!$A$61:$I$81,9,0)</f>
        <v>#N/A</v>
      </c>
      <c r="AH203" s="12">
        <f t="array" ref="AH203">INDEX(AG:AG,MIN(IF(ISNUMBER(AG203:AG399),ROW(AG203:AG399),"")))</f>
        <v>0</v>
      </c>
      <c r="AI203" s="13">
        <f>IF('Données projet'!$A$62&gt;35,AI202+AH203-AQ202,IF(A203&lt;'Données projet'!$A$62,$AF$205^A203,IF(A203='Données projet'!$A$62,'Données projet'!$B$62,AI202+AH203-AQ202)))</f>
        <v>0</v>
      </c>
      <c r="AJ203" s="13">
        <f>AI203*VLOOKUP('Données projet'!$B$10,Paramètres!$A$1:$I$89,3,0)*VLOOKUP('Données projet'!$B$10,Paramètres!$A$1:$I$89,5,0)</f>
        <v>0</v>
      </c>
      <c r="AK203" s="13" t="e">
        <f t="shared" si="164"/>
        <v>#NUM!</v>
      </c>
      <c r="AL203" s="20" t="e">
        <f t="shared" si="165"/>
        <v>#NUM!</v>
      </c>
      <c r="AM203" s="59" t="e">
        <f t="shared" si="193"/>
        <v>#NUM!</v>
      </c>
      <c r="AN203" s="59">
        <f ca="1">AVERAGE(OFFSET($AM$3,0,0,'Données projet'!$E$10+1,1))-AVERAGE(OFFSET($H$3,0,0,'Données projet'!$E$10+1,1))</f>
        <v>261.78489480911571</v>
      </c>
      <c r="AO203" s="59">
        <f t="shared" si="205"/>
        <v>297.50513563712764</v>
      </c>
      <c r="AP203" s="15">
        <f>IF(ISNA(VLOOKUP(A203,'Données projet'!$A$61:$I$81,3,0)),0,VLOOKUP(A203,'Données projet'!$A$61:$I$81,3,0))</f>
        <v>0</v>
      </c>
      <c r="AQ203" s="15">
        <f>IF(ISNA(VLOOKUP(A203,'Données projet'!$A$61:$I$81,4,0)),0,VLOOKUP(A203,'Données projet'!$A$61:$I$81,4,0))</f>
        <v>0</v>
      </c>
      <c r="AR203" s="16">
        <f>IF(ISNA(VLOOKUP(A203,'Données projet'!$A$61:$I$81,5,0)),0%,VLOOKUP(A203,'Données projet'!$A$61:$I$81,5,0)*VLOOKUP('Données projet'!$B$10,Paramètres!$A$1:$I$89,7,0))</f>
        <v>0</v>
      </c>
      <c r="AS203" s="16">
        <f>IF(ISNA(VLOOKUP(A203,'Données projet'!$A$61:$I$81,6,0)),0%,VLOOKUP(A203,'Données projet'!$A$61:$I$81,6,0)*VLOOKUP('Données projet'!$B$10,Paramètres!$A$1:$I$89,7,0))</f>
        <v>0</v>
      </c>
      <c r="AT203" s="16">
        <f>IF(ISNA(VLOOKUP(A203,'Données projet'!$A$61:$I$81,7,0)),0%,VLOOKUP(A203,'Données projet'!$A$61:$I$81,7,0))</f>
        <v>0</v>
      </c>
      <c r="AU203" s="21">
        <f>EXP(-LN(2)/35)*AU202+(1-EXP(-LN(2)/35))/(LN(2)/35)*AQ203*AR203*VLOOKUP('Données projet'!$B$10,Paramètres!$A$1:$I$89,3,0)*0.475*44/12</f>
        <v>0.28789079898128611</v>
      </c>
      <c r="AV203" s="21">
        <f>EXP(-LN(2)/25)*AV202+(1-EXP(-LN(2)/25))/(LN(2)/25)*Calculateur!AQ203*Calculateur!AS203*VLOOKUP('Données projet'!$B$10,Paramètres!$A$1:$I$89,3,0)*0.475*44/12</f>
        <v>0.25010993118984798</v>
      </c>
      <c r="AW203" s="21">
        <f>EXP(-LN(2)/2)*AW202+(1-EXP(-LN(2)/2))/(LN(2)/2)*AQ203*AT203*VLOOKUP('Données projet'!$B$10,Paramètres!$A$1:$I$89,3,0)*0.475*44/12</f>
        <v>6.3075600723919621E-25</v>
      </c>
      <c r="AX203" s="21">
        <f t="shared" si="166"/>
        <v>0.53800073017113403</v>
      </c>
      <c r="AY203" s="74">
        <f>('Scénario référence'!$F$8+'Scénario référence'!$F$9+'Scénario référence'!$B$17+'Scénario référence'!$B$9+'Scénario référence'!$B$10)*70+IF((45+25*(1-EXP(-0.0175*A203)))&lt;70,'Scénario référence'!$B$16*(45+25*(1-EXP(-0.0175*A203))),70*'Scénario référence'!$B$16)+IF((32+38*(1-EXP(-0.0175*A203)))&lt;70,'Scénario référence'!$B$18*(32+38*(1-EXP(-0.0175*A203))),70*'Scénario référence'!$B$18)</f>
        <v>70</v>
      </c>
      <c r="AZ203" s="12">
        <f>IF(A203&gt;30,10,('Scénario référence'!$B$16+'Scénario référence'!$B$17+'Scénario référence'!$B$18+'Scénario référence'!$B$9+'Scénario référence'!$B$10)*A203*10/30+('Scénario référence'!$F$8+'Scénario référence'!$F$9)*10)</f>
        <v>10</v>
      </c>
      <c r="BA203" s="12" t="e">
        <f>VLOOKUP(A203,'Données projet'!$A$87:$I$107,2,0)</f>
        <v>#N/A</v>
      </c>
      <c r="BB203" s="12" t="e">
        <f>VLOOKUP(A203,'Données projet'!$A$87:$I$107,9,0)</f>
        <v>#N/A</v>
      </c>
      <c r="BC203" s="12">
        <f t="array" ref="BC203">INDEX(BB:BB,MIN(IF(ISNUMBER(BB203:BB399),ROW(BB203:BB399),"")))</f>
        <v>0</v>
      </c>
      <c r="BD203" s="12">
        <f>IF('Données projet'!$A$88&gt;35,BD202+BC203-BL202,IF(A203&lt;'Données projet'!$A$88,$BA$205^A203,IF(A203='Données projet'!$A$88,'Données projet'!$B$88,BD202+BC203-BL202)))</f>
        <v>553.99999999999955</v>
      </c>
      <c r="BE203" s="13">
        <f>BD203*VLOOKUP('Données projet'!$B$11,Paramètres!$A$1:$I$89,3,0)*VLOOKUP('Données projet'!$B$11,Paramètres!$A$1:$I$89,5,0)</f>
        <v>331.29199999999975</v>
      </c>
      <c r="BF203" s="13">
        <f t="shared" si="167"/>
        <v>77.698110787752</v>
      </c>
      <c r="BG203" s="20">
        <f t="shared" si="168"/>
        <v>712.32444295533423</v>
      </c>
      <c r="BH203" s="59">
        <f t="shared" si="194"/>
        <v>1005.6577762886675</v>
      </c>
      <c r="BI203" s="59">
        <f ca="1">AVERAGE(OFFSET($BH$3,0,0,'Données projet'!$E$11+1,1))-AVERAGE(OFFSET($H$3,0,0,'Données projet'!$E$11+1,1))</f>
        <v>316.58509520829671</v>
      </c>
      <c r="BJ203" s="59">
        <f t="shared" si="206"/>
        <v>240.71332110643596</v>
      </c>
      <c r="BK203" s="15">
        <f>IF(ISNA(VLOOKUP(A203,'Données projet'!$A$87:$I$107,3,0)),0,VLOOKUP(A203,'Données projet'!$A$87:$I$107,3,0))</f>
        <v>0</v>
      </c>
      <c r="BL203" s="15">
        <f>IF(ISNA(VLOOKUP(A203,'Données projet'!$A$87:$I$107,4,0)),0,VLOOKUP(A203,'Données projet'!$A$87:$I$107,4,0))</f>
        <v>0</v>
      </c>
      <c r="BM203" s="16">
        <f>IF(ISNA(VLOOKUP(A203,'Données projet'!$A$87:$I$107,5,0)),0%,VLOOKUP(A203,'Données projet'!$A$87:$I$107,5,0)*VLOOKUP('Données projet'!$B$11,Paramètres!$A$1:$I$89,7,0))</f>
        <v>0</v>
      </c>
      <c r="BN203" s="16">
        <f>IF(ISNA(VLOOKUP(A203,'Données projet'!$A$87:$I$107,6,0)),0%,VLOOKUP(A203,'Données projet'!$A$87:$I$107,6,0)*VLOOKUP('Données projet'!$B$11,Paramètres!$A$1:$I$89,7,0))</f>
        <v>0</v>
      </c>
      <c r="BO203" s="16">
        <f>IF(ISNA(VLOOKUP(A203,'Données projet'!$A$87:$I$107,7,0)),0%,VLOOKUP(A203,'Données projet'!$A$87:$I$107,7,0))</f>
        <v>0</v>
      </c>
      <c r="BP203" s="21">
        <f>EXP(-LN(2)/35)*BP202+(1-EXP(-LN(2)/35))/(LN(2)/35)*BL203*BM203*VLOOKUP('Données projet'!$B$11,Paramètres!$A$1:$I$89,3,0)*0.475*44/12</f>
        <v>8.7448972235201039E-2</v>
      </c>
      <c r="BQ203" s="21">
        <f>EXP(-LN(2)/25)*BQ202+(1-EXP(-LN(2)/25))/(LN(2)/25)*Calculateur!BL203*Calculateur!BN203*VLOOKUP('Données projet'!$B$11,Paramètres!$A$1:$I$89,3,0)*0.475*44/12</f>
        <v>0.13701751803252638</v>
      </c>
      <c r="BR203" s="21">
        <f>EXP(-LN(2)/2)*BR202+(1-EXP(-LN(2)/2))/(LN(2)/2)*BL203*BO203*VLOOKUP('Données projet'!$B$11,Paramètres!$A$1:$I$89,3,0)*0.475*44/12</f>
        <v>5.6711872624281872E-25</v>
      </c>
      <c r="BS203" s="22">
        <f t="shared" si="169"/>
        <v>0.22446649026772741</v>
      </c>
      <c r="BT203" s="75">
        <f>('Scénario référence'!$F$8+'Scénario référence'!$F$9+'Scénario référence'!$B$17+'Scénario référence'!$B$9+'Scénario référence'!$B$10)*70+IF((45+25*(1-EXP(-0.0175*A203)))&lt;70,'Scénario référence'!$B$16*(45+25*(1-EXP(-0.0175*A203))),70*'Scénario référence'!$B$16)+IF((32+38*(1-EXP(-0.0175*A203)))&lt;70,'Scénario référence'!$B$18*(32+38*(1-EXP(-0.0175*A203))),70*'Scénario référence'!$B$18)</f>
        <v>70</v>
      </c>
      <c r="BU203" s="12">
        <f>IF(A203&gt;30,10,('Scénario référence'!$B$16+'Scénario référence'!$B$17+'Scénario référence'!$B$18+'Scénario référence'!$B$9+'Scénario référence'!$B$10)*A203*10/30+('Scénario référence'!$F$8+'Scénario référence'!$F$9)*10)</f>
        <v>10</v>
      </c>
      <c r="BV203" s="12" t="e">
        <f>VLOOKUP(A203,'Données projet'!$A$113:$I$133,2,0)</f>
        <v>#N/A</v>
      </c>
      <c r="BW203" s="12" t="e">
        <f>VLOOKUP(A203,'Données projet'!$A$113:$I$133,9,0)</f>
        <v>#N/A</v>
      </c>
      <c r="BX203" s="12">
        <f t="array" ref="BX203">INDEX(BW:BW,MIN(IF(ISNUMBER(BW203:BW399),ROW(BW203:BW399),"")))</f>
        <v>0</v>
      </c>
      <c r="BY203" s="12">
        <f>IF('Données projet'!$A$114&gt;35,BY202+BX203-CG202,IF(A203&lt;'Données projet'!$A$114,$BV$205^A203,IF(A203='Données projet'!$A$114,'Données projet'!$B$114,BY202+BX203-CG202)))</f>
        <v>333.99999999999977</v>
      </c>
      <c r="BZ203" s="13">
        <f>BY203*VLOOKUP('Données projet'!$B$12,Paramètres!$A$1:$I$89,3,0)*VLOOKUP('Données projet'!$B$12,Paramètres!$A$1:$I$89,5,0)</f>
        <v>191.04799999999986</v>
      </c>
      <c r="CA203" s="13">
        <f t="shared" si="170"/>
        <v>47.771576544305155</v>
      </c>
      <c r="CB203" s="20">
        <f t="shared" si="171"/>
        <v>415.94409581466454</v>
      </c>
      <c r="CC203" s="59">
        <f t="shared" si="195"/>
        <v>709.27742914799785</v>
      </c>
      <c r="CD203" s="59">
        <f ca="1">AVERAGE(OFFSET($CC$3,0,0,'Données projet'!$E$12+1,1))-AVERAGE(OFFSET($H$3,0,0,'Données projet'!$E$12+1,1))</f>
        <v>188.64374818906128</v>
      </c>
      <c r="CE203" s="59">
        <f t="shared" si="207"/>
        <v>211.95157880548652</v>
      </c>
      <c r="CF203" s="15">
        <f>IF(ISNA(VLOOKUP(A203,'Données projet'!$A$113:$I$133,3,0)),0,VLOOKUP(A203,'Données projet'!$A$113:$I$133,3,0))</f>
        <v>0</v>
      </c>
      <c r="CG203" s="15">
        <f>IF(ISNA(VLOOKUP(A203,'Données projet'!$A$113:$I$133,4,0)),0,VLOOKUP(A203,'Données projet'!$A$113:$I$133,4,0))</f>
        <v>0</v>
      </c>
      <c r="CH203" s="16">
        <f>IF(ISNA(VLOOKUP(A203,'Données projet'!$A$113:$I$133,5,0)),0%,VLOOKUP(A203,'Données projet'!$A$113:$I$133,5,0)*VLOOKUP('Données projet'!$B$12,Paramètres!$A$1:$I$89,7,0))</f>
        <v>0</v>
      </c>
      <c r="CI203" s="16">
        <f>IF(ISNA(VLOOKUP(A203,'Données projet'!$A$113:$I$133,6,0)),0%,VLOOKUP(A203,'Données projet'!$A$113:$I$133,6,0)*VLOOKUP('Données projet'!$B$12,Paramètres!$A$1:$I$89,7,0))</f>
        <v>0</v>
      </c>
      <c r="CJ203" s="16">
        <f>IF(ISNA(VLOOKUP(A203,'Données projet'!$A$113:$I$133,7,0)),0%,VLOOKUP(A203,'Données projet'!$A$113:$I$133,7,0))</f>
        <v>0</v>
      </c>
      <c r="CK203" s="21">
        <f>EXP(-LN(2)/35)*CK202+(1-EXP(-LN(2)/35))/(LN(2)/35)*CG203*CH203*VLOOKUP('Données projet'!$B$12,Paramètres!$A$1:$I$89,3,0)*0.475*44/12</f>
        <v>8.4824967556986097E-2</v>
      </c>
      <c r="CL203" s="21">
        <f>EXP(-LN(2)/25)*CL202+(1-EXP(-LN(2)/25))/(LN(2)/25)*Calculateur!CG203*Calculateur!CI203*VLOOKUP('Données projet'!$B$12,Paramètres!$A$1:$I$89,3,0)*0.475*44/12</f>
        <v>0.12896399029034644</v>
      </c>
      <c r="CM203" s="21">
        <f>EXP(-LN(2)/2)*CM202+(1-EXP(-LN(2)/2))/(LN(2)/2)*CG203*CJ203*VLOOKUP('Données projet'!$B$12,Paramètres!$A$1:$I$89,3,0)*0.475*44/12</f>
        <v>5.4921011433803901E-25</v>
      </c>
      <c r="CN203" s="22">
        <f t="shared" si="172"/>
        <v>0.21378895784733254</v>
      </c>
      <c r="CO203" s="75">
        <f>('Scénario référence'!$F$8+'Scénario référence'!$F$9+'Scénario référence'!$B$17+'Scénario référence'!$B$9+'Scénario référence'!$B$10)*70+IF((45+25*(1-EXP(-0.0175*A203)))&lt;70,'Scénario référence'!$B$16*(45+25*(1-EXP(-0.0175*A203))),70*'Scénario référence'!$B$16)+IF((32+38*(1-EXP(-0.0175*A203)))&lt;70,'Scénario référence'!$B$18*(32+38*(1-EXP(-0.0175*A203))),70*'Scénario référence'!$B$18)</f>
        <v>70</v>
      </c>
      <c r="CP203" s="12">
        <f>IF(A203&gt;30,10,('Scénario référence'!$B$16+'Scénario référence'!$B$17+'Scénario référence'!$B$18+'Scénario référence'!$B$9+'Scénario référence'!$B$10)*A203*10/30+('Scénario référence'!$F$8+'Scénario référence'!$F$9)*10)</f>
        <v>10</v>
      </c>
      <c r="CQ203" s="12" t="e">
        <f>VLOOKUP(A203,'Données projet'!$A$139:$I$159,2,0)</f>
        <v>#N/A</v>
      </c>
      <c r="CR203" s="12" t="e">
        <f>VLOOKUP(A203,'Données projet'!$A$139:$I$159,9,0)</f>
        <v>#N/A</v>
      </c>
      <c r="CS203" s="12">
        <f t="array" ref="CS203">INDEX(CR:CR,MIN(IF(ISNUMBER(CR203:CR399),ROW(CR203:CR399),"")))</f>
        <v>0</v>
      </c>
      <c r="CT203" s="12">
        <f>IF('Données projet'!$A$140&gt;35,CT202+CS203-DB202,IF(A203&lt;'Données projet'!$A$140,$CQ$205^A203,IF(A203='Données projet'!$A$140,'Données projet'!$B$140,CT202+CS203-DB202)))</f>
        <v>0</v>
      </c>
      <c r="CU203" s="17" t="e">
        <f>CT203*VLOOKUP('Données projet'!$B$13,Paramètres!$A$1:$I$89,3,0)*VLOOKUP('Données projet'!$B$13,Paramètres!$A$1:$I$89,5,0)</f>
        <v>#N/A</v>
      </c>
      <c r="CV203" s="13" t="e">
        <f t="shared" si="173"/>
        <v>#N/A</v>
      </c>
      <c r="CW203" s="20" t="e">
        <f t="shared" si="174"/>
        <v>#N/A</v>
      </c>
      <c r="CX203" s="59" t="e">
        <f t="shared" si="196"/>
        <v>#N/A</v>
      </c>
      <c r="CY203" s="59" t="e">
        <f ca="1">AVERAGE(OFFSET($CX$3,0,0,'Données projet'!$E$13+1,1))-AVERAGE(OFFSET($H$3,0,0,'Données projet'!$E$13+1,1))</f>
        <v>#N/A</v>
      </c>
      <c r="CZ203" s="59" t="e">
        <f t="shared" si="208"/>
        <v>#N/A</v>
      </c>
      <c r="DA203" s="15">
        <f>IF(ISNA(VLOOKUP(A203,'Données projet'!$A$139:$I$159,3,0)),0,VLOOKUP(A203,'Données projet'!$A$139:$I$159,3,0))</f>
        <v>0</v>
      </c>
      <c r="DB203" s="15">
        <f>IF(ISNA(VLOOKUP(A203,'Données projet'!$A$139:$I$159,4,0)),0,VLOOKUP(A203,'Données projet'!$A$139:$I$159,4,0))</f>
        <v>0</v>
      </c>
      <c r="DC203" s="16">
        <f>IF(ISNA(VLOOKUP(A203,'Données projet'!$A$139:$I$159,5,0)),0%,VLOOKUP(A203,'Données projet'!$A$139:$I$159,5,0)*VLOOKUP('Données projet'!$B$13,Paramètres!$A$1:$I$89,7,0))</f>
        <v>0</v>
      </c>
      <c r="DD203" s="16">
        <f>IF(ISNA(VLOOKUP(A203,'Données projet'!$A$139:$I$159,6,0)),0%,VLOOKUP(A203,'Données projet'!$A$139:$I$159,6,0)*VLOOKUP('Données projet'!$B$13,Paramètres!$A$1:$I$89,7,0))</f>
        <v>0</v>
      </c>
      <c r="DE203" s="16">
        <f>IF(ISNA(VLOOKUP(A203,'Données projet'!$A$139:$I$159,7,0)),0%,VLOOKUP(A203,'Données projet'!$A$139:$I$159,7,0))</f>
        <v>0</v>
      </c>
      <c r="DF203" s="21" t="e">
        <f>EXP(-LN(2)/35)*DF202+(1-EXP(-LN(2)/35))/(LN(2)/35)*DB203*DC203*VLOOKUP('Données projet'!$B$13,Paramètres!$A$1:$I$89,3,0)*0.475*44/12</f>
        <v>#N/A</v>
      </c>
      <c r="DG203" s="21" t="e">
        <f>EXP(-LN(2)/25)*DG202+(1-EXP(-LN(2)/25))/(LN(2)/25)*Calculateur!DB203*Calculateur!DD203*VLOOKUP('Données projet'!$B$13,Paramètres!$A$1:$I$89,3,0)*0.475*44/12</f>
        <v>#N/A</v>
      </c>
      <c r="DH203" s="21" t="e">
        <f>EXP(-LN(2)/2)*DH202+(1-EXP(-LN(2)/2))/(LN(2)/2)*DB203*DE203*VLOOKUP('Données projet'!$B$13,Paramètres!$A$1:$I$89,3,0)*0.475*44/12</f>
        <v>#N/A</v>
      </c>
      <c r="DI203" s="22" t="e">
        <f t="shared" si="175"/>
        <v>#N/A</v>
      </c>
      <c r="DJ203" s="75">
        <f>('Scénario référence'!$F$8+'Scénario référence'!$F$9+'Scénario référence'!$B$17+'Scénario référence'!$B$9+'Scénario référence'!$B$10)*70+IF((45+25*(1-EXP(-0.0175*A203)))&lt;70,'Scénario référence'!$B$16*(45+25*(1-EXP(-0.0175*A203))),70*'Scénario référence'!$B$16)+IF((32+38*(1-EXP(-0.0175*A203)))&lt;70,'Scénario référence'!$B$18*(32+38*(1-EXP(-0.0175*A203))),70*'Scénario référence'!$B$18)</f>
        <v>70</v>
      </c>
      <c r="DK203" s="12">
        <f>IF(A203&gt;30,10,('Scénario référence'!$B$16+'Scénario référence'!$B$17+'Scénario référence'!$B$18+'Scénario référence'!$B$9+'Scénario référence'!$B$10)*A203*10/30+('Scénario référence'!$F$8+'Scénario référence'!$F$9)*10)</f>
        <v>10</v>
      </c>
      <c r="DL203" s="12" t="e">
        <f>VLOOKUP(A203,'Données projet'!$A$165:$I$185,2,0)</f>
        <v>#N/A</v>
      </c>
      <c r="DM203" s="12" t="e">
        <f>VLOOKUP(A203,'Données projet'!$A$165:$I$185,9,0)</f>
        <v>#N/A</v>
      </c>
      <c r="DN203" s="12">
        <f t="array" ref="DN203">INDEX(DM:DM,MIN(IF(ISNUMBER(DM203:DM399),ROW(DM203:DM399),"")))</f>
        <v>0</v>
      </c>
      <c r="DO203" s="12">
        <f>IF('Données projet'!$A$166&gt;35,DO202+DN203-DW202,IF(A203&lt;'Données projet'!$A$166,$DL$205^A203,IF(A203='Données projet'!$A$166,'Données projet'!$B$166,DO202+DN203-DW202)))</f>
        <v>268.00000000000017</v>
      </c>
      <c r="DP203" s="17">
        <f>DO203*VLOOKUP('Données projet'!$B$14,Paramètres!$A$1:$I$89,3,0)*VLOOKUP('Données projet'!$B$14,Paramètres!$A$1:$I$89,5,0)</f>
        <v>175.59360000000012</v>
      </c>
      <c r="DQ203" s="13">
        <f t="shared" si="176"/>
        <v>44.340433728638573</v>
      </c>
      <c r="DR203" s="20">
        <f t="shared" si="177"/>
        <v>383.05177541071242</v>
      </c>
      <c r="DS203" s="59">
        <f t="shared" si="197"/>
        <v>676.38510874404574</v>
      </c>
      <c r="DT203" s="59">
        <f ca="1">AVERAGE(OFFSET($DS$3,0,0,'Données projet'!$E$14+1,1))-AVERAGE(OFFSET($H$3,0,0,'Données projet'!$E$14+1,1))</f>
        <v>188.68915783955595</v>
      </c>
      <c r="DU203" s="59">
        <f t="shared" si="209"/>
        <v>240.82467772396944</v>
      </c>
      <c r="DV203" s="15">
        <f>IF(ISNA(VLOOKUP(A203,'Données projet'!$A$165:$I$185,3,0)),0,VLOOKUP(A203,'Données projet'!$A$165:$I$185,3,0))</f>
        <v>0</v>
      </c>
      <c r="DW203" s="15">
        <f>IF(ISNA(VLOOKUP(A203,'Données projet'!$A$165:$I$185,4,0)),0,VLOOKUP(A203,'Données projet'!$A$165:$I$185,4,0))</f>
        <v>0</v>
      </c>
      <c r="DX203" s="16">
        <f>IF(ISNA(VLOOKUP(A203,'Données projet'!$A$165:$I$185,5,0)),0%,VLOOKUP(A203,'Données projet'!$A$165:$I$185,5,0)*VLOOKUP('Données projet'!$B$14,Paramètres!$A$1:$I$89,7,0))</f>
        <v>0</v>
      </c>
      <c r="DY203" s="16">
        <f>IF(ISNA(VLOOKUP(A203,'Données projet'!$A$165:$I$185,6,0)),0%,VLOOKUP(A203,'Données projet'!$A$165:$I$185,6,0)*VLOOKUP('Données projet'!$B$14,Paramètres!$A$1:$I$89,7,0))</f>
        <v>0</v>
      </c>
      <c r="DZ203" s="16">
        <f>IF(ISNA(VLOOKUP(A203,'Données projet'!$A$165:$I$185,7,0)),0%,VLOOKUP(A203,'Données projet'!$A$165:$I$185,7,0))</f>
        <v>0</v>
      </c>
      <c r="EA203" s="21">
        <f>EXP(-LN(2)/35)*EA202+(1-EXP(-LN(2)/35))/(LN(2)/35)*DW203*DX203*VLOOKUP('Données projet'!$B$14,Paramètres!$A$1:$I$89,3,0)*0.475*44/12</f>
        <v>5.3729619601542149E-2</v>
      </c>
      <c r="EB203" s="21">
        <f>EXP(-LN(2)/25)*EB202+(1-EXP(-LN(2)/25))/(LN(2)/25)*Calculateur!DW203*Calculateur!DY203*VLOOKUP('Données projet'!$B$14,Paramètres!$A$1:$I$89,3,0)*0.475*44/12</f>
        <v>7.2134929441962925E-2</v>
      </c>
      <c r="EC203" s="21">
        <f>EXP(-LN(2)/2)*EC202+(1-EXP(-LN(2)/2))/(LN(2)/2)*DW203*DZ203*VLOOKUP('Données projet'!$B$14,Paramètres!$A$1:$I$89,3,0)*0.475*44/12</f>
        <v>3.6179866661165209E-25</v>
      </c>
      <c r="ED203" s="22">
        <f t="shared" si="178"/>
        <v>0.12586454904350508</v>
      </c>
      <c r="EE203" s="75">
        <f>('Scénario référence'!$F$8+'Scénario référence'!$F$9+'Scénario référence'!$B$17+'Scénario référence'!$B$9+'Scénario référence'!$B$10)*70+IF((45+25*(1-EXP(-0.0175*A203)))&lt;70,'Scénario référence'!$B$16*(45+25*(1-EXP(-0.0175*A203))),70*'Scénario référence'!$B$16)+IF((32+38*(1-EXP(-0.0175*A203)))&lt;70,'Scénario référence'!$B$18*(32+38*(1-EXP(-0.0175*A203))),70*'Scénario référence'!$B$18)</f>
        <v>70</v>
      </c>
      <c r="EF203" s="12">
        <f>IF(A203&gt;30,10,('Scénario référence'!$B$16+'Scénario référence'!$B$17+'Scénario référence'!$B$18+'Scénario référence'!$B$9+'Scénario référence'!$B$10)*A203*10/30+('Scénario référence'!$F$8+'Scénario référence'!$F$9)*10)</f>
        <v>10</v>
      </c>
      <c r="EG203" s="12" t="e">
        <f>VLOOKUP(A203,'Données projet'!$A$191:$I$211,2,0)</f>
        <v>#N/A</v>
      </c>
      <c r="EH203" s="12" t="e">
        <f>VLOOKUP(A203,'Données projet'!$A$191:$I$211,9,0)</f>
        <v>#N/A</v>
      </c>
      <c r="EI203" s="12">
        <f t="array" ref="EI203">INDEX(EH:EH,MIN(IF(ISNUMBER(EH203:EH399),ROW(EH203:EH399),"")))</f>
        <v>0</v>
      </c>
      <c r="EJ203" s="12">
        <f>IF('Données projet'!$A$192&gt;35,EJ202+EI203-ER202,IF(A203&lt;'Données projet'!$A$192,$EG$205^A203,IF(A203='Données projet'!$A$192,'Données projet'!$B$192,EJ202+EI203-ER202)))</f>
        <v>275.99999999999972</v>
      </c>
      <c r="EK203" s="17">
        <f>EJ203*VLOOKUP('Données projet'!$B$15,Paramètres!$A$1:$I$89,3,0)*VLOOKUP('Données projet'!$B$15,Paramètres!$A$1:$I$89,5,0)</f>
        <v>223.8911999999998</v>
      </c>
      <c r="EL203" s="13">
        <f t="shared" si="179"/>
        <v>54.95975389514858</v>
      </c>
      <c r="EM203" s="20">
        <f t="shared" si="180"/>
        <v>485.66541136738346</v>
      </c>
      <c r="EN203" s="59">
        <f t="shared" si="198"/>
        <v>778.99874470071677</v>
      </c>
      <c r="EO203" s="59">
        <f ca="1">AVERAGE(OFFSET($EN$3,0,0,'Données projet'!$E$15+1,1))-AVERAGE(OFFSET($H$3,0,0,'Données projet'!$E$15+1,1))</f>
        <v>205.5272583787887</v>
      </c>
      <c r="EP203" s="59">
        <f t="shared" si="210"/>
        <v>180.54762778843178</v>
      </c>
      <c r="EQ203" s="15">
        <f>IF(ISNA(VLOOKUP(A203,'Données projet'!$A$191:$I$211,3,0)),0,VLOOKUP(A203,'Données projet'!$A$191:$I$211,3,0))</f>
        <v>0</v>
      </c>
      <c r="ER203" s="15">
        <f>IF(ISNA(VLOOKUP(A203,'Données projet'!$A$191:$I$211,4,0)),0,VLOOKUP(A203,'Données projet'!$A$191:$I$211,4,0))</f>
        <v>0</v>
      </c>
      <c r="ES203" s="16">
        <f>IF(ISNA(VLOOKUP(A203,'Données projet'!$A$191:$I$211,5,0)),0%,VLOOKUP(A203,'Données projet'!$A$191:$I$211,5,0)*VLOOKUP('Données projet'!$B$15,Paramètres!$A$1:$I$89,7,0))</f>
        <v>0</v>
      </c>
      <c r="ET203" s="16">
        <f>IF(ISNA(VLOOKUP(A203,'Données projet'!$A$191:$I$211,6,0)),0%,VLOOKUP(A203,'Données projet'!$A$191:$I$211,6,0)*VLOOKUP('Données projet'!$B$15,Paramètres!$A$1:$I$89,7,0))</f>
        <v>0</v>
      </c>
      <c r="EU203" s="16">
        <f>IF(ISNA(VLOOKUP(A203,'Données projet'!$A$191:$I$211,7,0)),0%,VLOOKUP(A203,'Données projet'!$A$191:$I$211,7,0))</f>
        <v>0</v>
      </c>
      <c r="EV203" s="21">
        <f>EXP(-LN(2)/35)*EV202+(1-EXP(-LN(2)/35))/(LN(2)/35)*ER203*ES203*VLOOKUP('Données projet'!$B$15,Paramètres!$A$1:$I$89,3,0)*0.475*44/12</f>
        <v>3.4591640810135695E-2</v>
      </c>
      <c r="EW203" s="21">
        <f>EXP(-LN(2)/25)*EW202+(1-EXP(-LN(2)/25))/(LN(2)/25)*Calculateur!ER203*Calculateur!ET203*VLOOKUP('Données projet'!$B$15,Paramètres!$A$1:$I$89,3,0)*0.475*44/12</f>
        <v>5.2083607339783372E-2</v>
      </c>
      <c r="EX203" s="21">
        <f>EXP(-LN(2)/2)*EX202+(1-EXP(-LN(2)/2))/(LN(2)/2)*ER203*EU203*VLOOKUP('Données projet'!$B$15,Paramètres!$A$1:$I$89,3,0)*0.475*44/12</f>
        <v>2.3426490415446009E-25</v>
      </c>
      <c r="EY203" s="22">
        <f t="shared" si="181"/>
        <v>8.667524814991906E-2</v>
      </c>
      <c r="EZ203" s="75">
        <f>('Scénario référence'!$F$8+'Scénario référence'!$F$9+'Scénario référence'!$B$17+'Scénario référence'!$B$9+'Scénario référence'!$B$10)*70+IF((45+25*(1-EXP(-0.0175*A203)))&lt;70,'Scénario référence'!$B$16*(45+25*(1-EXP(-0.0175*A203))),70*'Scénario référence'!$B$16)+IF((32+38*(1-EXP(-0.0175*A203)))&lt;70,'Scénario référence'!$B$18*(32+38*(1-EXP(-0.0175*A203))),70*'Scénario référence'!$B$18)</f>
        <v>70</v>
      </c>
      <c r="FA203" s="12">
        <f>IF(A203&gt;30,10,('Scénario référence'!$B$16+'Scénario référence'!$B$17+'Scénario référence'!$B$18+'Scénario référence'!$B$9+'Scénario référence'!$B$10)*A203*10/30+('Scénario référence'!$F$8+'Scénario référence'!$F$9)*10)</f>
        <v>10</v>
      </c>
      <c r="FB203" s="12" t="e">
        <f>VLOOKUP(A203,'Données projet'!$A$217:$I$237,2,0)</f>
        <v>#N/A</v>
      </c>
      <c r="FC203" s="12" t="e">
        <f>VLOOKUP(A203,'Données projet'!$A$217:$I$237,9,0)</f>
        <v>#N/A</v>
      </c>
      <c r="FD203" s="12">
        <f t="array" ref="FD203">INDEX(FC:FC,MIN(IF(ISNUMBER(FC203:FC399),ROW(FC203:FC399),"")))</f>
        <v>0</v>
      </c>
      <c r="FE203" s="12">
        <f>IF('Données projet'!$A$218&gt;35,FE202+FD203-FM202,IF(A203&lt;'Données projet'!$A$218,$FB$205^A203,IF(A203='Données projet'!$A$218,'Données projet'!$B$218,FE202+FD203-FM202)))</f>
        <v>418.99999999999983</v>
      </c>
      <c r="FF203" s="17">
        <f>FE203*VLOOKUP('Données projet'!$B$16,Paramètres!$A$1:$I$89,3,0)*VLOOKUP('Données projet'!$B$16,Paramètres!$A$1:$I$89,5,0)</f>
        <v>359.5019999999999</v>
      </c>
      <c r="FG203" s="13">
        <f t="shared" si="182"/>
        <v>83.516011055432813</v>
      </c>
      <c r="FH203" s="20">
        <f t="shared" si="183"/>
        <v>771.58970258821194</v>
      </c>
      <c r="FI203" s="59">
        <f t="shared" si="199"/>
        <v>1064.9230359215453</v>
      </c>
      <c r="FJ203" s="59">
        <f ca="1">AVERAGE(OFFSET($FI$3,0,0,'Données projet'!$E$16+1,1))-AVERAGE(OFFSET($H$3,0,0,'Données projet'!$E$16+1,1))</f>
        <v>383.97627237444709</v>
      </c>
      <c r="FK203" s="59">
        <f t="shared" si="211"/>
        <v>203.35476578922339</v>
      </c>
      <c r="FL203" s="15">
        <f>IF(ISNA(VLOOKUP(A203,'Données projet'!$A$217:$I$237,3,0)),0,VLOOKUP(A203,'Données projet'!$A$217:$I$237,3,0))</f>
        <v>0</v>
      </c>
      <c r="FM203" s="15">
        <f>IF(ISNA(VLOOKUP(A203,'Données projet'!$A$217:$I$237,4,0)),0,VLOOKUP(A203,'Données projet'!$A$217:$I$237,4,0))</f>
        <v>0</v>
      </c>
      <c r="FN203" s="16">
        <f>IF(ISNA(VLOOKUP(A203,'Données projet'!$A$217:$I$237,5,0)),0%,VLOOKUP(A203,'Données projet'!$A$217:$I$237,5,0)*VLOOKUP('Données projet'!$B$16,Paramètres!$A$1:$I$89,7,0))</f>
        <v>0</v>
      </c>
      <c r="FO203" s="16">
        <f>IF(ISNA(VLOOKUP(A203,'Données projet'!$A$217:$I$237,6,0)),0%,VLOOKUP(A203,'Données projet'!$A$217:$I$237,6,0)*VLOOKUP('Données projet'!$B$16,Paramètres!$A$1:$I$89,7,0))</f>
        <v>0</v>
      </c>
      <c r="FP203" s="16">
        <f>IF(ISNA(VLOOKUP(A203,'Données projet'!$A$217:$I$237,7,0)),0%,VLOOKUP(A203,'Données projet'!$A$217:$I$237,7,0))</f>
        <v>0</v>
      </c>
      <c r="FQ203" s="21">
        <f>EXP(-LN(2)/35)*FQ202+(1-EXP(-LN(2)/35))/(LN(2)/35)*FM203*FN203*VLOOKUP('Données projet'!$B$16,Paramètres!$A$1:$I$89,3,0)*0.475*44/12</f>
        <v>0.1777822670730434</v>
      </c>
      <c r="FR203" s="21">
        <f>EXP(-LN(2)/25)*FR202+(1-EXP(-LN(2)/25))/(LN(2)/25)*Calculateur!FM203*Calculateur!FO203*VLOOKUP('Données projet'!$B$16,Paramètres!$A$1:$I$89,3,0)*0.475*44/12</f>
        <v>5.2870244802316828E-2</v>
      </c>
      <c r="FS203" s="21">
        <f>EXP(-LN(2)/2)*FS202+(1-EXP(-LN(2)/2))/(LN(2)/2)*FM203*FP203*VLOOKUP('Données projet'!$B$16,Paramètres!$A$1:$I$89,3,0)*0.475*44/12</f>
        <v>4.3029655081257E-25</v>
      </c>
      <c r="FT203" s="22">
        <f t="shared" si="184"/>
        <v>0.23065251187536023</v>
      </c>
      <c r="FU203" s="75">
        <f>('Scénario référence'!$F$8+'Scénario référence'!$F$9+'Scénario référence'!$B$17+'Scénario référence'!$B$9+'Scénario référence'!$B$10)*70+IF((45+25*(1-EXP(-0.0175*A203)))&lt;70,'Scénario référence'!$B$16*(45+25*(1-EXP(-0.0175*A203))),70*'Scénario référence'!$B$16)+IF((32+38*(1-EXP(-0.0175*A203)))&lt;70,'Scénario référence'!$B$18*(32+38*(1-EXP(-0.0175*A203))),70*'Scénario référence'!$B$18)</f>
        <v>70</v>
      </c>
      <c r="FV203" s="12">
        <f>IF(A203&gt;30,10,('Scénario référence'!$B$16+'Scénario référence'!$B$17+'Scénario référence'!$B$18+'Scénario référence'!$B$9+'Scénario référence'!$B$10)*A203*10/30+('Scénario référence'!$F$8+'Scénario référence'!$F$9)*10)</f>
        <v>10</v>
      </c>
      <c r="FW203" s="12" t="e">
        <f>VLOOKUP(A203,'Données projet'!$A$243:$I$263,2,0)</f>
        <v>#N/A</v>
      </c>
      <c r="FX203" s="12" t="e">
        <f>VLOOKUP(A203,'Données projet'!$A$243:$I$263,9,0)</f>
        <v>#N/A</v>
      </c>
      <c r="FY203" s="12">
        <f t="array" ref="FY203">INDEX(FX:FX,MIN(IF(ISNUMBER(FX203:FX399),ROW(FX203:FX399),"")))</f>
        <v>0</v>
      </c>
      <c r="FZ203" s="12">
        <f>IF('Données projet'!$A$244&gt;35,FZ202+FY203-GH202,IF(A203&lt;'Données projet'!$A$244,$FW$205^A203,IF(A203='Données projet'!$A$244,'Données projet'!$B$244,FZ202+FY203-GH202)))</f>
        <v>4.5474735088646412E-13</v>
      </c>
      <c r="GA203" s="17">
        <f>FZ203*VLOOKUP('Données projet'!$B$17,Paramètres!$A$1:$I$89,3,0)*VLOOKUP('Données projet'!$B$17,Paramètres!$A$1:$I$89,5,0)</f>
        <v>4.8949004849418999E-13</v>
      </c>
      <c r="GB203" s="13">
        <f t="shared" si="185"/>
        <v>6.1123715499968684E-12</v>
      </c>
      <c r="GC203" s="20">
        <f t="shared" si="186"/>
        <v>1.1498242284038591E-11</v>
      </c>
      <c r="GD203" s="59">
        <f t="shared" si="200"/>
        <v>293.3333333333448</v>
      </c>
      <c r="GE203" s="59">
        <f ca="1">AVERAGE(OFFSET($GD$3,0,0,'Données projet'!$E$17+1,1))-AVERAGE(OFFSET($H$3,0,0,'Données projet'!$E$17+1,1))</f>
        <v>286.77702855541287</v>
      </c>
      <c r="GF203" s="59">
        <f t="shared" si="212"/>
        <v>227.12211541860779</v>
      </c>
      <c r="GG203" s="15">
        <f>IF(ISNA(VLOOKUP(A203,'Données projet'!$A$243:$I$263,3,0)),0,VLOOKUP(A203,'Données projet'!$A$243:$I$263,3,0))</f>
        <v>0</v>
      </c>
      <c r="GH203" s="15">
        <f>IF(ISNA(VLOOKUP(A203,'Données projet'!$A$243:$I$263,4,0)),0,VLOOKUP(A203,'Données projet'!$A$243:$I$263,4,0))</f>
        <v>0</v>
      </c>
      <c r="GI203" s="16">
        <f>IF(ISNA(VLOOKUP(A203,'Données projet'!$A$243:$I$263,5,0)),0%,VLOOKUP(A203,'Données projet'!$A$243:$I$263,5,0)*VLOOKUP('Données projet'!$B$17,Paramètres!$A$1:$I$89,7,0))</f>
        <v>0</v>
      </c>
      <c r="GJ203" s="16">
        <f>IF(ISNA(VLOOKUP(A203,'Données projet'!$A$243:$I$263,6,0)),0%,VLOOKUP(A203,'Données projet'!$A$243:$I$263,6,0)*VLOOKUP('Données projet'!$B$17,Paramètres!$A$1:$I$89,7,0))</f>
        <v>0</v>
      </c>
      <c r="GK203" s="16">
        <f>IF(ISNA(VLOOKUP(A203,'Données projet'!$A$243:$I$263,7,0)),0%,VLOOKUP(A203,'Données projet'!$A$243:$I$263,7,0))</f>
        <v>0</v>
      </c>
      <c r="GL203" s="21">
        <f>EXP(-LN(2)/35)*GL202+(1-EXP(-LN(2)/35))/(LN(2)/35)*GH203*GI203*VLOOKUP('Données projet'!$B$17,Paramètres!$A$1:$I$89,3,0)*0.475*44/12</f>
        <v>0</v>
      </c>
      <c r="GM203" s="21">
        <f>EXP(-LN(2)/25)*GM202+(1-EXP(-LN(2)/25))/(LN(2)/25)*Calculateur!GH203*Calculateur!GJ203*VLOOKUP('Données projet'!$B$17,Paramètres!$A$1:$I$89,3,0)*0.475*44/12</f>
        <v>0</v>
      </c>
      <c r="GN203" s="21">
        <f>EXP(-LN(2)/2)*GN202+(1-EXP(-LN(2)/2))/(LN(2)/2)*GH203*GK203*VLOOKUP('Données projet'!$B$17,Paramètres!$A$1:$I$89,3,0)*0.475*44/12</f>
        <v>0</v>
      </c>
      <c r="GO203" s="21">
        <f t="shared" si="187"/>
        <v>0</v>
      </c>
      <c r="GP203" s="75">
        <f>('Scénario référence'!$F$8+'Scénario référence'!$F$9+'Scénario référence'!$B$17+'Scénario référence'!$B$9+'Scénario référence'!$B$10)*70+IF((45+25*(1-EXP(-0.0175*A203)))&lt;70,'Scénario référence'!$B$16*(45+25*(1-EXP(-0.0175*A203))),70*'Scénario référence'!$B$16)+IF((32+38*(1-EXP(-0.0175*A203)))&lt;70,'Scénario référence'!$B$18*(32+38*(1-EXP(-0.0175*A203))),70*'Scénario référence'!$B$18)</f>
        <v>70</v>
      </c>
      <c r="GQ203" s="12">
        <f>IF(A203&gt;30,10,('Scénario référence'!$B$16+'Scénario référence'!$B$17+'Scénario référence'!$B$18+'Scénario référence'!$B$9+'Scénario référence'!$B$10)*A203*10/30+('Scénario référence'!$F$8+'Scénario référence'!$F$9)*10)</f>
        <v>10</v>
      </c>
      <c r="GR203" s="12" t="e">
        <f>VLOOKUP(A203,'Données projet'!$A$269:$I$289,2,0)</f>
        <v>#N/A</v>
      </c>
      <c r="GS203" s="12" t="e">
        <f>VLOOKUP(A203,'Données projet'!$A$269:$I$289,9,0)</f>
        <v>#N/A</v>
      </c>
      <c r="GT203" s="12">
        <f t="array" ref="GT203">INDEX(GS:GS,MIN(IF(ISNUMBER(GS203:GS399),ROW(GS203:GS399),"")))</f>
        <v>0</v>
      </c>
      <c r="GU203" s="12">
        <f>IF('Données projet'!$A$270&gt;35,GU202+GT203-HC202,IF(A203&lt;'Données projet'!$A$270,$GR$205^A203,IF(A203='Données projet'!$A$270,'Données projet'!$B$270,GU202+GT203-HC202)))</f>
        <v>4.5474735088646412E-13</v>
      </c>
      <c r="GV203" s="17">
        <f>GU203*VLOOKUP('Données projet'!$B$18,Paramètres!$A$1:$I$89,3,0)*VLOOKUP('Données projet'!$B$18,Paramètres!$A$1:$I$89,5,0)</f>
        <v>4.8949004849418999E-13</v>
      </c>
      <c r="GW203" s="13">
        <f t="shared" si="188"/>
        <v>6.1123715499968684E-12</v>
      </c>
      <c r="GX203" s="20">
        <f t="shared" si="189"/>
        <v>1.1498242284038591E-11</v>
      </c>
      <c r="GY203" s="59">
        <f t="shared" si="201"/>
        <v>293.3333333333448</v>
      </c>
      <c r="GZ203" s="59">
        <f ca="1">AVERAGE(OFFSET($GY$3,0,0,'Données projet'!$E$18+1,1))-AVERAGE(OFFSET($H$3,0,0,'Données projet'!$E$18+1,1))</f>
        <v>286.77702855541287</v>
      </c>
      <c r="HA203" s="59">
        <f t="shared" si="213"/>
        <v>227.12211541860779</v>
      </c>
      <c r="HB203" s="15">
        <f>IF(ISNA(VLOOKUP(A203,'Données projet'!$A$269:$I$289,3,0)),0,VLOOKUP(A203,'Données projet'!$A$269:$I$289,3,0))</f>
        <v>0</v>
      </c>
      <c r="HC203" s="15">
        <f>IF(ISNA(VLOOKUP(A203,'Données projet'!$A$269:$I$289,4,0)),0,VLOOKUP(A203,'Données projet'!$A$269:$I$289,4,0))</f>
        <v>0</v>
      </c>
      <c r="HD203" s="16">
        <f>IF(ISNA(VLOOKUP(A203,'Données projet'!$A$269:$I$289,5,0)),0%,VLOOKUP(A203,'Données projet'!$A$269:$I$289,5,0)*VLOOKUP('Données projet'!$B$18,Paramètres!$A$1:$I$89,7,0))</f>
        <v>0</v>
      </c>
      <c r="HE203" s="16">
        <f>IF(ISNA(VLOOKUP(A203,'Données projet'!$A$269:$I$289,6,0)),0%,VLOOKUP(A203,'Données projet'!$A$269:$I$289,6,0)*VLOOKUP('Données projet'!$B$18,Paramètres!$A$1:$I$89,7,0))</f>
        <v>0</v>
      </c>
      <c r="HF203" s="16">
        <f>IF(ISNA(VLOOKUP(A203,'Données projet'!$A$269:$I$289,7,0)),0%,VLOOKUP(A203,'Données projet'!$A$269:$I$289,7,0))</f>
        <v>0</v>
      </c>
      <c r="HG203" s="21">
        <f>EXP(-LN(2)/35)*HG202+(1-EXP(-LN(2)/35))/(LN(2)/35)*HC203*HD203*VLOOKUP('Données projet'!$B$18,Paramètres!$A$1:$I$89,3,0)*0.475*44/12</f>
        <v>0</v>
      </c>
      <c r="HH203" s="21">
        <f>EXP(-LN(2)/25)*HH202+(1-EXP(-LN(2)/25))/(LN(2)/25)*Calculateur!HC203*Calculateur!HE203*VLOOKUP('Données projet'!$B$18,Paramètres!$A$1:$I$89,3,0)*0.475*44/12</f>
        <v>0</v>
      </c>
      <c r="HI203" s="21">
        <f>EXP(-LN(2)/2)*HI202+(1-EXP(-LN(2)/2))/(LN(2)/2)*HC203*HF203*VLOOKUP('Données projet'!$B$18,Paramètres!$A$1:$I$89,3,0)*0.475*44/12</f>
        <v>0</v>
      </c>
      <c r="HJ203" s="22">
        <f t="shared" si="190"/>
        <v>0</v>
      </c>
    </row>
    <row r="204" spans="1:218" ht="15.75" thickBot="1" x14ac:dyDescent="0.3">
      <c r="B204" s="10"/>
      <c r="C204" s="76"/>
      <c r="D204" s="77"/>
      <c r="E204" s="77"/>
      <c r="F204" s="77"/>
      <c r="G204" s="11">
        <f>'Scénario référence'!$B$8*B204*44/12+'Scénario référence'!$B$9*(C204+D204)/0.475*44/12+'Scénario référence'!$B$10*(C204+D204)/0.475*44/12+'Scénario référence'!$F$8*(C204+D204)/0.475*44/12+'Scénario référence'!$F$9*(C204+D204)/0.475*44/12</f>
        <v>0</v>
      </c>
      <c r="H204" s="76"/>
      <c r="I204" s="76"/>
      <c r="J204" s="76"/>
      <c r="K204" s="84" t="s">
        <v>293</v>
      </c>
      <c r="L204" s="78"/>
      <c r="M204" s="78"/>
      <c r="N204" s="78"/>
      <c r="O204" s="76"/>
      <c r="P204" s="76"/>
      <c r="Q204" s="77"/>
      <c r="R204" s="79"/>
      <c r="S204" s="79"/>
      <c r="T204" s="79"/>
      <c r="U204" s="78"/>
      <c r="V204" s="78"/>
      <c r="W204" s="80"/>
      <c r="X204" s="80"/>
      <c r="Y204" s="80"/>
      <c r="Z204" s="76"/>
      <c r="AA204" s="76"/>
      <c r="AB204" s="76"/>
      <c r="AC204" s="76"/>
      <c r="AD204" s="76"/>
      <c r="AE204" s="76"/>
      <c r="AF204" s="81" t="s">
        <v>293</v>
      </c>
      <c r="BA204" s="81" t="s">
        <v>293</v>
      </c>
      <c r="BV204" s="81" t="s">
        <v>293</v>
      </c>
      <c r="CQ204" s="81" t="s">
        <v>293</v>
      </c>
      <c r="DL204" s="81" t="s">
        <v>293</v>
      </c>
      <c r="EG204" s="81" t="s">
        <v>293</v>
      </c>
      <c r="FB204" s="81" t="s">
        <v>293</v>
      </c>
      <c r="FW204" s="81" t="s">
        <v>293</v>
      </c>
      <c r="GR204" s="81" t="s">
        <v>293</v>
      </c>
    </row>
    <row r="205" spans="1:218" ht="15.75" thickBot="1" x14ac:dyDescent="0.3">
      <c r="B205" s="10"/>
      <c r="C205" s="76"/>
      <c r="D205" s="77"/>
      <c r="E205" s="77"/>
      <c r="F205" s="77"/>
      <c r="G205" s="11">
        <f>'Scénario référence'!$B$8*B205*44/12+'Scénario référence'!$B$9*(C205+D205)/0.475*44/12+'Scénario référence'!$B$10*(C205+D205)/0.475*44/12+'Scénario référence'!$F$8*(C205+D205)/0.475*44/12+'Scénario référence'!$F$9*(C205+D205)/0.475*44/12</f>
        <v>0</v>
      </c>
      <c r="H205" s="76"/>
      <c r="I205" s="76"/>
      <c r="J205" s="76"/>
      <c r="K205" s="82">
        <f>EXP(LN('Données projet'!B36)/'Données projet'!A36)</f>
        <v>1.3477630745024085</v>
      </c>
      <c r="L205" s="78"/>
      <c r="M205" s="78"/>
      <c r="N205" s="78"/>
      <c r="O205" s="76"/>
      <c r="P205" s="76"/>
      <c r="Q205" s="77"/>
      <c r="R205" s="79"/>
      <c r="S205" s="79"/>
      <c r="T205" s="79"/>
      <c r="U205" s="78"/>
      <c r="V205" s="78"/>
      <c r="W205" s="80"/>
      <c r="X205" s="80"/>
      <c r="Y205" s="80"/>
      <c r="Z205" s="76"/>
      <c r="AA205" s="76"/>
      <c r="AB205" s="76"/>
      <c r="AC205" s="76"/>
      <c r="AD205" s="76"/>
      <c r="AE205" s="76"/>
      <c r="AF205" s="83">
        <f>EXP(LN('Données projet'!B62)/'Données projet'!A62)</f>
        <v>1.3851516854212416</v>
      </c>
      <c r="BA205" s="82">
        <f>EXP(LN('Données projet'!B88)/'Données projet'!A88)</f>
        <v>1.2625985704272813</v>
      </c>
      <c r="BV205" s="82">
        <f>EXP(LN('Données projet'!B114)/'Données projet'!A114)</f>
        <v>1.2944424571091924</v>
      </c>
      <c r="CQ205" s="82" t="e">
        <f>EXP(LN('Données projet'!B140)/'Données projet'!A140)</f>
        <v>#NUM!</v>
      </c>
      <c r="DL205" s="82">
        <f>EXP(LN('Données projet'!B166)/'Données projet'!A166)</f>
        <v>1.2923922207808318</v>
      </c>
      <c r="EG205" s="82">
        <f>EXP(LN('Données projet'!B192)/'Données projet'!A192)</f>
        <v>1.2869554452352225</v>
      </c>
      <c r="FB205" s="82">
        <f>EXP(LN('Données projet'!B218)/'Données projet'!A218)</f>
        <v>1.2426005929945116</v>
      </c>
      <c r="FW205" s="82">
        <f>EXP(LN('Données projet'!B244)/'Données projet'!A244)</f>
        <v>1.1736311550444201</v>
      </c>
      <c r="GR205" s="82">
        <f>EXP(LN('Données projet'!B270)/'Données projet'!A270)</f>
        <v>1.1736311550444201</v>
      </c>
    </row>
  </sheetData>
  <sheetProtection algorithmName="SHA-512" hashValue="E5XKn2aWoKGVstosYF6mK1fToi+YwFf2tnxpqp1+eJaUOVqRtFYozbbTK2TVQqixla5SnSDcLnpZzZZheUeRWQ==" saltValue="amSB2CkEFfFPgBWPtMTRCg==" spinCount="100000" sheet="1" objects="1" scenarios="1"/>
  <mergeCells count="11">
    <mergeCell ref="EE1:EY1"/>
    <mergeCell ref="EZ1:FT1"/>
    <mergeCell ref="FU1:GO1"/>
    <mergeCell ref="GP1:HJ1"/>
    <mergeCell ref="B1:H1"/>
    <mergeCell ref="I1:AC1"/>
    <mergeCell ref="AD1:AX1"/>
    <mergeCell ref="AY1:BS1"/>
    <mergeCell ref="BT1:CN1"/>
    <mergeCell ref="CO1:DI1"/>
    <mergeCell ref="DJ1:E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P95"/>
  <sheetViews>
    <sheetView topLeftCell="A53" workbookViewId="0">
      <selection activeCell="D102" sqref="D102"/>
    </sheetView>
  </sheetViews>
  <sheetFormatPr baseColWidth="10" defaultColWidth="11.42578125" defaultRowHeight="15" x14ac:dyDescent="0.25"/>
  <cols>
    <col min="1" max="1" width="23.42578125" style="4" bestFit="1" customWidth="1"/>
    <col min="2" max="2" width="27.7109375" style="4" bestFit="1" customWidth="1"/>
    <col min="3" max="3" width="11.85546875" style="4" bestFit="1" customWidth="1"/>
    <col min="4" max="4" width="40" style="4" bestFit="1" customWidth="1"/>
    <col min="5" max="5" width="11.85546875" style="4" bestFit="1" customWidth="1"/>
    <col min="6" max="6" width="13.7109375" style="4" bestFit="1" customWidth="1"/>
    <col min="7" max="7" width="11.42578125" style="4" bestFit="1" customWidth="1"/>
    <col min="8" max="8" width="39" style="4" bestFit="1" customWidth="1"/>
    <col min="9" max="9" width="16.7109375" style="4" customWidth="1"/>
    <col min="10" max="14" width="11.42578125" style="4"/>
    <col min="15" max="15" width="23.42578125" style="4" bestFit="1" customWidth="1"/>
    <col min="16" max="16384" width="11.42578125" style="4"/>
  </cols>
  <sheetData>
    <row r="1" spans="1:16" ht="45.75" thickBot="1" x14ac:dyDescent="0.3">
      <c r="A1" s="111" t="s">
        <v>0</v>
      </c>
      <c r="B1" s="112" t="s">
        <v>106</v>
      </c>
      <c r="C1" s="113" t="s">
        <v>144</v>
      </c>
      <c r="D1" s="112" t="s">
        <v>100</v>
      </c>
      <c r="E1" s="113" t="s">
        <v>145</v>
      </c>
      <c r="F1" s="113" t="s">
        <v>100</v>
      </c>
      <c r="G1" s="113" t="s">
        <v>146</v>
      </c>
      <c r="H1" s="113" t="s">
        <v>100</v>
      </c>
      <c r="I1" s="114" t="s">
        <v>147</v>
      </c>
      <c r="J1" s="78"/>
      <c r="K1" s="78"/>
      <c r="L1" s="78"/>
      <c r="M1" s="78"/>
      <c r="N1" s="78"/>
    </row>
    <row r="2" spans="1:16" x14ac:dyDescent="0.25">
      <c r="A2" s="115" t="s">
        <v>1</v>
      </c>
      <c r="B2" s="116" t="s">
        <v>53</v>
      </c>
      <c r="C2" s="117">
        <v>0.62</v>
      </c>
      <c r="D2" s="117" t="s">
        <v>161</v>
      </c>
      <c r="E2" s="117">
        <v>1.56</v>
      </c>
      <c r="F2" s="117" t="s">
        <v>274</v>
      </c>
      <c r="G2" s="118">
        <v>0.43</v>
      </c>
      <c r="H2" s="119" t="s">
        <v>278</v>
      </c>
      <c r="I2" s="120">
        <v>0.25</v>
      </c>
      <c r="J2" s="78"/>
      <c r="K2" s="78"/>
      <c r="L2" s="78"/>
      <c r="M2" s="78"/>
      <c r="N2" s="78"/>
      <c r="O2" s="281" t="s">
        <v>238</v>
      </c>
      <c r="P2" s="121">
        <v>0</v>
      </c>
    </row>
    <row r="3" spans="1:16" ht="15.75" thickBot="1" x14ac:dyDescent="0.3">
      <c r="A3" s="122" t="s">
        <v>2</v>
      </c>
      <c r="B3" s="123" t="s">
        <v>54</v>
      </c>
      <c r="C3" s="124">
        <v>0.64</v>
      </c>
      <c r="D3" s="124" t="s">
        <v>161</v>
      </c>
      <c r="E3" s="124">
        <v>1.56</v>
      </c>
      <c r="F3" s="125" t="s">
        <v>274</v>
      </c>
      <c r="G3" s="126">
        <v>0.43</v>
      </c>
      <c r="H3" s="124" t="s">
        <v>278</v>
      </c>
      <c r="I3" s="127">
        <v>0.25</v>
      </c>
      <c r="J3" s="78"/>
      <c r="K3" s="78"/>
      <c r="L3" s="78"/>
      <c r="M3" s="78"/>
      <c r="N3" s="78"/>
      <c r="O3" s="282"/>
      <c r="P3" s="128">
        <v>0.2</v>
      </c>
    </row>
    <row r="4" spans="1:16" ht="15.75" thickBot="1" x14ac:dyDescent="0.3">
      <c r="A4" s="122" t="s">
        <v>98</v>
      </c>
      <c r="B4" s="123" t="s">
        <v>99</v>
      </c>
      <c r="C4" s="124">
        <v>0.42</v>
      </c>
      <c r="D4" s="124" t="s">
        <v>161</v>
      </c>
      <c r="E4" s="124">
        <v>1.56</v>
      </c>
      <c r="F4" s="125" t="s">
        <v>274</v>
      </c>
      <c r="G4" s="126">
        <v>0.43</v>
      </c>
      <c r="H4" s="124" t="s">
        <v>278</v>
      </c>
      <c r="I4" s="127">
        <v>0.25</v>
      </c>
      <c r="J4" s="78"/>
      <c r="K4" s="78"/>
      <c r="L4" s="78"/>
      <c r="M4" s="78"/>
      <c r="N4" s="78"/>
    </row>
    <row r="5" spans="1:16" x14ac:dyDescent="0.25">
      <c r="A5" s="122" t="s">
        <v>4</v>
      </c>
      <c r="B5" s="123" t="s">
        <v>55</v>
      </c>
      <c r="C5" s="124">
        <v>0.42</v>
      </c>
      <c r="D5" s="124" t="s">
        <v>161</v>
      </c>
      <c r="E5" s="124">
        <v>1.56</v>
      </c>
      <c r="F5" s="125" t="s">
        <v>274</v>
      </c>
      <c r="G5" s="126">
        <v>0.43</v>
      </c>
      <c r="H5" s="124" t="s">
        <v>278</v>
      </c>
      <c r="I5" s="127">
        <v>0.25</v>
      </c>
      <c r="J5" s="78"/>
      <c r="K5" s="78"/>
      <c r="L5" s="78"/>
      <c r="M5" s="78"/>
      <c r="N5" s="78"/>
      <c r="O5" s="281" t="s">
        <v>237</v>
      </c>
      <c r="P5" s="121">
        <v>0</v>
      </c>
    </row>
    <row r="6" spans="1:16" x14ac:dyDescent="0.25">
      <c r="A6" s="122" t="s">
        <v>3</v>
      </c>
      <c r="B6" s="123" t="s">
        <v>97</v>
      </c>
      <c r="C6" s="124">
        <v>0.42</v>
      </c>
      <c r="D6" s="124" t="s">
        <v>161</v>
      </c>
      <c r="E6" s="124">
        <v>1.56</v>
      </c>
      <c r="F6" s="125" t="s">
        <v>274</v>
      </c>
      <c r="G6" s="126">
        <v>0.43</v>
      </c>
      <c r="H6" s="124" t="s">
        <v>278</v>
      </c>
      <c r="I6" s="127">
        <v>0.25</v>
      </c>
      <c r="J6" s="78"/>
      <c r="K6" s="78"/>
      <c r="L6" s="78"/>
      <c r="M6" s="78"/>
      <c r="N6" s="78"/>
      <c r="O6" s="283"/>
      <c r="P6" s="129">
        <v>0.05</v>
      </c>
    </row>
    <row r="7" spans="1:16" x14ac:dyDescent="0.25">
      <c r="A7" s="122" t="s">
        <v>5</v>
      </c>
      <c r="B7" s="123" t="s">
        <v>56</v>
      </c>
      <c r="C7" s="124">
        <v>0.52</v>
      </c>
      <c r="D7" s="124" t="s">
        <v>161</v>
      </c>
      <c r="E7" s="124">
        <v>1.56</v>
      </c>
      <c r="F7" s="125" t="s">
        <v>274</v>
      </c>
      <c r="G7" s="126">
        <v>0.43</v>
      </c>
      <c r="H7" s="124" t="s">
        <v>278</v>
      </c>
      <c r="I7" s="127">
        <v>0.25</v>
      </c>
      <c r="J7" s="78"/>
      <c r="K7" s="78"/>
      <c r="L7" s="78"/>
      <c r="M7" s="78"/>
      <c r="N7" s="78"/>
      <c r="O7" s="283"/>
      <c r="P7" s="129">
        <v>0.1</v>
      </c>
    </row>
    <row r="8" spans="1:16" ht="15.75" thickBot="1" x14ac:dyDescent="0.3">
      <c r="A8" s="122" t="s">
        <v>164</v>
      </c>
      <c r="B8" s="123" t="s">
        <v>57</v>
      </c>
      <c r="C8" s="124">
        <v>0.36</v>
      </c>
      <c r="D8" s="124" t="s">
        <v>161</v>
      </c>
      <c r="E8" s="124">
        <v>1.3</v>
      </c>
      <c r="F8" s="125" t="s">
        <v>274</v>
      </c>
      <c r="G8" s="126">
        <v>0.55000000000000004</v>
      </c>
      <c r="H8" s="124" t="s">
        <v>153</v>
      </c>
      <c r="I8" s="127">
        <v>0.43</v>
      </c>
      <c r="J8" s="78"/>
      <c r="K8" s="78"/>
      <c r="L8" s="78"/>
      <c r="M8" s="78"/>
      <c r="N8" s="78"/>
      <c r="O8" s="282"/>
      <c r="P8" s="128">
        <v>0.15</v>
      </c>
    </row>
    <row r="9" spans="1:16" ht="15.75" thickBot="1" x14ac:dyDescent="0.3">
      <c r="A9" s="122" t="s">
        <v>6</v>
      </c>
      <c r="B9" s="123" t="s">
        <v>58</v>
      </c>
      <c r="C9" s="124">
        <v>0.61</v>
      </c>
      <c r="D9" s="124" t="s">
        <v>161</v>
      </c>
      <c r="E9" s="124">
        <v>1.56</v>
      </c>
      <c r="F9" s="125" t="s">
        <v>274</v>
      </c>
      <c r="G9" s="126">
        <v>0.43</v>
      </c>
      <c r="H9" s="124" t="s">
        <v>278</v>
      </c>
      <c r="I9" s="127">
        <v>0.25</v>
      </c>
      <c r="J9" s="78"/>
      <c r="K9" s="78"/>
      <c r="L9" s="78"/>
      <c r="M9" s="78"/>
      <c r="N9" s="78"/>
    </row>
    <row r="10" spans="1:16" x14ac:dyDescent="0.25">
      <c r="A10" s="122" t="s">
        <v>7</v>
      </c>
      <c r="B10" s="123" t="s">
        <v>59</v>
      </c>
      <c r="C10" s="124">
        <v>0.66</v>
      </c>
      <c r="D10" s="124" t="s">
        <v>161</v>
      </c>
      <c r="E10" s="124">
        <v>1.56</v>
      </c>
      <c r="F10" s="125" t="s">
        <v>274</v>
      </c>
      <c r="G10" s="126">
        <v>0.43</v>
      </c>
      <c r="H10" s="124" t="s">
        <v>278</v>
      </c>
      <c r="I10" s="127">
        <v>0.25</v>
      </c>
      <c r="J10" s="78"/>
      <c r="K10" s="78"/>
      <c r="L10" s="78"/>
      <c r="M10" s="78"/>
      <c r="N10" s="78"/>
      <c r="O10" s="281" t="s">
        <v>236</v>
      </c>
      <c r="P10" s="121">
        <v>0</v>
      </c>
    </row>
    <row r="11" spans="1:16" ht="15.75" thickBot="1" x14ac:dyDescent="0.3">
      <c r="A11" s="122" t="s">
        <v>8</v>
      </c>
      <c r="B11" s="123" t="s">
        <v>60</v>
      </c>
      <c r="C11" s="124">
        <v>0.47</v>
      </c>
      <c r="D11" s="124" t="s">
        <v>161</v>
      </c>
      <c r="E11" s="124">
        <v>1.56</v>
      </c>
      <c r="F11" s="125" t="s">
        <v>274</v>
      </c>
      <c r="G11" s="126">
        <v>0.43</v>
      </c>
      <c r="H11" s="124" t="s">
        <v>278</v>
      </c>
      <c r="I11" s="127">
        <v>0.25</v>
      </c>
      <c r="J11" s="78"/>
      <c r="K11" s="78"/>
      <c r="L11" s="78"/>
      <c r="M11" s="78"/>
      <c r="N11" s="78"/>
      <c r="O11" s="282"/>
      <c r="P11" s="128">
        <v>0.1</v>
      </c>
    </row>
    <row r="12" spans="1:16" x14ac:dyDescent="0.25">
      <c r="A12" s="122" t="s">
        <v>9</v>
      </c>
      <c r="B12" s="123" t="s">
        <v>61</v>
      </c>
      <c r="C12" s="124">
        <v>0.67</v>
      </c>
      <c r="D12" s="124" t="s">
        <v>161</v>
      </c>
      <c r="E12" s="124">
        <v>1.56</v>
      </c>
      <c r="F12" s="125" t="s">
        <v>274</v>
      </c>
      <c r="G12" s="126">
        <v>0.43</v>
      </c>
      <c r="H12" s="124" t="s">
        <v>152</v>
      </c>
      <c r="I12" s="127">
        <v>0.25</v>
      </c>
      <c r="J12" s="78"/>
      <c r="K12" s="78"/>
      <c r="L12" s="78"/>
      <c r="M12" s="78"/>
      <c r="N12" s="78"/>
    </row>
    <row r="13" spans="1:16" x14ac:dyDescent="0.25">
      <c r="A13" s="122" t="s">
        <v>10</v>
      </c>
      <c r="B13" s="123" t="s">
        <v>62</v>
      </c>
      <c r="C13" s="124">
        <v>0.7</v>
      </c>
      <c r="D13" s="124" t="s">
        <v>161</v>
      </c>
      <c r="E13" s="124">
        <v>1.56</v>
      </c>
      <c r="F13" s="125" t="s">
        <v>274</v>
      </c>
      <c r="G13" s="126">
        <v>0.43</v>
      </c>
      <c r="H13" s="124" t="s">
        <v>152</v>
      </c>
      <c r="I13" s="127">
        <v>0.25</v>
      </c>
      <c r="J13" s="78"/>
      <c r="K13" s="78"/>
      <c r="L13" s="78"/>
      <c r="M13" s="78"/>
      <c r="N13" s="78"/>
    </row>
    <row r="14" spans="1:16" x14ac:dyDescent="0.25">
      <c r="A14" s="122" t="s">
        <v>11</v>
      </c>
      <c r="B14" s="123" t="s">
        <v>63</v>
      </c>
      <c r="C14" s="124">
        <v>0.54</v>
      </c>
      <c r="D14" s="124" t="s">
        <v>161</v>
      </c>
      <c r="E14" s="124">
        <v>1.56</v>
      </c>
      <c r="F14" s="125" t="s">
        <v>274</v>
      </c>
      <c r="G14" s="126">
        <v>0.43</v>
      </c>
      <c r="H14" s="124" t="s">
        <v>152</v>
      </c>
      <c r="I14" s="127">
        <v>0.25</v>
      </c>
      <c r="J14" s="78"/>
      <c r="K14" s="78"/>
      <c r="L14" s="78"/>
      <c r="M14" s="78"/>
      <c r="N14" s="78"/>
    </row>
    <row r="15" spans="1:16" x14ac:dyDescent="0.25">
      <c r="A15" s="122" t="s">
        <v>12</v>
      </c>
      <c r="B15" s="123" t="s">
        <v>64</v>
      </c>
      <c r="C15" s="124">
        <v>0.65</v>
      </c>
      <c r="D15" s="124" t="s">
        <v>161</v>
      </c>
      <c r="E15" s="124">
        <v>1.56</v>
      </c>
      <c r="F15" s="125" t="s">
        <v>274</v>
      </c>
      <c r="G15" s="126">
        <v>0.43</v>
      </c>
      <c r="H15" s="124" t="s">
        <v>152</v>
      </c>
      <c r="I15" s="127">
        <v>0.25</v>
      </c>
      <c r="J15" s="78"/>
      <c r="K15" s="78"/>
      <c r="L15" s="78"/>
      <c r="M15" s="78"/>
      <c r="N15" s="78"/>
    </row>
    <row r="16" spans="1:16" x14ac:dyDescent="0.25">
      <c r="A16" s="122" t="s">
        <v>13</v>
      </c>
      <c r="B16" s="123" t="s">
        <v>65</v>
      </c>
      <c r="C16" s="124">
        <v>0.56000000000000005</v>
      </c>
      <c r="D16" s="124" t="s">
        <v>161</v>
      </c>
      <c r="E16" s="124">
        <v>1.56</v>
      </c>
      <c r="F16" s="125" t="s">
        <v>274</v>
      </c>
      <c r="G16" s="126">
        <v>0.43</v>
      </c>
      <c r="H16" s="124" t="s">
        <v>152</v>
      </c>
      <c r="I16" s="127">
        <v>0.25</v>
      </c>
      <c r="J16" s="78"/>
      <c r="K16" s="78"/>
      <c r="L16" s="78"/>
      <c r="M16" s="78"/>
      <c r="N16" s="78"/>
    </row>
    <row r="17" spans="1:14" x14ac:dyDescent="0.25">
      <c r="A17" s="122" t="s">
        <v>14</v>
      </c>
      <c r="B17" s="123" t="s">
        <v>66</v>
      </c>
      <c r="C17" s="124">
        <v>0.57999999999999996</v>
      </c>
      <c r="D17" s="124" t="s">
        <v>161</v>
      </c>
      <c r="E17" s="124">
        <v>1.56</v>
      </c>
      <c r="F17" s="125" t="s">
        <v>274</v>
      </c>
      <c r="G17" s="126">
        <v>0.43</v>
      </c>
      <c r="H17" s="124" t="s">
        <v>152</v>
      </c>
      <c r="I17" s="127">
        <v>0.25</v>
      </c>
      <c r="J17" s="78"/>
      <c r="K17" s="78"/>
      <c r="L17" s="78"/>
      <c r="M17" s="78"/>
      <c r="N17" s="78"/>
    </row>
    <row r="18" spans="1:14" x14ac:dyDescent="0.25">
      <c r="A18" s="122" t="s">
        <v>15</v>
      </c>
      <c r="B18" s="123" t="s">
        <v>67</v>
      </c>
      <c r="C18" s="124">
        <v>0.64</v>
      </c>
      <c r="D18" s="124" t="s">
        <v>161</v>
      </c>
      <c r="E18" s="124">
        <v>1.56</v>
      </c>
      <c r="F18" s="125" t="s">
        <v>274</v>
      </c>
      <c r="G18" s="126">
        <v>0.43</v>
      </c>
      <c r="H18" s="124" t="s">
        <v>152</v>
      </c>
      <c r="I18" s="127">
        <v>0.25</v>
      </c>
      <c r="J18" s="78"/>
      <c r="K18" s="78"/>
      <c r="L18" s="78"/>
      <c r="M18" s="78"/>
      <c r="N18" s="78"/>
    </row>
    <row r="19" spans="1:14" x14ac:dyDescent="0.25">
      <c r="A19" s="122" t="s">
        <v>16</v>
      </c>
      <c r="B19" s="123" t="s">
        <v>68</v>
      </c>
      <c r="C19" s="124">
        <v>0.73</v>
      </c>
      <c r="D19" s="124" t="s">
        <v>161</v>
      </c>
      <c r="E19" s="124">
        <v>1.56</v>
      </c>
      <c r="F19" s="125" t="s">
        <v>274</v>
      </c>
      <c r="G19" s="126">
        <v>0.43</v>
      </c>
      <c r="H19" s="124" t="s">
        <v>152</v>
      </c>
      <c r="I19" s="127">
        <v>0.25</v>
      </c>
      <c r="J19" s="78"/>
      <c r="K19" s="78"/>
      <c r="L19" s="78"/>
      <c r="M19" s="78"/>
      <c r="N19" s="78"/>
    </row>
    <row r="20" spans="1:14" x14ac:dyDescent="0.25">
      <c r="A20" s="122" t="s">
        <v>52</v>
      </c>
      <c r="B20" s="123" t="s">
        <v>69</v>
      </c>
      <c r="C20" s="124">
        <v>0.69</v>
      </c>
      <c r="D20" s="124" t="s">
        <v>131</v>
      </c>
      <c r="E20" s="124">
        <v>1.56</v>
      </c>
      <c r="F20" s="125" t="s">
        <v>274</v>
      </c>
      <c r="G20" s="126">
        <v>0.43</v>
      </c>
      <c r="H20" s="124" t="s">
        <v>282</v>
      </c>
      <c r="I20" s="127">
        <v>0.25</v>
      </c>
      <c r="J20" s="78"/>
      <c r="K20" s="78"/>
      <c r="L20" s="78"/>
      <c r="M20" s="78"/>
      <c r="N20" s="78"/>
    </row>
    <row r="21" spans="1:14" x14ac:dyDescent="0.25">
      <c r="A21" s="122" t="s">
        <v>154</v>
      </c>
      <c r="B21" s="123" t="s">
        <v>155</v>
      </c>
      <c r="C21" s="124">
        <v>0.36</v>
      </c>
      <c r="D21" s="124" t="s">
        <v>161</v>
      </c>
      <c r="E21" s="124">
        <v>1.3</v>
      </c>
      <c r="F21" s="125" t="s">
        <v>274</v>
      </c>
      <c r="G21" s="126">
        <v>0.55000000000000004</v>
      </c>
      <c r="H21" s="124" t="s">
        <v>153</v>
      </c>
      <c r="I21" s="127">
        <v>0.43</v>
      </c>
      <c r="J21" s="78"/>
      <c r="K21" s="78"/>
      <c r="L21" s="78"/>
      <c r="M21" s="78"/>
      <c r="N21" s="78"/>
    </row>
    <row r="22" spans="1:14" x14ac:dyDescent="0.25">
      <c r="A22" s="122" t="s">
        <v>17</v>
      </c>
      <c r="B22" s="123" t="s">
        <v>70</v>
      </c>
      <c r="C22" s="124">
        <v>0.4</v>
      </c>
      <c r="D22" s="124" t="s">
        <v>161</v>
      </c>
      <c r="E22" s="124">
        <v>1.3</v>
      </c>
      <c r="F22" s="125" t="s">
        <v>274</v>
      </c>
      <c r="G22" s="126">
        <v>0.55000000000000004</v>
      </c>
      <c r="H22" s="124" t="s">
        <v>153</v>
      </c>
      <c r="I22" s="127">
        <v>0.43</v>
      </c>
      <c r="J22" s="78"/>
      <c r="K22" s="78"/>
      <c r="L22" s="78"/>
      <c r="M22" s="78"/>
      <c r="N22" s="78"/>
    </row>
    <row r="23" spans="1:14" x14ac:dyDescent="0.25">
      <c r="A23" s="122" t="s">
        <v>18</v>
      </c>
      <c r="B23" s="123" t="s">
        <v>71</v>
      </c>
      <c r="C23" s="124">
        <v>0.43</v>
      </c>
      <c r="D23" s="124" t="s">
        <v>161</v>
      </c>
      <c r="E23" s="124">
        <v>1.3</v>
      </c>
      <c r="F23" s="125" t="s">
        <v>274</v>
      </c>
      <c r="G23" s="126">
        <v>0.55000000000000004</v>
      </c>
      <c r="H23" s="124" t="s">
        <v>153</v>
      </c>
      <c r="I23" s="127">
        <v>0.43</v>
      </c>
      <c r="J23" s="78"/>
      <c r="K23" s="78"/>
      <c r="L23" s="78"/>
      <c r="M23" s="78"/>
      <c r="N23" s="78"/>
    </row>
    <row r="24" spans="1:14" x14ac:dyDescent="0.25">
      <c r="A24" s="122" t="s">
        <v>19</v>
      </c>
      <c r="B24" s="123" t="s">
        <v>72</v>
      </c>
      <c r="C24" s="124">
        <v>0.37</v>
      </c>
      <c r="D24" s="124" t="s">
        <v>161</v>
      </c>
      <c r="E24" s="124">
        <v>1.3</v>
      </c>
      <c r="F24" s="125" t="s">
        <v>274</v>
      </c>
      <c r="G24" s="126">
        <v>0.55000000000000004</v>
      </c>
      <c r="H24" s="124" t="s">
        <v>152</v>
      </c>
      <c r="I24" s="127">
        <v>0.43</v>
      </c>
      <c r="J24" s="78"/>
      <c r="K24" s="78"/>
      <c r="L24" s="78"/>
      <c r="M24" s="78"/>
      <c r="N24" s="78"/>
    </row>
    <row r="25" spans="1:14" x14ac:dyDescent="0.25">
      <c r="A25" s="122" t="s">
        <v>20</v>
      </c>
      <c r="B25" s="123" t="s">
        <v>73</v>
      </c>
      <c r="C25" s="124">
        <v>0.36</v>
      </c>
      <c r="D25" s="124" t="s">
        <v>161</v>
      </c>
      <c r="E25" s="124">
        <v>1.3</v>
      </c>
      <c r="F25" s="125" t="s">
        <v>274</v>
      </c>
      <c r="G25" s="126">
        <v>0.55000000000000004</v>
      </c>
      <c r="H25" s="124" t="s">
        <v>152</v>
      </c>
      <c r="I25" s="127">
        <v>0.43</v>
      </c>
      <c r="J25" s="78"/>
      <c r="K25" s="78"/>
      <c r="L25" s="78"/>
      <c r="M25" s="78"/>
      <c r="N25" s="78"/>
    </row>
    <row r="26" spans="1:14" x14ac:dyDescent="0.25">
      <c r="A26" s="122" t="s">
        <v>21</v>
      </c>
      <c r="B26" s="123" t="s">
        <v>74</v>
      </c>
      <c r="C26" s="124">
        <v>0.56000000000000005</v>
      </c>
      <c r="D26" s="124" t="s">
        <v>161</v>
      </c>
      <c r="E26" s="124">
        <v>1.56</v>
      </c>
      <c r="F26" s="125" t="s">
        <v>274</v>
      </c>
      <c r="G26" s="126">
        <v>0.53</v>
      </c>
      <c r="H26" s="124" t="s">
        <v>275</v>
      </c>
      <c r="I26" s="127">
        <v>0.25</v>
      </c>
      <c r="J26" s="78"/>
      <c r="K26" s="78"/>
      <c r="L26" s="78"/>
      <c r="M26" s="78"/>
      <c r="N26" s="78"/>
    </row>
    <row r="27" spans="1:14" x14ac:dyDescent="0.25">
      <c r="A27" s="122" t="s">
        <v>22</v>
      </c>
      <c r="B27" s="123" t="s">
        <v>75</v>
      </c>
      <c r="C27" s="124">
        <v>0.51</v>
      </c>
      <c r="D27" s="124" t="s">
        <v>161</v>
      </c>
      <c r="E27" s="124">
        <v>1.56</v>
      </c>
      <c r="F27" s="125" t="s">
        <v>274</v>
      </c>
      <c r="G27" s="126">
        <v>0.53</v>
      </c>
      <c r="H27" s="124" t="s">
        <v>275</v>
      </c>
      <c r="I27" s="127">
        <v>0.25</v>
      </c>
      <c r="J27" s="78"/>
      <c r="K27" s="78"/>
      <c r="L27" s="78"/>
      <c r="M27" s="78"/>
      <c r="N27" s="78"/>
    </row>
    <row r="28" spans="1:14" x14ac:dyDescent="0.25">
      <c r="A28" s="122" t="s">
        <v>23</v>
      </c>
      <c r="B28" s="123" t="s">
        <v>76</v>
      </c>
      <c r="C28" s="124">
        <v>0.51</v>
      </c>
      <c r="D28" s="124" t="s">
        <v>161</v>
      </c>
      <c r="E28" s="124">
        <v>1.56</v>
      </c>
      <c r="F28" s="125" t="s">
        <v>274</v>
      </c>
      <c r="G28" s="126">
        <v>0.53</v>
      </c>
      <c r="H28" s="124" t="s">
        <v>275</v>
      </c>
      <c r="I28" s="127">
        <v>0.25</v>
      </c>
      <c r="J28" s="78"/>
      <c r="K28" s="78"/>
      <c r="L28" s="78"/>
      <c r="M28" s="78"/>
      <c r="N28" s="78"/>
    </row>
    <row r="29" spans="1:14" x14ac:dyDescent="0.25">
      <c r="A29" s="122" t="s">
        <v>24</v>
      </c>
      <c r="B29" s="123" t="s">
        <v>24</v>
      </c>
      <c r="C29" s="124">
        <v>0.56000000000000005</v>
      </c>
      <c r="D29" s="124" t="s">
        <v>161</v>
      </c>
      <c r="E29" s="124">
        <v>1.56</v>
      </c>
      <c r="F29" s="125" t="s">
        <v>274</v>
      </c>
      <c r="G29" s="126">
        <v>0.53</v>
      </c>
      <c r="H29" s="124" t="s">
        <v>275</v>
      </c>
      <c r="I29" s="127">
        <v>0.25</v>
      </c>
      <c r="J29" s="78"/>
      <c r="K29" s="78"/>
      <c r="L29" s="78"/>
      <c r="M29" s="78"/>
      <c r="N29" s="78"/>
    </row>
    <row r="30" spans="1:14" x14ac:dyDescent="0.25">
      <c r="A30" s="122" t="s">
        <v>25</v>
      </c>
      <c r="B30" s="123" t="s">
        <v>77</v>
      </c>
      <c r="C30" s="124">
        <v>0.55000000000000004</v>
      </c>
      <c r="D30" s="124" t="s">
        <v>161</v>
      </c>
      <c r="E30" s="124">
        <v>1.56</v>
      </c>
      <c r="F30" s="125" t="s">
        <v>274</v>
      </c>
      <c r="G30" s="126">
        <v>0.53</v>
      </c>
      <c r="H30" s="124" t="s">
        <v>152</v>
      </c>
      <c r="I30" s="127">
        <v>0.25</v>
      </c>
      <c r="J30" s="78"/>
      <c r="K30" s="78"/>
      <c r="L30" s="78"/>
      <c r="M30" s="78"/>
      <c r="N30" s="78"/>
    </row>
    <row r="31" spans="1:14" x14ac:dyDescent="0.25">
      <c r="A31" s="122" t="s">
        <v>26</v>
      </c>
      <c r="B31" s="123" t="s">
        <v>78</v>
      </c>
      <c r="C31" s="124">
        <v>0.56000000000000005</v>
      </c>
      <c r="D31" s="124" t="s">
        <v>161</v>
      </c>
      <c r="E31" s="124">
        <v>1.56</v>
      </c>
      <c r="F31" s="125" t="s">
        <v>274</v>
      </c>
      <c r="G31" s="126">
        <v>0.43</v>
      </c>
      <c r="H31" s="124" t="s">
        <v>278</v>
      </c>
      <c r="I31" s="127">
        <v>0.25</v>
      </c>
      <c r="J31" s="78"/>
      <c r="K31" s="78"/>
      <c r="L31" s="78"/>
      <c r="M31" s="78"/>
      <c r="N31" s="78"/>
    </row>
    <row r="32" spans="1:14" x14ac:dyDescent="0.25">
      <c r="A32" s="122" t="s">
        <v>27</v>
      </c>
      <c r="B32" s="123" t="s">
        <v>79</v>
      </c>
      <c r="C32" s="124">
        <v>0.48</v>
      </c>
      <c r="D32" s="124" t="s">
        <v>161</v>
      </c>
      <c r="E32" s="124">
        <v>1.3</v>
      </c>
      <c r="F32" s="125" t="s">
        <v>274</v>
      </c>
      <c r="G32" s="126">
        <v>0.6</v>
      </c>
      <c r="H32" s="124" t="s">
        <v>281</v>
      </c>
      <c r="I32" s="127">
        <v>0.43</v>
      </c>
      <c r="J32" s="78"/>
      <c r="K32" s="78"/>
      <c r="L32" s="78"/>
      <c r="M32" s="78"/>
      <c r="N32" s="78"/>
    </row>
    <row r="33" spans="1:14" x14ac:dyDescent="0.25">
      <c r="A33" s="122" t="s">
        <v>28</v>
      </c>
      <c r="B33" s="123" t="s">
        <v>80</v>
      </c>
      <c r="C33" s="124">
        <v>0.42</v>
      </c>
      <c r="D33" s="124" t="s">
        <v>161</v>
      </c>
      <c r="E33" s="124">
        <v>1.3</v>
      </c>
      <c r="F33" s="125" t="s">
        <v>274</v>
      </c>
      <c r="G33" s="126">
        <v>0.6</v>
      </c>
      <c r="H33" s="124" t="s">
        <v>281</v>
      </c>
      <c r="I33" s="127">
        <v>0.43</v>
      </c>
      <c r="J33" s="78"/>
      <c r="K33" s="78"/>
      <c r="L33" s="78"/>
      <c r="M33" s="78"/>
      <c r="N33" s="78"/>
    </row>
    <row r="34" spans="1:14" x14ac:dyDescent="0.25">
      <c r="A34" s="122" t="s">
        <v>81</v>
      </c>
      <c r="B34" s="123" t="s">
        <v>163</v>
      </c>
      <c r="C34" s="124">
        <v>0.42</v>
      </c>
      <c r="D34" s="124" t="s">
        <v>103</v>
      </c>
      <c r="E34" s="124">
        <v>1.3</v>
      </c>
      <c r="F34" s="125" t="s">
        <v>274</v>
      </c>
      <c r="G34" s="126">
        <v>0.6</v>
      </c>
      <c r="H34" s="123" t="s">
        <v>280</v>
      </c>
      <c r="I34" s="127">
        <v>0.43</v>
      </c>
      <c r="J34" s="78"/>
      <c r="K34" s="78"/>
      <c r="L34" s="78"/>
      <c r="M34" s="78"/>
      <c r="N34" s="78"/>
    </row>
    <row r="35" spans="1:14" x14ac:dyDescent="0.25">
      <c r="A35" s="122" t="s">
        <v>29</v>
      </c>
      <c r="B35" s="123" t="s">
        <v>82</v>
      </c>
      <c r="C35" s="124">
        <v>0.5</v>
      </c>
      <c r="D35" s="124" t="s">
        <v>161</v>
      </c>
      <c r="E35" s="124">
        <v>1.56</v>
      </c>
      <c r="F35" s="125" t="s">
        <v>274</v>
      </c>
      <c r="G35" s="126">
        <v>0.43</v>
      </c>
      <c r="H35" s="124" t="s">
        <v>278</v>
      </c>
      <c r="I35" s="127">
        <v>0.25</v>
      </c>
      <c r="J35" s="78"/>
      <c r="K35" s="78"/>
      <c r="L35" s="78"/>
      <c r="M35" s="78"/>
      <c r="N35" s="78"/>
    </row>
    <row r="36" spans="1:14" x14ac:dyDescent="0.25">
      <c r="A36" s="122" t="s">
        <v>102</v>
      </c>
      <c r="B36" s="123" t="s">
        <v>101</v>
      </c>
      <c r="C36" s="124">
        <v>0.55000000000000004</v>
      </c>
      <c r="D36" s="124" t="s">
        <v>161</v>
      </c>
      <c r="E36" s="124">
        <v>1.56</v>
      </c>
      <c r="F36" s="125" t="s">
        <v>274</v>
      </c>
      <c r="G36" s="126">
        <v>0.53</v>
      </c>
      <c r="H36" s="124" t="s">
        <v>275</v>
      </c>
      <c r="I36" s="127">
        <v>0.25</v>
      </c>
      <c r="J36" s="78"/>
      <c r="K36" s="78"/>
      <c r="L36" s="78"/>
      <c r="M36" s="78"/>
      <c r="N36" s="78"/>
    </row>
    <row r="37" spans="1:14" x14ac:dyDescent="0.25">
      <c r="A37" s="122" t="s">
        <v>30</v>
      </c>
      <c r="B37" s="123" t="s">
        <v>104</v>
      </c>
      <c r="C37" s="124">
        <v>0.52</v>
      </c>
      <c r="D37" s="124" t="s">
        <v>161</v>
      </c>
      <c r="E37" s="124">
        <v>1.56</v>
      </c>
      <c r="F37" s="125" t="s">
        <v>274</v>
      </c>
      <c r="G37" s="126">
        <v>0.53</v>
      </c>
      <c r="H37" s="124" t="s">
        <v>275</v>
      </c>
      <c r="I37" s="127">
        <v>0.25</v>
      </c>
      <c r="J37" s="78"/>
      <c r="K37" s="78"/>
      <c r="L37" s="78"/>
      <c r="M37" s="78"/>
      <c r="N37" s="78"/>
    </row>
    <row r="38" spans="1:14" x14ac:dyDescent="0.25">
      <c r="A38" s="122" t="s">
        <v>31</v>
      </c>
      <c r="B38" s="123" t="s">
        <v>105</v>
      </c>
      <c r="C38" s="124">
        <v>0.52</v>
      </c>
      <c r="D38" s="124" t="s">
        <v>161</v>
      </c>
      <c r="E38" s="124">
        <v>1.56</v>
      </c>
      <c r="F38" s="125" t="s">
        <v>274</v>
      </c>
      <c r="G38" s="126">
        <v>0.43</v>
      </c>
      <c r="H38" s="124" t="s">
        <v>278</v>
      </c>
      <c r="I38" s="127">
        <v>0.25</v>
      </c>
      <c r="J38" s="78"/>
      <c r="K38" s="78"/>
      <c r="L38" s="78"/>
      <c r="M38" s="78"/>
      <c r="N38" s="78"/>
    </row>
    <row r="39" spans="1:14" x14ac:dyDescent="0.25">
      <c r="A39" s="122" t="s">
        <v>107</v>
      </c>
      <c r="B39" s="123" t="s">
        <v>132</v>
      </c>
      <c r="C39" s="124">
        <v>0.313</v>
      </c>
      <c r="D39" s="124" t="s">
        <v>130</v>
      </c>
      <c r="E39" s="124">
        <v>1.56</v>
      </c>
      <c r="F39" s="125" t="s">
        <v>274</v>
      </c>
      <c r="G39" s="126">
        <v>0.6</v>
      </c>
      <c r="H39" s="124" t="s">
        <v>283</v>
      </c>
      <c r="I39" s="127">
        <v>1.03</v>
      </c>
      <c r="J39" s="78"/>
      <c r="K39" s="78"/>
      <c r="L39" s="78"/>
      <c r="M39" s="78"/>
      <c r="N39" s="78"/>
    </row>
    <row r="40" spans="1:14" x14ac:dyDescent="0.25">
      <c r="A40" s="122" t="s">
        <v>108</v>
      </c>
      <c r="B40" s="123" t="s">
        <v>132</v>
      </c>
      <c r="C40" s="124">
        <v>0.35199999999999998</v>
      </c>
      <c r="D40" s="124" t="s">
        <v>130</v>
      </c>
      <c r="E40" s="124">
        <v>1.56</v>
      </c>
      <c r="F40" s="125" t="s">
        <v>274</v>
      </c>
      <c r="G40" s="126">
        <v>0.6</v>
      </c>
      <c r="H40" s="124" t="s">
        <v>283</v>
      </c>
      <c r="I40" s="127">
        <v>1.03</v>
      </c>
      <c r="J40" s="78"/>
      <c r="K40" s="78"/>
      <c r="L40" s="78"/>
      <c r="M40" s="78"/>
      <c r="N40" s="78"/>
    </row>
    <row r="41" spans="1:14" x14ac:dyDescent="0.25">
      <c r="A41" s="122" t="s">
        <v>121</v>
      </c>
      <c r="B41" s="123" t="s">
        <v>132</v>
      </c>
      <c r="C41" s="124">
        <v>0.32200000000000001</v>
      </c>
      <c r="D41" s="124" t="s">
        <v>130</v>
      </c>
      <c r="E41" s="124">
        <v>1.56</v>
      </c>
      <c r="F41" s="125" t="s">
        <v>274</v>
      </c>
      <c r="G41" s="126">
        <v>0.6</v>
      </c>
      <c r="H41" s="124" t="s">
        <v>283</v>
      </c>
      <c r="I41" s="127">
        <v>1.03</v>
      </c>
      <c r="J41" s="78"/>
      <c r="K41" s="78"/>
      <c r="L41" s="78"/>
      <c r="M41" s="78"/>
      <c r="N41" s="78"/>
    </row>
    <row r="42" spans="1:14" x14ac:dyDescent="0.25">
      <c r="A42" s="122" t="s">
        <v>122</v>
      </c>
      <c r="B42" s="123" t="s">
        <v>132</v>
      </c>
      <c r="C42" s="124">
        <v>0.311</v>
      </c>
      <c r="D42" s="124" t="s">
        <v>130</v>
      </c>
      <c r="E42" s="124">
        <v>1.56</v>
      </c>
      <c r="F42" s="125" t="s">
        <v>274</v>
      </c>
      <c r="G42" s="126">
        <v>0.6</v>
      </c>
      <c r="H42" s="124" t="s">
        <v>283</v>
      </c>
      <c r="I42" s="127">
        <v>1.03</v>
      </c>
      <c r="J42" s="78"/>
      <c r="K42" s="78"/>
      <c r="L42" s="78"/>
      <c r="M42" s="78"/>
      <c r="N42" s="78"/>
    </row>
    <row r="43" spans="1:14" x14ac:dyDescent="0.25">
      <c r="A43" s="122" t="s">
        <v>109</v>
      </c>
      <c r="B43" s="123" t="s">
        <v>132</v>
      </c>
      <c r="C43" s="124">
        <v>0.33900000000000002</v>
      </c>
      <c r="D43" s="124" t="s">
        <v>130</v>
      </c>
      <c r="E43" s="124">
        <v>1.56</v>
      </c>
      <c r="F43" s="125" t="s">
        <v>274</v>
      </c>
      <c r="G43" s="126">
        <v>0.6</v>
      </c>
      <c r="H43" s="124" t="s">
        <v>283</v>
      </c>
      <c r="I43" s="127">
        <v>1.03</v>
      </c>
      <c r="J43" s="78"/>
      <c r="K43" s="78"/>
      <c r="L43" s="78"/>
      <c r="M43" s="78"/>
      <c r="N43" s="78"/>
    </row>
    <row r="44" spans="1:14" x14ac:dyDescent="0.25">
      <c r="A44" s="122" t="s">
        <v>123</v>
      </c>
      <c r="B44" s="123" t="s">
        <v>132</v>
      </c>
      <c r="C44" s="124">
        <v>0.33600000000000002</v>
      </c>
      <c r="D44" s="124" t="s">
        <v>130</v>
      </c>
      <c r="E44" s="124">
        <v>1.56</v>
      </c>
      <c r="F44" s="125" t="s">
        <v>274</v>
      </c>
      <c r="G44" s="126">
        <v>0.6</v>
      </c>
      <c r="H44" s="124" t="s">
        <v>283</v>
      </c>
      <c r="I44" s="127">
        <v>1.03</v>
      </c>
      <c r="J44" s="78"/>
      <c r="K44" s="78"/>
      <c r="L44" s="78"/>
      <c r="M44" s="78"/>
      <c r="N44" s="78"/>
    </row>
    <row r="45" spans="1:14" x14ac:dyDescent="0.25">
      <c r="A45" s="122" t="s">
        <v>110</v>
      </c>
      <c r="B45" s="123" t="s">
        <v>132</v>
      </c>
      <c r="C45" s="124">
        <v>0.32900000000000001</v>
      </c>
      <c r="D45" s="124" t="s">
        <v>130</v>
      </c>
      <c r="E45" s="124">
        <v>1.56</v>
      </c>
      <c r="F45" s="125" t="s">
        <v>274</v>
      </c>
      <c r="G45" s="126">
        <v>0.6</v>
      </c>
      <c r="H45" s="124" t="s">
        <v>283</v>
      </c>
      <c r="I45" s="127">
        <v>1.03</v>
      </c>
      <c r="J45" s="78"/>
      <c r="K45" s="78"/>
      <c r="L45" s="78"/>
      <c r="M45" s="78"/>
      <c r="N45" s="78"/>
    </row>
    <row r="46" spans="1:14" x14ac:dyDescent="0.25">
      <c r="A46" s="122" t="s">
        <v>124</v>
      </c>
      <c r="B46" s="123" t="s">
        <v>132</v>
      </c>
      <c r="C46" s="124">
        <v>0.34300000000000003</v>
      </c>
      <c r="D46" s="124" t="s">
        <v>130</v>
      </c>
      <c r="E46" s="124">
        <v>1.56</v>
      </c>
      <c r="F46" s="125" t="s">
        <v>274</v>
      </c>
      <c r="G46" s="126">
        <v>0.6</v>
      </c>
      <c r="H46" s="124" t="s">
        <v>283</v>
      </c>
      <c r="I46" s="127">
        <v>1.03</v>
      </c>
      <c r="J46" s="78"/>
      <c r="K46" s="78"/>
      <c r="L46" s="78"/>
      <c r="M46" s="78"/>
      <c r="N46" s="78"/>
    </row>
    <row r="47" spans="1:14" x14ac:dyDescent="0.25">
      <c r="A47" s="122" t="s">
        <v>125</v>
      </c>
      <c r="B47" s="123" t="s">
        <v>132</v>
      </c>
      <c r="C47" s="124">
        <v>0.32500000000000001</v>
      </c>
      <c r="D47" s="124" t="s">
        <v>130</v>
      </c>
      <c r="E47" s="124">
        <v>1.56</v>
      </c>
      <c r="F47" s="125" t="s">
        <v>274</v>
      </c>
      <c r="G47" s="126">
        <v>0.6</v>
      </c>
      <c r="H47" s="124" t="s">
        <v>283</v>
      </c>
      <c r="I47" s="127">
        <v>1.03</v>
      </c>
      <c r="J47" s="78"/>
      <c r="K47" s="78"/>
      <c r="L47" s="78"/>
      <c r="M47" s="78"/>
      <c r="N47" s="78"/>
    </row>
    <row r="48" spans="1:14" x14ac:dyDescent="0.25">
      <c r="A48" s="122" t="s">
        <v>126</v>
      </c>
      <c r="B48" s="123" t="s">
        <v>132</v>
      </c>
      <c r="C48" s="124">
        <v>0.32</v>
      </c>
      <c r="D48" s="124" t="s">
        <v>130</v>
      </c>
      <c r="E48" s="124">
        <v>1.56</v>
      </c>
      <c r="F48" s="125" t="s">
        <v>274</v>
      </c>
      <c r="G48" s="126">
        <v>0.6</v>
      </c>
      <c r="H48" s="124" t="s">
        <v>283</v>
      </c>
      <c r="I48" s="127">
        <v>1.03</v>
      </c>
      <c r="J48" s="78"/>
      <c r="K48" s="78"/>
      <c r="L48" s="78"/>
      <c r="M48" s="78"/>
      <c r="N48" s="78"/>
    </row>
    <row r="49" spans="1:14" x14ac:dyDescent="0.25">
      <c r="A49" s="122" t="s">
        <v>111</v>
      </c>
      <c r="B49" s="123" t="s">
        <v>132</v>
      </c>
      <c r="C49" s="124">
        <v>0.28199999999999997</v>
      </c>
      <c r="D49" s="124" t="s">
        <v>130</v>
      </c>
      <c r="E49" s="124">
        <v>1.56</v>
      </c>
      <c r="F49" s="125" t="s">
        <v>274</v>
      </c>
      <c r="G49" s="126">
        <v>0.6</v>
      </c>
      <c r="H49" s="124" t="s">
        <v>283</v>
      </c>
      <c r="I49" s="127">
        <v>1.03</v>
      </c>
      <c r="J49" s="78"/>
      <c r="K49" s="78"/>
      <c r="L49" s="78"/>
      <c r="M49" s="78"/>
      <c r="N49" s="78"/>
    </row>
    <row r="50" spans="1:14" x14ac:dyDescent="0.25">
      <c r="A50" s="122" t="s">
        <v>127</v>
      </c>
      <c r="B50" s="123" t="s">
        <v>132</v>
      </c>
      <c r="C50" s="124">
        <v>0.32800000000000001</v>
      </c>
      <c r="D50" s="124" t="s">
        <v>130</v>
      </c>
      <c r="E50" s="124">
        <v>1.56</v>
      </c>
      <c r="F50" s="125" t="s">
        <v>274</v>
      </c>
      <c r="G50" s="126">
        <v>0.6</v>
      </c>
      <c r="H50" s="124" t="s">
        <v>283</v>
      </c>
      <c r="I50" s="127">
        <v>1.03</v>
      </c>
      <c r="J50" s="78"/>
      <c r="K50" s="78"/>
      <c r="L50" s="78"/>
      <c r="M50" s="78"/>
      <c r="N50" s="78"/>
    </row>
    <row r="51" spans="1:14" x14ac:dyDescent="0.25">
      <c r="A51" s="122" t="s">
        <v>112</v>
      </c>
      <c r="B51" s="123" t="s">
        <v>132</v>
      </c>
      <c r="C51" s="124">
        <v>0.32600000000000001</v>
      </c>
      <c r="D51" s="124" t="s">
        <v>130</v>
      </c>
      <c r="E51" s="124">
        <v>1.56</v>
      </c>
      <c r="F51" s="125" t="s">
        <v>274</v>
      </c>
      <c r="G51" s="126">
        <v>0.6</v>
      </c>
      <c r="H51" s="124" t="s">
        <v>283</v>
      </c>
      <c r="I51" s="127">
        <v>1.03</v>
      </c>
      <c r="J51" s="78"/>
      <c r="K51" s="78"/>
      <c r="L51" s="78"/>
      <c r="M51" s="78"/>
      <c r="N51" s="78"/>
    </row>
    <row r="52" spans="1:14" x14ac:dyDescent="0.25">
      <c r="A52" s="122" t="s">
        <v>113</v>
      </c>
      <c r="B52" s="123" t="s">
        <v>132</v>
      </c>
      <c r="C52" s="124">
        <v>0.35899999999999999</v>
      </c>
      <c r="D52" s="124" t="s">
        <v>130</v>
      </c>
      <c r="E52" s="124">
        <v>1.56</v>
      </c>
      <c r="F52" s="125" t="s">
        <v>274</v>
      </c>
      <c r="G52" s="126">
        <v>0.6</v>
      </c>
      <c r="H52" s="124" t="s">
        <v>283</v>
      </c>
      <c r="I52" s="127">
        <v>1.03</v>
      </c>
      <c r="J52" s="78"/>
      <c r="K52" s="78"/>
      <c r="L52" s="78"/>
      <c r="M52" s="78"/>
      <c r="N52" s="78"/>
    </row>
    <row r="53" spans="1:14" x14ac:dyDescent="0.25">
      <c r="A53" s="122" t="s">
        <v>114</v>
      </c>
      <c r="B53" s="123" t="s">
        <v>132</v>
      </c>
      <c r="C53" s="124">
        <v>0.34599999999999997</v>
      </c>
      <c r="D53" s="124" t="s">
        <v>130</v>
      </c>
      <c r="E53" s="124">
        <v>1.56</v>
      </c>
      <c r="F53" s="125" t="s">
        <v>274</v>
      </c>
      <c r="G53" s="126">
        <v>0.6</v>
      </c>
      <c r="H53" s="124" t="s">
        <v>283</v>
      </c>
      <c r="I53" s="127">
        <v>1.03</v>
      </c>
      <c r="J53" s="78"/>
      <c r="K53" s="78"/>
      <c r="L53" s="78"/>
      <c r="M53" s="78"/>
      <c r="N53" s="78"/>
    </row>
    <row r="54" spans="1:14" x14ac:dyDescent="0.25">
      <c r="A54" s="122" t="s">
        <v>115</v>
      </c>
      <c r="B54" s="123" t="s">
        <v>132</v>
      </c>
      <c r="C54" s="124">
        <v>0.32600000000000001</v>
      </c>
      <c r="D54" s="124" t="s">
        <v>130</v>
      </c>
      <c r="E54" s="124">
        <v>1.56</v>
      </c>
      <c r="F54" s="125" t="s">
        <v>274</v>
      </c>
      <c r="G54" s="126">
        <v>0.6</v>
      </c>
      <c r="H54" s="124" t="s">
        <v>283</v>
      </c>
      <c r="I54" s="127">
        <v>1.03</v>
      </c>
      <c r="J54" s="78"/>
      <c r="K54" s="78"/>
      <c r="L54" s="78"/>
      <c r="M54" s="78"/>
      <c r="N54" s="78"/>
    </row>
    <row r="55" spans="1:14" x14ac:dyDescent="0.25">
      <c r="A55" s="122" t="s">
        <v>116</v>
      </c>
      <c r="B55" s="123" t="s">
        <v>132</v>
      </c>
      <c r="C55" s="124">
        <v>0.30499999999999999</v>
      </c>
      <c r="D55" s="124" t="s">
        <v>130</v>
      </c>
      <c r="E55" s="124">
        <v>1.56</v>
      </c>
      <c r="F55" s="125" t="s">
        <v>274</v>
      </c>
      <c r="G55" s="126">
        <v>0.6</v>
      </c>
      <c r="H55" s="124" t="s">
        <v>283</v>
      </c>
      <c r="I55" s="127">
        <v>1.03</v>
      </c>
      <c r="J55" s="78"/>
      <c r="K55" s="78"/>
      <c r="L55" s="78"/>
      <c r="M55" s="78"/>
      <c r="N55" s="78"/>
    </row>
    <row r="56" spans="1:14" x14ac:dyDescent="0.25">
      <c r="A56" s="122" t="s">
        <v>128</v>
      </c>
      <c r="B56" s="123" t="s">
        <v>132</v>
      </c>
      <c r="C56" s="124">
        <v>0.32300000000000001</v>
      </c>
      <c r="D56" s="124" t="s">
        <v>130</v>
      </c>
      <c r="E56" s="124">
        <v>1.56</v>
      </c>
      <c r="F56" s="125" t="s">
        <v>274</v>
      </c>
      <c r="G56" s="126">
        <v>0.6</v>
      </c>
      <c r="H56" s="124" t="s">
        <v>283</v>
      </c>
      <c r="I56" s="127">
        <v>1.03</v>
      </c>
      <c r="J56" s="78"/>
      <c r="K56" s="78"/>
      <c r="L56" s="78"/>
      <c r="M56" s="78"/>
      <c r="N56" s="78"/>
    </row>
    <row r="57" spans="1:14" x14ac:dyDescent="0.25">
      <c r="A57" s="122" t="s">
        <v>129</v>
      </c>
      <c r="B57" s="123" t="s">
        <v>132</v>
      </c>
      <c r="C57" s="124">
        <v>0.36699999999999999</v>
      </c>
      <c r="D57" s="124" t="s">
        <v>130</v>
      </c>
      <c r="E57" s="124">
        <v>1.56</v>
      </c>
      <c r="F57" s="125" t="s">
        <v>274</v>
      </c>
      <c r="G57" s="126">
        <v>0.6</v>
      </c>
      <c r="H57" s="124" t="s">
        <v>283</v>
      </c>
      <c r="I57" s="127">
        <v>1.03</v>
      </c>
      <c r="J57" s="78"/>
      <c r="K57" s="78"/>
      <c r="L57" s="78"/>
      <c r="M57" s="78"/>
      <c r="N57" s="78"/>
    </row>
    <row r="58" spans="1:14" x14ac:dyDescent="0.25">
      <c r="A58" s="122" t="s">
        <v>117</v>
      </c>
      <c r="B58" s="123" t="s">
        <v>132</v>
      </c>
      <c r="C58" s="124">
        <v>0.36</v>
      </c>
      <c r="D58" s="124" t="s">
        <v>130</v>
      </c>
      <c r="E58" s="124">
        <v>1.56</v>
      </c>
      <c r="F58" s="125" t="s">
        <v>274</v>
      </c>
      <c r="G58" s="126">
        <v>0.6</v>
      </c>
      <c r="H58" s="124" t="s">
        <v>283</v>
      </c>
      <c r="I58" s="127">
        <v>1.03</v>
      </c>
      <c r="J58" s="78"/>
      <c r="K58" s="78"/>
      <c r="L58" s="78"/>
      <c r="M58" s="78"/>
      <c r="N58" s="78"/>
    </row>
    <row r="59" spans="1:14" x14ac:dyDescent="0.25">
      <c r="A59" s="122" t="s">
        <v>118</v>
      </c>
      <c r="B59" s="123" t="s">
        <v>132</v>
      </c>
      <c r="C59" s="124">
        <v>0.36799999999999999</v>
      </c>
      <c r="D59" s="124" t="s">
        <v>130</v>
      </c>
      <c r="E59" s="124">
        <v>1.56</v>
      </c>
      <c r="F59" s="125" t="s">
        <v>274</v>
      </c>
      <c r="G59" s="126">
        <v>0.6</v>
      </c>
      <c r="H59" s="124" t="s">
        <v>283</v>
      </c>
      <c r="I59" s="127">
        <v>1.03</v>
      </c>
      <c r="J59" s="78"/>
      <c r="K59" s="78"/>
      <c r="L59" s="78"/>
      <c r="M59" s="78"/>
      <c r="N59" s="78"/>
    </row>
    <row r="60" spans="1:14" x14ac:dyDescent="0.25">
      <c r="A60" s="122" t="s">
        <v>119</v>
      </c>
      <c r="B60" s="123" t="s">
        <v>132</v>
      </c>
      <c r="C60" s="124">
        <v>0.30599999999999999</v>
      </c>
      <c r="D60" s="124" t="s">
        <v>130</v>
      </c>
      <c r="E60" s="124">
        <v>1.56</v>
      </c>
      <c r="F60" s="125" t="s">
        <v>274</v>
      </c>
      <c r="G60" s="126">
        <v>0.6</v>
      </c>
      <c r="H60" s="124" t="s">
        <v>283</v>
      </c>
      <c r="I60" s="127">
        <v>1.03</v>
      </c>
      <c r="J60" s="78"/>
      <c r="K60" s="78"/>
      <c r="L60" s="78"/>
      <c r="M60" s="78"/>
      <c r="N60" s="78"/>
    </row>
    <row r="61" spans="1:14" x14ac:dyDescent="0.25">
      <c r="A61" s="122" t="s">
        <v>120</v>
      </c>
      <c r="B61" s="123" t="s">
        <v>132</v>
      </c>
      <c r="C61" s="124">
        <v>0.313</v>
      </c>
      <c r="D61" s="124" t="s">
        <v>130</v>
      </c>
      <c r="E61" s="124">
        <v>1.56</v>
      </c>
      <c r="F61" s="125" t="s">
        <v>274</v>
      </c>
      <c r="G61" s="126">
        <v>0.6</v>
      </c>
      <c r="H61" s="124" t="s">
        <v>283</v>
      </c>
      <c r="I61" s="127">
        <v>1.03</v>
      </c>
      <c r="J61" s="78"/>
      <c r="K61" s="78"/>
      <c r="L61" s="78"/>
      <c r="M61" s="78"/>
      <c r="N61" s="78"/>
    </row>
    <row r="62" spans="1:14" x14ac:dyDescent="0.25">
      <c r="A62" s="122" t="s">
        <v>32</v>
      </c>
      <c r="B62" s="123" t="s">
        <v>133</v>
      </c>
      <c r="C62" s="124">
        <v>0.37</v>
      </c>
      <c r="D62" s="124" t="s">
        <v>161</v>
      </c>
      <c r="E62" s="124">
        <v>1.56</v>
      </c>
      <c r="F62" s="125" t="s">
        <v>274</v>
      </c>
      <c r="G62" s="126">
        <v>0.6</v>
      </c>
      <c r="H62" s="124" t="s">
        <v>283</v>
      </c>
      <c r="I62" s="127">
        <v>1.03</v>
      </c>
      <c r="J62" s="78"/>
      <c r="K62" s="78"/>
      <c r="L62" s="78"/>
      <c r="M62" s="78"/>
      <c r="N62" s="78"/>
    </row>
    <row r="63" spans="1:14" x14ac:dyDescent="0.25">
      <c r="A63" s="122" t="s">
        <v>90</v>
      </c>
      <c r="B63" s="123" t="s">
        <v>83</v>
      </c>
      <c r="C63" s="124">
        <v>0.45</v>
      </c>
      <c r="D63" s="124" t="s">
        <v>161</v>
      </c>
      <c r="E63" s="124">
        <v>1.3</v>
      </c>
      <c r="F63" s="125" t="s">
        <v>274</v>
      </c>
      <c r="G63" s="126">
        <v>0.45</v>
      </c>
      <c r="H63" s="124" t="s">
        <v>276</v>
      </c>
      <c r="I63" s="127">
        <v>0.43</v>
      </c>
      <c r="J63" s="78"/>
      <c r="K63" s="78"/>
      <c r="L63" s="78"/>
      <c r="M63" s="78"/>
      <c r="N63" s="78"/>
    </row>
    <row r="64" spans="1:14" x14ac:dyDescent="0.25">
      <c r="A64" s="122" t="s">
        <v>33</v>
      </c>
      <c r="B64" s="123" t="s">
        <v>134</v>
      </c>
      <c r="C64" s="124">
        <v>0.39</v>
      </c>
      <c r="D64" s="124" t="s">
        <v>161</v>
      </c>
      <c r="E64" s="124">
        <v>1.3</v>
      </c>
      <c r="F64" s="125" t="s">
        <v>274</v>
      </c>
      <c r="G64" s="126">
        <v>0.45</v>
      </c>
      <c r="H64" s="124" t="s">
        <v>276</v>
      </c>
      <c r="I64" s="127">
        <v>0.43</v>
      </c>
      <c r="J64" s="78"/>
      <c r="K64" s="78"/>
      <c r="L64" s="78"/>
      <c r="M64" s="78"/>
      <c r="N64" s="78"/>
    </row>
    <row r="65" spans="1:14" x14ac:dyDescent="0.25">
      <c r="A65" s="122" t="s">
        <v>34</v>
      </c>
      <c r="B65" s="123" t="s">
        <v>135</v>
      </c>
      <c r="C65" s="124">
        <v>0.44</v>
      </c>
      <c r="D65" s="124" t="s">
        <v>161</v>
      </c>
      <c r="E65" s="124">
        <v>1.3</v>
      </c>
      <c r="F65" s="125" t="s">
        <v>274</v>
      </c>
      <c r="G65" s="126">
        <v>0.45</v>
      </c>
      <c r="H65" s="124" t="s">
        <v>276</v>
      </c>
      <c r="I65" s="127">
        <v>0.43</v>
      </c>
      <c r="J65" s="78"/>
      <c r="K65" s="78"/>
      <c r="L65" s="78"/>
      <c r="M65" s="78"/>
      <c r="N65" s="78"/>
    </row>
    <row r="66" spans="1:14" x14ac:dyDescent="0.25">
      <c r="A66" s="122" t="s">
        <v>35</v>
      </c>
      <c r="B66" s="123" t="s">
        <v>84</v>
      </c>
      <c r="C66" s="124">
        <v>0.46</v>
      </c>
      <c r="D66" s="124" t="s">
        <v>161</v>
      </c>
      <c r="E66" s="124">
        <v>1.3</v>
      </c>
      <c r="F66" s="125" t="s">
        <v>274</v>
      </c>
      <c r="G66" s="126">
        <v>0.45</v>
      </c>
      <c r="H66" s="124" t="s">
        <v>276</v>
      </c>
      <c r="I66" s="127">
        <v>0.43</v>
      </c>
      <c r="J66" s="78"/>
      <c r="K66" s="78"/>
      <c r="L66" s="78"/>
      <c r="M66" s="78"/>
      <c r="N66" s="78"/>
    </row>
    <row r="67" spans="1:14" x14ac:dyDescent="0.25">
      <c r="A67" s="122" t="s">
        <v>36</v>
      </c>
      <c r="B67" s="123" t="s">
        <v>85</v>
      </c>
      <c r="C67" s="124">
        <v>0.46</v>
      </c>
      <c r="D67" s="124" t="s">
        <v>161</v>
      </c>
      <c r="E67" s="124">
        <v>1.3</v>
      </c>
      <c r="F67" s="125" t="s">
        <v>274</v>
      </c>
      <c r="G67" s="126">
        <v>0.45</v>
      </c>
      <c r="H67" s="124" t="s">
        <v>152</v>
      </c>
      <c r="I67" s="127">
        <v>0.59</v>
      </c>
      <c r="J67" s="78"/>
      <c r="K67" s="78"/>
      <c r="L67" s="78"/>
      <c r="M67" s="78"/>
      <c r="N67" s="78"/>
    </row>
    <row r="68" spans="1:14" x14ac:dyDescent="0.25">
      <c r="A68" s="122" t="s">
        <v>37</v>
      </c>
      <c r="B68" s="123" t="s">
        <v>136</v>
      </c>
      <c r="C68" s="124">
        <v>0.44</v>
      </c>
      <c r="D68" s="124" t="s">
        <v>161</v>
      </c>
      <c r="E68" s="124">
        <v>1.3</v>
      </c>
      <c r="F68" s="125" t="s">
        <v>274</v>
      </c>
      <c r="G68" s="126">
        <v>0.45</v>
      </c>
      <c r="H68" s="124" t="s">
        <v>276</v>
      </c>
      <c r="I68" s="127">
        <v>0.43</v>
      </c>
      <c r="J68" s="78"/>
      <c r="K68" s="78"/>
      <c r="L68" s="78"/>
      <c r="M68" s="78"/>
      <c r="N68" s="78"/>
    </row>
    <row r="69" spans="1:14" x14ac:dyDescent="0.25">
      <c r="A69" s="122" t="s">
        <v>38</v>
      </c>
      <c r="B69" s="123" t="s">
        <v>86</v>
      </c>
      <c r="C69" s="124">
        <v>0.46</v>
      </c>
      <c r="D69" s="124" t="s">
        <v>161</v>
      </c>
      <c r="E69" s="124">
        <v>1.3</v>
      </c>
      <c r="F69" s="125" t="s">
        <v>274</v>
      </c>
      <c r="G69" s="126">
        <v>0.45</v>
      </c>
      <c r="H69" s="124" t="s">
        <v>276</v>
      </c>
      <c r="I69" s="127">
        <v>0.43</v>
      </c>
      <c r="J69" s="78"/>
      <c r="K69" s="78"/>
      <c r="L69" s="78"/>
      <c r="M69" s="78"/>
      <c r="N69" s="78"/>
    </row>
    <row r="70" spans="1:14" x14ac:dyDescent="0.25">
      <c r="A70" s="122" t="s">
        <v>39</v>
      </c>
      <c r="B70" s="123" t="s">
        <v>137</v>
      </c>
      <c r="C70" s="124">
        <v>0.48</v>
      </c>
      <c r="D70" s="124" t="s">
        <v>161</v>
      </c>
      <c r="E70" s="124">
        <v>2.4</v>
      </c>
      <c r="F70" s="124" t="s">
        <v>284</v>
      </c>
      <c r="G70" s="126">
        <v>0.45</v>
      </c>
      <c r="H70" s="124" t="s">
        <v>276</v>
      </c>
      <c r="I70" s="127">
        <v>0.43</v>
      </c>
      <c r="J70" s="78"/>
      <c r="K70" s="78"/>
      <c r="L70" s="78"/>
      <c r="M70" s="78"/>
      <c r="N70" s="78"/>
    </row>
    <row r="71" spans="1:14" x14ac:dyDescent="0.25">
      <c r="A71" s="122" t="s">
        <v>40</v>
      </c>
      <c r="B71" s="123" t="s">
        <v>87</v>
      </c>
      <c r="C71" s="124">
        <v>0.46</v>
      </c>
      <c r="D71" s="124" t="s">
        <v>150</v>
      </c>
      <c r="E71" s="124">
        <v>1.3</v>
      </c>
      <c r="F71" s="125" t="s">
        <v>274</v>
      </c>
      <c r="G71" s="126">
        <v>0.45</v>
      </c>
      <c r="H71" s="124" t="s">
        <v>276</v>
      </c>
      <c r="I71" s="127">
        <v>0.43</v>
      </c>
      <c r="J71" s="78"/>
      <c r="K71" s="78"/>
      <c r="L71" s="78"/>
      <c r="M71" s="78"/>
      <c r="N71" s="78"/>
    </row>
    <row r="72" spans="1:14" x14ac:dyDescent="0.25">
      <c r="A72" s="122" t="s">
        <v>41</v>
      </c>
      <c r="B72" s="123" t="s">
        <v>88</v>
      </c>
      <c r="C72" s="124">
        <v>0.44</v>
      </c>
      <c r="D72" s="124" t="s">
        <v>161</v>
      </c>
      <c r="E72" s="124">
        <v>1.3</v>
      </c>
      <c r="F72" s="125" t="s">
        <v>274</v>
      </c>
      <c r="G72" s="126">
        <v>0.45</v>
      </c>
      <c r="H72" s="124" t="s">
        <v>276</v>
      </c>
      <c r="I72" s="127">
        <v>0.43</v>
      </c>
      <c r="J72" s="78"/>
      <c r="K72" s="78"/>
      <c r="L72" s="78"/>
      <c r="M72" s="78"/>
      <c r="N72" s="78"/>
    </row>
    <row r="73" spans="1:14" x14ac:dyDescent="0.25">
      <c r="A73" s="122" t="s">
        <v>138</v>
      </c>
      <c r="B73" s="123" t="s">
        <v>140</v>
      </c>
      <c r="C73" s="124">
        <v>0.46</v>
      </c>
      <c r="D73" s="124" t="s">
        <v>151</v>
      </c>
      <c r="E73" s="124">
        <v>1.3</v>
      </c>
      <c r="F73" s="125" t="s">
        <v>274</v>
      </c>
      <c r="G73" s="126">
        <v>0.45</v>
      </c>
      <c r="H73" s="124" t="s">
        <v>276</v>
      </c>
      <c r="I73" s="127">
        <v>0.43</v>
      </c>
      <c r="J73" s="78"/>
      <c r="K73" s="78"/>
      <c r="L73" s="78"/>
      <c r="M73" s="78"/>
      <c r="N73" s="78"/>
    </row>
    <row r="74" spans="1:14" x14ac:dyDescent="0.25">
      <c r="A74" s="122" t="s">
        <v>42</v>
      </c>
      <c r="B74" s="123" t="s">
        <v>139</v>
      </c>
      <c r="C74" s="124">
        <v>0.34</v>
      </c>
      <c r="D74" s="124" t="s">
        <v>161</v>
      </c>
      <c r="E74" s="124">
        <v>1.3</v>
      </c>
      <c r="F74" s="125" t="s">
        <v>274</v>
      </c>
      <c r="G74" s="126">
        <v>0.45</v>
      </c>
      <c r="H74" s="124" t="s">
        <v>276</v>
      </c>
      <c r="I74" s="127">
        <v>0.43</v>
      </c>
      <c r="J74" s="78"/>
      <c r="K74" s="78"/>
      <c r="L74" s="78"/>
      <c r="M74" s="78"/>
      <c r="N74" s="78"/>
    </row>
    <row r="75" spans="1:14" x14ac:dyDescent="0.25">
      <c r="A75" s="122" t="s">
        <v>43</v>
      </c>
      <c r="B75" s="123" t="s">
        <v>162</v>
      </c>
      <c r="C75" s="124">
        <v>0.5</v>
      </c>
      <c r="D75" s="124" t="s">
        <v>161</v>
      </c>
      <c r="E75" s="124">
        <v>1.56</v>
      </c>
      <c r="F75" s="125" t="s">
        <v>274</v>
      </c>
      <c r="G75" s="126">
        <v>0.53</v>
      </c>
      <c r="H75" s="124" t="s">
        <v>275</v>
      </c>
      <c r="I75" s="127">
        <v>0.25</v>
      </c>
      <c r="J75" s="78"/>
      <c r="K75" s="78"/>
      <c r="L75" s="78"/>
      <c r="M75" s="78"/>
      <c r="N75" s="78"/>
    </row>
    <row r="76" spans="1:14" x14ac:dyDescent="0.25">
      <c r="A76" s="122" t="s">
        <v>44</v>
      </c>
      <c r="B76" s="123" t="s">
        <v>89</v>
      </c>
      <c r="C76" s="124">
        <v>0.57999999999999996</v>
      </c>
      <c r="D76" s="124" t="s">
        <v>161</v>
      </c>
      <c r="E76" s="124">
        <v>1.56</v>
      </c>
      <c r="F76" s="125" t="s">
        <v>274</v>
      </c>
      <c r="G76" s="126">
        <v>0.3</v>
      </c>
      <c r="H76" s="124" t="s">
        <v>277</v>
      </c>
      <c r="I76" s="127">
        <v>0.25</v>
      </c>
      <c r="J76" s="78"/>
      <c r="K76" s="78"/>
      <c r="L76" s="78"/>
      <c r="M76" s="78"/>
      <c r="N76" s="78"/>
    </row>
    <row r="77" spans="1:14" x14ac:dyDescent="0.25">
      <c r="A77" s="122" t="s">
        <v>47</v>
      </c>
      <c r="B77" s="123" t="s">
        <v>141</v>
      </c>
      <c r="C77" s="124">
        <v>0.37</v>
      </c>
      <c r="D77" s="124" t="s">
        <v>161</v>
      </c>
      <c r="E77" s="124">
        <v>1.3</v>
      </c>
      <c r="F77" s="125" t="s">
        <v>274</v>
      </c>
      <c r="G77" s="126">
        <v>0.55000000000000004</v>
      </c>
      <c r="H77" s="124" t="s">
        <v>152</v>
      </c>
      <c r="I77" s="127">
        <v>0.43</v>
      </c>
      <c r="J77" s="78"/>
      <c r="K77" s="78"/>
      <c r="L77" s="78"/>
      <c r="M77" s="78"/>
      <c r="N77" s="78"/>
    </row>
    <row r="78" spans="1:14" x14ac:dyDescent="0.25">
      <c r="A78" s="122" t="s">
        <v>45</v>
      </c>
      <c r="B78" s="123" t="s">
        <v>96</v>
      </c>
      <c r="C78" s="124">
        <v>0.37</v>
      </c>
      <c r="D78" s="124" t="s">
        <v>161</v>
      </c>
      <c r="E78" s="124">
        <v>1.3</v>
      </c>
      <c r="F78" s="125" t="s">
        <v>274</v>
      </c>
      <c r="G78" s="126">
        <v>0.55000000000000004</v>
      </c>
      <c r="H78" s="124" t="s">
        <v>152</v>
      </c>
      <c r="I78" s="127">
        <v>0.43</v>
      </c>
      <c r="J78" s="78"/>
      <c r="K78" s="78"/>
      <c r="L78" s="78"/>
      <c r="M78" s="78"/>
      <c r="N78" s="78"/>
    </row>
    <row r="79" spans="1:14" x14ac:dyDescent="0.25">
      <c r="A79" s="122" t="s">
        <v>46</v>
      </c>
      <c r="B79" s="123" t="s">
        <v>95</v>
      </c>
      <c r="C79" s="124">
        <v>0.38</v>
      </c>
      <c r="D79" s="124" t="s">
        <v>161</v>
      </c>
      <c r="E79" s="124">
        <v>1.3</v>
      </c>
      <c r="F79" s="125" t="s">
        <v>274</v>
      </c>
      <c r="G79" s="126">
        <v>0.55000000000000004</v>
      </c>
      <c r="H79" s="124" t="s">
        <v>153</v>
      </c>
      <c r="I79" s="127">
        <v>0.43</v>
      </c>
      <c r="J79" s="78"/>
      <c r="K79" s="78"/>
      <c r="L79" s="78"/>
      <c r="M79" s="78"/>
      <c r="N79" s="78"/>
    </row>
    <row r="80" spans="1:14" x14ac:dyDescent="0.25">
      <c r="A80" s="122" t="s">
        <v>48</v>
      </c>
      <c r="B80" s="123" t="s">
        <v>94</v>
      </c>
      <c r="C80" s="124">
        <v>0.36</v>
      </c>
      <c r="D80" s="124" t="s">
        <v>161</v>
      </c>
      <c r="E80" s="124">
        <v>1.3</v>
      </c>
      <c r="F80" s="125" t="s">
        <v>274</v>
      </c>
      <c r="G80" s="126">
        <v>0.55000000000000004</v>
      </c>
      <c r="H80" s="124" t="s">
        <v>153</v>
      </c>
      <c r="I80" s="127">
        <v>0.43</v>
      </c>
      <c r="J80" s="78"/>
      <c r="K80" s="78"/>
      <c r="L80" s="78"/>
      <c r="M80" s="78"/>
      <c r="N80" s="78"/>
    </row>
    <row r="81" spans="1:14" x14ac:dyDescent="0.25">
      <c r="A81" s="122" t="s">
        <v>49</v>
      </c>
      <c r="B81" s="123" t="s">
        <v>142</v>
      </c>
      <c r="C81" s="124">
        <v>0.37</v>
      </c>
      <c r="D81" s="124" t="s">
        <v>161</v>
      </c>
      <c r="E81" s="124">
        <v>1.56</v>
      </c>
      <c r="F81" s="125" t="s">
        <v>274</v>
      </c>
      <c r="G81" s="126">
        <v>0.43</v>
      </c>
      <c r="H81" s="124" t="s">
        <v>278</v>
      </c>
      <c r="I81" s="127">
        <v>0.25</v>
      </c>
      <c r="J81" s="78"/>
      <c r="K81" s="78"/>
      <c r="L81" s="78"/>
      <c r="M81" s="78"/>
      <c r="N81" s="78"/>
    </row>
    <row r="82" spans="1:14" x14ac:dyDescent="0.25">
      <c r="A82" s="122" t="s">
        <v>158</v>
      </c>
      <c r="B82" s="123" t="s">
        <v>159</v>
      </c>
      <c r="C82" s="124">
        <v>0.35</v>
      </c>
      <c r="D82" s="124" t="s">
        <v>160</v>
      </c>
      <c r="E82" s="124">
        <v>1.3</v>
      </c>
      <c r="F82" s="125" t="s">
        <v>274</v>
      </c>
      <c r="G82" s="126">
        <v>0.55000000000000004</v>
      </c>
      <c r="H82" s="124" t="s">
        <v>153</v>
      </c>
      <c r="I82" s="127">
        <v>0.43</v>
      </c>
      <c r="J82" s="78"/>
      <c r="K82" s="78"/>
      <c r="L82" s="78"/>
      <c r="M82" s="78"/>
      <c r="N82" s="78"/>
    </row>
    <row r="83" spans="1:14" x14ac:dyDescent="0.25">
      <c r="A83" s="122" t="s">
        <v>156</v>
      </c>
      <c r="B83" s="123" t="s">
        <v>157</v>
      </c>
      <c r="C83" s="124">
        <v>0.34</v>
      </c>
      <c r="D83" s="124" t="s">
        <v>161</v>
      </c>
      <c r="E83" s="124">
        <v>1.3</v>
      </c>
      <c r="F83" s="125" t="s">
        <v>274</v>
      </c>
      <c r="G83" s="126">
        <v>0.55000000000000004</v>
      </c>
      <c r="H83" s="124" t="s">
        <v>153</v>
      </c>
      <c r="I83" s="127">
        <v>0.43</v>
      </c>
      <c r="J83" s="78"/>
      <c r="K83" s="78"/>
      <c r="L83" s="78"/>
      <c r="M83" s="78"/>
      <c r="N83" s="78"/>
    </row>
    <row r="84" spans="1:14" x14ac:dyDescent="0.25">
      <c r="A84" s="122" t="s">
        <v>92</v>
      </c>
      <c r="B84" s="123" t="s">
        <v>93</v>
      </c>
      <c r="C84" s="124">
        <v>0.31</v>
      </c>
      <c r="D84" s="124" t="s">
        <v>161</v>
      </c>
      <c r="E84" s="124">
        <v>1.3</v>
      </c>
      <c r="F84" s="125" t="s">
        <v>274</v>
      </c>
      <c r="G84" s="126">
        <v>0.55000000000000004</v>
      </c>
      <c r="H84" s="124" t="s">
        <v>153</v>
      </c>
      <c r="I84" s="127">
        <v>0.43</v>
      </c>
      <c r="J84" s="78"/>
      <c r="K84" s="78"/>
      <c r="L84" s="78"/>
      <c r="M84" s="78"/>
      <c r="N84" s="78"/>
    </row>
    <row r="85" spans="1:14" x14ac:dyDescent="0.25">
      <c r="A85" s="122" t="s">
        <v>50</v>
      </c>
      <c r="B85" s="123" t="s">
        <v>143</v>
      </c>
      <c r="C85" s="124">
        <v>0.43</v>
      </c>
      <c r="D85" s="124" t="s">
        <v>161</v>
      </c>
      <c r="E85" s="124">
        <v>1.56</v>
      </c>
      <c r="F85" s="125" t="s">
        <v>274</v>
      </c>
      <c r="G85" s="126">
        <v>0.53</v>
      </c>
      <c r="H85" s="124" t="s">
        <v>275</v>
      </c>
      <c r="I85" s="127">
        <v>0.25</v>
      </c>
      <c r="J85" s="78"/>
      <c r="K85" s="78"/>
      <c r="L85" s="78"/>
      <c r="M85" s="78"/>
      <c r="N85" s="78"/>
    </row>
    <row r="86" spans="1:14" x14ac:dyDescent="0.25">
      <c r="A86" s="122" t="s">
        <v>51</v>
      </c>
      <c r="B86" s="123" t="s">
        <v>91</v>
      </c>
      <c r="C86" s="124">
        <v>0.38</v>
      </c>
      <c r="D86" s="124" t="s">
        <v>161</v>
      </c>
      <c r="E86" s="124">
        <v>1.56</v>
      </c>
      <c r="F86" s="125" t="s">
        <v>274</v>
      </c>
      <c r="G86" s="126">
        <v>0.6</v>
      </c>
      <c r="H86" s="124" t="s">
        <v>279</v>
      </c>
      <c r="I86" s="127">
        <v>0.25</v>
      </c>
      <c r="J86" s="78"/>
      <c r="K86" s="78"/>
      <c r="L86" s="78"/>
      <c r="M86" s="78"/>
      <c r="N86" s="78"/>
    </row>
    <row r="87" spans="1:14" x14ac:dyDescent="0.25">
      <c r="A87" s="251" t="s">
        <v>321</v>
      </c>
      <c r="B87" s="252" t="s">
        <v>322</v>
      </c>
      <c r="C87" s="253">
        <v>0.41</v>
      </c>
      <c r="D87" s="253" t="s">
        <v>323</v>
      </c>
      <c r="E87" s="253">
        <v>1.56</v>
      </c>
      <c r="F87" s="254" t="s">
        <v>274</v>
      </c>
      <c r="G87" s="255">
        <v>0.43</v>
      </c>
      <c r="H87" s="253" t="s">
        <v>278</v>
      </c>
      <c r="I87" s="256">
        <v>0.25</v>
      </c>
      <c r="J87" s="78"/>
      <c r="K87" s="78"/>
      <c r="L87" s="78"/>
      <c r="M87" s="78"/>
      <c r="N87" s="78"/>
    </row>
    <row r="88" spans="1:14" x14ac:dyDescent="0.25">
      <c r="A88" s="122" t="s">
        <v>148</v>
      </c>
      <c r="B88" s="130"/>
      <c r="C88" s="124">
        <v>0.42</v>
      </c>
      <c r="D88" s="124" t="s">
        <v>161</v>
      </c>
      <c r="E88" s="124">
        <v>1.3</v>
      </c>
      <c r="F88" s="125" t="s">
        <v>274</v>
      </c>
      <c r="G88" s="131"/>
      <c r="H88" s="130"/>
      <c r="I88" s="132"/>
    </row>
    <row r="89" spans="1:14" ht="15.75" thickBot="1" x14ac:dyDescent="0.3">
      <c r="A89" s="133" t="s">
        <v>149</v>
      </c>
      <c r="B89" s="134"/>
      <c r="C89" s="135">
        <v>0.56999999999999995</v>
      </c>
      <c r="D89" s="136" t="s">
        <v>161</v>
      </c>
      <c r="E89" s="135">
        <v>1.56</v>
      </c>
      <c r="F89" s="135" t="s">
        <v>274</v>
      </c>
      <c r="G89" s="134"/>
      <c r="H89" s="134"/>
      <c r="I89" s="137"/>
    </row>
    <row r="93" spans="1:14" x14ac:dyDescent="0.25">
      <c r="A93" s="122" t="s">
        <v>208</v>
      </c>
    </row>
    <row r="94" spans="1:14" x14ac:dyDescent="0.25">
      <c r="A94" s="122" t="s">
        <v>209</v>
      </c>
    </row>
    <row r="95" spans="1:14" x14ac:dyDescent="0.25">
      <c r="A95" s="122" t="s">
        <v>210</v>
      </c>
    </row>
  </sheetData>
  <sheetProtection algorithmName="SHA-512" hashValue="1lkpCPlrQLxBThe2nyd7YV+C15ZfSSril6wKq/F33XUcFWRtGV9M3TMdIqgCdUuOdZ6I6k6WPWChzHuT0FKPWA==" saltValue="uxF5Mj4qOBxlgNP0l1D7wA==" spinCount="100000" sheet="1" objects="1" scenarios="1"/>
  <mergeCells count="3">
    <mergeCell ref="O2:O3"/>
    <mergeCell ref="O5:O8"/>
    <mergeCell ref="O10:O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pageSetUpPr fitToPage="1"/>
  </sheetPr>
  <dimension ref="A1:BJ357"/>
  <sheetViews>
    <sheetView zoomScale="90" zoomScaleNormal="90" workbookViewId="0">
      <selection activeCell="J10" sqref="J10"/>
    </sheetView>
  </sheetViews>
  <sheetFormatPr baseColWidth="10" defaultColWidth="11.42578125" defaultRowHeight="15" x14ac:dyDescent="0.25"/>
  <cols>
    <col min="1" max="1" width="22.85546875" style="1" bestFit="1" customWidth="1"/>
    <col min="2" max="2" width="10.5703125" style="1" bestFit="1" customWidth="1"/>
    <col min="3" max="3" width="15.5703125" style="1" bestFit="1" customWidth="1"/>
    <col min="4" max="4" width="13.42578125" style="1" bestFit="1" customWidth="1"/>
    <col min="5" max="8" width="11.42578125" style="1"/>
    <col min="9" max="13" width="11.42578125" style="62"/>
    <col min="14" max="15" width="11.42578125" style="1"/>
    <col min="16" max="17" width="13.42578125" style="1" customWidth="1"/>
    <col min="18" max="16384" width="11.42578125" style="1"/>
  </cols>
  <sheetData>
    <row r="1" spans="1:62" ht="15.75" thickBo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62" ht="27" thickBot="1" x14ac:dyDescent="0.45">
      <c r="A2" s="272" t="s">
        <v>271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4"/>
      <c r="M2" s="23"/>
      <c r="N2" s="2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62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62" ht="15.75" thickBo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1:62" ht="75.75" thickBot="1" x14ac:dyDescent="0.3">
      <c r="A5" s="138" t="s">
        <v>207</v>
      </c>
      <c r="B5" s="139" t="s">
        <v>250</v>
      </c>
      <c r="C5" s="140" t="str">
        <f>Calculateur!S2</f>
        <v>ΔStock moyen de long terme (tCO₂/ha)</v>
      </c>
      <c r="D5" s="140" t="str">
        <f>Calculateur!T2</f>
        <v>Δstock CO₂ 30 ans (tCO₂/ha)</v>
      </c>
      <c r="E5" s="140" t="s">
        <v>228</v>
      </c>
      <c r="F5" s="140" t="s">
        <v>239</v>
      </c>
      <c r="G5" s="140" t="s">
        <v>240</v>
      </c>
      <c r="H5" s="141" t="s">
        <v>241</v>
      </c>
      <c r="I5" s="142" t="s">
        <v>242</v>
      </c>
      <c r="J5" s="143" t="s">
        <v>243</v>
      </c>
      <c r="K5" s="144" t="s">
        <v>244</v>
      </c>
      <c r="L5" s="84" t="s">
        <v>245</v>
      </c>
      <c r="M5" s="23"/>
      <c r="N5" s="2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</row>
    <row r="6" spans="1:62" x14ac:dyDescent="0.25">
      <c r="A6" s="145" t="str">
        <f>IF('Données projet'!$B$9="","",'Données projet'!$B$9)</f>
        <v>Douglas</v>
      </c>
      <c r="B6" s="146">
        <f>'Données projet'!D9</f>
        <v>13.392999999999999</v>
      </c>
      <c r="C6" s="147">
        <f ca="1">IF(OR('Données projet'!B9="",'Données projet'!C9="",'Données projet'!C9=0%),0,Calculateur!S3)</f>
        <v>255.5374979188561</v>
      </c>
      <c r="D6" s="147">
        <f>IF(OR('Données projet'!B9="",'Données projet'!C9="",'Données projet'!C9=0%),0,Calculateur!T3)</f>
        <v>343.10418468620901</v>
      </c>
      <c r="E6" s="147">
        <f ca="1">MIN(C6,D6)</f>
        <v>255.5374979188561</v>
      </c>
      <c r="F6" s="147">
        <f ca="1">E6*B6</f>
        <v>3422.4137096272393</v>
      </c>
      <c r="G6" s="147">
        <f ca="1">F6*(100%-'Données projet'!$C$24)*(100%-'Données projet'!$C$25)*(100%-'Données projet'!$C$26)*(100%-'Données projet'!$C$27)</f>
        <v>2926.1637217312896</v>
      </c>
      <c r="H6" s="148">
        <f>IF(OR('Données projet'!B9="",'Données projet'!C9="",'Données projet'!C9=0%),0,AVERAGE(Calculateur!$AC$3:$AC$33)*B6)</f>
        <v>143.04266516718019</v>
      </c>
      <c r="I6" s="149">
        <f>H6*(100%-'Données projet'!$C$24)*(100%-'Données projet'!$C$25)*(100%-'Données projet'!$C$26)*(100%-'Données projet'!$C$27)</f>
        <v>122.30147871793908</v>
      </c>
      <c r="J6" s="150">
        <f>IF(OR('Données projet'!B9="",'Données projet'!C9="",'Données projet'!C9=0%),0,SUM(Calculateur!$V$3:$V$33)*VLOOKUP('Données projet'!$B$9,Paramètres!$A$1:$I$89,9,0)*B6)</f>
        <v>1022.8852238461535</v>
      </c>
      <c r="K6" s="151">
        <f>J6*(100%-'Données projet'!$C$24)*(100%-'Données projet'!$C$25)*(100%-'Données projet'!$C$26)*(100%-'Données projet'!$C$27)</f>
        <v>874.56686638846122</v>
      </c>
      <c r="L6" s="152">
        <f ca="1">G6+I6+K6</f>
        <v>3923.0320668376899</v>
      </c>
      <c r="M6" s="23"/>
      <c r="N6" s="2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x14ac:dyDescent="0.25">
      <c r="A7" s="153" t="str">
        <f>IF('Données projet'!$B$10="","",'Données projet'!$B$10)</f>
        <v>Mélèze d'Europe</v>
      </c>
      <c r="B7" s="154">
        <f>'Données projet'!D10</f>
        <v>5.9020000000000001</v>
      </c>
      <c r="C7" s="147">
        <f ca="1">IF(OR('Données projet'!B10="",'Données projet'!C10="",'Données projet'!C10=0%),0,Calculateur!AN3)</f>
        <v>261.78489480911571</v>
      </c>
      <c r="D7" s="147">
        <f>IF(OR('Données projet'!B10="",'Données projet'!C10="",'Données projet'!C10=0%),0,Calculateur!AO3)</f>
        <v>297.50513563712764</v>
      </c>
      <c r="E7" s="147">
        <f t="shared" ref="E7:E15" ca="1" si="0">MIN(C7,D7)</f>
        <v>261.78489480911571</v>
      </c>
      <c r="F7" s="147">
        <f t="shared" ref="F7:F15" ca="1" si="1">E7*B7</f>
        <v>1545.0544491634009</v>
      </c>
      <c r="G7" s="147">
        <f ca="1">F7*(100%-'Données projet'!$C$24)*(100%-'Données projet'!$C$25)*(100%-'Données projet'!$C$26)*(100%-'Données projet'!$C$27)</f>
        <v>1321.0215540347076</v>
      </c>
      <c r="H7" s="155">
        <f>IF(OR('Données projet'!B10="",'Données projet'!C10="",'Données projet'!C10=0%),0,AVERAGE(Calculateur!$AX$3:$AX$33)*B7)</f>
        <v>49.908007128607743</v>
      </c>
      <c r="I7" s="149">
        <f>H7*(100%-'Données projet'!$C$24)*(100%-'Données projet'!$C$25)*(100%-'Données projet'!$C$26)*(100%-'Données projet'!$C$27)</f>
        <v>42.671346094959617</v>
      </c>
      <c r="J7" s="150">
        <f>IF(OR('Données projet'!B10="",'Données projet'!C10="",'Données projet'!C10=0%),0,SUM(Calculateur!$AQ$3:$AQ$33)*VLOOKUP('Données projet'!$B$10,Paramètres!$A$1:$I$89,9,0)*B7)</f>
        <v>365.45184</v>
      </c>
      <c r="K7" s="151">
        <f>J7*(100%-'Données projet'!$C$24)*(100%-'Données projet'!$C$25)*(100%-'Données projet'!$C$26)*(100%-'Données projet'!$C$27)</f>
        <v>312.46132319999998</v>
      </c>
      <c r="L7" s="152">
        <f t="shared" ref="L7:L15" ca="1" si="2">G7+I7+K7</f>
        <v>1676.154223329667</v>
      </c>
      <c r="M7" s="23"/>
      <c r="N7" s="23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x14ac:dyDescent="0.25">
      <c r="A8" s="153" t="str">
        <f>IF('Données projet'!$B$11="","",'Données projet'!$B$11)</f>
        <v>Pin laricio</v>
      </c>
      <c r="B8" s="154">
        <f>'Données projet'!D11</f>
        <v>0.90800000000000003</v>
      </c>
      <c r="C8" s="147">
        <f ca="1">IF(OR('Données projet'!B11="",'Données projet'!C11="",'Données projet'!C11=0%),0,Calculateur!BI3)</f>
        <v>316.58509520829671</v>
      </c>
      <c r="D8" s="147">
        <f>IF(OR('Données projet'!B11="",'Données projet'!C11="",'Données projet'!C11=0%),0,Calculateur!BJ3)</f>
        <v>240.71332110643596</v>
      </c>
      <c r="E8" s="147">
        <f t="shared" ca="1" si="0"/>
        <v>240.71332110643596</v>
      </c>
      <c r="F8" s="147">
        <f t="shared" ca="1" si="1"/>
        <v>218.56769556464386</v>
      </c>
      <c r="G8" s="147">
        <f ca="1">F8*(100%-'Données projet'!$C$24)*(100%-'Données projet'!$C$25)*(100%-'Données projet'!$C$26)*(100%-'Données projet'!$C$27)</f>
        <v>186.87537970777049</v>
      </c>
      <c r="H8" s="155">
        <f>IF(OR('Données projet'!B11="",'Données projet'!C11="",'Données projet'!C11=0%),0,AVERAGE(Calculateur!$BS$3:$BS$33)*B8)</f>
        <v>3.4524090364892546</v>
      </c>
      <c r="I8" s="149">
        <f>H8*(100%-'Données projet'!$C$24)*(100%-'Données projet'!$C$25)*(100%-'Données projet'!$C$26)*(100%-'Données projet'!$C$27)</f>
        <v>2.9518097261983125</v>
      </c>
      <c r="J8" s="150">
        <f>IF(OR('Données projet'!B11="",'Données projet'!C11="",'Données projet'!C11=0%),0,SUM(Calculateur!$BL$3:$BL$33)*VLOOKUP('Données projet'!$B$11,Paramètres!$A$1:$I$89,9,0)*B8)</f>
        <v>39.044000000000004</v>
      </c>
      <c r="K8" s="151">
        <f>J8*(100%-'Données projet'!$C$24)*(100%-'Données projet'!$C$25)*(100%-'Données projet'!$C$26)*(100%-'Données projet'!$C$27)</f>
        <v>33.382620000000003</v>
      </c>
      <c r="L8" s="152">
        <f t="shared" ca="1" si="2"/>
        <v>223.20980943396881</v>
      </c>
      <c r="M8" s="23"/>
      <c r="N8" s="2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x14ac:dyDescent="0.25">
      <c r="A9" s="153" t="str">
        <f>IF('Données projet'!$B$12="","",'Données projet'!$B$12)</f>
        <v>Pin sylvestre</v>
      </c>
      <c r="B9" s="154">
        <f>'Données projet'!D12</f>
        <v>0.68099999999999994</v>
      </c>
      <c r="C9" s="147">
        <f ca="1">IF(OR('Données projet'!B12="",'Données projet'!C12="",'Données projet'!C12=0%),0,Calculateur!CD3)</f>
        <v>188.64374818906128</v>
      </c>
      <c r="D9" s="147">
        <f>IF(OR('Données projet'!B12="",'Données projet'!C12="",'Données projet'!C12=0%),0,Calculateur!CE3)</f>
        <v>211.95157880548652</v>
      </c>
      <c r="E9" s="147">
        <f t="shared" ca="1" si="0"/>
        <v>188.64374818906128</v>
      </c>
      <c r="F9" s="147">
        <f t="shared" ca="1" si="1"/>
        <v>128.46639251675072</v>
      </c>
      <c r="G9" s="147">
        <f ca="1">F9*(100%-'Données projet'!$C$24)*(100%-'Données projet'!$C$25)*(100%-'Données projet'!$C$26)*(100%-'Données projet'!$C$27)</f>
        <v>109.83876560182186</v>
      </c>
      <c r="H9" s="155">
        <f>IF(OR('Données projet'!B12="",'Données projet'!C12="",'Données projet'!C12=0%),0,AVERAGE(Calculateur!$CN$3:$CN$33)*B9)</f>
        <v>2.3082565911090533</v>
      </c>
      <c r="I9" s="149">
        <f>H9*(100%-'Données projet'!$C$24)*(100%-'Données projet'!$C$25)*(100%-'Données projet'!$C$26)*(100%-'Données projet'!$C$27)</f>
        <v>1.9735593853982405</v>
      </c>
      <c r="J9" s="150">
        <f>IF(OR('Données projet'!B12="",'Données projet'!C12="",'Données projet'!C12=0%),0,SUM(Calculateur!$CG$3:$CG$33)*VLOOKUP('Données projet'!$B$12,Paramètres!$A$1:$I$89,9,0)*B9)</f>
        <v>28.697339999999997</v>
      </c>
      <c r="K9" s="151">
        <f>J9*(100%-'Données projet'!$C$24)*(100%-'Données projet'!$C$25)*(100%-'Données projet'!$C$26)*(100%-'Données projet'!$C$27)</f>
        <v>24.536225699999999</v>
      </c>
      <c r="L9" s="152">
        <f t="shared" ca="1" si="2"/>
        <v>136.3485506872201</v>
      </c>
      <c r="M9" s="23"/>
      <c r="N9" s="2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x14ac:dyDescent="0.25">
      <c r="A10" s="153" t="str">
        <f>IF('Données projet'!$B$13="","",'Données projet'!$B$13)</f>
        <v/>
      </c>
      <c r="B10" s="154">
        <f>'Données projet'!D13</f>
        <v>0</v>
      </c>
      <c r="C10" s="147">
        <f>IF(OR('Données projet'!B13="",'Données projet'!C13="",'Données projet'!C13=0%),0,Calculateur!CY3)</f>
        <v>0</v>
      </c>
      <c r="D10" s="147">
        <f>IF(OR('Données projet'!B13="",'Données projet'!C13="",'Données projet'!C13=0%),0,Calculateur!CZ3)</f>
        <v>0</v>
      </c>
      <c r="E10" s="147">
        <f t="shared" si="0"/>
        <v>0</v>
      </c>
      <c r="F10" s="147">
        <f t="shared" si="1"/>
        <v>0</v>
      </c>
      <c r="G10" s="147">
        <f>F10*(100%-'Données projet'!$C$24)*(100%-'Données projet'!$C$25)*(100%-'Données projet'!$C$26)*(100%-'Données projet'!$C$27)</f>
        <v>0</v>
      </c>
      <c r="H10" s="155">
        <f>IF(OR('Données projet'!B13="",'Données projet'!C13="",'Données projet'!C13=0%),0,AVERAGE(Calculateur!$DI$3:$DI$33)*B10)</f>
        <v>0</v>
      </c>
      <c r="I10" s="149">
        <f>H10*(100%-'Données projet'!$C$24)*(100%-'Données projet'!$C$25)*(100%-'Données projet'!$C$26)*(100%-'Données projet'!$C$27)</f>
        <v>0</v>
      </c>
      <c r="J10" s="150">
        <f>IF(OR('Données projet'!B13="",'Données projet'!C13="",'Données projet'!C13=0%),0,SUM(Calculateur!$DB$3:$DB$33)*VLOOKUP('Données projet'!$B$13,Paramètres!$A$1:$I$89,9,0)*B10)</f>
        <v>0</v>
      </c>
      <c r="K10" s="151">
        <f>J10*(100%-'Données projet'!$C$24)*(100%-'Données projet'!$C$25)*(100%-'Données projet'!$C$26)*(100%-'Données projet'!$C$27)</f>
        <v>0</v>
      </c>
      <c r="L10" s="152">
        <f t="shared" si="2"/>
        <v>0</v>
      </c>
      <c r="M10" s="23"/>
      <c r="N10" s="2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x14ac:dyDescent="0.25">
      <c r="A11" s="153" t="str">
        <f>IF('Données projet'!$B$14="","",'Données projet'!$B$14)</f>
        <v>Aulne glutineux</v>
      </c>
      <c r="B11" s="154">
        <f>'Données projet'!D14</f>
        <v>0.45400000000000001</v>
      </c>
      <c r="C11" s="147">
        <f ca="1">IF(OR('Données projet'!B14="",'Données projet'!C14="",'Données projet'!C14=0%),0,Calculateur!DT3)</f>
        <v>188.68915783955595</v>
      </c>
      <c r="D11" s="147">
        <f>IF(OR('Données projet'!B14="",'Données projet'!C14="",'Données projet'!C14=0%),0,Calculateur!DU3)</f>
        <v>240.82467772396944</v>
      </c>
      <c r="E11" s="147">
        <f t="shared" ca="1" si="0"/>
        <v>188.68915783955595</v>
      </c>
      <c r="F11" s="147">
        <f t="shared" ca="1" si="1"/>
        <v>85.664877659158407</v>
      </c>
      <c r="G11" s="147">
        <f ca="1">F11*(100%-'Données projet'!$C$24)*(100%-'Données projet'!$C$25)*(100%-'Données projet'!$C$26)*(100%-'Données projet'!$C$27)</f>
        <v>73.243470398580442</v>
      </c>
      <c r="H11" s="155">
        <f>IF(OR('Données projet'!B14="",'Données projet'!C14="",'Données projet'!C14=0%),0,AVERAGE(Calculateur!$ED$3:$ED$33)*B11)</f>
        <v>0.66129637197458113</v>
      </c>
      <c r="I11" s="149">
        <f>H11*(100%-'Données projet'!$C$24)*(100%-'Données projet'!$C$25)*(100%-'Données projet'!$C$26)*(100%-'Données projet'!$C$27)</f>
        <v>0.56540839803826681</v>
      </c>
      <c r="J11" s="150">
        <f>IF(OR('Données projet'!B14="",'Données projet'!C14="",'Données projet'!C14=0%),0,SUM(Calculateur!$DW$3:$DW$33)*VLOOKUP('Données projet'!$B$14,Paramètres!$A$1:$I$89,9,0)*B11)</f>
        <v>7.718</v>
      </c>
      <c r="K11" s="151">
        <f>J11*(100%-'Données projet'!$C$24)*(100%-'Données projet'!$C$25)*(100%-'Données projet'!$C$26)*(100%-'Données projet'!$C$27)</f>
        <v>6.5988899999999999</v>
      </c>
      <c r="L11" s="152">
        <f t="shared" ca="1" si="2"/>
        <v>80.407768796618711</v>
      </c>
      <c r="M11" s="23"/>
      <c r="N11" s="2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</row>
    <row r="12" spans="1:62" x14ac:dyDescent="0.25">
      <c r="A12" s="153" t="str">
        <f>IF('Données projet'!$B$15="","",'Données projet'!$B$15)</f>
        <v>Bouleau verruqueux</v>
      </c>
      <c r="B12" s="154">
        <f>'Données projet'!D15</f>
        <v>0.45400000000000001</v>
      </c>
      <c r="C12" s="147">
        <f ca="1">IF(OR('Données projet'!B15="",'Données projet'!C15="",'Données projet'!C15=0%),0,Calculateur!EO3)</f>
        <v>205.5272583787887</v>
      </c>
      <c r="D12" s="147">
        <f>IF(OR('Données projet'!B15="",'Données projet'!C15="",'Données projet'!C15=0%),0,Calculateur!EP3)</f>
        <v>180.54762778843178</v>
      </c>
      <c r="E12" s="147">
        <f t="shared" ca="1" si="0"/>
        <v>180.54762778843178</v>
      </c>
      <c r="F12" s="147">
        <f t="shared" ca="1" si="1"/>
        <v>81.968623015948026</v>
      </c>
      <c r="G12" s="147">
        <f ca="1">F12*(100%-'Données projet'!$C$24)*(100%-'Données projet'!$C$25)*(100%-'Données projet'!$C$26)*(100%-'Données projet'!$C$27)</f>
        <v>70.083172678635563</v>
      </c>
      <c r="H12" s="155">
        <f>IF(OR('Données projet'!B15="",'Données projet'!C15="",'Données projet'!C15=0%),0,AVERAGE(Calculateur!$EY$3:$EY$33)*B12)</f>
        <v>0.6233843643860747</v>
      </c>
      <c r="I12" s="149">
        <f>H12*(100%-'Données projet'!$C$24)*(100%-'Données projet'!$C$25)*(100%-'Données projet'!$C$26)*(100%-'Données projet'!$C$27)</f>
        <v>0.53299363155009383</v>
      </c>
      <c r="J12" s="150">
        <f>IF(OR('Données projet'!B15="",'Données projet'!C15="",'Données projet'!C15=0%),0,SUM(Calculateur!$ER$3:$ER$33)*VLOOKUP('Données projet'!$B$15,Paramètres!$A$1:$I$89,9,0)*B12)</f>
        <v>4.9939999999999998</v>
      </c>
      <c r="K12" s="151">
        <f>J12*(100%-'Données projet'!$C$24)*(100%-'Données projet'!$C$25)*(100%-'Données projet'!$C$26)*(100%-'Données projet'!$C$27)</f>
        <v>4.2698700000000001</v>
      </c>
      <c r="L12" s="152">
        <f t="shared" ca="1" si="2"/>
        <v>74.886036310185659</v>
      </c>
      <c r="M12" s="23"/>
      <c r="N12" s="2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</row>
    <row r="13" spans="1:62" x14ac:dyDescent="0.25">
      <c r="A13" s="153" t="str">
        <f>IF('Données projet'!$B$16="","",'Données projet'!$B$16)</f>
        <v>Hêtre</v>
      </c>
      <c r="B13" s="154">
        <f>'Données projet'!D16</f>
        <v>0.45400000000000001</v>
      </c>
      <c r="C13" s="147">
        <f ca="1">IF(OR('Données projet'!B16="",'Données projet'!C16="",'Données projet'!C16=0%),0,Calculateur!FJ3)</f>
        <v>383.97627237444709</v>
      </c>
      <c r="D13" s="147">
        <f>IF(OR('Données projet'!B16="",'Données projet'!C16="",'Données projet'!C16=0%),0,Calculateur!FK3)</f>
        <v>203.35476578922339</v>
      </c>
      <c r="E13" s="147">
        <f t="shared" ca="1" si="0"/>
        <v>203.35476578922339</v>
      </c>
      <c r="F13" s="147">
        <f t="shared" ca="1" si="1"/>
        <v>92.323063668307427</v>
      </c>
      <c r="G13" s="147">
        <f ca="1">F13*(100%-'Données projet'!$C$24)*(100%-'Données projet'!$C$25)*(100%-'Données projet'!$C$26)*(100%-'Données projet'!$C$27)</f>
        <v>78.936219436402851</v>
      </c>
      <c r="H13" s="155">
        <f>IF(OR('Données projet'!B16="",'Données projet'!C16="",'Données projet'!C16=0%),0,AVERAGE(Calculateur!$FT$3:$FT$33)*B13)</f>
        <v>0.61382786251912669</v>
      </c>
      <c r="I13" s="149">
        <f>H13*(100%-'Données projet'!$C$24)*(100%-'Données projet'!$C$25)*(100%-'Données projet'!$C$26)*(100%-'Données projet'!$C$27)</f>
        <v>0.52482282245385337</v>
      </c>
      <c r="J13" s="150">
        <f>IF(OR('Données projet'!C16="",'Données projet'!C16=0%),0,SUM(Calculateur!$FM$3:$FM$33)*VLOOKUP('Données projet'!$B$16,Paramètres!$A$1:$I$89,9,0)*B13)</f>
        <v>5.5615000000000006</v>
      </c>
      <c r="K13" s="151">
        <f>J13*(100%-'Données projet'!$C$24)*(100%-'Données projet'!$C$25)*(100%-'Données projet'!$C$26)*(100%-'Données projet'!$C$27)</f>
        <v>4.7550825000000003</v>
      </c>
      <c r="L13" s="152">
        <f t="shared" ca="1" si="2"/>
        <v>84.216124758856708</v>
      </c>
      <c r="M13" s="23"/>
      <c r="N13" s="23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1:62" x14ac:dyDescent="0.25">
      <c r="A14" s="153" t="str">
        <f>IF('Données projet'!$B$17="","",'Données projet'!$B$17)</f>
        <v>Cormier</v>
      </c>
      <c r="B14" s="154">
        <f>'Données projet'!D17</f>
        <v>0.22700000000000001</v>
      </c>
      <c r="C14" s="147">
        <f ca="1">IF(OR('Données projet'!B17="",'Données projet'!C17="",'Données projet'!C17=0%),0,Calculateur!GE3)</f>
        <v>286.77702855541287</v>
      </c>
      <c r="D14" s="147">
        <f>IF(OR('Données projet'!B17="",'Données projet'!C17="",'Données projet'!C17=0%),0,Calculateur!GF3)</f>
        <v>227.12211541860779</v>
      </c>
      <c r="E14" s="147">
        <f t="shared" ca="1" si="0"/>
        <v>227.12211541860779</v>
      </c>
      <c r="F14" s="147">
        <f t="shared" ca="1" si="1"/>
        <v>51.556720200023967</v>
      </c>
      <c r="G14" s="147">
        <f ca="1">F14*(100%-'Données projet'!$C$24)*(100%-'Données projet'!$C$25)*(100%-'Données projet'!$C$26)*(100%-'Données projet'!$C$27)</f>
        <v>44.08099577102049</v>
      </c>
      <c r="H14" s="155">
        <f>IF(OR('Données projet'!B17="",'Données projet'!C17="",'Données projet'!C17=0%),0,AVERAGE(Calculateur!$GO$3:$GO$33)*B14)</f>
        <v>0</v>
      </c>
      <c r="I14" s="149">
        <f>H14*(100%-'Données projet'!$C$24)*(100%-'Données projet'!$C$25)*(100%-'Données projet'!$C$26)*(100%-'Données projet'!$C$27)</f>
        <v>0</v>
      </c>
      <c r="J14" s="150">
        <f>IF(OR('Données projet'!B17="",'Données projet'!C17="",'Données projet'!C17=0%),0,SUM(Calculateur!$GH$3:$GH$33)*VLOOKUP('Données projet'!$B$17,Paramètres!$A$1:$I$89,9,0)*B14)</f>
        <v>0</v>
      </c>
      <c r="K14" s="151">
        <f>J14*(100%-'Données projet'!$C$24)*(100%-'Données projet'!$C$25)*(100%-'Données projet'!$C$26)*(100%-'Données projet'!$C$27)</f>
        <v>0</v>
      </c>
      <c r="L14" s="152">
        <f t="shared" ca="1" si="2"/>
        <v>44.08099577102049</v>
      </c>
      <c r="M14" s="23"/>
      <c r="N14" s="23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</row>
    <row r="15" spans="1:62" ht="15.75" thickBot="1" x14ac:dyDescent="0.3">
      <c r="A15" s="156" t="str">
        <f>IF('Données projet'!B18="","",'Données projet'!B18)</f>
        <v>Cormier</v>
      </c>
      <c r="B15" s="157">
        <f>'Données projet'!D18</f>
        <v>0.22700000000000001</v>
      </c>
      <c r="C15" s="158">
        <f ca="1">IF(OR('Données projet'!B18="",'Données projet'!C18="",'Données projet'!C18=0%),0,Calculateur!GZ3)</f>
        <v>286.77702855541287</v>
      </c>
      <c r="D15" s="158">
        <f>IF(OR('Données projet'!B18="",'Données projet'!C18="",'Données projet'!C18=0%),0,Calculateur!HA3)</f>
        <v>227.12211541860779</v>
      </c>
      <c r="E15" s="158">
        <f t="shared" ca="1" si="0"/>
        <v>227.12211541860779</v>
      </c>
      <c r="F15" s="159">
        <f t="shared" ca="1" si="1"/>
        <v>51.556720200023967</v>
      </c>
      <c r="G15" s="159">
        <f ca="1">F15*(100%-'Données projet'!$C$24)*(100%-'Données projet'!$C$25)*(100%-'Données projet'!$C$26)*(100%-'Données projet'!$C$27)</f>
        <v>44.08099577102049</v>
      </c>
      <c r="H15" s="160">
        <f>IF(OR('Données projet'!B18="",'Données projet'!C18="",'Données projet'!C18=0%),0,AVERAGE(Calculateur!$HJ$3:$HJ$33)*B15)</f>
        <v>0</v>
      </c>
      <c r="I15" s="161">
        <f>H15*(100%-'Données projet'!$C$24)*(100%-'Données projet'!$C$25)*(100%-'Données projet'!$C$26)*(100%-'Données projet'!$C$27)</f>
        <v>0</v>
      </c>
      <c r="J15" s="162">
        <f>IF(OR('Données projet'!B18="",'Données projet'!C18="",'Données projet'!C18=0%),0,SUM(Calculateur!$HC$3:$HC$33)*VLOOKUP('Données projet'!$B$18,Paramètres!$A$1:$I$89,9,0)*B15)</f>
        <v>0</v>
      </c>
      <c r="K15" s="163">
        <f>J15*(100%-'Données projet'!$C$24)*(100%-'Données projet'!$C$25)*(100%-'Données projet'!$C$26)*(100%-'Données projet'!$C$27)</f>
        <v>0</v>
      </c>
      <c r="L15" s="164">
        <f t="shared" ca="1" si="2"/>
        <v>44.08099577102049</v>
      </c>
      <c r="M15" s="23"/>
      <c r="N15" s="23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</row>
    <row r="16" spans="1:62" ht="15.75" thickBot="1" x14ac:dyDescent="0.3">
      <c r="A16" s="209"/>
      <c r="B16" s="213"/>
      <c r="C16" s="214"/>
      <c r="D16" s="23"/>
      <c r="E16" s="23"/>
      <c r="F16" s="165">
        <f t="shared" ref="F16:L16" ca="1" si="3">SUM(F6:F15)</f>
        <v>5677.5722516154956</v>
      </c>
      <c r="G16" s="166">
        <f t="shared" ca="1" si="3"/>
        <v>4854.32427513125</v>
      </c>
      <c r="H16" s="167">
        <f t="shared" si="3"/>
        <v>200.60984652226603</v>
      </c>
      <c r="I16" s="167">
        <f t="shared" si="3"/>
        <v>171.52141877653744</v>
      </c>
      <c r="J16" s="168">
        <f t="shared" si="3"/>
        <v>1474.3519038461536</v>
      </c>
      <c r="K16" s="168">
        <f t="shared" si="3"/>
        <v>1260.5708777884613</v>
      </c>
      <c r="L16" s="169">
        <f t="shared" ca="1" si="3"/>
        <v>6286.4165716962489</v>
      </c>
      <c r="M16" s="23"/>
      <c r="N16" s="23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</row>
    <row r="17" spans="1:62" x14ac:dyDescent="0.25">
      <c r="A17" s="209"/>
      <c r="B17" s="213"/>
      <c r="C17" s="214"/>
      <c r="D17" s="23"/>
      <c r="E17" s="23"/>
      <c r="F17" s="284" t="s">
        <v>246</v>
      </c>
      <c r="G17" s="285"/>
      <c r="H17" s="285"/>
      <c r="I17" s="285"/>
      <c r="J17" s="285"/>
      <c r="K17" s="285"/>
      <c r="L17" s="285"/>
      <c r="M17" s="23"/>
      <c r="N17" s="23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</row>
    <row r="18" spans="1:62" x14ac:dyDescent="0.25">
      <c r="A18" s="209"/>
      <c r="B18" s="213"/>
      <c r="C18" s="214"/>
      <c r="D18" s="23"/>
      <c r="E18" s="23"/>
      <c r="F18" s="271"/>
      <c r="G18" s="271"/>
      <c r="H18" s="271"/>
      <c r="I18" s="271"/>
      <c r="J18" s="271"/>
      <c r="K18" s="271"/>
      <c r="L18" s="271"/>
      <c r="M18" s="23"/>
      <c r="N18" s="23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</row>
    <row r="19" spans="1:62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</row>
    <row r="20" spans="1:62" ht="15.75" thickBo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</row>
    <row r="21" spans="1:62" ht="15.75" thickBot="1" x14ac:dyDescent="0.3">
      <c r="A21" s="170" t="str">
        <f>A6</f>
        <v>Douglas</v>
      </c>
      <c r="B21" s="4"/>
      <c r="C21" s="4"/>
      <c r="D21" s="4"/>
      <c r="E21" s="4"/>
      <c r="F21" s="4"/>
      <c r="G21" s="4"/>
      <c r="H21" s="4"/>
      <c r="I21" s="23"/>
      <c r="J21" s="23"/>
      <c r="K21" s="23"/>
      <c r="L21" s="23"/>
      <c r="M21" s="23"/>
      <c r="N21" s="23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</row>
    <row r="22" spans="1:62" x14ac:dyDescent="0.25">
      <c r="A22" s="4"/>
      <c r="B22" s="4"/>
      <c r="C22" s="4"/>
      <c r="D22" s="4"/>
      <c r="E22" s="4"/>
      <c r="F22" s="4"/>
      <c r="G22" s="4"/>
      <c r="H22" s="4"/>
      <c r="I22" s="23"/>
      <c r="J22" s="23"/>
      <c r="K22" s="23"/>
      <c r="L22" s="23"/>
      <c r="M22" s="23"/>
      <c r="N22" s="23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</row>
    <row r="23" spans="1:62" x14ac:dyDescent="0.25">
      <c r="A23" s="4"/>
      <c r="B23" s="4"/>
      <c r="C23" s="4"/>
      <c r="D23" s="4"/>
      <c r="E23" s="4"/>
      <c r="F23" s="4"/>
      <c r="G23" s="4"/>
      <c r="H23" s="4"/>
      <c r="I23" s="23"/>
      <c r="J23" s="23"/>
      <c r="K23" s="23"/>
      <c r="L23" s="23"/>
      <c r="M23" s="23"/>
      <c r="N23" s="23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</row>
    <row r="24" spans="1:62" x14ac:dyDescent="0.25">
      <c r="A24" s="4"/>
      <c r="B24" s="4"/>
      <c r="C24" s="4"/>
      <c r="D24" s="4"/>
      <c r="E24" s="4"/>
      <c r="F24" s="4"/>
      <c r="G24" s="4"/>
      <c r="H24" s="4"/>
      <c r="I24" s="23"/>
      <c r="J24" s="23"/>
      <c r="K24" s="23"/>
      <c r="L24" s="23"/>
      <c r="M24" s="23"/>
      <c r="N24" s="23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</row>
    <row r="25" spans="1:62" x14ac:dyDescent="0.25">
      <c r="A25" s="4"/>
      <c r="B25" s="4"/>
      <c r="C25" s="4"/>
      <c r="D25" s="4"/>
      <c r="E25" s="4"/>
      <c r="F25" s="4"/>
      <c r="G25" s="4"/>
      <c r="H25" s="4"/>
      <c r="I25" s="23"/>
      <c r="J25" s="23"/>
      <c r="K25" s="23"/>
      <c r="L25" s="23"/>
      <c r="M25" s="23"/>
      <c r="N25" s="23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</row>
    <row r="26" spans="1:62" x14ac:dyDescent="0.25">
      <c r="A26" s="4"/>
      <c r="B26" s="4"/>
      <c r="C26" s="4"/>
      <c r="D26" s="4"/>
      <c r="E26" s="4"/>
      <c r="F26" s="4"/>
      <c r="G26" s="4"/>
      <c r="H26" s="4"/>
      <c r="I26" s="23"/>
      <c r="J26" s="23"/>
      <c r="K26" s="23"/>
      <c r="L26" s="23"/>
      <c r="M26" s="23"/>
      <c r="N26" s="23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</row>
    <row r="27" spans="1:62" x14ac:dyDescent="0.25">
      <c r="A27" s="4"/>
      <c r="B27" s="4"/>
      <c r="C27" s="4"/>
      <c r="D27" s="4"/>
      <c r="E27" s="4"/>
      <c r="F27" s="4"/>
      <c r="G27" s="4"/>
      <c r="H27" s="4"/>
      <c r="I27" s="23"/>
      <c r="J27" s="23"/>
      <c r="K27" s="23"/>
      <c r="L27" s="23"/>
      <c r="M27" s="23"/>
      <c r="N27" s="23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</row>
    <row r="28" spans="1:62" x14ac:dyDescent="0.25">
      <c r="A28" s="4"/>
      <c r="B28" s="4"/>
      <c r="C28" s="4"/>
      <c r="D28" s="4"/>
      <c r="E28" s="4"/>
      <c r="F28" s="4"/>
      <c r="G28" s="4"/>
      <c r="H28" s="4"/>
      <c r="I28" s="23"/>
      <c r="J28" s="23"/>
      <c r="K28" s="23"/>
      <c r="L28" s="23"/>
      <c r="M28" s="23"/>
      <c r="N28" s="23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</row>
    <row r="29" spans="1:62" x14ac:dyDescent="0.25">
      <c r="A29" s="4"/>
      <c r="B29" s="4"/>
      <c r="C29" s="4"/>
      <c r="D29" s="4"/>
      <c r="E29" s="4"/>
      <c r="F29" s="4"/>
      <c r="G29" s="4"/>
      <c r="H29" s="4"/>
      <c r="I29" s="23"/>
      <c r="J29" s="23"/>
      <c r="K29" s="23"/>
      <c r="L29" s="23"/>
      <c r="M29" s="23"/>
      <c r="N29" s="23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</row>
    <row r="30" spans="1:62" x14ac:dyDescent="0.25">
      <c r="A30" s="4"/>
      <c r="B30" s="4"/>
      <c r="C30" s="4"/>
      <c r="D30" s="4"/>
      <c r="E30" s="4"/>
      <c r="F30" s="4"/>
      <c r="G30" s="4"/>
      <c r="H30" s="4"/>
      <c r="I30" s="23"/>
      <c r="J30" s="23"/>
      <c r="K30" s="23"/>
      <c r="L30" s="23"/>
      <c r="M30" s="23"/>
      <c r="N30" s="23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</row>
    <row r="31" spans="1:62" x14ac:dyDescent="0.25">
      <c r="A31" s="4"/>
      <c r="B31" s="4"/>
      <c r="C31" s="4"/>
      <c r="D31" s="4"/>
      <c r="E31" s="4"/>
      <c r="F31" s="4"/>
      <c r="G31" s="4"/>
      <c r="H31" s="4"/>
      <c r="I31" s="23"/>
      <c r="J31" s="23"/>
      <c r="K31" s="23"/>
      <c r="L31" s="23"/>
      <c r="M31" s="23"/>
      <c r="N31" s="23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</row>
    <row r="32" spans="1:62" x14ac:dyDescent="0.25">
      <c r="A32" s="4"/>
      <c r="B32" s="4"/>
      <c r="C32" s="4"/>
      <c r="D32" s="4"/>
      <c r="E32" s="4"/>
      <c r="F32" s="4"/>
      <c r="G32" s="4"/>
      <c r="H32" s="4"/>
      <c r="I32" s="23"/>
      <c r="J32" s="23"/>
      <c r="K32" s="23"/>
      <c r="L32" s="23"/>
      <c r="M32" s="23"/>
      <c r="N32" s="23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</row>
    <row r="33" spans="1:62" x14ac:dyDescent="0.25">
      <c r="A33" s="4"/>
      <c r="B33" s="4"/>
      <c r="C33" s="4"/>
      <c r="D33" s="4"/>
      <c r="E33" s="4"/>
      <c r="F33" s="4"/>
      <c r="G33" s="4"/>
      <c r="H33" s="4"/>
      <c r="I33" s="23"/>
      <c r="J33" s="23"/>
      <c r="K33" s="23"/>
      <c r="L33" s="23"/>
      <c r="M33" s="23"/>
      <c r="N33" s="23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</row>
    <row r="34" spans="1:62" x14ac:dyDescent="0.25">
      <c r="A34" s="4"/>
      <c r="B34" s="4"/>
      <c r="C34" s="4"/>
      <c r="D34" s="4"/>
      <c r="E34" s="4"/>
      <c r="F34" s="4"/>
      <c r="G34" s="4"/>
      <c r="H34" s="4"/>
      <c r="I34" s="23"/>
      <c r="J34" s="23"/>
      <c r="K34" s="23"/>
      <c r="L34" s="23"/>
      <c r="M34" s="23"/>
      <c r="N34" s="23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</row>
    <row r="35" spans="1:62" x14ac:dyDescent="0.25">
      <c r="A35" s="4"/>
      <c r="B35" s="4"/>
      <c r="C35" s="4"/>
      <c r="D35" s="4"/>
      <c r="E35" s="4"/>
      <c r="F35" s="4"/>
      <c r="G35" s="4"/>
      <c r="H35" s="4"/>
      <c r="I35" s="23"/>
      <c r="J35" s="23"/>
      <c r="K35" s="23"/>
      <c r="L35" s="23"/>
      <c r="M35" s="23"/>
      <c r="N35" s="23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</row>
    <row r="36" spans="1:62" x14ac:dyDescent="0.25">
      <c r="A36" s="4"/>
      <c r="B36" s="4"/>
      <c r="C36" s="4"/>
      <c r="D36" s="4"/>
      <c r="E36" s="4"/>
      <c r="F36" s="4"/>
      <c r="G36" s="4"/>
      <c r="H36" s="4"/>
      <c r="I36" s="23"/>
      <c r="J36" s="23"/>
      <c r="K36" s="23"/>
      <c r="L36" s="23"/>
      <c r="M36" s="23"/>
      <c r="N36" s="23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</row>
    <row r="37" spans="1:62" x14ac:dyDescent="0.25">
      <c r="A37" s="4"/>
      <c r="B37" s="4"/>
      <c r="C37" s="4"/>
      <c r="D37" s="4"/>
      <c r="E37" s="4"/>
      <c r="F37" s="4"/>
      <c r="G37" s="4"/>
      <c r="H37" s="4"/>
      <c r="I37" s="23"/>
      <c r="J37" s="23"/>
      <c r="K37" s="23"/>
      <c r="L37" s="23"/>
      <c r="M37" s="23"/>
      <c r="N37" s="23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ht="15.75" thickBot="1" x14ac:dyDescent="0.3">
      <c r="A38" s="4"/>
      <c r="B38" s="4"/>
      <c r="C38" s="4"/>
      <c r="D38" s="4"/>
      <c r="E38" s="4"/>
      <c r="F38" s="4"/>
      <c r="G38" s="4"/>
      <c r="H38" s="4"/>
      <c r="I38" s="23"/>
      <c r="J38" s="23"/>
      <c r="K38" s="23"/>
      <c r="L38" s="23"/>
      <c r="M38" s="23"/>
      <c r="N38" s="23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ht="15.75" thickBot="1" x14ac:dyDescent="0.3">
      <c r="A39" s="170" t="str">
        <f>A7</f>
        <v>Mélèze d'Europe</v>
      </c>
      <c r="B39" s="4"/>
      <c r="C39" s="4"/>
      <c r="D39" s="4"/>
      <c r="E39" s="4"/>
      <c r="F39" s="4"/>
      <c r="G39" s="4"/>
      <c r="H39" s="4"/>
      <c r="I39" s="23"/>
      <c r="J39" s="23"/>
      <c r="K39" s="23"/>
      <c r="L39" s="23"/>
      <c r="M39" s="23"/>
      <c r="N39" s="23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</row>
    <row r="40" spans="1:62" x14ac:dyDescent="0.25">
      <c r="A40" s="4"/>
      <c r="B40" s="4"/>
      <c r="C40" s="4"/>
      <c r="D40" s="4"/>
      <c r="E40" s="4"/>
      <c r="F40" s="4"/>
      <c r="G40" s="4"/>
      <c r="H40" s="4"/>
      <c r="I40" s="23"/>
      <c r="J40" s="23"/>
      <c r="K40" s="23"/>
      <c r="L40" s="23"/>
      <c r="M40" s="23"/>
      <c r="N40" s="23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</row>
    <row r="41" spans="1:62" x14ac:dyDescent="0.25">
      <c r="A41" s="4"/>
      <c r="B41" s="4"/>
      <c r="C41" s="4"/>
      <c r="D41" s="4"/>
      <c r="E41" s="4"/>
      <c r="F41" s="4"/>
      <c r="G41" s="4"/>
      <c r="H41" s="4"/>
      <c r="I41" s="23"/>
      <c r="J41" s="23"/>
      <c r="K41" s="23"/>
      <c r="L41" s="23"/>
      <c r="M41" s="23"/>
      <c r="N41" s="23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</row>
    <row r="42" spans="1:62" x14ac:dyDescent="0.25">
      <c r="A42" s="4"/>
      <c r="B42" s="4"/>
      <c r="C42" s="4"/>
      <c r="D42" s="4"/>
      <c r="E42" s="4"/>
      <c r="F42" s="4"/>
      <c r="G42" s="4"/>
      <c r="H42" s="4"/>
      <c r="I42" s="23"/>
      <c r="J42" s="23"/>
      <c r="K42" s="23"/>
      <c r="L42" s="23"/>
      <c r="M42" s="23"/>
      <c r="N42" s="23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</row>
    <row r="43" spans="1:62" x14ac:dyDescent="0.25">
      <c r="A43" s="4"/>
      <c r="B43" s="4"/>
      <c r="C43" s="4"/>
      <c r="D43" s="4"/>
      <c r="E43" s="4"/>
      <c r="F43" s="4"/>
      <c r="G43" s="4"/>
      <c r="H43" s="4"/>
      <c r="I43" s="23"/>
      <c r="J43" s="23"/>
      <c r="K43" s="23"/>
      <c r="L43" s="23"/>
      <c r="M43" s="23"/>
      <c r="N43" s="2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</row>
    <row r="44" spans="1:62" x14ac:dyDescent="0.25">
      <c r="A44" s="4"/>
      <c r="B44" s="4"/>
      <c r="C44" s="4"/>
      <c r="D44" s="4"/>
      <c r="E44" s="4"/>
      <c r="F44" s="4"/>
      <c r="G44" s="4"/>
      <c r="H44" s="4"/>
      <c r="I44" s="23"/>
      <c r="J44" s="23"/>
      <c r="K44" s="23"/>
      <c r="L44" s="23"/>
      <c r="M44" s="23"/>
      <c r="N44" s="23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</row>
    <row r="45" spans="1:62" x14ac:dyDescent="0.25">
      <c r="A45" s="4"/>
      <c r="B45" s="4"/>
      <c r="C45" s="4"/>
      <c r="D45" s="4"/>
      <c r="E45" s="4"/>
      <c r="F45" s="4"/>
      <c r="G45" s="4"/>
      <c r="H45" s="4"/>
      <c r="I45" s="23"/>
      <c r="J45" s="23"/>
      <c r="K45" s="23"/>
      <c r="L45" s="23"/>
      <c r="M45" s="23"/>
      <c r="N45" s="2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</row>
    <row r="46" spans="1:62" x14ac:dyDescent="0.25">
      <c r="A46" s="4"/>
      <c r="B46" s="4"/>
      <c r="C46" s="4"/>
      <c r="D46" s="4"/>
      <c r="E46" s="4"/>
      <c r="F46" s="4"/>
      <c r="G46" s="4"/>
      <c r="H46" s="4"/>
      <c r="I46" s="23"/>
      <c r="J46" s="23"/>
      <c r="K46" s="23"/>
      <c r="L46" s="23"/>
      <c r="M46" s="23"/>
      <c r="N46" s="2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</row>
    <row r="47" spans="1:62" x14ac:dyDescent="0.25">
      <c r="A47" s="4"/>
      <c r="B47" s="4"/>
      <c r="C47" s="4"/>
      <c r="D47" s="4"/>
      <c r="E47" s="4"/>
      <c r="F47" s="4"/>
      <c r="G47" s="4"/>
      <c r="H47" s="4"/>
      <c r="I47" s="23"/>
      <c r="J47" s="23"/>
      <c r="K47" s="23"/>
      <c r="L47" s="23"/>
      <c r="M47" s="23"/>
      <c r="N47" s="2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</row>
    <row r="48" spans="1:62" x14ac:dyDescent="0.25">
      <c r="A48" s="4"/>
      <c r="B48" s="4"/>
      <c r="C48" s="4"/>
      <c r="D48" s="4"/>
      <c r="E48" s="4"/>
      <c r="F48" s="4"/>
      <c r="G48" s="4"/>
      <c r="H48" s="4"/>
      <c r="I48" s="23"/>
      <c r="J48" s="23"/>
      <c r="K48" s="23"/>
      <c r="L48" s="23"/>
      <c r="M48" s="23"/>
      <c r="N48" s="2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</row>
    <row r="49" spans="1:62" x14ac:dyDescent="0.25">
      <c r="A49" s="4"/>
      <c r="B49" s="4"/>
      <c r="C49" s="4"/>
      <c r="D49" s="4"/>
      <c r="E49" s="4"/>
      <c r="F49" s="4"/>
      <c r="G49" s="4"/>
      <c r="H49" s="4"/>
      <c r="I49" s="23"/>
      <c r="J49" s="23"/>
      <c r="K49" s="23"/>
      <c r="L49" s="23"/>
      <c r="M49" s="23"/>
      <c r="N49" s="2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</row>
    <row r="50" spans="1:62" x14ac:dyDescent="0.25">
      <c r="A50" s="4"/>
      <c r="B50" s="4"/>
      <c r="C50" s="4"/>
      <c r="D50" s="4"/>
      <c r="E50" s="4"/>
      <c r="F50" s="4"/>
      <c r="G50" s="4"/>
      <c r="H50" s="4"/>
      <c r="I50" s="23"/>
      <c r="J50" s="23"/>
      <c r="K50" s="23"/>
      <c r="L50" s="23"/>
      <c r="M50" s="23"/>
      <c r="N50" s="23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</row>
    <row r="51" spans="1:62" x14ac:dyDescent="0.25">
      <c r="A51" s="4"/>
      <c r="B51" s="4"/>
      <c r="C51" s="4"/>
      <c r="D51" s="4"/>
      <c r="E51" s="4"/>
      <c r="F51" s="4"/>
      <c r="G51" s="4"/>
      <c r="H51" s="4"/>
      <c r="I51" s="23"/>
      <c r="J51" s="23"/>
      <c r="K51" s="23"/>
      <c r="L51" s="23"/>
      <c r="M51" s="23"/>
      <c r="N51" s="23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</row>
    <row r="52" spans="1:62" x14ac:dyDescent="0.25">
      <c r="A52" s="4"/>
      <c r="B52" s="4"/>
      <c r="C52" s="4"/>
      <c r="D52" s="4"/>
      <c r="E52" s="4"/>
      <c r="F52" s="4"/>
      <c r="G52" s="4"/>
      <c r="H52" s="4"/>
      <c r="I52" s="23"/>
      <c r="J52" s="23"/>
      <c r="K52" s="23"/>
      <c r="L52" s="23"/>
      <c r="M52" s="23"/>
      <c r="N52" s="23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</row>
    <row r="53" spans="1:62" x14ac:dyDescent="0.25">
      <c r="A53" s="4"/>
      <c r="B53" s="4"/>
      <c r="C53" s="4"/>
      <c r="D53" s="4"/>
      <c r="E53" s="4"/>
      <c r="F53" s="4"/>
      <c r="G53" s="4"/>
      <c r="H53" s="4"/>
      <c r="I53" s="23"/>
      <c r="J53" s="23"/>
      <c r="K53" s="23"/>
      <c r="L53" s="23"/>
      <c r="M53" s="23"/>
      <c r="N53" s="23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</row>
    <row r="54" spans="1:62" x14ac:dyDescent="0.25">
      <c r="A54" s="4"/>
      <c r="B54" s="4"/>
      <c r="C54" s="4"/>
      <c r="D54" s="4"/>
      <c r="E54" s="4"/>
      <c r="F54" s="4"/>
      <c r="G54" s="4"/>
      <c r="H54" s="4"/>
      <c r="I54" s="23"/>
      <c r="J54" s="23"/>
      <c r="K54" s="23"/>
      <c r="L54" s="23"/>
      <c r="M54" s="23"/>
      <c r="N54" s="23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</row>
    <row r="55" spans="1:62" x14ac:dyDescent="0.25">
      <c r="A55" s="4"/>
      <c r="B55" s="4"/>
      <c r="C55" s="4"/>
      <c r="D55" s="4"/>
      <c r="E55" s="4"/>
      <c r="F55" s="4"/>
      <c r="G55" s="4"/>
      <c r="H55" s="4"/>
      <c r="I55" s="23"/>
      <c r="J55" s="23"/>
      <c r="K55" s="23"/>
      <c r="L55" s="23"/>
      <c r="M55" s="23"/>
      <c r="N55" s="23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</row>
    <row r="56" spans="1:62" ht="15.75" thickBot="1" x14ac:dyDescent="0.3">
      <c r="A56" s="4"/>
      <c r="B56" s="4"/>
      <c r="C56" s="4"/>
      <c r="D56" s="4"/>
      <c r="E56" s="4"/>
      <c r="F56" s="4"/>
      <c r="G56" s="4"/>
      <c r="H56" s="4"/>
      <c r="I56" s="23"/>
      <c r="J56" s="23"/>
      <c r="K56" s="23"/>
      <c r="L56" s="23"/>
      <c r="M56" s="23"/>
      <c r="N56" s="23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</row>
    <row r="57" spans="1:62" ht="15.75" thickBot="1" x14ac:dyDescent="0.3">
      <c r="A57" s="170" t="str">
        <f>A8</f>
        <v>Pin laricio</v>
      </c>
      <c r="B57" s="4"/>
      <c r="C57" s="4"/>
      <c r="D57" s="4"/>
      <c r="E57" s="4"/>
      <c r="F57" s="4"/>
      <c r="G57" s="4"/>
      <c r="H57" s="4"/>
      <c r="I57" s="23"/>
      <c r="J57" s="23"/>
      <c r="K57" s="23"/>
      <c r="L57" s="23"/>
      <c r="M57" s="23"/>
      <c r="N57" s="23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</row>
    <row r="58" spans="1:62" x14ac:dyDescent="0.25">
      <c r="A58" s="4"/>
      <c r="B58" s="4"/>
      <c r="C58" s="4"/>
      <c r="D58" s="4"/>
      <c r="E58" s="4"/>
      <c r="F58" s="4"/>
      <c r="G58" s="4"/>
      <c r="H58" s="4"/>
      <c r="I58" s="23"/>
      <c r="J58" s="23"/>
      <c r="K58" s="23"/>
      <c r="L58" s="23"/>
      <c r="M58" s="23"/>
      <c r="N58" s="23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</row>
    <row r="59" spans="1:62" x14ac:dyDescent="0.25">
      <c r="A59" s="4"/>
      <c r="B59" s="4"/>
      <c r="C59" s="4"/>
      <c r="D59" s="4"/>
      <c r="E59" s="4"/>
      <c r="F59" s="4"/>
      <c r="G59" s="4"/>
      <c r="H59" s="4"/>
      <c r="I59" s="23"/>
      <c r="J59" s="23"/>
      <c r="K59" s="23"/>
      <c r="L59" s="23"/>
      <c r="M59" s="23"/>
      <c r="N59" s="23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</row>
    <row r="60" spans="1:62" x14ac:dyDescent="0.25">
      <c r="A60" s="4"/>
      <c r="B60" s="4"/>
      <c r="C60" s="4"/>
      <c r="D60" s="4"/>
      <c r="E60" s="4"/>
      <c r="F60" s="4"/>
      <c r="G60" s="4"/>
      <c r="H60" s="4"/>
      <c r="I60" s="23"/>
      <c r="J60" s="23"/>
      <c r="K60" s="23"/>
      <c r="L60" s="23"/>
      <c r="M60" s="23"/>
      <c r="N60" s="23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</row>
    <row r="61" spans="1:62" x14ac:dyDescent="0.25">
      <c r="A61" s="4"/>
      <c r="B61" s="4"/>
      <c r="C61" s="4"/>
      <c r="D61" s="4"/>
      <c r="E61" s="4"/>
      <c r="F61" s="4"/>
      <c r="G61" s="4"/>
      <c r="H61" s="4"/>
      <c r="I61" s="23"/>
      <c r="J61" s="23"/>
      <c r="K61" s="23"/>
      <c r="L61" s="23"/>
      <c r="M61" s="23"/>
      <c r="N61" s="23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</row>
    <row r="62" spans="1:62" x14ac:dyDescent="0.25">
      <c r="A62" s="4"/>
      <c r="B62" s="4"/>
      <c r="C62" s="4"/>
      <c r="D62" s="4"/>
      <c r="E62" s="4"/>
      <c r="F62" s="4"/>
      <c r="G62" s="4"/>
      <c r="H62" s="4"/>
      <c r="I62" s="23"/>
      <c r="J62" s="23"/>
      <c r="K62" s="23"/>
      <c r="L62" s="23"/>
      <c r="M62" s="23"/>
      <c r="N62" s="23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</row>
    <row r="63" spans="1:62" x14ac:dyDescent="0.25">
      <c r="A63" s="4"/>
      <c r="B63" s="4"/>
      <c r="C63" s="4"/>
      <c r="D63" s="4"/>
      <c r="E63" s="4"/>
      <c r="F63" s="4"/>
      <c r="G63" s="4"/>
      <c r="H63" s="4"/>
      <c r="I63" s="23"/>
      <c r="J63" s="23"/>
      <c r="K63" s="23"/>
      <c r="L63" s="23"/>
      <c r="M63" s="23"/>
      <c r="N63" s="23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</row>
    <row r="64" spans="1:62" x14ac:dyDescent="0.25">
      <c r="A64" s="4"/>
      <c r="B64" s="4"/>
      <c r="C64" s="4"/>
      <c r="D64" s="4"/>
      <c r="E64" s="4"/>
      <c r="F64" s="4"/>
      <c r="G64" s="4"/>
      <c r="H64" s="4"/>
      <c r="I64" s="23"/>
      <c r="J64" s="23"/>
      <c r="K64" s="23"/>
      <c r="L64" s="23"/>
      <c r="M64" s="23"/>
      <c r="N64" s="23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</row>
    <row r="65" spans="1:62" x14ac:dyDescent="0.25">
      <c r="A65" s="4"/>
      <c r="B65" s="4"/>
      <c r="C65" s="4"/>
      <c r="D65" s="4"/>
      <c r="E65" s="4"/>
      <c r="F65" s="4"/>
      <c r="G65" s="4"/>
      <c r="H65" s="4"/>
      <c r="I65" s="23"/>
      <c r="J65" s="23"/>
      <c r="K65" s="23"/>
      <c r="L65" s="23"/>
      <c r="M65" s="23"/>
      <c r="N65" s="23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</row>
    <row r="66" spans="1:62" x14ac:dyDescent="0.25">
      <c r="A66" s="4"/>
      <c r="B66" s="4"/>
      <c r="C66" s="4"/>
      <c r="D66" s="4"/>
      <c r="E66" s="4"/>
      <c r="F66" s="4"/>
      <c r="G66" s="4"/>
      <c r="H66" s="4"/>
      <c r="I66" s="23"/>
      <c r="J66" s="23"/>
      <c r="K66" s="23"/>
      <c r="L66" s="23"/>
      <c r="M66" s="23"/>
      <c r="N66" s="23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</row>
    <row r="67" spans="1:62" x14ac:dyDescent="0.25">
      <c r="A67" s="4"/>
      <c r="B67" s="4"/>
      <c r="C67" s="4"/>
      <c r="D67" s="4"/>
      <c r="E67" s="4"/>
      <c r="F67" s="4"/>
      <c r="G67" s="4"/>
      <c r="H67" s="4"/>
      <c r="I67" s="23"/>
      <c r="J67" s="23"/>
      <c r="K67" s="23"/>
      <c r="L67" s="23"/>
      <c r="M67" s="23"/>
      <c r="N67" s="23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</row>
    <row r="68" spans="1:62" x14ac:dyDescent="0.25">
      <c r="A68" s="4"/>
      <c r="B68" s="4"/>
      <c r="C68" s="4"/>
      <c r="D68" s="4"/>
      <c r="E68" s="4"/>
      <c r="F68" s="4"/>
      <c r="G68" s="4"/>
      <c r="H68" s="4"/>
      <c r="I68" s="23"/>
      <c r="J68" s="23"/>
      <c r="K68" s="23"/>
      <c r="L68" s="23"/>
      <c r="M68" s="23"/>
      <c r="N68" s="23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</row>
    <row r="69" spans="1:62" x14ac:dyDescent="0.25">
      <c r="A69" s="4"/>
      <c r="B69" s="4"/>
      <c r="C69" s="4"/>
      <c r="D69" s="4"/>
      <c r="E69" s="4"/>
      <c r="F69" s="4"/>
      <c r="G69" s="4"/>
      <c r="H69" s="4"/>
      <c r="I69" s="23"/>
      <c r="J69" s="23"/>
      <c r="K69" s="23"/>
      <c r="L69" s="23"/>
      <c r="M69" s="23"/>
      <c r="N69" s="23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</row>
    <row r="70" spans="1:62" x14ac:dyDescent="0.25">
      <c r="A70" s="4"/>
      <c r="B70" s="4"/>
      <c r="C70" s="4"/>
      <c r="D70" s="4"/>
      <c r="E70" s="4"/>
      <c r="F70" s="4"/>
      <c r="G70" s="4"/>
      <c r="H70" s="4"/>
      <c r="I70" s="23"/>
      <c r="J70" s="23"/>
      <c r="K70" s="23"/>
      <c r="L70" s="23"/>
      <c r="M70" s="23"/>
      <c r="N70" s="23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</row>
    <row r="71" spans="1:62" x14ac:dyDescent="0.25">
      <c r="A71" s="4"/>
      <c r="B71" s="4"/>
      <c r="C71" s="4"/>
      <c r="D71" s="4"/>
      <c r="E71" s="4"/>
      <c r="F71" s="4"/>
      <c r="G71" s="4"/>
      <c r="H71" s="4"/>
      <c r="I71" s="23"/>
      <c r="J71" s="23"/>
      <c r="K71" s="23"/>
      <c r="L71" s="23"/>
      <c r="M71" s="23"/>
      <c r="N71" s="23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</row>
    <row r="72" spans="1:62" x14ac:dyDescent="0.25">
      <c r="A72" s="4"/>
      <c r="B72" s="4"/>
      <c r="C72" s="4"/>
      <c r="D72" s="4"/>
      <c r="E72" s="4"/>
      <c r="F72" s="4"/>
      <c r="G72" s="4"/>
      <c r="H72" s="4"/>
      <c r="I72" s="23"/>
      <c r="J72" s="23"/>
      <c r="K72" s="23"/>
      <c r="L72" s="23"/>
      <c r="M72" s="23"/>
      <c r="N72" s="23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</row>
    <row r="73" spans="1:62" x14ac:dyDescent="0.25">
      <c r="A73" s="4"/>
      <c r="B73" s="4"/>
      <c r="C73" s="4"/>
      <c r="D73" s="4"/>
      <c r="E73" s="4"/>
      <c r="F73" s="4"/>
      <c r="G73" s="4"/>
      <c r="H73" s="4"/>
      <c r="I73" s="23"/>
      <c r="J73" s="23"/>
      <c r="K73" s="23"/>
      <c r="L73" s="23"/>
      <c r="M73" s="23"/>
      <c r="N73" s="23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</row>
    <row r="74" spans="1:62" x14ac:dyDescent="0.25">
      <c r="A74" s="4"/>
      <c r="B74" s="4"/>
      <c r="C74" s="4"/>
      <c r="D74" s="4"/>
      <c r="E74" s="4"/>
      <c r="F74" s="4"/>
      <c r="G74" s="4"/>
      <c r="H74" s="4"/>
      <c r="I74" s="23"/>
      <c r="J74" s="23"/>
      <c r="K74" s="23"/>
      <c r="L74" s="23"/>
      <c r="M74" s="23"/>
      <c r="N74" s="23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</row>
    <row r="75" spans="1:62" ht="15.75" thickBot="1" x14ac:dyDescent="0.3">
      <c r="A75" s="4"/>
      <c r="B75" s="4"/>
      <c r="C75" s="4"/>
      <c r="D75" s="4"/>
      <c r="E75" s="4"/>
      <c r="F75" s="4"/>
      <c r="G75" s="4"/>
      <c r="H75" s="4"/>
      <c r="I75" s="23"/>
      <c r="J75" s="23"/>
      <c r="K75" s="23"/>
      <c r="L75" s="23"/>
      <c r="M75" s="23"/>
      <c r="N75" s="23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</row>
    <row r="76" spans="1:62" ht="15.75" thickBot="1" x14ac:dyDescent="0.3">
      <c r="A76" s="170" t="str">
        <f>A9</f>
        <v>Pin sylvestre</v>
      </c>
      <c r="B76" s="4"/>
      <c r="C76" s="4"/>
      <c r="D76" s="4"/>
      <c r="E76" s="4"/>
      <c r="F76" s="4"/>
      <c r="G76" s="4"/>
      <c r="H76" s="4"/>
      <c r="I76" s="23"/>
      <c r="J76" s="23"/>
      <c r="K76" s="23"/>
      <c r="L76" s="23"/>
      <c r="M76" s="23"/>
      <c r="N76" s="23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</row>
    <row r="77" spans="1:62" x14ac:dyDescent="0.25">
      <c r="A77" s="4"/>
      <c r="B77" s="4"/>
      <c r="C77" s="4"/>
      <c r="D77" s="4"/>
      <c r="E77" s="4"/>
      <c r="F77" s="4"/>
      <c r="G77" s="4"/>
      <c r="H77" s="4"/>
      <c r="I77" s="23"/>
      <c r="J77" s="23"/>
      <c r="K77" s="23"/>
      <c r="L77" s="23"/>
      <c r="M77" s="23"/>
      <c r="N77" s="23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</row>
    <row r="78" spans="1:62" x14ac:dyDescent="0.25">
      <c r="A78" s="4"/>
      <c r="B78" s="4"/>
      <c r="C78" s="4"/>
      <c r="D78" s="4"/>
      <c r="E78" s="4"/>
      <c r="F78" s="4"/>
      <c r="G78" s="4"/>
      <c r="H78" s="4"/>
      <c r="I78" s="23"/>
      <c r="J78" s="23"/>
      <c r="K78" s="23"/>
      <c r="L78" s="23"/>
      <c r="M78" s="23"/>
      <c r="N78" s="23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</row>
    <row r="79" spans="1:62" x14ac:dyDescent="0.25">
      <c r="A79" s="4"/>
      <c r="B79" s="4"/>
      <c r="C79" s="4"/>
      <c r="D79" s="4"/>
      <c r="E79" s="4"/>
      <c r="F79" s="4"/>
      <c r="G79" s="4"/>
      <c r="H79" s="4"/>
      <c r="I79" s="23"/>
      <c r="J79" s="23"/>
      <c r="K79" s="23"/>
      <c r="L79" s="23"/>
      <c r="M79" s="23"/>
      <c r="N79" s="23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</row>
    <row r="80" spans="1:62" x14ac:dyDescent="0.25">
      <c r="A80" s="4"/>
      <c r="B80" s="4"/>
      <c r="C80" s="4"/>
      <c r="D80" s="4"/>
      <c r="E80" s="4"/>
      <c r="F80" s="4"/>
      <c r="G80" s="4"/>
      <c r="H80" s="4"/>
      <c r="I80" s="23"/>
      <c r="J80" s="23"/>
      <c r="K80" s="23"/>
      <c r="L80" s="23"/>
      <c r="M80" s="23"/>
      <c r="N80" s="23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</row>
    <row r="81" spans="1:62" x14ac:dyDescent="0.25">
      <c r="A81" s="4"/>
      <c r="B81" s="4"/>
      <c r="C81" s="4"/>
      <c r="D81" s="4"/>
      <c r="E81" s="4"/>
      <c r="F81" s="4"/>
      <c r="G81" s="4"/>
      <c r="H81" s="4"/>
      <c r="I81" s="23"/>
      <c r="J81" s="23"/>
      <c r="K81" s="23"/>
      <c r="L81" s="23"/>
      <c r="M81" s="23"/>
      <c r="N81" s="23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</row>
    <row r="82" spans="1:62" x14ac:dyDescent="0.25">
      <c r="A82" s="4"/>
      <c r="B82" s="4"/>
      <c r="C82" s="4"/>
      <c r="D82" s="4"/>
      <c r="E82" s="4"/>
      <c r="F82" s="4"/>
      <c r="G82" s="4"/>
      <c r="H82" s="4"/>
      <c r="I82" s="23"/>
      <c r="J82" s="23"/>
      <c r="K82" s="23"/>
      <c r="L82" s="23"/>
      <c r="M82" s="23"/>
      <c r="N82" s="23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</row>
    <row r="83" spans="1:62" x14ac:dyDescent="0.25">
      <c r="A83" s="4"/>
      <c r="B83" s="4"/>
      <c r="C83" s="4"/>
      <c r="D83" s="4"/>
      <c r="E83" s="4"/>
      <c r="F83" s="4"/>
      <c r="G83" s="4"/>
      <c r="H83" s="4"/>
      <c r="I83" s="23"/>
      <c r="J83" s="23"/>
      <c r="K83" s="23"/>
      <c r="L83" s="23"/>
      <c r="M83" s="23"/>
      <c r="N83" s="23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</row>
    <row r="84" spans="1:62" x14ac:dyDescent="0.25">
      <c r="A84" s="4"/>
      <c r="B84" s="4"/>
      <c r="C84" s="4"/>
      <c r="D84" s="4"/>
      <c r="E84" s="4"/>
      <c r="F84" s="4"/>
      <c r="G84" s="4"/>
      <c r="H84" s="4"/>
      <c r="I84" s="23"/>
      <c r="J84" s="23"/>
      <c r="K84" s="23"/>
      <c r="L84" s="23"/>
      <c r="M84" s="23"/>
      <c r="N84" s="23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</row>
    <row r="85" spans="1:62" x14ac:dyDescent="0.25">
      <c r="A85" s="4"/>
      <c r="B85" s="4"/>
      <c r="C85" s="4"/>
      <c r="D85" s="4"/>
      <c r="E85" s="4"/>
      <c r="F85" s="4"/>
      <c r="G85" s="4"/>
      <c r="H85" s="4"/>
      <c r="I85" s="23"/>
      <c r="J85" s="23"/>
      <c r="K85" s="23"/>
      <c r="L85" s="23"/>
      <c r="M85" s="23"/>
      <c r="N85" s="23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</row>
    <row r="86" spans="1:62" x14ac:dyDescent="0.25">
      <c r="A86" s="4"/>
      <c r="B86" s="4"/>
      <c r="C86" s="4"/>
      <c r="D86" s="4"/>
      <c r="E86" s="4"/>
      <c r="F86" s="4"/>
      <c r="G86" s="4"/>
      <c r="H86" s="4"/>
      <c r="I86" s="23"/>
      <c r="J86" s="23"/>
      <c r="K86" s="23"/>
      <c r="L86" s="23"/>
      <c r="M86" s="23"/>
      <c r="N86" s="23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</row>
    <row r="87" spans="1:62" x14ac:dyDescent="0.25">
      <c r="A87" s="4"/>
      <c r="B87" s="4"/>
      <c r="C87" s="4"/>
      <c r="D87" s="4"/>
      <c r="E87" s="4"/>
      <c r="F87" s="4"/>
      <c r="G87" s="4"/>
      <c r="H87" s="4"/>
      <c r="I87" s="23"/>
      <c r="J87" s="23"/>
      <c r="K87" s="23"/>
      <c r="L87" s="23"/>
      <c r="M87" s="23"/>
      <c r="N87" s="23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</row>
    <row r="88" spans="1:62" x14ac:dyDescent="0.25">
      <c r="A88" s="4"/>
      <c r="B88" s="4"/>
      <c r="C88" s="4"/>
      <c r="D88" s="4"/>
      <c r="E88" s="4"/>
      <c r="F88" s="4"/>
      <c r="G88" s="4"/>
      <c r="H88" s="4"/>
      <c r="I88" s="23"/>
      <c r="J88" s="23"/>
      <c r="K88" s="23"/>
      <c r="L88" s="23"/>
      <c r="M88" s="23"/>
      <c r="N88" s="23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</row>
    <row r="89" spans="1:62" x14ac:dyDescent="0.25">
      <c r="A89" s="4"/>
      <c r="B89" s="4"/>
      <c r="C89" s="4"/>
      <c r="D89" s="4"/>
      <c r="E89" s="4"/>
      <c r="F89" s="4"/>
      <c r="G89" s="4"/>
      <c r="H89" s="4"/>
      <c r="I89" s="23"/>
      <c r="J89" s="23"/>
      <c r="K89" s="23"/>
      <c r="L89" s="23"/>
      <c r="M89" s="23"/>
      <c r="N89" s="23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</row>
    <row r="90" spans="1:62" x14ac:dyDescent="0.25">
      <c r="A90" s="4"/>
      <c r="B90" s="4"/>
      <c r="C90" s="4"/>
      <c r="D90" s="4"/>
      <c r="E90" s="4"/>
      <c r="F90" s="4"/>
      <c r="G90" s="4"/>
      <c r="H90" s="4"/>
      <c r="I90" s="23"/>
      <c r="J90" s="23"/>
      <c r="K90" s="23"/>
      <c r="L90" s="23"/>
      <c r="M90" s="23"/>
      <c r="N90" s="23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</row>
    <row r="91" spans="1:62" x14ac:dyDescent="0.25">
      <c r="A91" s="4"/>
      <c r="B91" s="4"/>
      <c r="C91" s="4"/>
      <c r="D91" s="4"/>
      <c r="E91" s="4"/>
      <c r="F91" s="4"/>
      <c r="G91" s="4"/>
      <c r="H91" s="4"/>
      <c r="I91" s="23"/>
      <c r="J91" s="23"/>
      <c r="K91" s="23"/>
      <c r="L91" s="23"/>
      <c r="M91" s="23"/>
      <c r="N91" s="23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</row>
    <row r="92" spans="1:62" x14ac:dyDescent="0.25">
      <c r="A92" s="4"/>
      <c r="B92" s="4"/>
      <c r="C92" s="4"/>
      <c r="D92" s="4"/>
      <c r="E92" s="4"/>
      <c r="F92" s="4"/>
      <c r="G92" s="4"/>
      <c r="H92" s="4"/>
      <c r="I92" s="23"/>
      <c r="J92" s="23"/>
      <c r="K92" s="23"/>
      <c r="L92" s="23"/>
      <c r="M92" s="23"/>
      <c r="N92" s="23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</row>
    <row r="93" spans="1:62" ht="15.75" thickBot="1" x14ac:dyDescent="0.3">
      <c r="A93" s="4"/>
      <c r="B93" s="4"/>
      <c r="C93" s="4"/>
      <c r="D93" s="4"/>
      <c r="E93" s="4"/>
      <c r="F93" s="4"/>
      <c r="G93" s="4"/>
      <c r="H93" s="4"/>
      <c r="I93" s="23"/>
      <c r="J93" s="23"/>
      <c r="K93" s="23"/>
      <c r="L93" s="23"/>
      <c r="M93" s="23"/>
      <c r="N93" s="23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</row>
    <row r="94" spans="1:62" ht="15.75" thickBot="1" x14ac:dyDescent="0.3">
      <c r="A94" s="170" t="str">
        <f>A10</f>
        <v/>
      </c>
      <c r="B94" s="4"/>
      <c r="C94" s="4"/>
      <c r="D94" s="4"/>
      <c r="E94" s="4"/>
      <c r="F94" s="4"/>
      <c r="G94" s="4"/>
      <c r="H94" s="4"/>
      <c r="I94" s="23"/>
      <c r="J94" s="23"/>
      <c r="K94" s="23"/>
      <c r="L94" s="23"/>
      <c r="M94" s="23"/>
      <c r="N94" s="23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</row>
    <row r="95" spans="1:62" x14ac:dyDescent="0.25">
      <c r="A95" s="4"/>
      <c r="B95" s="4"/>
      <c r="C95" s="4"/>
      <c r="D95" s="4"/>
      <c r="E95" s="4"/>
      <c r="F95" s="4"/>
      <c r="G95" s="4"/>
      <c r="H95" s="4"/>
      <c r="I95" s="23"/>
      <c r="J95" s="23"/>
      <c r="K95" s="23"/>
      <c r="L95" s="23"/>
      <c r="M95" s="23"/>
      <c r="N95" s="23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</row>
    <row r="96" spans="1:62" x14ac:dyDescent="0.25">
      <c r="A96" s="4"/>
      <c r="B96" s="4"/>
      <c r="C96" s="4"/>
      <c r="D96" s="4"/>
      <c r="E96" s="4"/>
      <c r="F96" s="4"/>
      <c r="G96" s="4"/>
      <c r="H96" s="4"/>
      <c r="I96" s="23"/>
      <c r="J96" s="23"/>
      <c r="K96" s="23"/>
      <c r="L96" s="23"/>
      <c r="M96" s="23"/>
      <c r="N96" s="23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</row>
    <row r="97" spans="1:62" x14ac:dyDescent="0.25">
      <c r="A97" s="4"/>
      <c r="B97" s="4"/>
      <c r="C97" s="4"/>
      <c r="D97" s="4"/>
      <c r="E97" s="4"/>
      <c r="F97" s="4"/>
      <c r="G97" s="4"/>
      <c r="H97" s="4"/>
      <c r="I97" s="23"/>
      <c r="J97" s="23"/>
      <c r="K97" s="23"/>
      <c r="L97" s="23"/>
      <c r="M97" s="23"/>
      <c r="N97" s="23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</row>
    <row r="98" spans="1:62" x14ac:dyDescent="0.25">
      <c r="A98" s="4"/>
      <c r="B98" s="4"/>
      <c r="C98" s="4"/>
      <c r="D98" s="4"/>
      <c r="E98" s="4"/>
      <c r="F98" s="4"/>
      <c r="G98" s="4"/>
      <c r="H98" s="4"/>
      <c r="I98" s="23"/>
      <c r="J98" s="23"/>
      <c r="K98" s="23"/>
      <c r="L98" s="23"/>
      <c r="M98" s="23"/>
      <c r="N98" s="23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</row>
    <row r="99" spans="1:62" x14ac:dyDescent="0.25">
      <c r="A99" s="4"/>
      <c r="B99" s="4"/>
      <c r="C99" s="4"/>
      <c r="D99" s="4"/>
      <c r="E99" s="4"/>
      <c r="F99" s="4"/>
      <c r="G99" s="4"/>
      <c r="H99" s="4"/>
      <c r="I99" s="23"/>
      <c r="J99" s="23"/>
      <c r="K99" s="23"/>
      <c r="L99" s="23"/>
      <c r="M99" s="23"/>
      <c r="N99" s="23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</row>
    <row r="100" spans="1:62" x14ac:dyDescent="0.25">
      <c r="A100" s="4"/>
      <c r="B100" s="4"/>
      <c r="C100" s="4"/>
      <c r="D100" s="4"/>
      <c r="E100" s="4"/>
      <c r="F100" s="4"/>
      <c r="G100" s="4"/>
      <c r="H100" s="4"/>
      <c r="I100" s="23"/>
      <c r="J100" s="23"/>
      <c r="K100" s="23"/>
      <c r="L100" s="23"/>
      <c r="M100" s="23"/>
      <c r="N100" s="23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</row>
    <row r="101" spans="1:62" x14ac:dyDescent="0.25">
      <c r="A101" s="4"/>
      <c r="B101" s="4"/>
      <c r="C101" s="4"/>
      <c r="D101" s="4"/>
      <c r="E101" s="4"/>
      <c r="F101" s="4"/>
      <c r="G101" s="4"/>
      <c r="H101" s="4"/>
      <c r="I101" s="23"/>
      <c r="J101" s="23"/>
      <c r="K101" s="23"/>
      <c r="L101" s="23"/>
      <c r="M101" s="23"/>
      <c r="N101" s="23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</row>
    <row r="102" spans="1:62" x14ac:dyDescent="0.25">
      <c r="A102" s="4"/>
      <c r="B102" s="4"/>
      <c r="C102" s="4"/>
      <c r="D102" s="4"/>
      <c r="E102" s="4"/>
      <c r="F102" s="4"/>
      <c r="G102" s="4"/>
      <c r="H102" s="4"/>
      <c r="I102" s="23"/>
      <c r="J102" s="23"/>
      <c r="K102" s="23"/>
      <c r="L102" s="23"/>
      <c r="M102" s="23"/>
      <c r="N102" s="23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</row>
    <row r="103" spans="1:62" x14ac:dyDescent="0.25">
      <c r="A103" s="4"/>
      <c r="B103" s="4"/>
      <c r="C103" s="4"/>
      <c r="D103" s="4"/>
      <c r="E103" s="4"/>
      <c r="F103" s="4"/>
      <c r="G103" s="4"/>
      <c r="H103" s="4"/>
      <c r="I103" s="23"/>
      <c r="J103" s="23"/>
      <c r="K103" s="23"/>
      <c r="L103" s="23"/>
      <c r="M103" s="23"/>
      <c r="N103" s="23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</row>
    <row r="104" spans="1:62" x14ac:dyDescent="0.25">
      <c r="A104" s="4"/>
      <c r="B104" s="4"/>
      <c r="C104" s="4"/>
      <c r="D104" s="4"/>
      <c r="E104" s="4"/>
      <c r="F104" s="4"/>
      <c r="G104" s="4"/>
      <c r="H104" s="4"/>
      <c r="I104" s="23"/>
      <c r="J104" s="23"/>
      <c r="K104" s="23"/>
      <c r="L104" s="23"/>
      <c r="M104" s="23"/>
      <c r="N104" s="23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</row>
    <row r="105" spans="1:62" x14ac:dyDescent="0.25">
      <c r="A105" s="4"/>
      <c r="B105" s="4"/>
      <c r="C105" s="4"/>
      <c r="D105" s="4"/>
      <c r="E105" s="4"/>
      <c r="F105" s="4"/>
      <c r="G105" s="4"/>
      <c r="H105" s="4"/>
      <c r="I105" s="23"/>
      <c r="J105" s="23"/>
      <c r="K105" s="23"/>
      <c r="L105" s="23"/>
      <c r="M105" s="23"/>
      <c r="N105" s="23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</row>
    <row r="106" spans="1:62" x14ac:dyDescent="0.25">
      <c r="A106" s="4"/>
      <c r="B106" s="4"/>
      <c r="C106" s="4"/>
      <c r="D106" s="4"/>
      <c r="E106" s="4"/>
      <c r="F106" s="4"/>
      <c r="G106" s="4"/>
      <c r="H106" s="4"/>
      <c r="I106" s="23"/>
      <c r="J106" s="23"/>
      <c r="K106" s="23"/>
      <c r="L106" s="23"/>
      <c r="M106" s="23"/>
      <c r="N106" s="23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</row>
    <row r="107" spans="1:62" x14ac:dyDescent="0.25">
      <c r="A107" s="4"/>
      <c r="B107" s="4"/>
      <c r="C107" s="4"/>
      <c r="D107" s="4"/>
      <c r="E107" s="4"/>
      <c r="F107" s="4"/>
      <c r="G107" s="4"/>
      <c r="H107" s="4"/>
      <c r="I107" s="23"/>
      <c r="J107" s="23"/>
      <c r="K107" s="23"/>
      <c r="L107" s="23"/>
      <c r="M107" s="23"/>
      <c r="N107" s="23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</row>
    <row r="108" spans="1:62" x14ac:dyDescent="0.25">
      <c r="A108" s="4"/>
      <c r="B108" s="4"/>
      <c r="C108" s="4"/>
      <c r="D108" s="4"/>
      <c r="E108" s="4"/>
      <c r="F108" s="4"/>
      <c r="G108" s="4"/>
      <c r="H108" s="4"/>
      <c r="I108" s="23"/>
      <c r="J108" s="23"/>
      <c r="K108" s="23"/>
      <c r="L108" s="23"/>
      <c r="M108" s="23"/>
      <c r="N108" s="23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</row>
    <row r="109" spans="1:62" x14ac:dyDescent="0.25">
      <c r="A109" s="4"/>
      <c r="B109" s="4"/>
      <c r="C109" s="4"/>
      <c r="D109" s="4"/>
      <c r="E109" s="4"/>
      <c r="F109" s="4"/>
      <c r="G109" s="4"/>
      <c r="H109" s="4"/>
      <c r="I109" s="23"/>
      <c r="J109" s="23"/>
      <c r="K109" s="23"/>
      <c r="L109" s="23"/>
      <c r="M109" s="23"/>
      <c r="N109" s="23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</row>
    <row r="110" spans="1:62" x14ac:dyDescent="0.25">
      <c r="A110" s="4"/>
      <c r="B110" s="4"/>
      <c r="C110" s="4"/>
      <c r="D110" s="4"/>
      <c r="E110" s="4"/>
      <c r="F110" s="4"/>
      <c r="G110" s="4"/>
      <c r="H110" s="4"/>
      <c r="I110" s="23"/>
      <c r="J110" s="23"/>
      <c r="K110" s="23"/>
      <c r="L110" s="23"/>
      <c r="M110" s="23"/>
      <c r="N110" s="23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</row>
    <row r="111" spans="1:62" ht="15.75" thickBot="1" x14ac:dyDescent="0.3">
      <c r="A111" s="4"/>
      <c r="B111" s="4"/>
      <c r="C111" s="4"/>
      <c r="D111" s="4"/>
      <c r="E111" s="4"/>
      <c r="F111" s="4"/>
      <c r="G111" s="4"/>
      <c r="H111" s="4"/>
      <c r="I111" s="23"/>
      <c r="J111" s="23"/>
      <c r="K111" s="23"/>
      <c r="L111" s="23"/>
      <c r="M111" s="23"/>
      <c r="N111" s="23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</row>
    <row r="112" spans="1:62" ht="15.75" thickBot="1" x14ac:dyDescent="0.3">
      <c r="A112" s="170" t="str">
        <f>A11</f>
        <v>Aulne glutineux</v>
      </c>
      <c r="B112" s="4"/>
      <c r="C112" s="4"/>
      <c r="D112" s="4"/>
      <c r="E112" s="4"/>
      <c r="F112" s="4"/>
      <c r="G112" s="4"/>
      <c r="H112" s="4"/>
      <c r="I112" s="23"/>
      <c r="J112" s="23"/>
      <c r="K112" s="23"/>
      <c r="L112" s="23"/>
      <c r="M112" s="23"/>
      <c r="N112" s="23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</row>
    <row r="113" spans="1:62" x14ac:dyDescent="0.25">
      <c r="A113" s="4"/>
      <c r="B113" s="4"/>
      <c r="C113" s="4"/>
      <c r="D113" s="4"/>
      <c r="E113" s="4"/>
      <c r="F113" s="4"/>
      <c r="G113" s="4"/>
      <c r="H113" s="4"/>
      <c r="I113" s="23"/>
      <c r="J113" s="23"/>
      <c r="K113" s="23"/>
      <c r="L113" s="23"/>
      <c r="M113" s="23"/>
      <c r="N113" s="23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</row>
    <row r="114" spans="1:62" x14ac:dyDescent="0.25">
      <c r="A114" s="4"/>
      <c r="B114" s="4"/>
      <c r="C114" s="4"/>
      <c r="D114" s="4"/>
      <c r="E114" s="4"/>
      <c r="F114" s="4"/>
      <c r="G114" s="4"/>
      <c r="H114" s="4"/>
      <c r="I114" s="23"/>
      <c r="J114" s="23"/>
      <c r="K114" s="23"/>
      <c r="L114" s="23"/>
      <c r="M114" s="23"/>
      <c r="N114" s="23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</row>
    <row r="115" spans="1:62" x14ac:dyDescent="0.25">
      <c r="A115" s="4"/>
      <c r="B115" s="4"/>
      <c r="C115" s="4"/>
      <c r="D115" s="4"/>
      <c r="E115" s="4"/>
      <c r="F115" s="4"/>
      <c r="G115" s="4"/>
      <c r="H115" s="4"/>
      <c r="I115" s="23"/>
      <c r="J115" s="23"/>
      <c r="K115" s="23"/>
      <c r="L115" s="23"/>
      <c r="M115" s="23"/>
      <c r="N115" s="23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</row>
    <row r="116" spans="1:62" x14ac:dyDescent="0.25">
      <c r="A116" s="4"/>
      <c r="B116" s="4"/>
      <c r="C116" s="4"/>
      <c r="D116" s="4"/>
      <c r="E116" s="4"/>
      <c r="F116" s="4"/>
      <c r="G116" s="4"/>
      <c r="H116" s="4"/>
      <c r="I116" s="23"/>
      <c r="J116" s="23"/>
      <c r="K116" s="23"/>
      <c r="L116" s="23"/>
      <c r="M116" s="23"/>
      <c r="N116" s="23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</row>
    <row r="117" spans="1:62" x14ac:dyDescent="0.25">
      <c r="A117" s="4"/>
      <c r="B117" s="4"/>
      <c r="C117" s="4"/>
      <c r="D117" s="4"/>
      <c r="E117" s="4"/>
      <c r="F117" s="4"/>
      <c r="G117" s="4"/>
      <c r="H117" s="4"/>
      <c r="I117" s="23"/>
      <c r="J117" s="23"/>
      <c r="K117" s="23"/>
      <c r="L117" s="23"/>
      <c r="M117" s="23"/>
      <c r="N117" s="23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</row>
    <row r="118" spans="1:62" x14ac:dyDescent="0.25">
      <c r="A118" s="4"/>
      <c r="B118" s="4"/>
      <c r="C118" s="4"/>
      <c r="D118" s="4"/>
      <c r="E118" s="4"/>
      <c r="F118" s="4"/>
      <c r="G118" s="4"/>
      <c r="H118" s="4"/>
      <c r="I118" s="23"/>
      <c r="J118" s="23"/>
      <c r="K118" s="23"/>
      <c r="L118" s="23"/>
      <c r="M118" s="23"/>
      <c r="N118" s="23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</row>
    <row r="119" spans="1:62" x14ac:dyDescent="0.25">
      <c r="A119" s="4"/>
      <c r="B119" s="4"/>
      <c r="C119" s="4"/>
      <c r="D119" s="4"/>
      <c r="E119" s="4"/>
      <c r="F119" s="4"/>
      <c r="G119" s="4"/>
      <c r="H119" s="4"/>
      <c r="I119" s="23"/>
      <c r="J119" s="23"/>
      <c r="K119" s="23"/>
      <c r="L119" s="23"/>
      <c r="M119" s="23"/>
      <c r="N119" s="23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</row>
    <row r="120" spans="1:62" x14ac:dyDescent="0.25">
      <c r="A120" s="4"/>
      <c r="B120" s="4"/>
      <c r="C120" s="4"/>
      <c r="D120" s="4"/>
      <c r="E120" s="4"/>
      <c r="F120" s="4"/>
      <c r="G120" s="4"/>
      <c r="H120" s="4"/>
      <c r="I120" s="23"/>
      <c r="J120" s="23"/>
      <c r="K120" s="23"/>
      <c r="L120" s="23"/>
      <c r="M120" s="23"/>
      <c r="N120" s="23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</row>
    <row r="121" spans="1:62" x14ac:dyDescent="0.25">
      <c r="A121" s="4"/>
      <c r="B121" s="4"/>
      <c r="C121" s="4"/>
      <c r="D121" s="4"/>
      <c r="E121" s="4"/>
      <c r="F121" s="4"/>
      <c r="G121" s="4"/>
      <c r="H121" s="4"/>
      <c r="I121" s="23"/>
      <c r="J121" s="23"/>
      <c r="K121" s="23"/>
      <c r="L121" s="23"/>
      <c r="M121" s="23"/>
      <c r="N121" s="23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</row>
    <row r="122" spans="1:62" x14ac:dyDescent="0.25">
      <c r="A122" s="4"/>
      <c r="B122" s="4"/>
      <c r="C122" s="4"/>
      <c r="D122" s="4"/>
      <c r="E122" s="4"/>
      <c r="F122" s="4"/>
      <c r="G122" s="4"/>
      <c r="H122" s="4"/>
      <c r="I122" s="23"/>
      <c r="J122" s="23"/>
      <c r="K122" s="23"/>
      <c r="L122" s="23"/>
      <c r="M122" s="23"/>
      <c r="N122" s="23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</row>
    <row r="123" spans="1:62" x14ac:dyDescent="0.25">
      <c r="A123" s="4"/>
      <c r="B123" s="4"/>
      <c r="C123" s="4"/>
      <c r="D123" s="4"/>
      <c r="E123" s="4"/>
      <c r="F123" s="4"/>
      <c r="G123" s="4"/>
      <c r="H123" s="4"/>
      <c r="I123" s="23"/>
      <c r="J123" s="23"/>
      <c r="K123" s="23"/>
      <c r="L123" s="23"/>
      <c r="M123" s="23"/>
      <c r="N123" s="23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</row>
    <row r="124" spans="1:62" x14ac:dyDescent="0.25">
      <c r="A124" s="4"/>
      <c r="B124" s="4"/>
      <c r="C124" s="4"/>
      <c r="D124" s="4"/>
      <c r="E124" s="4"/>
      <c r="F124" s="4"/>
      <c r="G124" s="4"/>
      <c r="H124" s="4"/>
      <c r="I124" s="23"/>
      <c r="J124" s="23"/>
      <c r="K124" s="23"/>
      <c r="L124" s="23"/>
      <c r="M124" s="23"/>
      <c r="N124" s="23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</row>
    <row r="125" spans="1:62" x14ac:dyDescent="0.25">
      <c r="A125" s="4"/>
      <c r="B125" s="4"/>
      <c r="C125" s="4"/>
      <c r="D125" s="4"/>
      <c r="E125" s="4"/>
      <c r="F125" s="4"/>
      <c r="G125" s="4"/>
      <c r="H125" s="4"/>
      <c r="I125" s="23"/>
      <c r="J125" s="23"/>
      <c r="K125" s="23"/>
      <c r="L125" s="23"/>
      <c r="M125" s="23"/>
      <c r="N125" s="23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</row>
    <row r="126" spans="1:62" x14ac:dyDescent="0.25">
      <c r="A126" s="4"/>
      <c r="B126" s="4"/>
      <c r="C126" s="4"/>
      <c r="D126" s="4"/>
      <c r="E126" s="4"/>
      <c r="F126" s="4"/>
      <c r="G126" s="4"/>
      <c r="H126" s="4"/>
      <c r="I126" s="23"/>
      <c r="J126" s="23"/>
      <c r="K126" s="23"/>
      <c r="L126" s="23"/>
      <c r="M126" s="23"/>
      <c r="N126" s="23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</row>
    <row r="127" spans="1:62" x14ac:dyDescent="0.25">
      <c r="A127" s="4"/>
      <c r="B127" s="4"/>
      <c r="C127" s="4"/>
      <c r="D127" s="4"/>
      <c r="E127" s="4"/>
      <c r="F127" s="4"/>
      <c r="G127" s="4"/>
      <c r="H127" s="4"/>
      <c r="I127" s="23"/>
      <c r="J127" s="23"/>
      <c r="K127" s="23"/>
      <c r="L127" s="23"/>
      <c r="M127" s="23"/>
      <c r="N127" s="23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</row>
    <row r="128" spans="1:62" x14ac:dyDescent="0.25">
      <c r="A128" s="4"/>
      <c r="B128" s="4"/>
      <c r="C128" s="4"/>
      <c r="D128" s="4"/>
      <c r="E128" s="4"/>
      <c r="F128" s="4"/>
      <c r="G128" s="4"/>
      <c r="H128" s="4"/>
      <c r="I128" s="23"/>
      <c r="J128" s="23"/>
      <c r="K128" s="23"/>
      <c r="L128" s="23"/>
      <c r="M128" s="23"/>
      <c r="N128" s="23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</row>
    <row r="129" spans="1:62" ht="15.75" thickBot="1" x14ac:dyDescent="0.3">
      <c r="A129" s="4"/>
      <c r="B129" s="4"/>
      <c r="C129" s="4"/>
      <c r="D129" s="4"/>
      <c r="E129" s="4"/>
      <c r="F129" s="4"/>
      <c r="G129" s="4"/>
      <c r="H129" s="4"/>
      <c r="I129" s="23"/>
      <c r="J129" s="23"/>
      <c r="K129" s="23"/>
      <c r="L129" s="23"/>
      <c r="M129" s="23"/>
      <c r="N129" s="23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</row>
    <row r="130" spans="1:62" ht="15.75" thickBot="1" x14ac:dyDescent="0.3">
      <c r="A130" s="170" t="str">
        <f>A12</f>
        <v>Bouleau verruqueux</v>
      </c>
      <c r="B130" s="4"/>
      <c r="C130" s="4"/>
      <c r="D130" s="4"/>
      <c r="E130" s="4"/>
      <c r="F130" s="4"/>
      <c r="G130" s="4"/>
      <c r="H130" s="4"/>
      <c r="I130" s="23"/>
      <c r="J130" s="23"/>
      <c r="K130" s="23"/>
      <c r="L130" s="23"/>
      <c r="M130" s="23"/>
      <c r="N130" s="23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</row>
    <row r="131" spans="1:62" x14ac:dyDescent="0.25">
      <c r="A131" s="4"/>
      <c r="B131" s="4"/>
      <c r="C131" s="4"/>
      <c r="D131" s="4"/>
      <c r="E131" s="4"/>
      <c r="F131" s="4"/>
      <c r="G131" s="4"/>
      <c r="H131" s="4"/>
      <c r="I131" s="23"/>
      <c r="J131" s="23"/>
      <c r="K131" s="23"/>
      <c r="L131" s="23"/>
      <c r="M131" s="23"/>
      <c r="N131" s="23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</row>
    <row r="132" spans="1:62" x14ac:dyDescent="0.25">
      <c r="A132" s="4"/>
      <c r="B132" s="4"/>
      <c r="C132" s="4"/>
      <c r="D132" s="4"/>
      <c r="E132" s="4"/>
      <c r="F132" s="4"/>
      <c r="G132" s="4"/>
      <c r="H132" s="4"/>
      <c r="I132" s="23"/>
      <c r="J132" s="23"/>
      <c r="K132" s="23"/>
      <c r="L132" s="23"/>
      <c r="M132" s="23"/>
      <c r="N132" s="23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</row>
    <row r="133" spans="1:62" x14ac:dyDescent="0.25">
      <c r="A133" s="4"/>
      <c r="B133" s="4"/>
      <c r="C133" s="4"/>
      <c r="D133" s="4"/>
      <c r="E133" s="4"/>
      <c r="F133" s="4"/>
      <c r="G133" s="4"/>
      <c r="H133" s="4"/>
      <c r="I133" s="23"/>
      <c r="J133" s="23"/>
      <c r="K133" s="23"/>
      <c r="L133" s="23"/>
      <c r="M133" s="23"/>
      <c r="N133" s="23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</row>
    <row r="134" spans="1:62" x14ac:dyDescent="0.25">
      <c r="A134" s="4"/>
      <c r="B134" s="4"/>
      <c r="C134" s="4"/>
      <c r="D134" s="4"/>
      <c r="E134" s="4"/>
      <c r="F134" s="4"/>
      <c r="G134" s="4"/>
      <c r="H134" s="4"/>
      <c r="I134" s="23"/>
      <c r="J134" s="23"/>
      <c r="K134" s="23"/>
      <c r="L134" s="23"/>
      <c r="M134" s="23"/>
      <c r="N134" s="23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</row>
    <row r="135" spans="1:62" x14ac:dyDescent="0.25">
      <c r="A135" s="4"/>
      <c r="B135" s="4"/>
      <c r="C135" s="4"/>
      <c r="D135" s="4"/>
      <c r="E135" s="4"/>
      <c r="F135" s="4"/>
      <c r="G135" s="4"/>
      <c r="H135" s="4"/>
      <c r="I135" s="23"/>
      <c r="J135" s="23"/>
      <c r="K135" s="23"/>
      <c r="L135" s="23"/>
      <c r="M135" s="23"/>
      <c r="N135" s="23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</row>
    <row r="136" spans="1:62" x14ac:dyDescent="0.25">
      <c r="A136" s="4"/>
      <c r="B136" s="4"/>
      <c r="C136" s="4"/>
      <c r="D136" s="4"/>
      <c r="E136" s="4"/>
      <c r="F136" s="4"/>
      <c r="G136" s="4"/>
      <c r="H136" s="4"/>
      <c r="I136" s="23"/>
      <c r="J136" s="23"/>
      <c r="K136" s="23"/>
      <c r="L136" s="23"/>
      <c r="M136" s="23"/>
      <c r="N136" s="23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</row>
    <row r="137" spans="1:62" x14ac:dyDescent="0.25">
      <c r="A137" s="4"/>
      <c r="B137" s="4"/>
      <c r="C137" s="4"/>
      <c r="D137" s="4"/>
      <c r="E137" s="4"/>
      <c r="F137" s="4"/>
      <c r="G137" s="4"/>
      <c r="H137" s="4"/>
      <c r="I137" s="23"/>
      <c r="J137" s="23"/>
      <c r="K137" s="23"/>
      <c r="L137" s="23"/>
      <c r="M137" s="23"/>
      <c r="N137" s="23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</row>
    <row r="138" spans="1:62" x14ac:dyDescent="0.25">
      <c r="A138" s="4"/>
      <c r="B138" s="4"/>
      <c r="C138" s="4"/>
      <c r="D138" s="4"/>
      <c r="E138" s="4"/>
      <c r="F138" s="4"/>
      <c r="G138" s="4"/>
      <c r="H138" s="4"/>
      <c r="I138" s="23"/>
      <c r="J138" s="23"/>
      <c r="K138" s="23"/>
      <c r="L138" s="23"/>
      <c r="M138" s="23"/>
      <c r="N138" s="23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</row>
    <row r="139" spans="1:62" x14ac:dyDescent="0.25">
      <c r="A139" s="4"/>
      <c r="B139" s="4"/>
      <c r="C139" s="4"/>
      <c r="D139" s="4"/>
      <c r="E139" s="4"/>
      <c r="F139" s="4"/>
      <c r="G139" s="4"/>
      <c r="H139" s="4"/>
      <c r="I139" s="23"/>
      <c r="J139" s="23"/>
      <c r="K139" s="23"/>
      <c r="L139" s="23"/>
      <c r="M139" s="23"/>
      <c r="N139" s="23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</row>
    <row r="140" spans="1:62" x14ac:dyDescent="0.25">
      <c r="A140" s="4"/>
      <c r="B140" s="4"/>
      <c r="C140" s="4"/>
      <c r="D140" s="4"/>
      <c r="E140" s="4"/>
      <c r="F140" s="4"/>
      <c r="G140" s="4"/>
      <c r="H140" s="4"/>
      <c r="I140" s="23"/>
      <c r="J140" s="23"/>
      <c r="K140" s="23"/>
      <c r="L140" s="23"/>
      <c r="M140" s="23"/>
      <c r="N140" s="23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</row>
    <row r="141" spans="1:62" x14ac:dyDescent="0.25">
      <c r="A141" s="4"/>
      <c r="B141" s="4"/>
      <c r="C141" s="4"/>
      <c r="D141" s="4"/>
      <c r="E141" s="4"/>
      <c r="F141" s="4"/>
      <c r="G141" s="4"/>
      <c r="H141" s="4"/>
      <c r="I141" s="23"/>
      <c r="J141" s="23"/>
      <c r="K141" s="23"/>
      <c r="L141" s="23"/>
      <c r="M141" s="23"/>
      <c r="N141" s="23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</row>
    <row r="142" spans="1:62" x14ac:dyDescent="0.25">
      <c r="A142" s="4"/>
      <c r="B142" s="4"/>
      <c r="C142" s="4"/>
      <c r="D142" s="4"/>
      <c r="E142" s="4"/>
      <c r="F142" s="4"/>
      <c r="G142" s="4"/>
      <c r="H142" s="4"/>
      <c r="I142" s="23"/>
      <c r="J142" s="23"/>
      <c r="K142" s="23"/>
      <c r="L142" s="23"/>
      <c r="M142" s="23"/>
      <c r="N142" s="23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</row>
    <row r="143" spans="1:62" x14ac:dyDescent="0.25">
      <c r="A143" s="4"/>
      <c r="B143" s="4"/>
      <c r="C143" s="4"/>
      <c r="D143" s="4"/>
      <c r="E143" s="4"/>
      <c r="F143" s="4"/>
      <c r="G143" s="4"/>
      <c r="H143" s="4"/>
      <c r="I143" s="23"/>
      <c r="J143" s="23"/>
      <c r="K143" s="23"/>
      <c r="L143" s="23"/>
      <c r="M143" s="23"/>
      <c r="N143" s="23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</row>
    <row r="144" spans="1:62" x14ac:dyDescent="0.25">
      <c r="A144" s="4"/>
      <c r="B144" s="4"/>
      <c r="C144" s="4"/>
      <c r="D144" s="4"/>
      <c r="E144" s="4"/>
      <c r="F144" s="4"/>
      <c r="G144" s="4"/>
      <c r="H144" s="4"/>
      <c r="I144" s="23"/>
      <c r="J144" s="23"/>
      <c r="K144" s="23"/>
      <c r="L144" s="23"/>
      <c r="M144" s="23"/>
      <c r="N144" s="23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</row>
    <row r="145" spans="1:62" x14ac:dyDescent="0.25">
      <c r="A145" s="4"/>
      <c r="B145" s="4"/>
      <c r="C145" s="4"/>
      <c r="D145" s="4"/>
      <c r="E145" s="4"/>
      <c r="F145" s="4"/>
      <c r="G145" s="4"/>
      <c r="H145" s="4"/>
      <c r="I145" s="23"/>
      <c r="J145" s="23"/>
      <c r="K145" s="23"/>
      <c r="L145" s="23"/>
      <c r="M145" s="23"/>
      <c r="N145" s="23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</row>
    <row r="146" spans="1:62" x14ac:dyDescent="0.25">
      <c r="A146" s="4"/>
      <c r="B146" s="4"/>
      <c r="C146" s="4"/>
      <c r="D146" s="4"/>
      <c r="E146" s="4"/>
      <c r="F146" s="4"/>
      <c r="G146" s="4"/>
      <c r="H146" s="4"/>
      <c r="I146" s="23"/>
      <c r="J146" s="23"/>
      <c r="K146" s="23"/>
      <c r="L146" s="23"/>
      <c r="M146" s="23"/>
      <c r="N146" s="23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</row>
    <row r="147" spans="1:62" ht="15.75" thickBot="1" x14ac:dyDescent="0.3">
      <c r="A147" s="4"/>
      <c r="B147" s="4"/>
      <c r="C147" s="4"/>
      <c r="D147" s="4"/>
      <c r="E147" s="4"/>
      <c r="F147" s="4"/>
      <c r="G147" s="4"/>
      <c r="H147" s="4"/>
      <c r="I147" s="23"/>
      <c r="J147" s="23"/>
      <c r="K147" s="23"/>
      <c r="L147" s="23"/>
      <c r="M147" s="23"/>
      <c r="N147" s="23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</row>
    <row r="148" spans="1:62" ht="15.75" thickBot="1" x14ac:dyDescent="0.3">
      <c r="A148" s="170" t="str">
        <f>A13</f>
        <v>Hêtre</v>
      </c>
      <c r="B148" s="4"/>
      <c r="C148" s="4"/>
      <c r="D148" s="4"/>
      <c r="E148" s="4"/>
      <c r="F148" s="4"/>
      <c r="G148" s="4"/>
      <c r="H148" s="4"/>
      <c r="I148" s="23"/>
      <c r="J148" s="23"/>
      <c r="K148" s="23"/>
      <c r="L148" s="23"/>
      <c r="M148" s="23"/>
      <c r="N148" s="23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</row>
    <row r="149" spans="1:62" x14ac:dyDescent="0.25">
      <c r="A149" s="4"/>
      <c r="B149" s="4"/>
      <c r="C149" s="4"/>
      <c r="D149" s="4"/>
      <c r="E149" s="4"/>
      <c r="F149" s="4"/>
      <c r="G149" s="4"/>
      <c r="H149" s="4"/>
      <c r="I149" s="23"/>
      <c r="J149" s="23"/>
      <c r="K149" s="23"/>
      <c r="L149" s="23"/>
      <c r="M149" s="23"/>
      <c r="N149" s="23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</row>
    <row r="150" spans="1:62" x14ac:dyDescent="0.25">
      <c r="A150" s="4"/>
      <c r="B150" s="4"/>
      <c r="C150" s="4"/>
      <c r="D150" s="4"/>
      <c r="E150" s="4"/>
      <c r="F150" s="4"/>
      <c r="G150" s="4"/>
      <c r="H150" s="4"/>
      <c r="I150" s="23"/>
      <c r="J150" s="23"/>
      <c r="K150" s="23"/>
      <c r="L150" s="23"/>
      <c r="M150" s="23"/>
      <c r="N150" s="23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</row>
    <row r="151" spans="1:62" x14ac:dyDescent="0.25">
      <c r="A151" s="4"/>
      <c r="B151" s="4"/>
      <c r="C151" s="4"/>
      <c r="D151" s="4"/>
      <c r="E151" s="4"/>
      <c r="F151" s="4"/>
      <c r="G151" s="4"/>
      <c r="H151" s="4"/>
      <c r="I151" s="23"/>
      <c r="J151" s="23"/>
      <c r="K151" s="23"/>
      <c r="L151" s="23"/>
      <c r="M151" s="23"/>
      <c r="N151" s="23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</row>
    <row r="152" spans="1:62" x14ac:dyDescent="0.25">
      <c r="A152" s="4"/>
      <c r="B152" s="4"/>
      <c r="C152" s="4"/>
      <c r="D152" s="4"/>
      <c r="E152" s="4"/>
      <c r="F152" s="4"/>
      <c r="G152" s="4"/>
      <c r="H152" s="4"/>
      <c r="I152" s="23"/>
      <c r="J152" s="23"/>
      <c r="K152" s="23"/>
      <c r="L152" s="23"/>
      <c r="M152" s="23"/>
      <c r="N152" s="23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</row>
    <row r="153" spans="1:62" x14ac:dyDescent="0.25">
      <c r="A153" s="4"/>
      <c r="B153" s="4"/>
      <c r="C153" s="4"/>
      <c r="D153" s="4"/>
      <c r="E153" s="4"/>
      <c r="F153" s="4"/>
      <c r="G153" s="4"/>
      <c r="H153" s="4"/>
      <c r="I153" s="23"/>
      <c r="J153" s="23"/>
      <c r="K153" s="23"/>
      <c r="L153" s="23"/>
      <c r="M153" s="23"/>
      <c r="N153" s="23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</row>
    <row r="154" spans="1:62" x14ac:dyDescent="0.25">
      <c r="A154" s="4"/>
      <c r="B154" s="4"/>
      <c r="C154" s="4"/>
      <c r="D154" s="4"/>
      <c r="E154" s="4"/>
      <c r="F154" s="4"/>
      <c r="G154" s="4"/>
      <c r="H154" s="4"/>
      <c r="I154" s="23"/>
      <c r="J154" s="23"/>
      <c r="K154" s="23"/>
      <c r="L154" s="23"/>
      <c r="M154" s="23"/>
      <c r="N154" s="23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</row>
    <row r="155" spans="1:62" x14ac:dyDescent="0.25">
      <c r="A155" s="4"/>
      <c r="B155" s="4"/>
      <c r="C155" s="4"/>
      <c r="D155" s="4"/>
      <c r="E155" s="4"/>
      <c r="F155" s="4"/>
      <c r="G155" s="4"/>
      <c r="H155" s="4"/>
      <c r="I155" s="23"/>
      <c r="J155" s="23"/>
      <c r="K155" s="23"/>
      <c r="L155" s="23"/>
      <c r="M155" s="23"/>
      <c r="N155" s="23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</row>
    <row r="156" spans="1:62" x14ac:dyDescent="0.25">
      <c r="A156" s="4"/>
      <c r="B156" s="4"/>
      <c r="C156" s="4"/>
      <c r="D156" s="4"/>
      <c r="E156" s="4"/>
      <c r="F156" s="4"/>
      <c r="G156" s="4"/>
      <c r="H156" s="4"/>
      <c r="I156" s="23"/>
      <c r="J156" s="23"/>
      <c r="K156" s="23"/>
      <c r="L156" s="23"/>
      <c r="M156" s="23"/>
      <c r="N156" s="23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</row>
    <row r="157" spans="1:62" x14ac:dyDescent="0.25">
      <c r="A157" s="4"/>
      <c r="B157" s="4"/>
      <c r="C157" s="4"/>
      <c r="D157" s="4"/>
      <c r="E157" s="4"/>
      <c r="F157" s="4"/>
      <c r="G157" s="4"/>
      <c r="H157" s="4"/>
      <c r="I157" s="23"/>
      <c r="J157" s="23"/>
      <c r="K157" s="23"/>
      <c r="L157" s="23"/>
      <c r="M157" s="23"/>
      <c r="N157" s="23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</row>
    <row r="158" spans="1:62" x14ac:dyDescent="0.25">
      <c r="A158" s="4"/>
      <c r="B158" s="4"/>
      <c r="C158" s="4"/>
      <c r="D158" s="4"/>
      <c r="E158" s="4"/>
      <c r="F158" s="4"/>
      <c r="G158" s="4"/>
      <c r="H158" s="4"/>
      <c r="I158" s="23"/>
      <c r="J158" s="23"/>
      <c r="K158" s="23"/>
      <c r="L158" s="23"/>
      <c r="M158" s="23"/>
      <c r="N158" s="23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</row>
    <row r="159" spans="1:62" x14ac:dyDescent="0.25">
      <c r="A159" s="4"/>
      <c r="B159" s="4"/>
      <c r="C159" s="4"/>
      <c r="D159" s="4"/>
      <c r="E159" s="4"/>
      <c r="F159" s="4"/>
      <c r="G159" s="4"/>
      <c r="H159" s="4"/>
      <c r="I159" s="23"/>
      <c r="J159" s="23"/>
      <c r="K159" s="23"/>
      <c r="L159" s="23"/>
      <c r="M159" s="23"/>
      <c r="N159" s="23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</row>
    <row r="160" spans="1:62" x14ac:dyDescent="0.25">
      <c r="A160" s="4"/>
      <c r="B160" s="4"/>
      <c r="C160" s="4"/>
      <c r="D160" s="4"/>
      <c r="E160" s="4"/>
      <c r="F160" s="4"/>
      <c r="G160" s="4"/>
      <c r="H160" s="4"/>
      <c r="I160" s="23"/>
      <c r="J160" s="23"/>
      <c r="K160" s="23"/>
      <c r="L160" s="23"/>
      <c r="M160" s="23"/>
      <c r="N160" s="23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</row>
    <row r="161" spans="1:62" x14ac:dyDescent="0.25">
      <c r="A161" s="4"/>
      <c r="B161" s="4"/>
      <c r="C161" s="4"/>
      <c r="D161" s="4"/>
      <c r="E161" s="4"/>
      <c r="F161" s="4"/>
      <c r="G161" s="4"/>
      <c r="H161" s="4"/>
      <c r="I161" s="23"/>
      <c r="J161" s="23"/>
      <c r="K161" s="23"/>
      <c r="L161" s="23"/>
      <c r="M161" s="23"/>
      <c r="N161" s="23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</row>
    <row r="162" spans="1:62" x14ac:dyDescent="0.25">
      <c r="A162" s="4"/>
      <c r="B162" s="4"/>
      <c r="C162" s="4"/>
      <c r="D162" s="4"/>
      <c r="E162" s="4"/>
      <c r="F162" s="4"/>
      <c r="G162" s="4"/>
      <c r="H162" s="4"/>
      <c r="I162" s="23"/>
      <c r="J162" s="23"/>
      <c r="K162" s="23"/>
      <c r="L162" s="23"/>
      <c r="M162" s="23"/>
      <c r="N162" s="23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</row>
    <row r="163" spans="1:62" x14ac:dyDescent="0.25">
      <c r="A163" s="4"/>
      <c r="B163" s="4"/>
      <c r="C163" s="4"/>
      <c r="D163" s="4"/>
      <c r="E163" s="4"/>
      <c r="F163" s="4"/>
      <c r="G163" s="4"/>
      <c r="H163" s="4"/>
      <c r="I163" s="23"/>
      <c r="J163" s="23"/>
      <c r="K163" s="23"/>
      <c r="L163" s="23"/>
      <c r="M163" s="23"/>
      <c r="N163" s="23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</row>
    <row r="164" spans="1:62" x14ac:dyDescent="0.25">
      <c r="A164" s="4"/>
      <c r="B164" s="4"/>
      <c r="C164" s="4"/>
      <c r="D164" s="4"/>
      <c r="E164" s="4"/>
      <c r="F164" s="4"/>
      <c r="G164" s="4"/>
      <c r="H164" s="4"/>
      <c r="I164" s="23"/>
      <c r="J164" s="23"/>
      <c r="K164" s="23"/>
      <c r="L164" s="23"/>
      <c r="M164" s="23"/>
      <c r="N164" s="23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</row>
    <row r="165" spans="1:62" ht="15.75" thickBot="1" x14ac:dyDescent="0.3">
      <c r="A165" s="4"/>
      <c r="B165" s="4"/>
      <c r="C165" s="4"/>
      <c r="D165" s="4"/>
      <c r="E165" s="4"/>
      <c r="F165" s="4"/>
      <c r="G165" s="4"/>
      <c r="H165" s="4"/>
      <c r="I165" s="23"/>
      <c r="J165" s="23"/>
      <c r="K165" s="23"/>
      <c r="L165" s="23"/>
      <c r="M165" s="23"/>
      <c r="N165" s="23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</row>
    <row r="166" spans="1:62" ht="15.75" thickBot="1" x14ac:dyDescent="0.3">
      <c r="A166" s="170" t="str">
        <f>A14</f>
        <v>Cormier</v>
      </c>
      <c r="B166" s="4"/>
      <c r="C166" s="4"/>
      <c r="D166" s="4"/>
      <c r="E166" s="4"/>
      <c r="F166" s="4"/>
      <c r="G166" s="4"/>
      <c r="H166" s="4"/>
      <c r="I166" s="23"/>
      <c r="J166" s="23"/>
      <c r="K166" s="23"/>
      <c r="L166" s="23"/>
      <c r="M166" s="23"/>
      <c r="N166" s="23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</row>
    <row r="167" spans="1:62" x14ac:dyDescent="0.25">
      <c r="A167" s="4"/>
      <c r="B167" s="4"/>
      <c r="C167" s="4"/>
      <c r="D167" s="4"/>
      <c r="E167" s="4"/>
      <c r="F167" s="4"/>
      <c r="G167" s="4"/>
      <c r="H167" s="4"/>
      <c r="I167" s="23"/>
      <c r="J167" s="23"/>
      <c r="K167" s="23"/>
      <c r="L167" s="23"/>
      <c r="M167" s="23"/>
      <c r="N167" s="23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</row>
    <row r="168" spans="1:62" x14ac:dyDescent="0.25">
      <c r="A168" s="4"/>
      <c r="B168" s="4"/>
      <c r="C168" s="4"/>
      <c r="D168" s="4"/>
      <c r="E168" s="4"/>
      <c r="F168" s="4"/>
      <c r="G168" s="4"/>
      <c r="H168" s="4"/>
      <c r="I168" s="23"/>
      <c r="J168" s="23"/>
      <c r="K168" s="23"/>
      <c r="L168" s="23"/>
      <c r="M168" s="23"/>
      <c r="N168" s="23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</row>
    <row r="169" spans="1:62" x14ac:dyDescent="0.25">
      <c r="A169" s="4"/>
      <c r="B169" s="4"/>
      <c r="C169" s="4"/>
      <c r="D169" s="4"/>
      <c r="E169" s="4"/>
      <c r="F169" s="4"/>
      <c r="G169" s="4"/>
      <c r="H169" s="4"/>
      <c r="I169" s="23"/>
      <c r="J169" s="23"/>
      <c r="K169" s="23"/>
      <c r="L169" s="23"/>
      <c r="M169" s="23"/>
      <c r="N169" s="23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</row>
    <row r="170" spans="1:62" x14ac:dyDescent="0.25">
      <c r="A170" s="4"/>
      <c r="B170" s="4"/>
      <c r="C170" s="4"/>
      <c r="D170" s="4"/>
      <c r="E170" s="4"/>
      <c r="F170" s="4"/>
      <c r="G170" s="4"/>
      <c r="H170" s="4"/>
      <c r="I170" s="23"/>
      <c r="J170" s="23"/>
      <c r="K170" s="23"/>
      <c r="L170" s="23"/>
      <c r="M170" s="23"/>
      <c r="N170" s="23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</row>
    <row r="171" spans="1:62" x14ac:dyDescent="0.25">
      <c r="A171" s="4"/>
      <c r="B171" s="4"/>
      <c r="C171" s="4"/>
      <c r="D171" s="4"/>
      <c r="E171" s="4"/>
      <c r="F171" s="4"/>
      <c r="G171" s="4"/>
      <c r="H171" s="4"/>
      <c r="I171" s="23"/>
      <c r="J171" s="23"/>
      <c r="K171" s="23"/>
      <c r="L171" s="23"/>
      <c r="M171" s="23"/>
      <c r="N171" s="23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</row>
    <row r="172" spans="1:62" x14ac:dyDescent="0.25">
      <c r="A172" s="4"/>
      <c r="B172" s="4"/>
      <c r="C172" s="4"/>
      <c r="D172" s="4"/>
      <c r="E172" s="4"/>
      <c r="F172" s="4"/>
      <c r="G172" s="4"/>
      <c r="H172" s="4"/>
      <c r="I172" s="23"/>
      <c r="J172" s="23"/>
      <c r="K172" s="23"/>
      <c r="L172" s="23"/>
      <c r="M172" s="23"/>
      <c r="N172" s="23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</row>
    <row r="173" spans="1:62" x14ac:dyDescent="0.25">
      <c r="A173" s="4"/>
      <c r="B173" s="4"/>
      <c r="C173" s="4"/>
      <c r="D173" s="4"/>
      <c r="E173" s="4"/>
      <c r="F173" s="4"/>
      <c r="G173" s="4"/>
      <c r="H173" s="4"/>
      <c r="I173" s="23"/>
      <c r="J173" s="23"/>
      <c r="K173" s="23"/>
      <c r="L173" s="23"/>
      <c r="M173" s="23"/>
      <c r="N173" s="23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</row>
    <row r="174" spans="1:62" x14ac:dyDescent="0.25">
      <c r="A174" s="4"/>
      <c r="B174" s="4"/>
      <c r="C174" s="4"/>
      <c r="D174" s="4"/>
      <c r="E174" s="4"/>
      <c r="F174" s="4"/>
      <c r="G174" s="4"/>
      <c r="H174" s="4"/>
      <c r="I174" s="23"/>
      <c r="J174" s="23"/>
      <c r="K174" s="23"/>
      <c r="L174" s="23"/>
      <c r="M174" s="23"/>
      <c r="N174" s="23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</row>
    <row r="175" spans="1:62" x14ac:dyDescent="0.25">
      <c r="A175" s="4"/>
      <c r="B175" s="4"/>
      <c r="C175" s="4"/>
      <c r="D175" s="4"/>
      <c r="E175" s="4"/>
      <c r="F175" s="4"/>
      <c r="G175" s="4"/>
      <c r="H175" s="4"/>
      <c r="I175" s="23"/>
      <c r="J175" s="23"/>
      <c r="K175" s="23"/>
      <c r="L175" s="23"/>
      <c r="M175" s="23"/>
      <c r="N175" s="23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</row>
    <row r="176" spans="1:62" x14ac:dyDescent="0.25">
      <c r="A176" s="4"/>
      <c r="B176" s="4"/>
      <c r="C176" s="4"/>
      <c r="D176" s="4"/>
      <c r="E176" s="4"/>
      <c r="F176" s="4"/>
      <c r="G176" s="4"/>
      <c r="H176" s="4"/>
      <c r="I176" s="23"/>
      <c r="J176" s="23"/>
      <c r="K176" s="23"/>
      <c r="L176" s="23"/>
      <c r="M176" s="23"/>
      <c r="N176" s="23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</row>
    <row r="177" spans="1:62" x14ac:dyDescent="0.25">
      <c r="A177" s="4"/>
      <c r="B177" s="4"/>
      <c r="C177" s="4"/>
      <c r="D177" s="4"/>
      <c r="E177" s="4"/>
      <c r="F177" s="4"/>
      <c r="G177" s="4"/>
      <c r="H177" s="4"/>
      <c r="I177" s="23"/>
      <c r="J177" s="23"/>
      <c r="K177" s="23"/>
      <c r="L177" s="23"/>
      <c r="M177" s="23"/>
      <c r="N177" s="23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</row>
    <row r="178" spans="1:62" x14ac:dyDescent="0.25">
      <c r="A178" s="4"/>
      <c r="B178" s="4"/>
      <c r="C178" s="4"/>
      <c r="D178" s="4"/>
      <c r="E178" s="4"/>
      <c r="F178" s="4"/>
      <c r="G178" s="4"/>
      <c r="H178" s="4"/>
      <c r="I178" s="23"/>
      <c r="J178" s="23"/>
      <c r="K178" s="23"/>
      <c r="L178" s="23"/>
      <c r="M178" s="23"/>
      <c r="N178" s="23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</row>
    <row r="179" spans="1:62" x14ac:dyDescent="0.25">
      <c r="A179" s="4"/>
      <c r="B179" s="4"/>
      <c r="C179" s="4"/>
      <c r="D179" s="4"/>
      <c r="E179" s="4"/>
      <c r="F179" s="4"/>
      <c r="G179" s="4"/>
      <c r="H179" s="4"/>
      <c r="I179" s="23"/>
      <c r="J179" s="23"/>
      <c r="K179" s="23"/>
      <c r="L179" s="23"/>
      <c r="M179" s="23"/>
      <c r="N179" s="23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</row>
    <row r="180" spans="1:62" x14ac:dyDescent="0.25">
      <c r="A180" s="4"/>
      <c r="B180" s="4"/>
      <c r="C180" s="4"/>
      <c r="D180" s="4"/>
      <c r="E180" s="4"/>
      <c r="F180" s="4"/>
      <c r="G180" s="4"/>
      <c r="H180" s="4"/>
      <c r="I180" s="23"/>
      <c r="J180" s="23"/>
      <c r="K180" s="23"/>
      <c r="L180" s="23"/>
      <c r="M180" s="23"/>
      <c r="N180" s="23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</row>
    <row r="181" spans="1:62" x14ac:dyDescent="0.25">
      <c r="A181" s="4"/>
      <c r="B181" s="4"/>
      <c r="C181" s="4"/>
      <c r="D181" s="4"/>
      <c r="E181" s="4"/>
      <c r="F181" s="4"/>
      <c r="G181" s="4"/>
      <c r="H181" s="4"/>
      <c r="I181" s="23"/>
      <c r="J181" s="23"/>
      <c r="K181" s="23"/>
      <c r="L181" s="23"/>
      <c r="M181" s="23"/>
      <c r="N181" s="23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</row>
    <row r="182" spans="1:62" x14ac:dyDescent="0.25">
      <c r="A182" s="4"/>
      <c r="B182" s="4"/>
      <c r="C182" s="4"/>
      <c r="D182" s="4"/>
      <c r="E182" s="4"/>
      <c r="F182" s="4"/>
      <c r="G182" s="4"/>
      <c r="H182" s="4"/>
      <c r="I182" s="23"/>
      <c r="J182" s="23"/>
      <c r="K182" s="23"/>
      <c r="L182" s="23"/>
      <c r="M182" s="23"/>
      <c r="N182" s="23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</row>
    <row r="183" spans="1:62" ht="15.75" thickBot="1" x14ac:dyDescent="0.3">
      <c r="A183" s="4"/>
      <c r="B183" s="4"/>
      <c r="C183" s="4"/>
      <c r="D183" s="4"/>
      <c r="E183" s="4"/>
      <c r="F183" s="4"/>
      <c r="G183" s="4"/>
      <c r="H183" s="4"/>
      <c r="I183" s="23"/>
      <c r="J183" s="23"/>
      <c r="K183" s="23"/>
      <c r="L183" s="23"/>
      <c r="M183" s="23"/>
      <c r="N183" s="23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</row>
    <row r="184" spans="1:62" ht="15.75" thickBot="1" x14ac:dyDescent="0.3">
      <c r="A184" s="170" t="str">
        <f>A15</f>
        <v>Cormier</v>
      </c>
      <c r="B184" s="4"/>
      <c r="C184" s="4"/>
      <c r="D184" s="4"/>
      <c r="E184" s="4"/>
      <c r="F184" s="4"/>
      <c r="G184" s="4"/>
      <c r="H184" s="4"/>
      <c r="I184" s="23"/>
      <c r="J184" s="23"/>
      <c r="K184" s="23"/>
      <c r="L184" s="23"/>
      <c r="M184" s="23"/>
      <c r="N184" s="23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</row>
    <row r="185" spans="1:62" x14ac:dyDescent="0.25">
      <c r="A185" s="4"/>
      <c r="B185" s="4"/>
      <c r="C185" s="4"/>
      <c r="D185" s="4"/>
      <c r="E185" s="4"/>
      <c r="F185" s="4"/>
      <c r="G185" s="4"/>
      <c r="H185" s="4"/>
      <c r="I185" s="23"/>
      <c r="J185" s="23"/>
      <c r="K185" s="23"/>
      <c r="L185" s="23"/>
      <c r="M185" s="23"/>
      <c r="N185" s="23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</row>
    <row r="186" spans="1:62" x14ac:dyDescent="0.25">
      <c r="A186" s="4"/>
      <c r="B186" s="4"/>
      <c r="C186" s="4"/>
      <c r="D186" s="4"/>
      <c r="E186" s="4"/>
      <c r="F186" s="4"/>
      <c r="G186" s="4"/>
      <c r="H186" s="4"/>
      <c r="I186" s="23"/>
      <c r="J186" s="23"/>
      <c r="K186" s="23"/>
      <c r="L186" s="23"/>
      <c r="M186" s="23"/>
      <c r="N186" s="23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</row>
    <row r="187" spans="1:62" x14ac:dyDescent="0.25">
      <c r="A187" s="4"/>
      <c r="B187" s="4"/>
      <c r="C187" s="4"/>
      <c r="D187" s="4"/>
      <c r="E187" s="4"/>
      <c r="F187" s="4"/>
      <c r="G187" s="4"/>
      <c r="H187" s="4"/>
      <c r="I187" s="23"/>
      <c r="J187" s="23"/>
      <c r="K187" s="23"/>
      <c r="L187" s="23"/>
      <c r="M187" s="23"/>
      <c r="N187" s="23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</row>
    <row r="188" spans="1:62" x14ac:dyDescent="0.25">
      <c r="A188" s="4"/>
      <c r="B188" s="4"/>
      <c r="C188" s="4"/>
      <c r="D188" s="4"/>
      <c r="E188" s="4"/>
      <c r="F188" s="4"/>
      <c r="G188" s="4"/>
      <c r="H188" s="4"/>
      <c r="I188" s="23"/>
      <c r="J188" s="23"/>
      <c r="K188" s="23"/>
      <c r="L188" s="23"/>
      <c r="M188" s="23"/>
      <c r="N188" s="23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</row>
    <row r="189" spans="1:62" x14ac:dyDescent="0.25">
      <c r="A189" s="4"/>
      <c r="B189" s="4"/>
      <c r="C189" s="4"/>
      <c r="D189" s="4"/>
      <c r="E189" s="4"/>
      <c r="F189" s="4"/>
      <c r="G189" s="4"/>
      <c r="H189" s="4"/>
      <c r="I189" s="23"/>
      <c r="J189" s="23"/>
      <c r="K189" s="23"/>
      <c r="L189" s="23"/>
      <c r="M189" s="23"/>
      <c r="N189" s="23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</row>
    <row r="190" spans="1:62" x14ac:dyDescent="0.25">
      <c r="A190" s="4"/>
      <c r="B190" s="4"/>
      <c r="C190" s="4"/>
      <c r="D190" s="4"/>
      <c r="E190" s="4"/>
      <c r="F190" s="4"/>
      <c r="G190" s="4"/>
      <c r="H190" s="4"/>
      <c r="I190" s="23"/>
      <c r="J190" s="23"/>
      <c r="K190" s="23"/>
      <c r="L190" s="23"/>
      <c r="M190" s="23"/>
      <c r="N190" s="23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</row>
    <row r="191" spans="1:62" x14ac:dyDescent="0.25">
      <c r="A191" s="4"/>
      <c r="B191" s="4"/>
      <c r="C191" s="4"/>
      <c r="D191" s="4"/>
      <c r="E191" s="4"/>
      <c r="F191" s="4"/>
      <c r="G191" s="4"/>
      <c r="H191" s="4"/>
      <c r="I191" s="23"/>
      <c r="J191" s="23"/>
      <c r="K191" s="23"/>
      <c r="L191" s="23"/>
      <c r="M191" s="23"/>
      <c r="N191" s="23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</row>
    <row r="192" spans="1:62" x14ac:dyDescent="0.25">
      <c r="A192" s="4"/>
      <c r="B192" s="4"/>
      <c r="C192" s="4"/>
      <c r="D192" s="4"/>
      <c r="E192" s="4"/>
      <c r="F192" s="4"/>
      <c r="G192" s="4"/>
      <c r="H192" s="4"/>
      <c r="I192" s="23"/>
      <c r="J192" s="23"/>
      <c r="K192" s="23"/>
      <c r="L192" s="23"/>
      <c r="M192" s="23"/>
      <c r="N192" s="23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</row>
    <row r="193" spans="1:62" x14ac:dyDescent="0.25">
      <c r="A193" s="4"/>
      <c r="B193" s="4"/>
      <c r="C193" s="4"/>
      <c r="D193" s="4"/>
      <c r="E193" s="4"/>
      <c r="F193" s="4"/>
      <c r="G193" s="4"/>
      <c r="H193" s="4"/>
      <c r="I193" s="23"/>
      <c r="J193" s="23"/>
      <c r="K193" s="23"/>
      <c r="L193" s="23"/>
      <c r="M193" s="23"/>
      <c r="N193" s="23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</row>
    <row r="194" spans="1:62" x14ac:dyDescent="0.25">
      <c r="A194" s="4"/>
      <c r="B194" s="4"/>
      <c r="C194" s="4"/>
      <c r="D194" s="4"/>
      <c r="E194" s="4"/>
      <c r="F194" s="4"/>
      <c r="G194" s="4"/>
      <c r="H194" s="4"/>
      <c r="I194" s="23"/>
      <c r="J194" s="23"/>
      <c r="K194" s="23"/>
      <c r="L194" s="23"/>
      <c r="M194" s="23"/>
      <c r="N194" s="23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</row>
    <row r="195" spans="1:62" x14ac:dyDescent="0.25">
      <c r="A195" s="4"/>
      <c r="B195" s="4"/>
      <c r="C195" s="4"/>
      <c r="D195" s="4"/>
      <c r="E195" s="4"/>
      <c r="F195" s="4"/>
      <c r="G195" s="4"/>
      <c r="H195" s="4"/>
      <c r="I195" s="23"/>
      <c r="J195" s="23"/>
      <c r="K195" s="23"/>
      <c r="L195" s="23"/>
      <c r="M195" s="23"/>
      <c r="N195" s="23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</row>
    <row r="196" spans="1:62" x14ac:dyDescent="0.25">
      <c r="A196" s="4"/>
      <c r="B196" s="4"/>
      <c r="C196" s="4"/>
      <c r="D196" s="4"/>
      <c r="E196" s="4"/>
      <c r="F196" s="4"/>
      <c r="G196" s="4"/>
      <c r="H196" s="4"/>
      <c r="I196" s="23"/>
      <c r="J196" s="23"/>
      <c r="K196" s="23"/>
      <c r="L196" s="23"/>
      <c r="M196" s="23"/>
      <c r="N196" s="23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</row>
    <row r="197" spans="1:62" x14ac:dyDescent="0.25">
      <c r="A197" s="4"/>
      <c r="B197" s="4"/>
      <c r="C197" s="4"/>
      <c r="D197" s="4"/>
      <c r="E197" s="4"/>
      <c r="F197" s="4"/>
      <c r="G197" s="4"/>
      <c r="H197" s="4"/>
      <c r="I197" s="23"/>
      <c r="J197" s="23"/>
      <c r="K197" s="23"/>
      <c r="L197" s="23"/>
      <c r="M197" s="23"/>
      <c r="N197" s="23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</row>
    <row r="198" spans="1:62" x14ac:dyDescent="0.25">
      <c r="A198" s="4"/>
      <c r="B198" s="4"/>
      <c r="C198" s="4"/>
      <c r="D198" s="4"/>
      <c r="E198" s="4"/>
      <c r="F198" s="4"/>
      <c r="G198" s="4"/>
      <c r="H198" s="4"/>
      <c r="I198" s="23"/>
      <c r="J198" s="23"/>
      <c r="K198" s="23"/>
      <c r="L198" s="23"/>
      <c r="M198" s="23"/>
      <c r="N198" s="23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</row>
    <row r="199" spans="1:62" x14ac:dyDescent="0.25">
      <c r="A199" s="4"/>
      <c r="B199" s="4"/>
      <c r="C199" s="4"/>
      <c r="D199" s="4"/>
      <c r="E199" s="4"/>
      <c r="F199" s="4"/>
      <c r="G199" s="4"/>
      <c r="H199" s="4"/>
      <c r="I199" s="23"/>
      <c r="J199" s="23"/>
      <c r="K199" s="23"/>
      <c r="L199" s="23"/>
      <c r="M199" s="23"/>
      <c r="N199" s="23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</row>
    <row r="200" spans="1:62" x14ac:dyDescent="0.25">
      <c r="A200" s="4"/>
      <c r="B200" s="4"/>
      <c r="C200" s="4"/>
      <c r="D200" s="4"/>
      <c r="E200" s="4"/>
      <c r="F200" s="4"/>
      <c r="G200" s="4"/>
      <c r="H200" s="4"/>
      <c r="I200" s="23"/>
      <c r="J200" s="23"/>
      <c r="K200" s="23"/>
      <c r="L200" s="23"/>
      <c r="M200" s="23"/>
      <c r="N200" s="23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</row>
    <row r="201" spans="1:62" x14ac:dyDescent="0.25">
      <c r="A201" s="4"/>
      <c r="B201" s="4"/>
      <c r="C201" s="4"/>
      <c r="D201" s="4"/>
      <c r="E201" s="4"/>
      <c r="F201" s="4"/>
      <c r="G201" s="4"/>
      <c r="H201" s="4"/>
      <c r="I201" s="23"/>
      <c r="J201" s="23"/>
      <c r="K201" s="23"/>
      <c r="L201" s="23"/>
      <c r="M201" s="23"/>
      <c r="N201" s="23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</row>
    <row r="202" spans="1:62" x14ac:dyDescent="0.25">
      <c r="A202" s="4"/>
      <c r="B202" s="4"/>
      <c r="C202" s="4"/>
      <c r="D202" s="4"/>
      <c r="E202" s="4"/>
      <c r="F202" s="4"/>
      <c r="G202" s="4"/>
      <c r="H202" s="4"/>
      <c r="I202" s="23"/>
      <c r="J202" s="23"/>
      <c r="K202" s="23"/>
      <c r="L202" s="23"/>
      <c r="M202" s="23"/>
      <c r="N202" s="23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</row>
    <row r="203" spans="1:62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23"/>
      <c r="N203" s="23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</row>
    <row r="204" spans="1:62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</row>
    <row r="205" spans="1:62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</row>
    <row r="206" spans="1:62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</row>
    <row r="207" spans="1:62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</row>
    <row r="208" spans="1:62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</row>
    <row r="209" spans="1:62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</row>
    <row r="210" spans="1:62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</row>
    <row r="211" spans="1:62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</row>
    <row r="212" spans="1:62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</row>
    <row r="213" spans="1:62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</row>
    <row r="214" spans="1:62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</row>
    <row r="215" spans="1:62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</row>
    <row r="216" spans="1:62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</row>
    <row r="217" spans="1:62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</row>
    <row r="218" spans="1:62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</row>
    <row r="219" spans="1:62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</row>
    <row r="220" spans="1:62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</row>
    <row r="221" spans="1:62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</row>
    <row r="222" spans="1:62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</row>
    <row r="223" spans="1:62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</row>
    <row r="224" spans="1:62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</row>
    <row r="225" spans="1:62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</row>
    <row r="226" spans="1:62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</row>
    <row r="227" spans="1:62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</row>
    <row r="228" spans="1:62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</row>
    <row r="229" spans="1:62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</row>
    <row r="230" spans="1:62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</row>
    <row r="231" spans="1:62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</row>
    <row r="232" spans="1:62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</row>
    <row r="233" spans="1:62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</row>
    <row r="234" spans="1:62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</row>
    <row r="235" spans="1:62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</row>
    <row r="236" spans="1:62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</row>
    <row r="237" spans="1:62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</row>
    <row r="238" spans="1:62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</row>
    <row r="239" spans="1:62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</row>
    <row r="240" spans="1:62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</row>
    <row r="241" spans="1:62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</row>
    <row r="242" spans="1:62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</row>
    <row r="243" spans="1:62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</row>
    <row r="244" spans="1:62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</row>
    <row r="245" spans="1:62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</row>
    <row r="246" spans="1:62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</row>
    <row r="247" spans="1:62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</row>
    <row r="248" spans="1:62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</row>
    <row r="249" spans="1:62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</row>
    <row r="250" spans="1:62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</row>
    <row r="251" spans="1:62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</row>
    <row r="252" spans="1:62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</row>
    <row r="253" spans="1:62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</row>
    <row r="254" spans="1:62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</row>
    <row r="255" spans="1:62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</row>
    <row r="256" spans="1:62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</row>
    <row r="257" spans="1:62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</row>
    <row r="258" spans="1:62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</row>
    <row r="259" spans="1:62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</row>
    <row r="260" spans="1:62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</row>
    <row r="261" spans="1:62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</row>
    <row r="262" spans="1:62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</row>
    <row r="263" spans="1:62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</row>
    <row r="264" spans="1:62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</row>
    <row r="265" spans="1:62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</row>
    <row r="266" spans="1:62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</row>
    <row r="267" spans="1:62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</row>
    <row r="268" spans="1:62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</row>
    <row r="269" spans="1:62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</row>
    <row r="270" spans="1:62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</row>
    <row r="271" spans="1:62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</row>
    <row r="272" spans="1:62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</row>
    <row r="273" spans="1:62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</row>
    <row r="274" spans="1:62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</row>
    <row r="275" spans="1:62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</row>
    <row r="276" spans="1:62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</row>
    <row r="277" spans="1:62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</row>
    <row r="278" spans="1:62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</row>
    <row r="279" spans="1:62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</row>
    <row r="280" spans="1:62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</row>
    <row r="281" spans="1:62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</row>
    <row r="282" spans="1:62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</row>
    <row r="283" spans="1:62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</row>
    <row r="284" spans="1:62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</row>
    <row r="285" spans="1:62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</row>
    <row r="286" spans="1:62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</row>
    <row r="287" spans="1:62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</row>
    <row r="288" spans="1:62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</row>
    <row r="289" spans="1:62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</row>
    <row r="290" spans="1:62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</row>
    <row r="291" spans="1:62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</row>
    <row r="292" spans="1:62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</row>
    <row r="293" spans="1:62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</row>
    <row r="294" spans="1:62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</row>
    <row r="295" spans="1:62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</row>
    <row r="296" spans="1:62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</row>
    <row r="297" spans="1:62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</row>
    <row r="298" spans="1:62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</row>
    <row r="299" spans="1:62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</row>
    <row r="300" spans="1:62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</row>
    <row r="301" spans="1:62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</row>
    <row r="302" spans="1:62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</row>
    <row r="303" spans="1:62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</row>
    <row r="304" spans="1:62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</row>
    <row r="305" spans="1:62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</row>
    <row r="306" spans="1:62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</row>
    <row r="307" spans="1:62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</row>
    <row r="308" spans="1:62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</row>
    <row r="309" spans="1:62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</row>
    <row r="310" spans="1:62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</row>
    <row r="311" spans="1:62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</row>
    <row r="312" spans="1:62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</row>
    <row r="313" spans="1:62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</row>
    <row r="314" spans="1:62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</row>
    <row r="315" spans="1:62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</row>
    <row r="316" spans="1:62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</row>
    <row r="317" spans="1:62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</row>
    <row r="318" spans="1:62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</row>
    <row r="319" spans="1:62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</row>
    <row r="320" spans="1:62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</row>
    <row r="321" spans="1:62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</row>
    <row r="322" spans="1:62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</row>
    <row r="323" spans="1:62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</row>
    <row r="324" spans="1:62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</row>
    <row r="325" spans="1:62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</row>
    <row r="326" spans="1:62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</row>
    <row r="327" spans="1:62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</row>
    <row r="328" spans="1:62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</row>
    <row r="329" spans="1:62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</row>
    <row r="330" spans="1:62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</row>
    <row r="331" spans="1:62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</row>
    <row r="332" spans="1:62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</row>
    <row r="333" spans="1:62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</row>
    <row r="334" spans="1:62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</row>
    <row r="335" spans="1:62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</row>
    <row r="336" spans="1:62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</row>
    <row r="337" spans="1:62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</row>
    <row r="338" spans="1:62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</row>
    <row r="339" spans="1:62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</row>
    <row r="340" spans="1:62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</row>
    <row r="341" spans="1:62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</row>
    <row r="342" spans="1:62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</row>
    <row r="343" spans="1:62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</row>
    <row r="344" spans="1:62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</row>
    <row r="345" spans="1:62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</row>
    <row r="346" spans="1:62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</row>
    <row r="347" spans="1:62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</row>
    <row r="348" spans="1:62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</row>
    <row r="349" spans="1:62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</row>
    <row r="350" spans="1:62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</row>
    <row r="351" spans="1:62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</row>
    <row r="352" spans="1:62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</row>
    <row r="353" spans="1:62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</row>
    <row r="354" spans="1:62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</row>
    <row r="355" spans="1:62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</row>
    <row r="356" spans="1:62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</row>
    <row r="357" spans="1:62" x14ac:dyDescent="0.25">
      <c r="I357" s="1"/>
      <c r="J357" s="1"/>
      <c r="K357" s="1"/>
      <c r="L357" s="1"/>
      <c r="M357" s="1"/>
    </row>
  </sheetData>
  <sheetProtection algorithmName="SHA-512" hashValue="aPMwQ8vYmIuiSlcExF7tYfgXSanJRyNplX2HtzBxsAHbc5/KEBOZsLGVnHGPTI7PQnDxnL+vkBakNM/7HKhcDQ==" saltValue="HUv0XO9EorxAiOJYnqL+wA==" spinCount="100000" sheet="1" objects="1" scenarios="1"/>
  <mergeCells count="2">
    <mergeCell ref="F17:L18"/>
    <mergeCell ref="A2:L2"/>
  </mergeCells>
  <pageMargins left="0.7" right="0.7" top="0.75" bottom="0.75" header="0.3" footer="0.3"/>
  <pageSetup paperSize="9" scale="85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BL552"/>
  <sheetViews>
    <sheetView topLeftCell="A126" zoomScale="80" zoomScaleNormal="80" workbookViewId="0">
      <selection activeCell="I148" sqref="I148"/>
    </sheetView>
  </sheetViews>
  <sheetFormatPr baseColWidth="10" defaultColWidth="11.42578125" defaultRowHeight="15" x14ac:dyDescent="0.25"/>
  <cols>
    <col min="1" max="1" width="11.42578125" style="1"/>
    <col min="2" max="2" width="30.85546875" style="1" bestFit="1" customWidth="1"/>
    <col min="3" max="3" width="18.140625" style="1" bestFit="1" customWidth="1"/>
    <col min="4" max="5" width="11.42578125" style="1"/>
    <col min="6" max="6" width="14" style="1" customWidth="1"/>
    <col min="7" max="7" width="17.5703125" style="1" customWidth="1"/>
    <col min="8" max="8" width="21.7109375" style="1" customWidth="1"/>
    <col min="9" max="9" width="37" style="1" customWidth="1"/>
    <col min="10" max="10" width="11.42578125" style="1"/>
    <col min="11" max="11" width="8.85546875" style="1" customWidth="1"/>
    <col min="12" max="12" width="11.42578125" style="1"/>
    <col min="13" max="13" width="21" style="1" customWidth="1"/>
    <col min="14" max="16" width="11.42578125" style="1"/>
    <col min="17" max="17" width="8" style="1" customWidth="1"/>
    <col min="18" max="18" width="11.42578125" style="1"/>
    <col min="19" max="19" width="31" style="1" customWidth="1"/>
    <col min="20" max="20" width="18.140625" style="1" customWidth="1"/>
    <col min="21" max="21" width="16.42578125" style="1" customWidth="1"/>
    <col min="22" max="22" width="17.85546875" style="1" customWidth="1"/>
    <col min="23" max="16384" width="11.42578125" style="1"/>
  </cols>
  <sheetData>
    <row r="1" spans="1:42" ht="15.75" thickBo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ht="27" thickBot="1" x14ac:dyDescent="0.45">
      <c r="A2" s="4"/>
      <c r="B2" s="272" t="s">
        <v>272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x14ac:dyDescent="0.25">
      <c r="A3" s="4"/>
      <c r="B3" s="4"/>
      <c r="C3" s="4"/>
      <c r="D3" s="4"/>
      <c r="E3" s="4"/>
      <c r="F3" s="4"/>
      <c r="G3" s="4"/>
      <c r="H3" s="171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x14ac:dyDescent="0.25">
      <c r="A4" s="4"/>
      <c r="B4" s="4"/>
      <c r="C4" s="4"/>
      <c r="D4" s="4"/>
      <c r="E4" s="4"/>
      <c r="G4" s="4"/>
      <c r="H4" s="257" t="s">
        <v>315</v>
      </c>
      <c r="I4" s="257"/>
      <c r="K4" s="300" t="s">
        <v>253</v>
      </c>
      <c r="L4" s="301"/>
      <c r="M4" s="237">
        <v>4.4999999999999998E-2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x14ac:dyDescent="0.25">
      <c r="A5" s="4"/>
      <c r="B5" s="4"/>
      <c r="C5" s="4"/>
      <c r="D5" s="4"/>
      <c r="E5" s="4"/>
      <c r="G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ht="15.75" thickBot="1" x14ac:dyDescent="0.3">
      <c r="A6" s="4"/>
      <c r="B6" s="4"/>
      <c r="C6" s="4"/>
      <c r="D6" s="4"/>
      <c r="E6" s="4"/>
      <c r="F6" s="23"/>
      <c r="G6" s="4"/>
      <c r="H6" s="172"/>
      <c r="I6" s="172"/>
      <c r="J6" s="172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27.75" customHeight="1" thickBot="1" x14ac:dyDescent="0.45">
      <c r="A7" s="242"/>
      <c r="B7" s="243"/>
      <c r="C7" s="243"/>
      <c r="D7" s="243"/>
      <c r="E7" s="244"/>
      <c r="F7" s="244" t="s">
        <v>192</v>
      </c>
      <c r="G7" s="245"/>
      <c r="H7" s="243"/>
      <c r="I7" s="243"/>
      <c r="J7" s="246"/>
      <c r="K7" s="240"/>
      <c r="L7" s="241"/>
      <c r="M7" s="241"/>
      <c r="N7" s="247" t="s">
        <v>191</v>
      </c>
      <c r="O7" s="247"/>
      <c r="P7" s="248"/>
      <c r="Q7" s="249"/>
      <c r="R7" s="292" t="s">
        <v>310</v>
      </c>
      <c r="S7" s="293"/>
      <c r="T7" s="293"/>
      <c r="U7" s="293"/>
      <c r="V7" s="29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x14ac:dyDescent="0.25">
      <c r="A8" s="23"/>
      <c r="C8" s="23"/>
      <c r="D8" s="23"/>
      <c r="E8" s="23"/>
      <c r="F8" s="23"/>
      <c r="G8" s="23"/>
      <c r="H8" s="4"/>
      <c r="I8" s="4"/>
      <c r="J8" s="200"/>
      <c r="K8" s="208"/>
      <c r="L8" s="23"/>
      <c r="M8" s="23"/>
      <c r="N8" s="23"/>
      <c r="O8" s="23"/>
      <c r="P8" s="23"/>
      <c r="Q8" s="234"/>
      <c r="R8" s="23"/>
      <c r="S8" s="23"/>
      <c r="T8" s="2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x14ac:dyDescent="0.25">
      <c r="A9" s="93" t="s">
        <v>311</v>
      </c>
      <c r="C9" s="23"/>
      <c r="D9" s="23"/>
      <c r="E9" s="23"/>
      <c r="F9" s="230"/>
      <c r="G9" s="93" t="s">
        <v>314</v>
      </c>
      <c r="J9" s="200"/>
      <c r="K9" s="208"/>
      <c r="O9" s="23"/>
      <c r="P9" s="23"/>
      <c r="Q9" s="234"/>
      <c r="R9" s="23"/>
      <c r="S9" s="4"/>
      <c r="T9" s="36" t="s">
        <v>262</v>
      </c>
      <c r="U9" s="176" t="s">
        <v>249</v>
      </c>
      <c r="V9" s="36" t="s">
        <v>263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x14ac:dyDescent="0.25">
      <c r="A10" s="93" t="s">
        <v>317</v>
      </c>
      <c r="C10" s="23"/>
      <c r="D10" s="23"/>
      <c r="E10" s="23"/>
      <c r="F10" s="230"/>
      <c r="G10" s="93" t="s">
        <v>316</v>
      </c>
      <c r="J10" s="200"/>
      <c r="K10" s="208"/>
      <c r="O10" s="23"/>
      <c r="P10" s="23"/>
      <c r="Q10" s="234"/>
      <c r="R10" s="23"/>
      <c r="S10" s="36" t="str">
        <f>B14</f>
        <v>Douglas</v>
      </c>
      <c r="T10" s="177">
        <f>IF(B14&lt;&gt;"",-E17-E18/(1+$M$4)^A18-E19/(1+$M$4)^A19-E20/(1+$M$4)^A20-E21/(1+$M$4)^A21-E22/(1+$M$4)^A22+(D23-E23)/(1+$M$4)^A23+(D24-E24)/(1+$M$4)^A24+(D25-E25)/(1+$M$4)^A25+(D26-E26)/(1+$M$4)^A26+(D27-E27)/(1+$M$4)^A27+(D28-E28)/(1+$M$4)^A28+(D29-E29)/(1+$M$4)^A29+(D30-E30)/(1+$M$4)^A30+(D31-E31)/(1+$M$4)^A31+(D32-E32)/(1+$M$4)^A32+(D33-E33)/(1+$M$4)^A33+(D34-E34)/(1+$M$4)^A34+(D35-E35)/(1+$M$4)^A35+(D36-E36)/(1+$M$4)^A36+(D37-E37)/(1+$M$4)^A37+(D38-E38)/(1+$M$4)^A38+(D39-E39)/(1+$M$4)^A39+(D40-E40)/(1+$M$4)^A40+(D41-E41)/(1+$M$4)^A41+(D42-E42)/(1+$M$4)^A42,0)</f>
        <v>6242.1446547874102</v>
      </c>
      <c r="U10" s="178">
        <f>'Données projet'!D9</f>
        <v>13.392999999999999</v>
      </c>
      <c r="V10" s="177">
        <f>U10*T10</f>
        <v>83601.043361567776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x14ac:dyDescent="0.25">
      <c r="A11" s="93" t="s">
        <v>312</v>
      </c>
      <c r="B11" s="23"/>
      <c r="C11" s="23"/>
      <c r="D11" s="23"/>
      <c r="E11" s="23"/>
      <c r="F11" s="230"/>
      <c r="G11" s="93" t="s">
        <v>313</v>
      </c>
      <c r="J11" s="200"/>
      <c r="K11" s="208"/>
      <c r="M11" s="4"/>
      <c r="N11" s="4"/>
      <c r="O11" s="23"/>
      <c r="P11" s="23"/>
      <c r="Q11" s="234"/>
      <c r="R11" s="23"/>
      <c r="S11" s="36" t="str">
        <f>B45</f>
        <v>Mélèze d'Europe</v>
      </c>
      <c r="T11" s="239">
        <f>IF(B45&lt;&gt;"",-E48-E49/(1+$M$4)^A49-E50/(1+$M$4)^A50-E51/(1+$M$4)^A51-E52/(1+$M$4)^A52-E53/(1+$M$4)^A53+(D54-E54)/(1+$M$4)^A54+(D55-D55)/(1+$M$4)^A55+(D56-E56)/(1+$M$4)^A56+(D57-E57)/(1+$M$4)^A57+(D58-E58)/(1+$M$4)^A58+(D59-E59)/(1+$M$4)^A59+(D60-E60)/(1+$M$4)^A60+(D61-E61)/(1+$M$4)^A61+(D62-E62)/(1+$M$4)^A62+(D63-E63)/(1+$M$4)^A63+(D64-E64)/(1+$M$4)^A64+(D65-E65)/(1+$M$4)^A65+(D66-E66)/(1+$M$4)^A66+(D67-E67)/(1+$M$4)^A67+(D68-E68)/(1+$M$4)^A68+(D69-E69)/(1+$M$4)^A69+(D70-E70)/(1+$M$4)^A70+(D71-E71)/(1+$M$4)^A71+(D72-E72)/(1+$M$4)^A72+(D73-E73)/(1+$M$4)^A73,0)</f>
        <v>-606.70936311231901</v>
      </c>
      <c r="U11" s="178">
        <f>'Données projet'!D10</f>
        <v>5.9020000000000001</v>
      </c>
      <c r="V11" s="177">
        <f t="shared" ref="V11" si="0">U11*T11</f>
        <v>-3580.798661088907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x14ac:dyDescent="0.25">
      <c r="B12" s="23"/>
      <c r="C12" s="23"/>
      <c r="D12" s="23"/>
      <c r="E12" s="23"/>
      <c r="F12" s="230"/>
      <c r="J12" s="200"/>
      <c r="K12" s="208"/>
      <c r="L12" s="202"/>
      <c r="M12" s="23"/>
      <c r="N12" s="23"/>
      <c r="O12" s="23"/>
      <c r="P12" s="23"/>
      <c r="Q12" s="234"/>
      <c r="R12" s="23"/>
      <c r="S12" s="36" t="str">
        <f>B76</f>
        <v>Pin laricio</v>
      </c>
      <c r="T12" s="239">
        <f>IF(B76&lt;&gt;"",-E79-E80/(1+$M$4)^A80-E81/(1+$M$4)^A81-E82/(1+$M$4)^A82-E83/(1+$M$4)^A83-E84/(1+$M$4)^A84+(D85-E85)/(1+$M$4)^A85+(D86-E86)/(1+$M$4)^A86+(D87-E87)/(1+$M$4)^A87+(D88-E88)/(1+$M$4)^A88+(D89-E89)/(1+$M$4)^A89+(D90-E90)/(1+$M$4)^A90+(D91-E91)/(1+$M$4)^A91+(D92-E92)/(1+$M$4)^A92+(D93-E93)/(1+$M$4)^A93+(D94-E94)/(1+$M$4)^A94+(D95-E95)/(1+$M$4)^A95+(D96-E96)/(1+$M$4)^A96+(D97-E97)/(1+$M$4)^A97+(D98-E98)/(1+$M$4)^A98+(D99-E99)/(1+$M$4)^A99+(D100-E100)/(1+$M$4)^A100+(D101-E101)/(1+$M$4)^A101+(D102-E102)/(1+$M$4)^A102+(D103-E103)/(1+$M$4)^A103+(D104-E104)/(1+$M$4)^A104,0)</f>
        <v>-1457.5097737415942</v>
      </c>
      <c r="U12" s="178">
        <f>'Données projet'!D11</f>
        <v>0.90800000000000003</v>
      </c>
      <c r="V12" s="177">
        <f t="shared" ref="V12:V19" si="1">U12*T12</f>
        <v>-1323.4188745573676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x14ac:dyDescent="0.25">
      <c r="B13" s="23"/>
      <c r="C13" s="23"/>
      <c r="D13" s="23"/>
      <c r="E13" s="23"/>
      <c r="F13" s="230"/>
      <c r="J13" s="23"/>
      <c r="K13" s="208"/>
      <c r="L13" s="93" t="s">
        <v>257</v>
      </c>
      <c r="M13" s="23"/>
      <c r="N13" s="23"/>
      <c r="O13" s="23"/>
      <c r="P13" s="23"/>
      <c r="Q13" s="234"/>
      <c r="R13" s="23"/>
      <c r="S13" s="36" t="str">
        <f>B107</f>
        <v>Pin sylvestre</v>
      </c>
      <c r="T13" s="239">
        <f>IF(B107&lt;&gt;"",-E110+(D116-E116)/(1+$M$4)^A116+(D117-E117)/(1+$M$4)^A117+(D118-E118)/(1+$M$4)^A118+(D119-E119)/(1+$M$4)^A119+(D120-E120)/(1+$M$4)^A120+(D121-E121)/(1+$M$4)^A121+(D122-E122)/(1+$M$4)^A122+(D123-E123)/(1+$M$4)^A123+(D124-E124)/(1+$M$4)^A124+(D125-E125)/(1+$M$4)^A125+(D126-E126)/(1+$M$4)^A126+(D127-E127)/(1+$M$4)^A127+(D128-E128)/(1+$M$4)^A128+(D129-E129)/(1+$M$4)^A129+(D130-E130)/(1+$M$4)^A130+(D131-E131)/(1+$M$4)^A131+(D132-E132)/(1+$M$4)^A132+(D133-E133)/(1+$M$4)^A133+(D134-E134)/(1+$M$4)^A134+(D135-E135)/(1+$M$4)^A135,0)</f>
        <v>-1616.4180633715871</v>
      </c>
      <c r="U13" s="178">
        <f>'Données projet'!D12</f>
        <v>0.68099999999999994</v>
      </c>
      <c r="V13" s="177">
        <f t="shared" si="1"/>
        <v>-1100.7807011560508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x14ac:dyDescent="0.25">
      <c r="A14" s="46" t="s">
        <v>165</v>
      </c>
      <c r="B14" s="174" t="str">
        <f>IF('Données projet'!$B$9="","",'Données projet'!$B$9)</f>
        <v>Douglas</v>
      </c>
      <c r="C14" s="4"/>
      <c r="D14" s="4"/>
      <c r="E14" s="4"/>
      <c r="F14" s="230"/>
      <c r="G14" s="23"/>
      <c r="H14" s="36" t="s">
        <v>178</v>
      </c>
      <c r="I14" s="36" t="s">
        <v>290</v>
      </c>
      <c r="J14" s="201"/>
      <c r="K14" s="173"/>
      <c r="L14" s="202"/>
      <c r="M14" s="23"/>
      <c r="N14" s="23"/>
      <c r="O14" s="4"/>
      <c r="P14" s="4"/>
      <c r="Q14" s="235"/>
      <c r="R14" s="4"/>
      <c r="S14" s="36" t="str">
        <f>B138</f>
        <v/>
      </c>
      <c r="T14" s="239">
        <f>IF(B138&lt;&gt;"",-E141-E142/(1+$M$4)^A142-E14/(1+$M$4)^A143-E144/(1+$M$4)^A144-E145/(1+$M$4)^A145-E146/(1+$M$4)^A146+(D147-E147)/(1+$M$4)^A147+(D148-E148)/(1+$M$4)^A148+(D149-E149)/(1+$M$4)^A149+(D150-E150)/(1+$M$4)^A150+(D151-E151)/(1+$M$4)^A151+(D152-E152)/(1+$M$4)^A152+(D153-E153)/(1+$M$4)^A153+(D154-E154)/(1+$M$4)^A154+(D155-E155)/(1+$M$4)^A155+(D156-E156)/(1+$M$4)^A156+(D157-E157)/(1+$M$4)^A157+(D158-E158)/(1+$M$4)^A158+(D159-E159)/(1+$M$4)^A159+(D160-E160)/(1+$M$4)^A160+(D161-E161)/(1+$M$4)^A161+(D162-E162)/(1+$M$4)^A162+(D163-E163)/(1+$M$4)^A163+(D164-E164)/(1+$M$4)^A164+(D165-E165)/(1+$M$4)^A165+(D166-E166)/(1+$M$4)^A166,0)</f>
        <v>0</v>
      </c>
      <c r="U14" s="178">
        <f>'Données projet'!D13</f>
        <v>0</v>
      </c>
      <c r="V14" s="177">
        <f t="shared" si="1"/>
        <v>0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" customHeight="1" x14ac:dyDescent="0.25">
      <c r="A15" s="4"/>
      <c r="B15" s="4"/>
      <c r="C15" s="4"/>
      <c r="D15" s="4"/>
      <c r="E15" s="4"/>
      <c r="F15" s="230"/>
      <c r="G15" s="303" t="s">
        <v>318</v>
      </c>
      <c r="H15" s="190"/>
      <c r="I15" s="191"/>
      <c r="J15" s="202"/>
      <c r="K15" s="208"/>
      <c r="L15" s="202"/>
      <c r="M15" s="23"/>
      <c r="N15" s="23"/>
      <c r="O15" s="23"/>
      <c r="P15" s="23"/>
      <c r="Q15" s="234"/>
      <c r="R15" s="23"/>
      <c r="S15" s="36" t="str">
        <f>B169</f>
        <v>Aulne glutineux</v>
      </c>
      <c r="T15" s="239">
        <f>IF(B169&lt;&gt;"",-E172-E173/(1+$M$4)^A173-E174/(1+$M$4)^A174-E175/(1+$M$4)^A175-E176/(1+$M$4)^A176-E177/(1+$M$4)^A177+(D178-E178)/(1+$M$4)^A178+(D179-E179)/(1+$M$4)^A179+(D180-E180)/(1+$M$4)^A180+(D181-E181)/(1+$M$4)^A181+(D182-E182)/(1+$M$4)^A182+(D183-E183)/(1+$M$4)^A183+(D184-E184)/(1+$M$4)^A184+(D185-E185)/(1+$M$4)^A185+(D186-E186)/(1+$M$4)^A186+(D187-E187)/(1+$M$4)^A187+(D188-E188)/(1+$M$4)^A188+(D189-E189)/(1+$M$4)^A189+(D190-E190)/(1+$M$4)^A190+(D191-E191)/(1+$M$4)^A191+(D192-E192)/(1+$M$4)^A192+(D193-E193)/(1+$M$4)^A193+(D194-E194)/(1+$M$4)^A194+(D195-E195)/(1+$M$4)^A195+(D196-E196)/(1+$M$4)^A196+(D197-E197)/(1+$M$4)^A197,0)</f>
        <v>-1869.0861410820705</v>
      </c>
      <c r="U15" s="178">
        <f>'Données projet'!D14</f>
        <v>0.45400000000000001</v>
      </c>
      <c r="V15" s="177">
        <f t="shared" si="1"/>
        <v>-848.56510805126004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5" customHeight="1" x14ac:dyDescent="0.25">
      <c r="A16" s="36" t="s">
        <v>180</v>
      </c>
      <c r="B16" s="48" t="s">
        <v>256</v>
      </c>
      <c r="C16" s="48" t="s">
        <v>255</v>
      </c>
      <c r="D16" s="36" t="s">
        <v>252</v>
      </c>
      <c r="E16" s="36" t="s">
        <v>320</v>
      </c>
      <c r="F16" s="230"/>
      <c r="G16" s="303"/>
      <c r="H16" s="190"/>
      <c r="I16" s="191"/>
      <c r="J16" s="202"/>
      <c r="K16" s="208"/>
      <c r="L16" s="300" t="s">
        <v>254</v>
      </c>
      <c r="M16" s="301"/>
      <c r="N16" s="2">
        <v>60</v>
      </c>
      <c r="O16" s="23"/>
      <c r="P16" s="23"/>
      <c r="Q16" s="234"/>
      <c r="R16" s="23"/>
      <c r="S16" s="36" t="str">
        <f>B200</f>
        <v>Bouleau verruqueux</v>
      </c>
      <c r="T16" s="239">
        <f>IF(B200&lt;&gt;"",-E203-E204/(1+$M$4)^A204-E205/(1+$M$4)^A205-E206/(1+$M$4)^A206-E207/(1+$M$4)^A207-E208/(1+$M$4)^A208+(D209-E209)/(1+$M$4)^A209+(D210-E210)/(1+$M$4)^A210+(D211-E211)/(1+$M$4)^A211+(D212-E212)/(1+$M$4)^A212+(D213-E213)/(1+$M$4)^A213+(D214-E214)/(1+$M$4)^A214+(D215-E215)/(1+$M$4)^A215+(D216-E216)/(1+$M$4)^A216+(D217-E217)/(1+$M$4)^A217+(D218-E218)/(1+$M$4)^A218+(D219-E219)/(1+$M$4)^A219+(D220-E220)/(1+$M$4)^A220+(D221-E221)/(1+$M$4)^A221+(D222-E222)/(1+$M$4)^A222+(D223-E223)/(1+$M$4)^A223+(D224-E224)/(1+$M$4)^A224+(D225-E225)/(1+$M$4)^A225+(D226-E226)/(1+$M$4)^A226+(D227-E227)/(1+$M$4)^A227+(D228-E228)/(1+$M$4)^A228,0)</f>
        <v>-2113.3927167680995</v>
      </c>
      <c r="U16" s="178">
        <f>'Données projet'!D15</f>
        <v>0.45400000000000001</v>
      </c>
      <c r="V16" s="177">
        <f t="shared" si="1"/>
        <v>-959.48029341271717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54" x14ac:dyDescent="0.25">
      <c r="A17" s="49">
        <v>0</v>
      </c>
      <c r="B17" s="199" t="s">
        <v>132</v>
      </c>
      <c r="C17" s="198" t="s">
        <v>132</v>
      </c>
      <c r="D17" s="197" t="s">
        <v>132</v>
      </c>
      <c r="E17" s="193">
        <v>2300</v>
      </c>
      <c r="F17" s="230"/>
      <c r="G17" s="303"/>
      <c r="J17" s="202"/>
      <c r="K17" s="208"/>
      <c r="L17" s="259" t="s">
        <v>289</v>
      </c>
      <c r="M17" s="261"/>
      <c r="N17" s="175">
        <f>VLOOKUP(N16,Calculateur!$A$2:$H$153,3,0)/VLOOKUP('Scénario référence'!$G$15,Paramètres!A1:I89,3,0)/VLOOKUP('Scénario référence'!$G$15,Paramètres!A1:I89,5,0)</f>
        <v>60.000000000000057</v>
      </c>
      <c r="O17" s="23"/>
      <c r="P17" s="23"/>
      <c r="Q17" s="234"/>
      <c r="R17" s="23"/>
      <c r="S17" s="36" t="str">
        <f>B231</f>
        <v>Hêtre</v>
      </c>
      <c r="T17" s="239">
        <f>IF(B231&lt;&gt;"",-E234-E235/(1+$M$4)^A235-E236/(1+$M$4)^A236-E237/(1+$M$4)^A237-E238/(1+$M$4)^A238-E239/(1+$M$4)^A239+(D240-E240)/(1+$M$4)^A240+(D241-E241)/(1+$M$4)^A241+(D242-E242)/(1+$M$4)^A242+(D243-E243)/(1+$M$4)^A243+(D244-E244)/(1+$M$4)^A244+(D245-E245)/(1+$M$4)^A245+(D246-E246)/(1+$M$4)^A246+(D247-E247)/(1+$M$4)^A247+(D248-E248)/(1+$M$4)^A248+(D249-E249)/(1+$M$4)^A249+(D250-E250)/(1+$M$4)^A250+(D251-E251)/(1+$M$4)^A251+(D252-E252)/(1+$M$4)^A252+(D253-E253)/(1+$M$4)^A253+(D254-E254)/(1+$M$4)^A254+(D255-E255)/(1+$M$4)^A255+(D256-E256)/(1+$M$4)^A256+(D257-E257)/(1+$M$4)^A257+(D258-E258)/(1+$M$4)^A258+(D259-E259)/(1+$M$4)^A259,0)</f>
        <v>-609.73936233983318</v>
      </c>
      <c r="U17" s="178">
        <f>'Données projet'!D16</f>
        <v>0.45400000000000001</v>
      </c>
      <c r="V17" s="177">
        <f t="shared" si="1"/>
        <v>-276.82167050228429</v>
      </c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54" x14ac:dyDescent="0.25">
      <c r="A18" s="49">
        <v>1</v>
      </c>
      <c r="B18" s="199" t="s">
        <v>132</v>
      </c>
      <c r="C18" s="198" t="s">
        <v>132</v>
      </c>
      <c r="D18" s="197" t="s">
        <v>132</v>
      </c>
      <c r="E18" s="193"/>
      <c r="F18" s="230"/>
      <c r="G18" s="303"/>
      <c r="J18" s="202"/>
      <c r="K18" s="208"/>
      <c r="L18" s="259" t="s">
        <v>255</v>
      </c>
      <c r="M18" s="261"/>
      <c r="N18" s="192">
        <v>29</v>
      </c>
      <c r="O18" s="23"/>
      <c r="P18" s="23"/>
      <c r="Q18" s="234"/>
      <c r="R18" s="23"/>
      <c r="S18" s="36" t="str">
        <f>B262</f>
        <v>Cormier</v>
      </c>
      <c r="T18" s="239">
        <f>IF(B262&lt;&gt;"",-E265-E266/(1+$M$4)^A266-E267/(1+$M$4)^A267-E268/(1+$M$4)^A268-E269/(1+$M$4)^A269-E270/(1+$M$4)^A270+(D271-E271)/(1+$M$4)^A271+(D272-E272)/(1+$M$4)^A272+(D273-E273)/(1+$M$4)^A273+(D274-E274)/(1+$M$4)^A274+(D275-E275)/(1+$M$4)^A275+(D276-E276)/(1+$M$4)^A276+(D277-E277)/(1+$M$4)^A277+(D278-E278)/(1+$M$4)^A278+(D279-E279)/(1+$M$4)^A279+(D280-E280)/(1+$M$4)^A280+(D281-E281)/(1+$M$4)^A281+(D282-E282)/(1+$M$4)^A282+(D283-E283)/(1+$M$4)^A283+(D284-E284)/(1+$M$4)^A284+(D285-E285)/(1+$M$4)^A285+(D286-E286)/(1+$M$4)^A286+(D287-E287)/(1+$M$4)^A287+(D288-E288)/(1+$M$4)^A288+(D289-E289)/(1+$M$4)^A289+(D290-E290)/(1+$M$4)^A290,0)</f>
        <v>-2014.5538302415355</v>
      </c>
      <c r="U18" s="178">
        <f>'Données projet'!D17</f>
        <v>0.22700000000000001</v>
      </c>
      <c r="V18" s="177">
        <f t="shared" si="1"/>
        <v>-457.30371946482859</v>
      </c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54" ht="17.25" customHeight="1" x14ac:dyDescent="0.25">
      <c r="A19" s="49">
        <v>2</v>
      </c>
      <c r="B19" s="199" t="s">
        <v>132</v>
      </c>
      <c r="C19" s="198" t="s">
        <v>132</v>
      </c>
      <c r="D19" s="197" t="s">
        <v>132</v>
      </c>
      <c r="E19" s="193"/>
      <c r="F19" s="230"/>
      <c r="G19" s="303"/>
      <c r="H19" s="212" t="s">
        <v>178</v>
      </c>
      <c r="I19" s="212" t="s">
        <v>287</v>
      </c>
      <c r="J19" s="93"/>
      <c r="K19" s="173"/>
      <c r="L19" s="300" t="s">
        <v>288</v>
      </c>
      <c r="M19" s="301"/>
      <c r="N19" s="179">
        <f>N17*N18</f>
        <v>1740.0000000000016</v>
      </c>
      <c r="O19" s="23"/>
      <c r="P19" s="4"/>
      <c r="Q19" s="235"/>
      <c r="R19" s="4"/>
      <c r="S19" s="36" t="str">
        <f>B293</f>
        <v>Cormier</v>
      </c>
      <c r="T19" s="239">
        <f>IF(B293&lt;&gt;"",-E296-E297/(1+$M$4)^A297-E298/(1+$M$4)^A298-E299/(1+$M$4)^A299-E300/(1+$M$4)^A300-E301/(1+$M$4)^A301+(D302-E302)/(1+$M$4)^A302+(D303-D303)/(1+$M$4)^A303+(D304-E304)/(1+$M$4)^A304+(D305-E305)/(1+$M$4)^A305+(D306-E306)/(1+$M$4)^A306+(D307-E307)/(1+$M$4)^A307+(D308-E308)/(1+$M$4)^A308+(D309-E309)/(1+$M$4)^A309+(D310-E310)/(1+$M$4)^A310+(D311-E311)/(1+$M$4)^A311+(D312-E312)/(1+$M$4)^A312+(D313-E313)/(1+$M$4)^A313+(D314-E314)/(1+$M$4)^A314+(D315-E315)/(1+$M$4)^A315+(D316-E316)/(1+$M$4)^A316+(D317-E317)/(1+$M$4)^A317+(D318-E318)/(1+$M$4)^A318+(D319-E319)/(1+$M$4)^A319+(D320-E320)/(1+$M$4)^A320+(D321-E321)/(1+$M$4)^A321,0)</f>
        <v>-2079.4756729767205</v>
      </c>
      <c r="U19" s="178">
        <f>'Données projet'!D18</f>
        <v>0.22700000000000001</v>
      </c>
      <c r="V19" s="177">
        <f t="shared" si="1"/>
        <v>-472.04097776571558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54" x14ac:dyDescent="0.25">
      <c r="A20" s="49">
        <v>3</v>
      </c>
      <c r="B20" s="199" t="s">
        <v>132</v>
      </c>
      <c r="C20" s="198" t="s">
        <v>132</v>
      </c>
      <c r="D20" s="197" t="s">
        <v>132</v>
      </c>
      <c r="E20" s="193"/>
      <c r="F20" s="230"/>
      <c r="G20" s="303"/>
      <c r="H20" s="190">
        <v>0</v>
      </c>
      <c r="I20" s="191">
        <v>3500</v>
      </c>
      <c r="J20" s="4"/>
      <c r="K20" s="173"/>
      <c r="O20" s="23"/>
      <c r="P20" s="4"/>
      <c r="Q20" s="235"/>
      <c r="R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54" x14ac:dyDescent="0.25">
      <c r="A21" s="49">
        <v>4</v>
      </c>
      <c r="B21" s="199" t="s">
        <v>132</v>
      </c>
      <c r="C21" s="198" t="s">
        <v>132</v>
      </c>
      <c r="D21" s="197" t="s">
        <v>132</v>
      </c>
      <c r="E21" s="193"/>
      <c r="F21" s="230"/>
      <c r="H21" s="190">
        <v>1</v>
      </c>
      <c r="I21" s="191">
        <v>1900</v>
      </c>
      <c r="K21" s="173"/>
      <c r="O21" s="23"/>
      <c r="P21" s="4"/>
      <c r="Q21" s="235"/>
      <c r="R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54" ht="15.75" customHeight="1" x14ac:dyDescent="0.25">
      <c r="A22" s="49">
        <v>5</v>
      </c>
      <c r="B22" s="199" t="s">
        <v>132</v>
      </c>
      <c r="C22" s="198" t="s">
        <v>132</v>
      </c>
      <c r="D22" s="197" t="s">
        <v>132</v>
      </c>
      <c r="E22" s="193"/>
      <c r="F22" s="230"/>
      <c r="H22" s="190">
        <v>2</v>
      </c>
      <c r="I22" s="191">
        <v>2000</v>
      </c>
      <c r="K22" s="173"/>
      <c r="O22" s="23"/>
      <c r="P22" s="4"/>
      <c r="Q22" s="235"/>
      <c r="R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54" ht="15.75" customHeight="1" x14ac:dyDescent="0.25">
      <c r="A23" s="180">
        <f>'Données projet'!A36</f>
        <v>17</v>
      </c>
      <c r="B23" s="181">
        <f>'Données projet'!D36</f>
        <v>0</v>
      </c>
      <c r="C23" s="193"/>
      <c r="D23" s="182">
        <f>B23*C23</f>
        <v>0</v>
      </c>
      <c r="E23" s="193"/>
      <c r="F23" s="230"/>
      <c r="H23" s="190">
        <v>3</v>
      </c>
      <c r="I23" s="191">
        <v>2100</v>
      </c>
      <c r="K23" s="208"/>
      <c r="L23" s="302" t="s">
        <v>260</v>
      </c>
      <c r="M23" s="302"/>
      <c r="N23" s="302"/>
      <c r="O23" s="23"/>
      <c r="P23" s="23"/>
      <c r="Q23" s="234"/>
      <c r="R23" s="23"/>
      <c r="S23" s="36" t="s">
        <v>264</v>
      </c>
      <c r="T23" s="297">
        <f>SUM(V10:V19) + (I15/(1+M4)^H15 + I16/(16+M4)^H16)*'Données projet'!C5 - (I20/(1+M4)^H20 + I21/(1+M4)^H21 + I22/(1+M4)^H22 + I23/(1+M4)^H23 + I24/(1+M4)^H24+ I25/(1+M4)^H25 + I26/(1+M4)^H26 + I27/(1+M4)^H27 + I28/(1+M4)^H28 + I29/(1+M4)^H29 + I30/(1+M4)^H30 + I31/(1+M4)^H31 + I32/(1+M4)^H32 + I33/(1+M4)^H33 + I34/(1+M4)^H34 + I35/(1+M4)^H35 + I36/(1+M4)^H36 + I37/(1+M4)^H37 + I38/(1+M4)^H38 + I39/(1+M4)^H39 + I40/(1+M4)^H40 + I41/(1+M4)^H41 + I42/(1+M4)^H42 + I43/(1+M4)^H43 + I44/(1+M4)^H44 + I45/(1+M4)^H45 + I46/(1+M4)^H46 + I47/(1+M4)^H47 + I48/(1+M4)^H48 + I49/(1+M4)^H49 + I60/(1+M4)^H60 + I61/(1+M4)^H61 + I62/(1+M4)^H62 + I63/(1+M4)^H63 + I64/(1+M4)^H64 + I65/(1+M4)^H65 + I66/(1+M4)^H66 + I67/(1+M4)^H67 + I68/(1+M4)^H68 + I69/(1+M4)^H69 + I70/(1+M4)^H70 + I71/(1+M4)^H71 + I72/(1+M4)^H72 + I73/(1+M4)^H73 + I74/(1+M4)^H74 + I75/(1+M4)^H75 + I76/(1+M4)^H76 + I77/(1+M4)^H77 + I78/(1+M4)^H78 + I79/(1+M4)^H79 + I80/(1+M4)^H80 + I81/(1+M4)^H81 + I820/(1+M4)^H82 + I83/(1+M4)^H83 + I84/(1+M4)^H84 + I85/(1+M4)^H85 + I86/(1+M4)^H86 + I87/(1+M4)^H87 + I88/(1+M4)^H88 + I89/(1+M4)^H89 + I90/(1+M4)^H90 + I91/(1+M4)^H91 + I91/(1+M4)^H91 + I92/(1+M4)^H92 + I93/(1+M4)^H93 + I94/(1+M4)^H94 + I95/(1+M4)^H95 + I96/(1+M4)^H96 + I97/(1+M4)^H97 + I98/(1+M4)^H98 + I99/(1+M4)^H99 + I100/(1+M4)^H100 + I101/(1+M4)^H101 + I102/(1+M4)^H102 + I103/(1+M4)^H103 + I104/(1+M4)^H104 + I105/(1+M4)^H105 + I106/(1+M4)^H106 + I107/(1+M4)^H107 + I108/(1+M4)^H108 + I109/(1+M4)^H109 + I110/(1+M4)^H110 + I111/(1+M4)^H111 + I112/(1+M4)^H112 + I113/(1+M4)^H113 + I114/(1+M4)^H114 + I115/(1+M4)^H115 + I116/(1+M4)^H116 + I117/(1+M4)^H117 + I118/(1+M4)^H118 + I119/(1+M4)^H119 + I120/(1+M4)^H120 + I121/(1+M4)^H121 + I122/(1+M4)^H122 + I123/(1+M4)^H123 + I124/(1+M4)^H124 + I125/(1+M4)^H125 + I126/(1+M4)^H126 + I127/(1+M4)^H127 + I128/(1+M4)^H128 + I129/(1+M4)^H129 + I130/(1+M4)^H130 + I131/(1+M4)^H132 + I133/(1+M4)^H133 + I134/(1+M4)^H134  + I135/(1+M4)^H135 + I136/(1+M4)^H136 + I137/(1+M4)^H137 + I138/(1+M4)^H138 + I139/(1+M4)^H139 + I140/(1+M4)^H140 + I141/(1+M4)^H141 + I142/(1+M4)^H142 + I143/(1+M4)^H143 + I144/(1+M4)^H144 + I145/(1+M4)^H145 + I146/(1+M4)^H146 + I147/(1+M4)^H147 + I148/(1+M4)^H148 + I149/(1+M4)^H149 + I150/(1+M4)^H150 + I151/(1+M4)^H151 + I152/(1+M4)^H152 + I153/(1+M4)^H153 + I154/(1+M4)^H154 + I155/(1+M4)^H155 + I156/(1+M4)^H156 + I157/(1+M4)^H157 + I158/(1+M4)^H158 + I159/(1+M4)^H159 + I160/(1+M4)^H160 + I161/(1+M4)^H161 + I162/(1+M4)^H162 + I163/(1+M4)^H163 + I164/(1+M4)^H164 + I165/(1+M4)^H165 + I166/(1+M4)^H166 + I167/(1+M4)^H167 + I168/(1+M4)^H168 + I169/(1+M4)^H169 + I170/(1+M4)^H170 + I171/(1+M4)^H171 + I172/(1+M4)^H172 + I173/(1+M4)^H173 + I174/(1+M4)^H174 + I175/(1+M4)^H175 + I176/(1+M4)^H176 + I177/(1+M4)^H177 + I178/(1+M4)^H178 + I179/(1+M4)^H179 + I180/(1+M4)^H180 + I181/(1+M4)^H181 + I182/(1+M4)^H182 + I183/(1+M4)^H183 + I184/(1+M4)^H184 + I185/(1+M4)^H185 + I186/(1+M4)^H186 + I187/(1+M4)^H187 + I188/(1+M4)^H188 + I189/(1+M4)^H189 + I190/(1+M4)^H190 + I191/(1+M4)^H191 + I192/(1+M4)^H192 + I193/(1+M4)^H193 + I194/(1+M4)^H194 + I195/(1+M4)^H195 + I196/(1+M4)^H196 + I197/(1+M4)^H197 + I198/(1+M4)^H198 + I199/(1+M4)^H199 + I200/(1+M4)^H200 + I201/(1+M4)^H201 + I202/(1+M4)^H202 + I203/(1+M4)^H203 + I204/(1+M4)^H204 + I205/(1+M4)^H205 + I206/(1+M4)^H206 + I207/(1+M4)^H207 + I208/(1+M4)^H208 + I209/(1+M4)^H209 + I210/(1+M4)^H210 + I211/(1+M4)^H211 + I212/(1+M4)^H212 + I213/(1+M4)^H213 + I214/(1+M4)^H214 + I215/(1+M4)^H215 + I216/(1+M4)^H216 + I217/(1+M4)^H217 + I218/(1+M4)^H218 + I219/(1+M4)^H219)*'Données projet'!C5</f>
        <v>-173272.7103143181</v>
      </c>
      <c r="U23" s="297"/>
      <c r="V23" s="297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54" ht="15.75" customHeight="1" x14ac:dyDescent="0.25">
      <c r="A24" s="180">
        <f>'Données projet'!A37</f>
        <v>18</v>
      </c>
      <c r="B24" s="181">
        <f>'Données projet'!D37</f>
        <v>69.284615384615378</v>
      </c>
      <c r="C24" s="193">
        <v>25</v>
      </c>
      <c r="D24" s="182">
        <f t="shared" ref="D24:D42" si="2">B24*C24</f>
        <v>1732.1153846153845</v>
      </c>
      <c r="E24" s="193"/>
      <c r="F24" s="233"/>
      <c r="H24" s="190">
        <v>4</v>
      </c>
      <c r="I24" s="191">
        <v>750</v>
      </c>
      <c r="K24" s="208"/>
      <c r="O24" s="23"/>
      <c r="P24" s="23"/>
      <c r="Q24" s="234"/>
      <c r="R24" s="23"/>
      <c r="S24" s="36" t="s">
        <v>261</v>
      </c>
      <c r="T24" s="298">
        <f ca="1">'Scénario référence'!$B$8*$M$30*'Données projet'!$C$5+('Scénario référence'!B9+'Scénario référence'!B10+'Scénario référence'!F8+'Scénario référence'!F9)*$N$19/(1+M4)^N16*'Données projet'!$C$5</f>
        <v>2815.7732490726648</v>
      </c>
      <c r="U24" s="298"/>
      <c r="V24" s="298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54" ht="15.75" customHeight="1" x14ac:dyDescent="0.25">
      <c r="A25" s="180">
        <f>'Données projet'!A38</f>
        <v>24</v>
      </c>
      <c r="B25" s="181">
        <f>'Données projet'!D38</f>
        <v>42.661538461538463</v>
      </c>
      <c r="C25" s="193">
        <v>35</v>
      </c>
      <c r="D25" s="182">
        <f t="shared" si="2"/>
        <v>1493.1538461538462</v>
      </c>
      <c r="E25" s="193"/>
      <c r="F25" s="233"/>
      <c r="H25" s="190">
        <v>5</v>
      </c>
      <c r="I25" s="191">
        <v>60</v>
      </c>
      <c r="K25" s="208"/>
      <c r="L25" s="130" t="s">
        <v>285</v>
      </c>
      <c r="M25" s="130"/>
      <c r="N25" s="130"/>
      <c r="O25" s="130"/>
      <c r="P25" s="192"/>
      <c r="Q25" s="234"/>
      <c r="R25" s="23"/>
      <c r="S25" s="186" t="s">
        <v>266</v>
      </c>
      <c r="T25" s="299">
        <f ca="1">T23-T24</f>
        <v>-176088.48356339076</v>
      </c>
      <c r="U25" s="299"/>
      <c r="V25" s="299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54" ht="15.75" customHeight="1" x14ac:dyDescent="0.25">
      <c r="A26" s="180">
        <f>'Données projet'!A39</f>
        <v>30</v>
      </c>
      <c r="B26" s="181">
        <f>'Données projet'!D39</f>
        <v>65.669230769230765</v>
      </c>
      <c r="C26" s="193">
        <v>55</v>
      </c>
      <c r="D26" s="182">
        <f t="shared" si="2"/>
        <v>3611.8076923076919</v>
      </c>
      <c r="E26" s="193"/>
      <c r="F26" s="233"/>
      <c r="G26" s="229"/>
      <c r="H26" s="190">
        <v>6</v>
      </c>
      <c r="I26" s="191">
        <v>60</v>
      </c>
      <c r="K26" s="208"/>
      <c r="L26" s="286" t="s">
        <v>258</v>
      </c>
      <c r="M26" s="287"/>
      <c r="N26" s="287"/>
      <c r="O26" s="287"/>
      <c r="P26" s="288"/>
      <c r="Q26" s="234"/>
      <c r="R26" s="23"/>
      <c r="S26" s="186" t="s">
        <v>265</v>
      </c>
      <c r="T26" s="296" t="str">
        <f ca="1">IF(T25&lt;0,"Votre projet est additionnel","Votre projet n'est pas additionnel")</f>
        <v>Votre projet est additionnel</v>
      </c>
      <c r="U26" s="296"/>
      <c r="V26" s="296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54" ht="15.75" customHeight="1" x14ac:dyDescent="0.25">
      <c r="A27" s="180">
        <f>'Données projet'!A40</f>
        <v>36</v>
      </c>
      <c r="B27" s="181">
        <f>'Données projet'!D40</f>
        <v>69.3</v>
      </c>
      <c r="C27" s="193">
        <v>55</v>
      </c>
      <c r="D27" s="182">
        <f t="shared" si="2"/>
        <v>3811.5</v>
      </c>
      <c r="E27" s="193"/>
      <c r="F27" s="233"/>
      <c r="G27" s="229"/>
      <c r="H27" s="190">
        <v>7</v>
      </c>
      <c r="I27" s="191">
        <v>60</v>
      </c>
      <c r="K27" s="208"/>
      <c r="L27" s="289"/>
      <c r="M27" s="290"/>
      <c r="N27" s="290"/>
      <c r="O27" s="290"/>
      <c r="P27" s="291"/>
      <c r="Q27" s="234"/>
      <c r="R27" s="23"/>
      <c r="S27" s="295" t="s">
        <v>267</v>
      </c>
      <c r="T27" s="295"/>
      <c r="U27" s="295"/>
      <c r="V27" s="295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54" ht="15.75" customHeight="1" x14ac:dyDescent="0.25">
      <c r="A28" s="180">
        <f>'Données projet'!A41</f>
        <v>42</v>
      </c>
      <c r="B28" s="181">
        <f>'Données projet'!D41</f>
        <v>73.392307692307682</v>
      </c>
      <c r="C28" s="193">
        <v>60</v>
      </c>
      <c r="D28" s="182">
        <f t="shared" si="2"/>
        <v>4403.538461538461</v>
      </c>
      <c r="E28" s="193"/>
      <c r="F28" s="233"/>
      <c r="G28" s="205"/>
      <c r="H28" s="190">
        <v>8</v>
      </c>
      <c r="I28" s="191">
        <v>60</v>
      </c>
      <c r="K28" s="208"/>
      <c r="Q28" s="234"/>
      <c r="R28" s="23"/>
      <c r="S28" s="23"/>
      <c r="T28" s="23"/>
      <c r="U28" s="23"/>
      <c r="V28" s="23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54" x14ac:dyDescent="0.25">
      <c r="A29" s="180">
        <f>'Données projet'!A42</f>
        <v>48</v>
      </c>
      <c r="B29" s="181">
        <f>'Données projet'!D42</f>
        <v>81.330769230769235</v>
      </c>
      <c r="C29" s="193">
        <v>60</v>
      </c>
      <c r="D29" s="182">
        <f t="shared" si="2"/>
        <v>4879.8461538461543</v>
      </c>
      <c r="E29" s="193"/>
      <c r="F29" s="233"/>
      <c r="G29" s="203"/>
      <c r="H29" s="190">
        <v>9</v>
      </c>
      <c r="I29" s="191">
        <v>60</v>
      </c>
      <c r="K29" s="208"/>
      <c r="O29" s="23"/>
      <c r="P29" s="23"/>
      <c r="Q29" s="234"/>
      <c r="R29" s="23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54" x14ac:dyDescent="0.25">
      <c r="A30" s="180">
        <f>'Données projet'!A43</f>
        <v>54</v>
      </c>
      <c r="B30" s="181">
        <f>'Données projet'!D43</f>
        <v>566.79999999999995</v>
      </c>
      <c r="C30" s="193">
        <v>80</v>
      </c>
      <c r="D30" s="182">
        <f t="shared" si="2"/>
        <v>45344</v>
      </c>
      <c r="E30" s="193"/>
      <c r="F30" s="233"/>
      <c r="G30" s="203"/>
      <c r="H30" s="190">
        <v>10</v>
      </c>
      <c r="I30" s="191">
        <v>750</v>
      </c>
      <c r="K30" s="183"/>
      <c r="L30" s="36" t="s">
        <v>259</v>
      </c>
      <c r="M30" s="184">
        <f ca="1">SUM(OFFSET($P$33,0,0,MIN('Données projet'!$E$9:$E$18)+1,1))</f>
        <v>0</v>
      </c>
      <c r="O30" s="4"/>
      <c r="P30" s="4"/>
      <c r="Q30" s="235"/>
      <c r="R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54" x14ac:dyDescent="0.25">
      <c r="A31" s="180">
        <f>'Données projet'!A44</f>
        <v>0</v>
      </c>
      <c r="B31" s="181">
        <f>'Données projet'!D44</f>
        <v>0</v>
      </c>
      <c r="C31" s="193"/>
      <c r="D31" s="182">
        <f t="shared" si="2"/>
        <v>0</v>
      </c>
      <c r="E31" s="193"/>
      <c r="F31" s="233"/>
      <c r="G31" s="203"/>
      <c r="H31" s="190">
        <v>11</v>
      </c>
      <c r="I31" s="191">
        <v>60</v>
      </c>
      <c r="K31" s="173"/>
      <c r="Q31" s="234"/>
      <c r="R31" s="23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</row>
    <row r="32" spans="1:54" ht="15" customHeight="1" x14ac:dyDescent="0.25">
      <c r="A32" s="180">
        <f>'Données projet'!A45</f>
        <v>0</v>
      </c>
      <c r="B32" s="181">
        <f>'Données projet'!D45</f>
        <v>0</v>
      </c>
      <c r="C32" s="193"/>
      <c r="D32" s="182">
        <f t="shared" si="2"/>
        <v>0</v>
      </c>
      <c r="E32" s="193"/>
      <c r="F32" s="233"/>
      <c r="G32" s="203"/>
      <c r="H32" s="190">
        <v>12</v>
      </c>
      <c r="I32" s="191">
        <v>60</v>
      </c>
      <c r="K32" s="173"/>
      <c r="N32" s="4"/>
      <c r="O32" s="85" t="s">
        <v>178</v>
      </c>
      <c r="P32" s="85" t="s">
        <v>252</v>
      </c>
      <c r="Q32" s="234"/>
      <c r="R32" s="23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</row>
    <row r="33" spans="1:56" x14ac:dyDescent="0.25">
      <c r="A33" s="180">
        <f>'Données projet'!A46</f>
        <v>0</v>
      </c>
      <c r="B33" s="181">
        <f>'Données projet'!D46</f>
        <v>0</v>
      </c>
      <c r="C33" s="193"/>
      <c r="D33" s="182">
        <f t="shared" si="2"/>
        <v>0</v>
      </c>
      <c r="E33" s="193"/>
      <c r="F33" s="233"/>
      <c r="G33" s="203"/>
      <c r="H33" s="190">
        <v>13</v>
      </c>
      <c r="I33" s="191">
        <v>60</v>
      </c>
      <c r="K33" s="173"/>
      <c r="L33" s="4"/>
      <c r="M33" s="4"/>
      <c r="N33" s="4"/>
      <c r="O33" s="194">
        <v>0</v>
      </c>
      <c r="P33" s="185">
        <f t="shared" ref="P33:P64" si="3">$P$25/(1+$M$4)^O33</f>
        <v>0</v>
      </c>
      <c r="Q33" s="234"/>
      <c r="R33" s="23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</row>
    <row r="34" spans="1:56" x14ac:dyDescent="0.25">
      <c r="A34" s="180">
        <f>'Données projet'!A47</f>
        <v>0</v>
      </c>
      <c r="B34" s="181">
        <f>'Données projet'!D47</f>
        <v>0</v>
      </c>
      <c r="C34" s="193"/>
      <c r="D34" s="182">
        <f t="shared" si="2"/>
        <v>0</v>
      </c>
      <c r="E34" s="193"/>
      <c r="F34" s="233"/>
      <c r="G34" s="203"/>
      <c r="H34" s="190">
        <v>14</v>
      </c>
      <c r="I34" s="191">
        <v>60</v>
      </c>
      <c r="K34" s="173"/>
      <c r="L34" s="98"/>
      <c r="M34" s="98"/>
      <c r="N34" s="250"/>
      <c r="O34" s="194">
        <f>IF(O33+1&lt;=MIN('Données projet'!$E$9:$E$18),O33+1,"STOP")</f>
        <v>1</v>
      </c>
      <c r="P34" s="185">
        <f t="shared" si="3"/>
        <v>0</v>
      </c>
      <c r="Q34" s="234"/>
      <c r="R34" s="23"/>
      <c r="S34" s="23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</row>
    <row r="35" spans="1:56" x14ac:dyDescent="0.25">
      <c r="A35" s="180">
        <f>'Données projet'!A48</f>
        <v>0</v>
      </c>
      <c r="B35" s="181">
        <f>'Données projet'!D48</f>
        <v>0</v>
      </c>
      <c r="C35" s="193"/>
      <c r="D35" s="182">
        <f t="shared" si="2"/>
        <v>0</v>
      </c>
      <c r="E35" s="193"/>
      <c r="F35" s="233"/>
      <c r="G35" s="203"/>
      <c r="H35" s="190">
        <v>15</v>
      </c>
      <c r="I35" s="191">
        <v>60</v>
      </c>
      <c r="K35" s="173"/>
      <c r="L35" s="98"/>
      <c r="M35" s="98"/>
      <c r="N35" s="250"/>
      <c r="O35" s="194">
        <f>IF(O34+1&lt;=MIN('Données projet'!$E$9:$E$18),O34+1,"STOP")</f>
        <v>2</v>
      </c>
      <c r="P35" s="185">
        <f t="shared" si="3"/>
        <v>0</v>
      </c>
      <c r="Q35" s="234"/>
      <c r="R35" s="23"/>
      <c r="S35" s="23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</row>
    <row r="36" spans="1:56" x14ac:dyDescent="0.25">
      <c r="A36" s="180">
        <f>'Données projet'!A49</f>
        <v>0</v>
      </c>
      <c r="B36" s="181">
        <f>'Données projet'!D49</f>
        <v>0</v>
      </c>
      <c r="C36" s="193"/>
      <c r="D36" s="182">
        <f t="shared" si="2"/>
        <v>0</v>
      </c>
      <c r="E36" s="193"/>
      <c r="F36" s="233"/>
      <c r="G36" s="203"/>
      <c r="H36" s="190">
        <v>16</v>
      </c>
      <c r="I36" s="191">
        <v>60</v>
      </c>
      <c r="K36" s="173"/>
      <c r="L36" s="23"/>
      <c r="M36" s="23"/>
      <c r="N36" s="23"/>
      <c r="O36" s="194">
        <f>IF(O35+1&lt;=MIN('Données projet'!$E$9:$E$18),O35+1,"STOP")</f>
        <v>3</v>
      </c>
      <c r="P36" s="185">
        <f t="shared" si="3"/>
        <v>0</v>
      </c>
      <c r="Q36" s="234"/>
      <c r="R36" s="23"/>
      <c r="S36" s="23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</row>
    <row r="37" spans="1:56" x14ac:dyDescent="0.25">
      <c r="A37" s="180">
        <f>'Données projet'!A50</f>
        <v>0</v>
      </c>
      <c r="B37" s="181">
        <f>'Données projet'!D50</f>
        <v>0</v>
      </c>
      <c r="C37" s="193"/>
      <c r="D37" s="182">
        <f t="shared" si="2"/>
        <v>0</v>
      </c>
      <c r="E37" s="193"/>
      <c r="F37" s="233"/>
      <c r="G37" s="203"/>
      <c r="H37" s="190">
        <v>17</v>
      </c>
      <c r="I37" s="191">
        <v>60</v>
      </c>
      <c r="K37" s="173"/>
      <c r="L37" s="23"/>
      <c r="M37" s="23"/>
      <c r="N37" s="23"/>
      <c r="O37" s="194">
        <f>IF(O36+1&lt;=MIN('Données projet'!$E$9:$E$18),O36+1,"STOP")</f>
        <v>4</v>
      </c>
      <c r="P37" s="185">
        <f t="shared" si="3"/>
        <v>0</v>
      </c>
      <c r="Q37" s="234"/>
      <c r="R37" s="23"/>
      <c r="S37" s="23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</row>
    <row r="38" spans="1:56" x14ac:dyDescent="0.25">
      <c r="A38" s="180">
        <f>'Données projet'!A51</f>
        <v>0</v>
      </c>
      <c r="B38" s="181">
        <f>'Données projet'!D51</f>
        <v>0</v>
      </c>
      <c r="C38" s="193"/>
      <c r="D38" s="182">
        <f t="shared" si="2"/>
        <v>0</v>
      </c>
      <c r="E38" s="193"/>
      <c r="F38" s="233"/>
      <c r="G38" s="203"/>
      <c r="H38" s="190">
        <v>18</v>
      </c>
      <c r="I38" s="191">
        <v>60</v>
      </c>
      <c r="K38" s="173"/>
      <c r="L38" s="23"/>
      <c r="M38" s="23"/>
      <c r="N38" s="23"/>
      <c r="O38" s="194">
        <f>IF(O37+1&lt;=MIN('Données projet'!$E$9:$E$18),O37+1,"STOP")</f>
        <v>5</v>
      </c>
      <c r="P38" s="185">
        <f t="shared" si="3"/>
        <v>0</v>
      </c>
      <c r="Q38" s="234"/>
      <c r="R38" s="23"/>
      <c r="S38" s="23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</row>
    <row r="39" spans="1:56" x14ac:dyDescent="0.25">
      <c r="A39" s="180">
        <f>'Données projet'!A52</f>
        <v>0</v>
      </c>
      <c r="B39" s="181">
        <f>'Données projet'!D52</f>
        <v>0</v>
      </c>
      <c r="C39" s="193"/>
      <c r="D39" s="182">
        <f t="shared" si="2"/>
        <v>0</v>
      </c>
      <c r="E39" s="193"/>
      <c r="F39" s="233"/>
      <c r="G39" s="203"/>
      <c r="H39" s="190">
        <v>19</v>
      </c>
      <c r="I39" s="191">
        <v>60</v>
      </c>
      <c r="K39" s="208"/>
      <c r="L39" s="23"/>
      <c r="M39" s="23"/>
      <c r="N39" s="23"/>
      <c r="O39" s="194">
        <f>IF(O38+1&lt;=MIN('Données projet'!$E$9:$E$18),O38+1,"STOP")</f>
        <v>6</v>
      </c>
      <c r="P39" s="185">
        <f t="shared" si="3"/>
        <v>0</v>
      </c>
      <c r="Q39" s="234"/>
      <c r="R39" s="23"/>
      <c r="S39" s="23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</row>
    <row r="40" spans="1:56" x14ac:dyDescent="0.25">
      <c r="A40" s="180">
        <f>'Données projet'!A53</f>
        <v>0</v>
      </c>
      <c r="B40" s="181">
        <f>'Données projet'!D53</f>
        <v>0</v>
      </c>
      <c r="C40" s="193"/>
      <c r="D40" s="182">
        <f t="shared" si="2"/>
        <v>0</v>
      </c>
      <c r="E40" s="193"/>
      <c r="F40" s="233"/>
      <c r="G40" s="203"/>
      <c r="H40" s="190">
        <v>20</v>
      </c>
      <c r="I40" s="191">
        <v>60</v>
      </c>
      <c r="K40" s="208"/>
      <c r="L40" s="23"/>
      <c r="M40" s="23"/>
      <c r="N40" s="23"/>
      <c r="O40" s="194">
        <f>IF(O39+1&lt;=MIN('Données projet'!$E$9:$E$18),O39+1,"STOP")</f>
        <v>7</v>
      </c>
      <c r="P40" s="185">
        <f t="shared" si="3"/>
        <v>0</v>
      </c>
      <c r="Q40" s="234"/>
      <c r="R40" s="23"/>
      <c r="S40" s="23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</row>
    <row r="41" spans="1:56" x14ac:dyDescent="0.25">
      <c r="A41" s="180">
        <f>'Données projet'!A54</f>
        <v>0</v>
      </c>
      <c r="B41" s="181">
        <f>'Données projet'!D54</f>
        <v>0</v>
      </c>
      <c r="C41" s="193"/>
      <c r="D41" s="182">
        <f t="shared" si="2"/>
        <v>0</v>
      </c>
      <c r="E41" s="193"/>
      <c r="F41" s="233"/>
      <c r="G41" s="203"/>
      <c r="H41" s="190">
        <v>21</v>
      </c>
      <c r="I41" s="191">
        <v>60</v>
      </c>
      <c r="K41" s="208"/>
      <c r="L41" s="23"/>
      <c r="M41" s="23"/>
      <c r="N41" s="23"/>
      <c r="O41" s="194">
        <f>IF(O40+1&lt;=MIN('Données projet'!$E$9:$E$18),O40+1,"STOP")</f>
        <v>8</v>
      </c>
      <c r="P41" s="185">
        <f t="shared" si="3"/>
        <v>0</v>
      </c>
      <c r="Q41" s="234"/>
      <c r="R41" s="23"/>
      <c r="S41" s="23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</row>
    <row r="42" spans="1:56" x14ac:dyDescent="0.25">
      <c r="A42" s="180">
        <f>'Données projet'!A55</f>
        <v>0</v>
      </c>
      <c r="B42" s="181">
        <f>'Données projet'!D55</f>
        <v>0</v>
      </c>
      <c r="C42" s="193"/>
      <c r="D42" s="182">
        <f t="shared" si="2"/>
        <v>0</v>
      </c>
      <c r="E42" s="193"/>
      <c r="F42" s="233"/>
      <c r="G42" s="203"/>
      <c r="H42" s="190">
        <v>22</v>
      </c>
      <c r="I42" s="191">
        <v>60</v>
      </c>
      <c r="K42" s="208"/>
      <c r="L42" s="23"/>
      <c r="M42" s="23"/>
      <c r="N42" s="23"/>
      <c r="O42" s="194">
        <f>IF(O41+1&lt;=MIN('Données projet'!$E$9:$E$18),O41+1,"STOP")</f>
        <v>9</v>
      </c>
      <c r="P42" s="185">
        <f t="shared" si="3"/>
        <v>0</v>
      </c>
      <c r="Q42" s="234"/>
      <c r="R42" s="23"/>
      <c r="S42" s="23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</row>
    <row r="43" spans="1:56" x14ac:dyDescent="0.25">
      <c r="A43" s="187"/>
      <c r="B43" s="187"/>
      <c r="C43" s="187"/>
      <c r="D43" s="227"/>
      <c r="E43" s="227"/>
      <c r="F43" s="238"/>
      <c r="G43" s="203"/>
      <c r="H43" s="190">
        <v>23</v>
      </c>
      <c r="I43" s="191">
        <v>60</v>
      </c>
      <c r="K43" s="208"/>
      <c r="L43" s="23"/>
      <c r="M43" s="23"/>
      <c r="N43" s="23"/>
      <c r="O43" s="194">
        <f>IF(O42+1&lt;=MIN('Données projet'!$E$9:$E$18),O42+1,"STOP")</f>
        <v>10</v>
      </c>
      <c r="P43" s="185">
        <f t="shared" si="3"/>
        <v>0</v>
      </c>
      <c r="Q43" s="235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</row>
    <row r="44" spans="1:56" x14ac:dyDescent="0.25">
      <c r="A44" s="4"/>
      <c r="B44" s="4"/>
      <c r="C44" s="4"/>
      <c r="D44" s="4"/>
      <c r="E44" s="4"/>
      <c r="F44" s="230"/>
      <c r="G44" s="203"/>
      <c r="H44" s="190">
        <v>24</v>
      </c>
      <c r="I44" s="191">
        <v>60</v>
      </c>
      <c r="K44" s="208"/>
      <c r="L44" s="23"/>
      <c r="M44" s="23"/>
      <c r="N44" s="23"/>
      <c r="O44" s="194">
        <f>IF(O43+1&lt;=MIN('Données projet'!$E$9:$E$18),O43+1,"STOP")</f>
        <v>11</v>
      </c>
      <c r="P44" s="185">
        <f t="shared" si="3"/>
        <v>0</v>
      </c>
      <c r="Q44" s="235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</row>
    <row r="45" spans="1:56" x14ac:dyDescent="0.25">
      <c r="A45" s="46" t="s">
        <v>166</v>
      </c>
      <c r="B45" s="174" t="str">
        <f>IF('Données projet'!$B$10="","",'Données projet'!$B$10)</f>
        <v>Mélèze d'Europe</v>
      </c>
      <c r="C45" s="4"/>
      <c r="D45" s="4"/>
      <c r="E45" s="4"/>
      <c r="F45" s="230"/>
      <c r="G45" s="203"/>
      <c r="H45" s="190">
        <v>25</v>
      </c>
      <c r="I45" s="191">
        <v>60</v>
      </c>
      <c r="J45" s="23"/>
      <c r="K45" s="208"/>
      <c r="L45" s="23"/>
      <c r="M45" s="23"/>
      <c r="N45" s="23"/>
      <c r="O45" s="194">
        <f>IF(O44+1&lt;=MIN('Données projet'!$E$9:$E$18),O44+1,"STOP")</f>
        <v>12</v>
      </c>
      <c r="P45" s="185">
        <f t="shared" si="3"/>
        <v>0</v>
      </c>
      <c r="Q45" s="235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</row>
    <row r="46" spans="1:56" x14ac:dyDescent="0.25">
      <c r="A46" s="4"/>
      <c r="B46" s="4"/>
      <c r="C46" s="4"/>
      <c r="D46" s="4"/>
      <c r="E46" s="4"/>
      <c r="F46" s="230"/>
      <c r="G46" s="203"/>
      <c r="H46" s="190">
        <v>26</v>
      </c>
      <c r="I46" s="191">
        <v>60</v>
      </c>
      <c r="J46" s="23"/>
      <c r="K46" s="208"/>
      <c r="L46" s="204"/>
      <c r="M46" s="204"/>
      <c r="N46" s="204"/>
      <c r="O46" s="194">
        <f>IF(O45+1&lt;=MIN('Données projet'!$E$9:$E$18),O45+1,"STOP")</f>
        <v>13</v>
      </c>
      <c r="P46" s="188">
        <f t="shared" si="3"/>
        <v>0</v>
      </c>
      <c r="Q46" s="235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</row>
    <row r="47" spans="1:56" ht="19.5" customHeight="1" x14ac:dyDescent="0.25">
      <c r="A47" s="36" t="s">
        <v>180</v>
      </c>
      <c r="B47" s="48" t="s">
        <v>256</v>
      </c>
      <c r="C47" s="48" t="s">
        <v>255</v>
      </c>
      <c r="D47" s="36" t="s">
        <v>252</v>
      </c>
      <c r="E47" s="36" t="s">
        <v>320</v>
      </c>
      <c r="F47" s="231"/>
      <c r="G47" s="203"/>
      <c r="H47" s="190">
        <v>27</v>
      </c>
      <c r="I47" s="191">
        <v>60</v>
      </c>
      <c r="J47" s="23"/>
      <c r="K47" s="208"/>
      <c r="L47" s="4"/>
      <c r="M47" s="4"/>
      <c r="N47" s="4"/>
      <c r="O47" s="194">
        <f>IF(O46+1&lt;=MIN('Données projet'!$E$9:$E$18),O46+1,"STOP")</f>
        <v>14</v>
      </c>
      <c r="P47" s="185">
        <f t="shared" si="3"/>
        <v>0</v>
      </c>
      <c r="Q47" s="235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</row>
    <row r="48" spans="1:56" x14ac:dyDescent="0.25">
      <c r="A48" s="49">
        <v>0</v>
      </c>
      <c r="B48" s="199" t="s">
        <v>132</v>
      </c>
      <c r="C48" s="198" t="s">
        <v>132</v>
      </c>
      <c r="D48" s="197" t="s">
        <v>132</v>
      </c>
      <c r="E48" s="193">
        <v>2300</v>
      </c>
      <c r="F48" s="231"/>
      <c r="G48" s="203"/>
      <c r="H48" s="190">
        <v>28</v>
      </c>
      <c r="I48" s="191">
        <v>60</v>
      </c>
      <c r="J48" s="23"/>
      <c r="K48" s="208"/>
      <c r="L48" s="4"/>
      <c r="M48" s="4"/>
      <c r="N48" s="4"/>
      <c r="O48" s="194">
        <f>IF(O47+1&lt;=MIN('Données projet'!$E$9:$E$18),O47+1,"STOP")</f>
        <v>15</v>
      </c>
      <c r="P48" s="185">
        <f t="shared" si="3"/>
        <v>0</v>
      </c>
      <c r="Q48" s="235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</row>
    <row r="49" spans="1:56" s="195" customFormat="1" ht="17.25" customHeight="1" x14ac:dyDescent="0.25">
      <c r="A49" s="49">
        <v>1</v>
      </c>
      <c r="B49" s="199" t="s">
        <v>132</v>
      </c>
      <c r="C49" s="198" t="s">
        <v>132</v>
      </c>
      <c r="D49" s="197" t="s">
        <v>132</v>
      </c>
      <c r="E49" s="193"/>
      <c r="F49" s="231"/>
      <c r="G49" s="204"/>
      <c r="H49" s="190">
        <v>29</v>
      </c>
      <c r="I49" s="191">
        <v>60</v>
      </c>
      <c r="J49" s="204"/>
      <c r="K49" s="210"/>
      <c r="L49" s="4"/>
      <c r="M49" s="4"/>
      <c r="N49" s="4"/>
      <c r="O49" s="194">
        <f>IF(O48+1&lt;=MIN('Données projet'!$E$9:$E$18),O48+1,"STOP")</f>
        <v>16</v>
      </c>
      <c r="P49" s="185">
        <f t="shared" si="3"/>
        <v>0</v>
      </c>
      <c r="Q49" s="236"/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  <c r="AH49" s="187"/>
      <c r="AI49" s="187"/>
      <c r="AJ49" s="187"/>
      <c r="AK49" s="187"/>
      <c r="AL49" s="187"/>
      <c r="AM49" s="187"/>
      <c r="AN49" s="187"/>
      <c r="AO49" s="187"/>
      <c r="AP49" s="187"/>
      <c r="AQ49" s="187"/>
      <c r="AR49" s="187"/>
      <c r="AS49" s="187"/>
      <c r="AT49" s="187"/>
      <c r="AU49" s="187"/>
      <c r="AV49" s="187"/>
      <c r="AW49" s="187"/>
      <c r="AX49" s="187"/>
      <c r="AY49" s="187"/>
      <c r="AZ49" s="187"/>
      <c r="BA49" s="187"/>
      <c r="BB49" s="187"/>
      <c r="BC49" s="187"/>
      <c r="BD49" s="187"/>
    </row>
    <row r="50" spans="1:56" x14ac:dyDescent="0.25">
      <c r="A50" s="49">
        <v>2</v>
      </c>
      <c r="B50" s="199" t="s">
        <v>132</v>
      </c>
      <c r="C50" s="198" t="s">
        <v>132</v>
      </c>
      <c r="D50" s="197" t="s">
        <v>132</v>
      </c>
      <c r="E50" s="193"/>
      <c r="F50" s="231"/>
      <c r="G50" s="23"/>
      <c r="H50" s="190">
        <v>30</v>
      </c>
      <c r="I50" s="191">
        <v>60</v>
      </c>
      <c r="J50" s="23"/>
      <c r="K50" s="173"/>
      <c r="L50" s="4"/>
      <c r="M50" s="4"/>
      <c r="N50" s="4"/>
      <c r="O50" s="194">
        <f>IF(O49+1&lt;=MIN('Données projet'!$E$9:$E$18),O49+1,"STOP")</f>
        <v>17</v>
      </c>
      <c r="P50" s="185">
        <f t="shared" si="3"/>
        <v>0</v>
      </c>
      <c r="Q50" s="235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</row>
    <row r="51" spans="1:56" x14ac:dyDescent="0.25">
      <c r="A51" s="49">
        <v>3</v>
      </c>
      <c r="B51" s="199" t="s">
        <v>132</v>
      </c>
      <c r="C51" s="198" t="s">
        <v>132</v>
      </c>
      <c r="D51" s="197" t="s">
        <v>132</v>
      </c>
      <c r="E51" s="193"/>
      <c r="F51" s="231"/>
      <c r="G51" s="23"/>
      <c r="H51" s="190">
        <v>31</v>
      </c>
      <c r="I51" s="191">
        <v>60</v>
      </c>
      <c r="J51" s="23"/>
      <c r="K51" s="173"/>
      <c r="L51" s="4"/>
      <c r="M51" s="4"/>
      <c r="N51" s="4"/>
      <c r="O51" s="194">
        <f>IF(O50+1&lt;=MIN('Données projet'!$E$9:$E$18),O50+1,"STOP")</f>
        <v>18</v>
      </c>
      <c r="P51" s="185">
        <f t="shared" si="3"/>
        <v>0</v>
      </c>
      <c r="Q51" s="235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</row>
    <row r="52" spans="1:56" x14ac:dyDescent="0.25">
      <c r="A52" s="49">
        <v>4</v>
      </c>
      <c r="B52" s="199" t="s">
        <v>132</v>
      </c>
      <c r="C52" s="198" t="s">
        <v>132</v>
      </c>
      <c r="D52" s="197" t="s">
        <v>132</v>
      </c>
      <c r="E52" s="193"/>
      <c r="F52" s="231"/>
      <c r="G52" s="23"/>
      <c r="H52" s="190">
        <v>32</v>
      </c>
      <c r="I52" s="191">
        <v>60</v>
      </c>
      <c r="J52" s="23"/>
      <c r="K52" s="173"/>
      <c r="L52" s="4"/>
      <c r="M52" s="4"/>
      <c r="N52" s="4"/>
      <c r="O52" s="194">
        <f>IF(O51+1&lt;=MIN('Données projet'!$E$9:$E$18),O51+1,"STOP")</f>
        <v>19</v>
      </c>
      <c r="P52" s="185">
        <f t="shared" si="3"/>
        <v>0</v>
      </c>
      <c r="Q52" s="235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</row>
    <row r="53" spans="1:56" ht="15" customHeight="1" x14ac:dyDescent="0.25">
      <c r="A53" s="49">
        <v>5</v>
      </c>
      <c r="B53" s="199" t="s">
        <v>132</v>
      </c>
      <c r="C53" s="198" t="s">
        <v>132</v>
      </c>
      <c r="D53" s="197" t="s">
        <v>132</v>
      </c>
      <c r="E53" s="193"/>
      <c r="F53" s="231"/>
      <c r="G53" s="205"/>
      <c r="H53" s="190">
        <v>33</v>
      </c>
      <c r="I53" s="191">
        <v>60</v>
      </c>
      <c r="J53" s="23"/>
      <c r="K53" s="173"/>
      <c r="L53" s="4"/>
      <c r="M53" s="4"/>
      <c r="N53" s="4"/>
      <c r="O53" s="194">
        <f>IF(O52+1&lt;=MIN('Données projet'!$E$9:$E$18),O52+1,"STOP")</f>
        <v>20</v>
      </c>
      <c r="P53" s="185">
        <f t="shared" si="3"/>
        <v>0</v>
      </c>
      <c r="Q53" s="235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</row>
    <row r="54" spans="1:56" ht="15" customHeight="1" x14ac:dyDescent="0.25">
      <c r="A54" s="180">
        <f>'Données projet'!A62</f>
        <v>10</v>
      </c>
      <c r="B54" s="181">
        <f>'Données projet'!D62</f>
        <v>0</v>
      </c>
      <c r="C54" s="191">
        <v>25</v>
      </c>
      <c r="D54" s="179">
        <f>B54*C54</f>
        <v>0</v>
      </c>
      <c r="E54" s="193"/>
      <c r="F54" s="232"/>
      <c r="G54" s="205"/>
      <c r="H54" s="190">
        <v>34</v>
      </c>
      <c r="I54" s="191">
        <v>60</v>
      </c>
      <c r="J54" s="23"/>
      <c r="K54" s="173"/>
      <c r="L54" s="4"/>
      <c r="M54" s="4"/>
      <c r="N54" s="4"/>
      <c r="O54" s="194">
        <f>IF(O53+1&lt;=MIN('Données projet'!$E$9:$E$18),O53+1,"STOP")</f>
        <v>21</v>
      </c>
      <c r="P54" s="185">
        <f t="shared" si="3"/>
        <v>0</v>
      </c>
      <c r="Q54" s="235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</row>
    <row r="55" spans="1:56" ht="15" customHeight="1" x14ac:dyDescent="0.25">
      <c r="A55" s="180">
        <f>'Données projet'!A63</f>
        <v>20</v>
      </c>
      <c r="B55" s="181">
        <f>'Données projet'!D63</f>
        <v>60</v>
      </c>
      <c r="C55" s="191">
        <v>25</v>
      </c>
      <c r="D55" s="179">
        <f t="shared" ref="D55:D73" si="4">B55*C55</f>
        <v>1500</v>
      </c>
      <c r="E55" s="193"/>
      <c r="F55" s="232"/>
      <c r="G55" s="205"/>
      <c r="H55" s="190">
        <v>35</v>
      </c>
      <c r="I55" s="191">
        <v>60</v>
      </c>
      <c r="J55" s="23"/>
      <c r="K55" s="173"/>
      <c r="L55" s="4"/>
      <c r="M55" s="4"/>
      <c r="N55" s="4"/>
      <c r="O55" s="194">
        <f>IF(O54+1&lt;=MIN('Données projet'!$E$9:$E$18),O54+1,"STOP")</f>
        <v>22</v>
      </c>
      <c r="P55" s="185">
        <f t="shared" si="3"/>
        <v>0</v>
      </c>
      <c r="Q55" s="235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</row>
    <row r="56" spans="1:56" ht="15" customHeight="1" x14ac:dyDescent="0.25">
      <c r="A56" s="180">
        <f>'Données projet'!A64</f>
        <v>30</v>
      </c>
      <c r="B56" s="181">
        <f>'Données projet'!D64</f>
        <v>84</v>
      </c>
      <c r="C56" s="191">
        <v>25</v>
      </c>
      <c r="D56" s="179">
        <f t="shared" si="4"/>
        <v>2100</v>
      </c>
      <c r="E56" s="193"/>
      <c r="F56" s="232"/>
      <c r="G56" s="205"/>
      <c r="H56" s="190">
        <v>36</v>
      </c>
      <c r="I56" s="191">
        <v>60</v>
      </c>
      <c r="J56" s="23"/>
      <c r="K56" s="173"/>
      <c r="L56" s="4"/>
      <c r="M56" s="4"/>
      <c r="N56" s="4"/>
      <c r="O56" s="194">
        <f>IF(O55+1&lt;=MIN('Données projet'!$E$9:$E$18),O55+1,"STOP")</f>
        <v>23</v>
      </c>
      <c r="P56" s="185">
        <f t="shared" si="3"/>
        <v>0</v>
      </c>
      <c r="Q56" s="235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</row>
    <row r="57" spans="1:56" ht="15" customHeight="1" x14ac:dyDescent="0.25">
      <c r="A57" s="180">
        <f>'Données projet'!A65</f>
        <v>40</v>
      </c>
      <c r="B57" s="181">
        <f>'Données projet'!D65</f>
        <v>82</v>
      </c>
      <c r="C57" s="191">
        <v>35</v>
      </c>
      <c r="D57" s="179">
        <f t="shared" si="4"/>
        <v>2870</v>
      </c>
      <c r="E57" s="193"/>
      <c r="F57" s="232"/>
      <c r="G57" s="205"/>
      <c r="H57" s="190">
        <v>37</v>
      </c>
      <c r="I57" s="191">
        <v>60</v>
      </c>
      <c r="J57" s="23"/>
      <c r="K57" s="173"/>
      <c r="L57" s="4"/>
      <c r="M57" s="4"/>
      <c r="N57" s="4"/>
      <c r="O57" s="194">
        <f>IF(O56+1&lt;=MIN('Données projet'!$E$9:$E$18),O56+1,"STOP")</f>
        <v>24</v>
      </c>
      <c r="P57" s="185">
        <f t="shared" si="3"/>
        <v>0</v>
      </c>
      <c r="Q57" s="235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</row>
    <row r="58" spans="1:56" ht="15" customHeight="1" x14ac:dyDescent="0.25">
      <c r="A58" s="180">
        <f>'Données projet'!A66</f>
        <v>50</v>
      </c>
      <c r="B58" s="181">
        <f>'Données projet'!D66</f>
        <v>68</v>
      </c>
      <c r="C58" s="191">
        <v>45</v>
      </c>
      <c r="D58" s="179">
        <f t="shared" si="4"/>
        <v>3060</v>
      </c>
      <c r="E58" s="193"/>
      <c r="F58" s="232"/>
      <c r="G58" s="205"/>
      <c r="H58" s="190">
        <v>38</v>
      </c>
      <c r="I58" s="191">
        <v>60</v>
      </c>
      <c r="J58" s="23"/>
      <c r="K58" s="173"/>
      <c r="L58" s="4"/>
      <c r="M58" s="4"/>
      <c r="N58" s="4"/>
      <c r="O58" s="194">
        <f>IF(O57+1&lt;=MIN('Données projet'!$E$9:$E$18),O57+1,"STOP")</f>
        <v>25</v>
      </c>
      <c r="P58" s="185">
        <f t="shared" si="3"/>
        <v>0</v>
      </c>
      <c r="Q58" s="235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</row>
    <row r="59" spans="1:56" ht="15" customHeight="1" x14ac:dyDescent="0.25">
      <c r="A59" s="180">
        <f>'Données projet'!A67</f>
        <v>60</v>
      </c>
      <c r="B59" s="181">
        <f>'Données projet'!D67</f>
        <v>55</v>
      </c>
      <c r="C59" s="191">
        <v>45</v>
      </c>
      <c r="D59" s="179">
        <f t="shared" si="4"/>
        <v>2475</v>
      </c>
      <c r="E59" s="193"/>
      <c r="F59" s="232"/>
      <c r="G59" s="205"/>
      <c r="H59" s="190">
        <v>39</v>
      </c>
      <c r="I59" s="191">
        <v>60</v>
      </c>
      <c r="J59" s="23"/>
      <c r="K59" s="173"/>
      <c r="L59" s="4"/>
      <c r="M59" s="4"/>
      <c r="N59" s="4"/>
      <c r="O59" s="194">
        <f>IF(O58+1&lt;=MIN('Données projet'!$E$9:$E$18),O58+1,"STOP")</f>
        <v>26</v>
      </c>
      <c r="P59" s="185">
        <f t="shared" si="3"/>
        <v>0</v>
      </c>
      <c r="Q59" s="235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</row>
    <row r="60" spans="1:56" x14ac:dyDescent="0.25">
      <c r="A60" s="180">
        <f>'Données projet'!A68</f>
        <v>70</v>
      </c>
      <c r="B60" s="181">
        <f>'Données projet'!D68</f>
        <v>45</v>
      </c>
      <c r="C60" s="191">
        <v>60</v>
      </c>
      <c r="D60" s="179">
        <f t="shared" si="4"/>
        <v>2700</v>
      </c>
      <c r="E60" s="193"/>
      <c r="F60" s="232"/>
      <c r="G60" s="206"/>
      <c r="H60" s="190">
        <v>40</v>
      </c>
      <c r="I60" s="191">
        <v>60</v>
      </c>
      <c r="J60" s="23"/>
      <c r="K60" s="173"/>
      <c r="L60" s="4"/>
      <c r="M60" s="4"/>
      <c r="N60" s="4"/>
      <c r="O60" s="194">
        <f>IF(O59+1&lt;=MIN('Données projet'!$E$9:$E$18),O59+1,"STOP")</f>
        <v>27</v>
      </c>
      <c r="P60" s="185">
        <f t="shared" si="3"/>
        <v>0</v>
      </c>
      <c r="Q60" s="235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</row>
    <row r="61" spans="1:56" x14ac:dyDescent="0.25">
      <c r="A61" s="180">
        <f>'Données projet'!A69</f>
        <v>80</v>
      </c>
      <c r="B61" s="181">
        <f>'Données projet'!D69</f>
        <v>442</v>
      </c>
      <c r="C61" s="191"/>
      <c r="D61" s="179">
        <f t="shared" si="4"/>
        <v>0</v>
      </c>
      <c r="E61" s="193"/>
      <c r="F61" s="232"/>
      <c r="G61" s="206"/>
      <c r="H61" s="190">
        <v>41</v>
      </c>
      <c r="I61" s="191">
        <v>60</v>
      </c>
      <c r="J61" s="23"/>
      <c r="K61" s="173"/>
      <c r="L61" s="4"/>
      <c r="M61" s="4"/>
      <c r="N61" s="4"/>
      <c r="O61" s="194">
        <f>IF(O60+1&lt;=MIN('Données projet'!$E$9:$E$18),O60+1,"STOP")</f>
        <v>28</v>
      </c>
      <c r="P61" s="185">
        <f t="shared" si="3"/>
        <v>0</v>
      </c>
      <c r="Q61" s="235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</row>
    <row r="62" spans="1:56" x14ac:dyDescent="0.25">
      <c r="A62" s="180">
        <f>'Données projet'!A70</f>
        <v>0</v>
      </c>
      <c r="B62" s="181">
        <f>'Données projet'!D70</f>
        <v>0</v>
      </c>
      <c r="C62" s="191"/>
      <c r="D62" s="179">
        <f t="shared" si="4"/>
        <v>0</v>
      </c>
      <c r="E62" s="193"/>
      <c r="F62" s="232"/>
      <c r="G62" s="206"/>
      <c r="H62" s="190">
        <v>42</v>
      </c>
      <c r="I62" s="191">
        <v>60</v>
      </c>
      <c r="J62" s="23"/>
      <c r="K62" s="173"/>
      <c r="L62" s="4"/>
      <c r="M62" s="4"/>
      <c r="N62" s="4"/>
      <c r="O62" s="194">
        <f>IF(O61+1&lt;=MIN('Données projet'!$E$9:$E$18),O61+1,"STOP")</f>
        <v>29</v>
      </c>
      <c r="P62" s="185">
        <f t="shared" si="3"/>
        <v>0</v>
      </c>
      <c r="Q62" s="235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</row>
    <row r="63" spans="1:56" x14ac:dyDescent="0.25">
      <c r="A63" s="180">
        <f>'Données projet'!A71</f>
        <v>0</v>
      </c>
      <c r="B63" s="181">
        <f>'Données projet'!D71</f>
        <v>0</v>
      </c>
      <c r="C63" s="191"/>
      <c r="D63" s="179">
        <f t="shared" si="4"/>
        <v>0</v>
      </c>
      <c r="E63" s="193"/>
      <c r="F63" s="232"/>
      <c r="G63" s="206"/>
      <c r="H63" s="190">
        <v>43</v>
      </c>
      <c r="I63" s="191">
        <v>60</v>
      </c>
      <c r="J63" s="23"/>
      <c r="K63" s="173"/>
      <c r="L63" s="4"/>
      <c r="M63" s="4"/>
      <c r="N63" s="4"/>
      <c r="O63" s="194">
        <f>IF(O62+1&lt;=MIN('Données projet'!$E$9:$E$18),O62+1,"STOP")</f>
        <v>30</v>
      </c>
      <c r="P63" s="185">
        <f t="shared" si="3"/>
        <v>0</v>
      </c>
      <c r="Q63" s="235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</row>
    <row r="64" spans="1:56" x14ac:dyDescent="0.25">
      <c r="A64" s="180">
        <f>'Données projet'!A72</f>
        <v>0</v>
      </c>
      <c r="B64" s="181">
        <f>'Données projet'!D72</f>
        <v>0</v>
      </c>
      <c r="C64" s="191"/>
      <c r="D64" s="179">
        <f t="shared" si="4"/>
        <v>0</v>
      </c>
      <c r="E64" s="193"/>
      <c r="F64" s="232"/>
      <c r="G64" s="206"/>
      <c r="H64" s="190">
        <v>44</v>
      </c>
      <c r="I64" s="191">
        <v>60</v>
      </c>
      <c r="J64" s="207"/>
      <c r="K64" s="173"/>
      <c r="L64" s="4"/>
      <c r="M64" s="4"/>
      <c r="N64" s="4"/>
      <c r="O64" s="194">
        <f>IF(O63+1&lt;=MIN('Données projet'!$E$9:$E$18),O63+1,"STOP")</f>
        <v>31</v>
      </c>
      <c r="P64" s="185">
        <f t="shared" si="3"/>
        <v>0</v>
      </c>
      <c r="Q64" s="235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</row>
    <row r="65" spans="1:56" x14ac:dyDescent="0.25">
      <c r="A65" s="180">
        <f>'Données projet'!A73</f>
        <v>0</v>
      </c>
      <c r="B65" s="181">
        <f>'Données projet'!D73</f>
        <v>0</v>
      </c>
      <c r="C65" s="191"/>
      <c r="D65" s="179">
        <f t="shared" si="4"/>
        <v>0</v>
      </c>
      <c r="E65" s="193"/>
      <c r="F65" s="232"/>
      <c r="G65" s="206"/>
      <c r="H65" s="190">
        <v>45</v>
      </c>
      <c r="I65" s="191">
        <v>60</v>
      </c>
      <c r="J65" s="189"/>
      <c r="K65" s="173"/>
      <c r="L65" s="4"/>
      <c r="M65" s="4"/>
      <c r="N65" s="4"/>
      <c r="O65" s="194">
        <f>IF(O64+1&lt;=MIN('Données projet'!$E$9:$E$18),O64+1,"STOP")</f>
        <v>32</v>
      </c>
      <c r="P65" s="185">
        <f t="shared" ref="P65:P96" si="5">$P$25/(1+$M$4)^O65</f>
        <v>0</v>
      </c>
      <c r="Q65" s="235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</row>
    <row r="66" spans="1:56" x14ac:dyDescent="0.25">
      <c r="A66" s="180">
        <f>'Données projet'!A74</f>
        <v>0</v>
      </c>
      <c r="B66" s="181">
        <f>'Données projet'!D74</f>
        <v>0</v>
      </c>
      <c r="C66" s="191"/>
      <c r="D66" s="179">
        <f t="shared" si="4"/>
        <v>0</v>
      </c>
      <c r="E66" s="193"/>
      <c r="F66" s="232"/>
      <c r="G66" s="206"/>
      <c r="H66" s="190">
        <v>46</v>
      </c>
      <c r="I66" s="191">
        <v>60</v>
      </c>
      <c r="J66" s="189"/>
      <c r="K66" s="173"/>
      <c r="L66" s="4"/>
      <c r="M66" s="4"/>
      <c r="N66" s="4"/>
      <c r="O66" s="194">
        <f>IF(O65+1&lt;=MIN('Données projet'!$E$9:$E$18),O65+1,"STOP")</f>
        <v>33</v>
      </c>
      <c r="P66" s="185">
        <f t="shared" si="5"/>
        <v>0</v>
      </c>
      <c r="Q66" s="235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</row>
    <row r="67" spans="1:56" x14ac:dyDescent="0.25">
      <c r="A67" s="180">
        <f>'Données projet'!A75</f>
        <v>0</v>
      </c>
      <c r="B67" s="181">
        <f>'Données projet'!D75</f>
        <v>0</v>
      </c>
      <c r="C67" s="191"/>
      <c r="D67" s="179">
        <f t="shared" si="4"/>
        <v>0</v>
      </c>
      <c r="E67" s="193"/>
      <c r="F67" s="232"/>
      <c r="G67" s="206"/>
      <c r="H67" s="190">
        <v>47</v>
      </c>
      <c r="I67" s="191">
        <v>60</v>
      </c>
      <c r="J67" s="189"/>
      <c r="K67" s="173"/>
      <c r="L67" s="4"/>
      <c r="M67" s="4"/>
      <c r="N67" s="4"/>
      <c r="O67" s="194">
        <f>IF(O66+1&lt;=MIN('Données projet'!$E$9:$E$18),O66+1,"STOP")</f>
        <v>34</v>
      </c>
      <c r="P67" s="185">
        <f t="shared" si="5"/>
        <v>0</v>
      </c>
      <c r="Q67" s="235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</row>
    <row r="68" spans="1:56" x14ac:dyDescent="0.25">
      <c r="A68" s="180">
        <f>'Données projet'!A76</f>
        <v>0</v>
      </c>
      <c r="B68" s="181">
        <f>'Données projet'!D76</f>
        <v>0</v>
      </c>
      <c r="C68" s="191"/>
      <c r="D68" s="179">
        <f t="shared" si="4"/>
        <v>0</v>
      </c>
      <c r="E68" s="193"/>
      <c r="F68" s="232"/>
      <c r="G68" s="206"/>
      <c r="H68" s="190">
        <v>48</v>
      </c>
      <c r="I68" s="191">
        <v>60</v>
      </c>
      <c r="J68" s="189"/>
      <c r="K68" s="173"/>
      <c r="L68" s="4"/>
      <c r="M68" s="4"/>
      <c r="N68" s="4"/>
      <c r="O68" s="194">
        <f>IF(O67+1&lt;=MIN('Données projet'!$E$9:$E$18),O67+1,"STOP")</f>
        <v>35</v>
      </c>
      <c r="P68" s="185">
        <f t="shared" si="5"/>
        <v>0</v>
      </c>
      <c r="Q68" s="235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</row>
    <row r="69" spans="1:56" x14ac:dyDescent="0.25">
      <c r="A69" s="180">
        <f>'Données projet'!A77</f>
        <v>0</v>
      </c>
      <c r="B69" s="181">
        <f>'Données projet'!D77</f>
        <v>0</v>
      </c>
      <c r="C69" s="191"/>
      <c r="D69" s="179">
        <f t="shared" si="4"/>
        <v>0</v>
      </c>
      <c r="E69" s="193"/>
      <c r="F69" s="232"/>
      <c r="G69" s="206"/>
      <c r="H69" s="190">
        <v>49</v>
      </c>
      <c r="I69" s="191">
        <v>60</v>
      </c>
      <c r="J69" s="189"/>
      <c r="K69" s="173"/>
      <c r="L69" s="4"/>
      <c r="M69" s="4"/>
      <c r="N69" s="4"/>
      <c r="O69" s="194">
        <f>IF(O68+1&lt;=MIN('Données projet'!$E$9:$E$18),O68+1,"STOP")</f>
        <v>36</v>
      </c>
      <c r="P69" s="185">
        <f t="shared" si="5"/>
        <v>0</v>
      </c>
      <c r="Q69" s="235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</row>
    <row r="70" spans="1:56" x14ac:dyDescent="0.25">
      <c r="A70" s="180">
        <f>'Données projet'!A78</f>
        <v>0</v>
      </c>
      <c r="B70" s="181">
        <f>'Données projet'!D78</f>
        <v>0</v>
      </c>
      <c r="C70" s="191"/>
      <c r="D70" s="179">
        <f t="shared" si="4"/>
        <v>0</v>
      </c>
      <c r="E70" s="193"/>
      <c r="F70" s="232"/>
      <c r="G70" s="206"/>
      <c r="H70" s="190">
        <v>50</v>
      </c>
      <c r="I70" s="191">
        <v>60</v>
      </c>
      <c r="J70" s="189"/>
      <c r="K70" s="173"/>
      <c r="L70" s="4"/>
      <c r="M70" s="4"/>
      <c r="N70" s="4"/>
      <c r="O70" s="194">
        <f>IF(O69+1&lt;=MIN('Données projet'!$E$9:$E$18),O69+1,"STOP")</f>
        <v>37</v>
      </c>
      <c r="P70" s="185">
        <f t="shared" si="5"/>
        <v>0</v>
      </c>
      <c r="Q70" s="235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</row>
    <row r="71" spans="1:56" x14ac:dyDescent="0.25">
      <c r="A71" s="180">
        <f>'Données projet'!A79</f>
        <v>0</v>
      </c>
      <c r="B71" s="181">
        <f>'Données projet'!D79</f>
        <v>0</v>
      </c>
      <c r="C71" s="191"/>
      <c r="D71" s="179">
        <f t="shared" si="4"/>
        <v>0</v>
      </c>
      <c r="E71" s="193"/>
      <c r="F71" s="232"/>
      <c r="G71" s="206"/>
      <c r="H71" s="190">
        <v>51.52</v>
      </c>
      <c r="I71" s="191">
        <v>60</v>
      </c>
      <c r="J71" s="189"/>
      <c r="K71" s="173"/>
      <c r="L71" s="4"/>
      <c r="M71" s="4"/>
      <c r="N71" s="4"/>
      <c r="O71" s="194">
        <f>IF(O70+1&lt;=MIN('Données projet'!$E$9:$E$18),O70+1,"STOP")</f>
        <v>38</v>
      </c>
      <c r="P71" s="185">
        <f t="shared" si="5"/>
        <v>0</v>
      </c>
      <c r="Q71" s="235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</row>
    <row r="72" spans="1:56" x14ac:dyDescent="0.25">
      <c r="A72" s="180">
        <f>'Données projet'!A80</f>
        <v>0</v>
      </c>
      <c r="B72" s="181">
        <f>'Données projet'!D80</f>
        <v>0</v>
      </c>
      <c r="C72" s="191"/>
      <c r="D72" s="179">
        <f t="shared" si="4"/>
        <v>0</v>
      </c>
      <c r="E72" s="193"/>
      <c r="F72" s="232"/>
      <c r="G72" s="206"/>
      <c r="H72" s="190">
        <v>53</v>
      </c>
      <c r="I72" s="191">
        <v>60</v>
      </c>
      <c r="J72" s="4"/>
      <c r="K72" s="173"/>
      <c r="L72" s="4"/>
      <c r="M72" s="4"/>
      <c r="N72" s="4"/>
      <c r="O72" s="194">
        <f>IF(O71+1&lt;=MIN('Données projet'!$E$9:$E$18),O71+1,"STOP")</f>
        <v>39</v>
      </c>
      <c r="P72" s="185">
        <f t="shared" si="5"/>
        <v>0</v>
      </c>
      <c r="Q72" s="235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</row>
    <row r="73" spans="1:56" x14ac:dyDescent="0.25">
      <c r="A73" s="180">
        <f>'Données projet'!A81</f>
        <v>0</v>
      </c>
      <c r="B73" s="181">
        <f>'Données projet'!D81</f>
        <v>0</v>
      </c>
      <c r="C73" s="191"/>
      <c r="D73" s="179">
        <f t="shared" si="4"/>
        <v>0</v>
      </c>
      <c r="E73" s="193"/>
      <c r="F73" s="232"/>
      <c r="G73" s="206"/>
      <c r="H73" s="190">
        <v>54</v>
      </c>
      <c r="I73" s="191">
        <v>60</v>
      </c>
      <c r="J73" s="4"/>
      <c r="K73" s="173"/>
      <c r="L73" s="4"/>
      <c r="M73" s="4"/>
      <c r="N73" s="4"/>
      <c r="O73" s="194">
        <f>IF(O72+1&lt;=MIN('Données projet'!$E$9:$E$18),O72+1,"STOP")</f>
        <v>40</v>
      </c>
      <c r="P73" s="185">
        <f t="shared" si="5"/>
        <v>0</v>
      </c>
      <c r="Q73" s="235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</row>
    <row r="74" spans="1:56" x14ac:dyDescent="0.25">
      <c r="A74" s="4"/>
      <c r="B74" s="4"/>
      <c r="C74" s="4"/>
      <c r="D74" s="4"/>
      <c r="E74" s="4"/>
      <c r="F74" s="230"/>
      <c r="G74" s="206"/>
      <c r="H74" s="190"/>
      <c r="I74" s="191"/>
      <c r="J74" s="4"/>
      <c r="K74" s="173"/>
      <c r="L74" s="4"/>
      <c r="M74" s="4"/>
      <c r="N74" s="4"/>
      <c r="O74" s="194">
        <f>IF(O73+1&lt;=MIN('Données projet'!$E$9:$E$18),O73+1,"STOP")</f>
        <v>41</v>
      </c>
      <c r="P74" s="185">
        <f t="shared" si="5"/>
        <v>0</v>
      </c>
      <c r="Q74" s="235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</row>
    <row r="75" spans="1:56" x14ac:dyDescent="0.25">
      <c r="A75" s="4"/>
      <c r="B75" s="4"/>
      <c r="C75" s="4"/>
      <c r="D75" s="4"/>
      <c r="E75" s="4"/>
      <c r="F75" s="230"/>
      <c r="G75" s="206"/>
      <c r="H75" s="190"/>
      <c r="I75" s="191"/>
      <c r="J75" s="4"/>
      <c r="K75" s="173"/>
      <c r="L75" s="4"/>
      <c r="M75" s="4"/>
      <c r="N75" s="4"/>
      <c r="O75" s="194">
        <f>IF(O74+1&lt;=MIN('Données projet'!$E$9:$E$18),O74+1,"STOP")</f>
        <v>42</v>
      </c>
      <c r="P75" s="185">
        <f t="shared" si="5"/>
        <v>0</v>
      </c>
      <c r="Q75" s="235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</row>
    <row r="76" spans="1:56" x14ac:dyDescent="0.25">
      <c r="A76" s="46" t="s">
        <v>167</v>
      </c>
      <c r="B76" s="174" t="str">
        <f>IF('Données projet'!B11="","",'Données projet'!B11)</f>
        <v>Pin laricio</v>
      </c>
      <c r="C76" s="4"/>
      <c r="D76" s="4"/>
      <c r="E76" s="4"/>
      <c r="F76" s="230"/>
      <c r="G76" s="206"/>
      <c r="H76" s="190"/>
      <c r="I76" s="191"/>
      <c r="J76" s="4"/>
      <c r="K76" s="173"/>
      <c r="L76" s="4"/>
      <c r="M76" s="4"/>
      <c r="N76" s="4"/>
      <c r="O76" s="194">
        <f>IF(O75+1&lt;=MIN('Données projet'!$E$9:$E$18),O75+1,"STOP")</f>
        <v>43</v>
      </c>
      <c r="P76" s="185">
        <f t="shared" si="5"/>
        <v>0</v>
      </c>
      <c r="Q76" s="235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</row>
    <row r="77" spans="1:56" x14ac:dyDescent="0.25">
      <c r="A77" s="4"/>
      <c r="B77" s="4"/>
      <c r="C77" s="4"/>
      <c r="D77" s="4"/>
      <c r="E77" s="4"/>
      <c r="F77" s="230"/>
      <c r="G77" s="206"/>
      <c r="H77" s="190"/>
      <c r="I77" s="191"/>
      <c r="J77" s="4"/>
      <c r="K77" s="173"/>
      <c r="L77" s="4"/>
      <c r="M77" s="4"/>
      <c r="N77" s="4"/>
      <c r="O77" s="194">
        <f>IF(O76+1&lt;=MIN('Données projet'!$E$9:$E$18),O76+1,"STOP")</f>
        <v>44</v>
      </c>
      <c r="P77" s="185">
        <f t="shared" si="5"/>
        <v>0</v>
      </c>
      <c r="Q77" s="235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</row>
    <row r="78" spans="1:56" x14ac:dyDescent="0.25">
      <c r="A78" s="36" t="s">
        <v>180</v>
      </c>
      <c r="B78" s="48" t="s">
        <v>256</v>
      </c>
      <c r="C78" s="48" t="s">
        <v>255</v>
      </c>
      <c r="D78" s="36" t="s">
        <v>252</v>
      </c>
      <c r="E78" s="36" t="s">
        <v>320</v>
      </c>
      <c r="F78" s="231"/>
      <c r="G78" s="206"/>
      <c r="H78" s="190"/>
      <c r="I78" s="191"/>
      <c r="J78" s="4"/>
      <c r="K78" s="173"/>
      <c r="L78" s="4"/>
      <c r="M78" s="4"/>
      <c r="N78" s="4"/>
      <c r="O78" s="194">
        <f>IF(O77+1&lt;=MIN('Données projet'!$E$9:$E$18),O77+1,"STOP")</f>
        <v>45</v>
      </c>
      <c r="P78" s="185">
        <f t="shared" si="5"/>
        <v>0</v>
      </c>
      <c r="Q78" s="235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</row>
    <row r="79" spans="1:56" x14ac:dyDescent="0.25">
      <c r="A79" s="49">
        <v>0</v>
      </c>
      <c r="B79" s="199" t="s">
        <v>132</v>
      </c>
      <c r="C79" s="198" t="s">
        <v>132</v>
      </c>
      <c r="D79" s="197" t="s">
        <v>132</v>
      </c>
      <c r="E79" s="193">
        <v>2300</v>
      </c>
      <c r="F79" s="231"/>
      <c r="G79" s="206"/>
      <c r="H79" s="190"/>
      <c r="I79" s="191"/>
      <c r="J79" s="4"/>
      <c r="K79" s="173"/>
      <c r="L79" s="4"/>
      <c r="M79" s="4"/>
      <c r="N79" s="4"/>
      <c r="O79" s="194">
        <f>IF(O78+1&lt;=MIN('Données projet'!$E$9:$E$18),O78+1,"STOP")</f>
        <v>46</v>
      </c>
      <c r="P79" s="185">
        <f t="shared" si="5"/>
        <v>0</v>
      </c>
      <c r="Q79" s="235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</row>
    <row r="80" spans="1:56" x14ac:dyDescent="0.25">
      <c r="A80" s="49">
        <v>1</v>
      </c>
      <c r="B80" s="199" t="s">
        <v>132</v>
      </c>
      <c r="C80" s="198" t="s">
        <v>132</v>
      </c>
      <c r="D80" s="197" t="s">
        <v>132</v>
      </c>
      <c r="E80" s="193"/>
      <c r="F80" s="231"/>
      <c r="G80" s="23"/>
      <c r="H80" s="190"/>
      <c r="I80" s="191"/>
      <c r="J80" s="4"/>
      <c r="K80" s="173"/>
      <c r="L80" s="4"/>
      <c r="M80" s="4"/>
      <c r="N80" s="4"/>
      <c r="O80" s="194">
        <f>IF(O79+1&lt;=MIN('Données projet'!$E$9:$E$18),O79+1,"STOP")</f>
        <v>47</v>
      </c>
      <c r="P80" s="185">
        <f t="shared" si="5"/>
        <v>0</v>
      </c>
      <c r="Q80" s="235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</row>
    <row r="81" spans="1:56" x14ac:dyDescent="0.25">
      <c r="A81" s="49">
        <v>2</v>
      </c>
      <c r="B81" s="199" t="s">
        <v>132</v>
      </c>
      <c r="C81" s="198" t="s">
        <v>132</v>
      </c>
      <c r="D81" s="197" t="s">
        <v>132</v>
      </c>
      <c r="E81" s="193"/>
      <c r="F81" s="231"/>
      <c r="G81" s="23"/>
      <c r="H81" s="190"/>
      <c r="I81" s="191"/>
      <c r="J81" s="4"/>
      <c r="K81" s="173"/>
      <c r="L81" s="4"/>
      <c r="M81" s="4"/>
      <c r="N81" s="4"/>
      <c r="O81" s="194">
        <f>IF(O80+1&lt;=MIN('Données projet'!$E$9:$E$18),O80+1,"STOP")</f>
        <v>48</v>
      </c>
      <c r="P81" s="185">
        <f t="shared" si="5"/>
        <v>0</v>
      </c>
      <c r="Q81" s="235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</row>
    <row r="82" spans="1:56" x14ac:dyDescent="0.25">
      <c r="A82" s="49">
        <v>3</v>
      </c>
      <c r="B82" s="199" t="s">
        <v>132</v>
      </c>
      <c r="C82" s="198" t="s">
        <v>132</v>
      </c>
      <c r="D82" s="197" t="s">
        <v>132</v>
      </c>
      <c r="E82" s="193"/>
      <c r="F82" s="231"/>
      <c r="G82" s="23"/>
      <c r="H82" s="190"/>
      <c r="I82" s="191"/>
      <c r="J82" s="4"/>
      <c r="K82" s="173"/>
      <c r="L82" s="4"/>
      <c r="M82" s="4"/>
      <c r="N82" s="4"/>
      <c r="O82" s="194">
        <f>IF(O81+1&lt;=MIN('Données projet'!$E$9:$E$18),O81+1,"STOP")</f>
        <v>49</v>
      </c>
      <c r="P82" s="185">
        <f t="shared" si="5"/>
        <v>0</v>
      </c>
      <c r="Q82" s="235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</row>
    <row r="83" spans="1:56" x14ac:dyDescent="0.25">
      <c r="A83" s="49">
        <v>4</v>
      </c>
      <c r="B83" s="199" t="s">
        <v>132</v>
      </c>
      <c r="C83" s="198" t="s">
        <v>132</v>
      </c>
      <c r="D83" s="197" t="s">
        <v>132</v>
      </c>
      <c r="E83" s="193"/>
      <c r="F83" s="231"/>
      <c r="G83" s="23"/>
      <c r="H83" s="190"/>
      <c r="I83" s="191"/>
      <c r="J83" s="4"/>
      <c r="K83" s="173"/>
      <c r="L83" s="4"/>
      <c r="M83" s="4"/>
      <c r="N83" s="4"/>
      <c r="O83" s="194">
        <f>IF(O82+1&lt;=MIN('Données projet'!$E$9:$E$18),O82+1,"STOP")</f>
        <v>50</v>
      </c>
      <c r="P83" s="185">
        <f t="shared" si="5"/>
        <v>0</v>
      </c>
      <c r="Q83" s="235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</row>
    <row r="84" spans="1:56" ht="16.5" customHeight="1" x14ac:dyDescent="0.25">
      <c r="A84" s="49">
        <v>5</v>
      </c>
      <c r="B84" s="199" t="s">
        <v>132</v>
      </c>
      <c r="C84" s="198" t="s">
        <v>132</v>
      </c>
      <c r="D84" s="197" t="s">
        <v>132</v>
      </c>
      <c r="E84" s="193"/>
      <c r="F84" s="231"/>
      <c r="G84" s="205"/>
      <c r="H84" s="190"/>
      <c r="I84" s="191"/>
      <c r="J84" s="4"/>
      <c r="K84" s="173"/>
      <c r="L84" s="4"/>
      <c r="M84" s="4"/>
      <c r="N84" s="4"/>
      <c r="O84" s="194">
        <f>IF(O83+1&lt;=MIN('Données projet'!$E$9:$E$18),O83+1,"STOP")</f>
        <v>51</v>
      </c>
      <c r="P84" s="185">
        <f t="shared" si="5"/>
        <v>0</v>
      </c>
      <c r="Q84" s="235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</row>
    <row r="85" spans="1:56" ht="16.5" customHeight="1" x14ac:dyDescent="0.25">
      <c r="A85" s="180">
        <f>'Données projet'!A88</f>
        <v>20</v>
      </c>
      <c r="B85" s="181">
        <f>'Données projet'!D88</f>
        <v>29</v>
      </c>
      <c r="C85" s="191">
        <v>10</v>
      </c>
      <c r="D85" s="179">
        <f>B85*C85</f>
        <v>290</v>
      </c>
      <c r="E85" s="193"/>
      <c r="F85" s="232"/>
      <c r="G85" s="205"/>
      <c r="H85" s="190"/>
      <c r="I85" s="191"/>
      <c r="J85" s="4"/>
      <c r="K85" s="173"/>
      <c r="L85" s="4"/>
      <c r="M85" s="4"/>
      <c r="N85" s="4"/>
      <c r="O85" s="194">
        <f>IF(O84+1&lt;=MIN('Données projet'!$E$9:$E$18),O84+1,"STOP")</f>
        <v>52</v>
      </c>
      <c r="P85" s="185">
        <f t="shared" si="5"/>
        <v>0</v>
      </c>
      <c r="Q85" s="235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</row>
    <row r="86" spans="1:56" ht="16.5" customHeight="1" x14ac:dyDescent="0.25">
      <c r="A86" s="180">
        <f>'Données projet'!A89</f>
        <v>30</v>
      </c>
      <c r="B86" s="181">
        <f>'Données projet'!D89</f>
        <v>71</v>
      </c>
      <c r="C86" s="191">
        <v>10</v>
      </c>
      <c r="D86" s="179">
        <f t="shared" ref="D86:D104" si="6">B86*C86</f>
        <v>710</v>
      </c>
      <c r="E86" s="193"/>
      <c r="F86" s="232"/>
      <c r="G86" s="205"/>
      <c r="H86" s="190"/>
      <c r="I86" s="191"/>
      <c r="J86" s="4"/>
      <c r="K86" s="173"/>
      <c r="L86" s="4"/>
      <c r="M86" s="4"/>
      <c r="N86" s="4"/>
      <c r="O86" s="194">
        <f>IF(O85+1&lt;=MIN('Données projet'!$E$9:$E$18),O85+1,"STOP")</f>
        <v>53</v>
      </c>
      <c r="P86" s="185">
        <f t="shared" si="5"/>
        <v>0</v>
      </c>
      <c r="Q86" s="235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</row>
    <row r="87" spans="1:56" ht="16.5" customHeight="1" x14ac:dyDescent="0.25">
      <c r="A87" s="180">
        <f>'Données projet'!A90</f>
        <v>40</v>
      </c>
      <c r="B87" s="181">
        <f>'Données projet'!D90</f>
        <v>95</v>
      </c>
      <c r="C87" s="191">
        <v>10</v>
      </c>
      <c r="D87" s="179">
        <f t="shared" si="6"/>
        <v>950</v>
      </c>
      <c r="E87" s="193"/>
      <c r="F87" s="232"/>
      <c r="G87" s="205"/>
      <c r="H87" s="190"/>
      <c r="I87" s="191"/>
      <c r="J87" s="4"/>
      <c r="K87" s="173"/>
      <c r="L87" s="4"/>
      <c r="M87" s="4"/>
      <c r="N87" s="4"/>
      <c r="O87" s="194">
        <f>IF(O86+1&lt;=MIN('Données projet'!$E$9:$E$18),O86+1,"STOP")</f>
        <v>54</v>
      </c>
      <c r="P87" s="185">
        <f t="shared" si="5"/>
        <v>0</v>
      </c>
      <c r="Q87" s="235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</row>
    <row r="88" spans="1:56" ht="16.5" customHeight="1" x14ac:dyDescent="0.25">
      <c r="A88" s="180">
        <f>'Données projet'!A91</f>
        <v>50</v>
      </c>
      <c r="B88" s="181">
        <f>'Données projet'!D91</f>
        <v>107</v>
      </c>
      <c r="C88" s="191">
        <v>10</v>
      </c>
      <c r="D88" s="179">
        <f t="shared" si="6"/>
        <v>1070</v>
      </c>
      <c r="E88" s="193"/>
      <c r="F88" s="232"/>
      <c r="G88" s="205"/>
      <c r="H88" s="190"/>
      <c r="I88" s="191"/>
      <c r="J88" s="4"/>
      <c r="K88" s="173"/>
      <c r="L88" s="4"/>
      <c r="M88" s="4"/>
      <c r="N88" s="4"/>
      <c r="O88" s="194" t="str">
        <f>IF(O87+1&lt;=MIN('Données projet'!$E$9:$E$18),O87+1,"STOP")</f>
        <v>STOP</v>
      </c>
      <c r="P88" s="185" t="e">
        <f t="shared" si="5"/>
        <v>#VALUE!</v>
      </c>
      <c r="Q88" s="235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</row>
    <row r="89" spans="1:56" ht="16.5" customHeight="1" x14ac:dyDescent="0.25">
      <c r="A89" s="180">
        <f>'Données projet'!A92</f>
        <v>60</v>
      </c>
      <c r="B89" s="181">
        <f>'Données projet'!D92</f>
        <v>108</v>
      </c>
      <c r="C89" s="191">
        <v>10</v>
      </c>
      <c r="D89" s="179">
        <f t="shared" si="6"/>
        <v>1080</v>
      </c>
      <c r="E89" s="193"/>
      <c r="F89" s="232"/>
      <c r="G89" s="205"/>
      <c r="H89" s="190"/>
      <c r="I89" s="191"/>
      <c r="J89" s="4"/>
      <c r="K89" s="173"/>
      <c r="L89" s="4"/>
      <c r="M89" s="4"/>
      <c r="N89" s="4"/>
      <c r="O89" s="194" t="e">
        <f>IF(O88+1&lt;=MIN('Données projet'!$E$9:$E$18),O88+1,"STOP")</f>
        <v>#VALUE!</v>
      </c>
      <c r="P89" s="185" t="e">
        <f t="shared" si="5"/>
        <v>#VALUE!</v>
      </c>
      <c r="Q89" s="235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</row>
    <row r="90" spans="1:56" ht="16.5" customHeight="1" x14ac:dyDescent="0.25">
      <c r="A90" s="180">
        <f>'Données projet'!A93</f>
        <v>70</v>
      </c>
      <c r="B90" s="181">
        <f>'Données projet'!D93</f>
        <v>103</v>
      </c>
      <c r="C90" s="191">
        <v>15</v>
      </c>
      <c r="D90" s="179">
        <f t="shared" si="6"/>
        <v>1545</v>
      </c>
      <c r="E90" s="193"/>
      <c r="F90" s="232"/>
      <c r="G90" s="205"/>
      <c r="H90" s="190"/>
      <c r="I90" s="191"/>
      <c r="J90" s="4"/>
      <c r="K90" s="173"/>
      <c r="L90" s="4"/>
      <c r="M90" s="4"/>
      <c r="N90" s="4"/>
      <c r="O90" s="194" t="e">
        <f>IF(O89+1&lt;=MIN('Données projet'!$E$9:$E$18),O89+1,"STOP")</f>
        <v>#VALUE!</v>
      </c>
      <c r="P90" s="185" t="e">
        <f t="shared" si="5"/>
        <v>#VALUE!</v>
      </c>
      <c r="Q90" s="235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</row>
    <row r="91" spans="1:56" x14ac:dyDescent="0.25">
      <c r="A91" s="180">
        <f>'Données projet'!A94</f>
        <v>80</v>
      </c>
      <c r="B91" s="181">
        <f>'Données projet'!D94</f>
        <v>94</v>
      </c>
      <c r="C91" s="191">
        <v>20</v>
      </c>
      <c r="D91" s="179">
        <f t="shared" si="6"/>
        <v>1880</v>
      </c>
      <c r="E91" s="193"/>
      <c r="F91" s="232"/>
      <c r="G91" s="206"/>
      <c r="H91" s="190"/>
      <c r="I91" s="191"/>
      <c r="J91" s="4"/>
      <c r="K91" s="173"/>
      <c r="L91" s="4"/>
      <c r="M91" s="4"/>
      <c r="N91" s="4"/>
      <c r="O91" s="194" t="e">
        <f>IF(O90+1&lt;=MIN('Données projet'!$E$9:$E$18),O90+1,"STOP")</f>
        <v>#VALUE!</v>
      </c>
      <c r="P91" s="185" t="e">
        <f t="shared" si="5"/>
        <v>#VALUE!</v>
      </c>
      <c r="Q91" s="235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</row>
    <row r="92" spans="1:56" x14ac:dyDescent="0.25">
      <c r="A92" s="180">
        <f>'Données projet'!A95</f>
        <v>90</v>
      </c>
      <c r="B92" s="181">
        <f>'Données projet'!D95</f>
        <v>83</v>
      </c>
      <c r="C92" s="191">
        <v>30</v>
      </c>
      <c r="D92" s="179">
        <f t="shared" si="6"/>
        <v>2490</v>
      </c>
      <c r="E92" s="193"/>
      <c r="F92" s="232"/>
      <c r="G92" s="206"/>
      <c r="H92" s="190"/>
      <c r="I92" s="191"/>
      <c r="J92" s="4"/>
      <c r="K92" s="173"/>
      <c r="L92" s="4"/>
      <c r="M92" s="4"/>
      <c r="N92" s="4"/>
      <c r="O92" s="194" t="e">
        <f>IF(O91+1&lt;=MIN('Données projet'!$E$9:$E$18),O91+1,"STOP")</f>
        <v>#VALUE!</v>
      </c>
      <c r="P92" s="185" t="e">
        <f t="shared" si="5"/>
        <v>#VALUE!</v>
      </c>
      <c r="Q92" s="235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</row>
    <row r="93" spans="1:56" x14ac:dyDescent="0.25">
      <c r="A93" s="180">
        <f>'Données projet'!A96</f>
        <v>0</v>
      </c>
      <c r="B93" s="181">
        <f>'Données projet'!D96</f>
        <v>0</v>
      </c>
      <c r="C93" s="191"/>
      <c r="D93" s="179">
        <f t="shared" si="6"/>
        <v>0</v>
      </c>
      <c r="E93" s="193"/>
      <c r="F93" s="232"/>
      <c r="G93" s="206"/>
      <c r="H93" s="190"/>
      <c r="I93" s="191"/>
      <c r="J93" s="4"/>
      <c r="K93" s="173"/>
      <c r="L93" s="4"/>
      <c r="M93" s="4"/>
      <c r="N93" s="4"/>
      <c r="O93" s="194" t="e">
        <f>IF(O92+1&lt;=MIN('Données projet'!$E$9:$E$18),O92+1,"STOP")</f>
        <v>#VALUE!</v>
      </c>
      <c r="P93" s="185" t="e">
        <f t="shared" si="5"/>
        <v>#VALUE!</v>
      </c>
      <c r="Q93" s="235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</row>
    <row r="94" spans="1:56" x14ac:dyDescent="0.25">
      <c r="A94" s="180">
        <f>'Données projet'!A97</f>
        <v>0</v>
      </c>
      <c r="B94" s="181">
        <f>'Données projet'!D97</f>
        <v>0</v>
      </c>
      <c r="C94" s="191"/>
      <c r="D94" s="179">
        <f t="shared" si="6"/>
        <v>0</v>
      </c>
      <c r="E94" s="193"/>
      <c r="F94" s="232"/>
      <c r="G94" s="206"/>
      <c r="H94" s="190"/>
      <c r="I94" s="191"/>
      <c r="J94" s="4"/>
      <c r="K94" s="173"/>
      <c r="L94" s="4"/>
      <c r="M94" s="4"/>
      <c r="N94" s="4"/>
      <c r="O94" s="194" t="e">
        <f>IF(O93+1&lt;=MIN('Données projet'!$E$9:$E$18),O93+1,"STOP")</f>
        <v>#VALUE!</v>
      </c>
      <c r="P94" s="185" t="e">
        <f t="shared" si="5"/>
        <v>#VALUE!</v>
      </c>
      <c r="Q94" s="235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</row>
    <row r="95" spans="1:56" x14ac:dyDescent="0.25">
      <c r="A95" s="180">
        <f>'Données projet'!A98</f>
        <v>0</v>
      </c>
      <c r="B95" s="181">
        <f>'Données projet'!D98</f>
        <v>0</v>
      </c>
      <c r="C95" s="191"/>
      <c r="D95" s="179">
        <f t="shared" si="6"/>
        <v>0</v>
      </c>
      <c r="E95" s="193"/>
      <c r="F95" s="232"/>
      <c r="G95" s="206"/>
      <c r="H95" s="190"/>
      <c r="I95" s="191"/>
      <c r="J95" s="4"/>
      <c r="K95" s="173"/>
      <c r="L95" s="4"/>
      <c r="M95" s="4"/>
      <c r="N95" s="4"/>
      <c r="O95" s="194" t="e">
        <f>IF(O94+1&lt;=MIN('Données projet'!$E$9:$E$18),O94+1,"STOP")</f>
        <v>#VALUE!</v>
      </c>
      <c r="P95" s="185" t="e">
        <f t="shared" si="5"/>
        <v>#VALUE!</v>
      </c>
      <c r="Q95" s="235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</row>
    <row r="96" spans="1:56" x14ac:dyDescent="0.25">
      <c r="A96" s="180">
        <f>'Données projet'!A99</f>
        <v>0</v>
      </c>
      <c r="B96" s="181">
        <f>'Données projet'!D99</f>
        <v>0</v>
      </c>
      <c r="C96" s="191"/>
      <c r="D96" s="179">
        <f t="shared" si="6"/>
        <v>0</v>
      </c>
      <c r="E96" s="193"/>
      <c r="F96" s="232"/>
      <c r="G96" s="206"/>
      <c r="H96" s="190"/>
      <c r="I96" s="191"/>
      <c r="J96" s="4"/>
      <c r="K96" s="173"/>
      <c r="L96" s="4"/>
      <c r="M96" s="4"/>
      <c r="N96" s="4"/>
      <c r="O96" s="194" t="e">
        <f>IF(O95+1&lt;=MIN('Données projet'!$E$9:$E$18),O95+1,"STOP")</f>
        <v>#VALUE!</v>
      </c>
      <c r="P96" s="185" t="e">
        <f t="shared" si="5"/>
        <v>#VALUE!</v>
      </c>
      <c r="Q96" s="235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</row>
    <row r="97" spans="1:56" x14ac:dyDescent="0.25">
      <c r="A97" s="180">
        <f>'Données projet'!A100</f>
        <v>0</v>
      </c>
      <c r="B97" s="181">
        <f>'Données projet'!D100</f>
        <v>0</v>
      </c>
      <c r="C97" s="191"/>
      <c r="D97" s="179">
        <f t="shared" si="6"/>
        <v>0</v>
      </c>
      <c r="E97" s="193"/>
      <c r="F97" s="232"/>
      <c r="G97" s="206"/>
      <c r="H97" s="190"/>
      <c r="I97" s="191"/>
      <c r="J97" s="4"/>
      <c r="K97" s="173"/>
      <c r="L97" s="4"/>
      <c r="M97" s="4"/>
      <c r="N97" s="4"/>
      <c r="O97" s="194" t="e">
        <f>IF(O96+1&lt;=MIN('Données projet'!$E$9:$E$18),O96+1,"STOP")</f>
        <v>#VALUE!</v>
      </c>
      <c r="P97" s="185" t="e">
        <f t="shared" ref="P97:P128" si="7">$P$25/(1+$M$4)^O97</f>
        <v>#VALUE!</v>
      </c>
      <c r="Q97" s="235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</row>
    <row r="98" spans="1:56" x14ac:dyDescent="0.25">
      <c r="A98" s="180">
        <f>'Données projet'!A101</f>
        <v>0</v>
      </c>
      <c r="B98" s="181">
        <f>'Données projet'!D101</f>
        <v>0</v>
      </c>
      <c r="C98" s="191"/>
      <c r="D98" s="179">
        <f t="shared" si="6"/>
        <v>0</v>
      </c>
      <c r="E98" s="193"/>
      <c r="F98" s="232"/>
      <c r="G98" s="206"/>
      <c r="H98" s="190"/>
      <c r="I98" s="191"/>
      <c r="J98" s="4"/>
      <c r="K98" s="173"/>
      <c r="L98" s="4"/>
      <c r="M98" s="4"/>
      <c r="N98" s="4"/>
      <c r="O98" s="194" t="e">
        <f>IF(O97+1&lt;=MIN('Données projet'!$E$9:$E$18),O97+1,"STOP")</f>
        <v>#VALUE!</v>
      </c>
      <c r="P98" s="185" t="e">
        <f t="shared" si="7"/>
        <v>#VALUE!</v>
      </c>
      <c r="Q98" s="235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</row>
    <row r="99" spans="1:56" x14ac:dyDescent="0.25">
      <c r="A99" s="180">
        <f>'Données projet'!A102</f>
        <v>0</v>
      </c>
      <c r="B99" s="181">
        <f>'Données projet'!D102</f>
        <v>0</v>
      </c>
      <c r="C99" s="191"/>
      <c r="D99" s="179">
        <f t="shared" si="6"/>
        <v>0</v>
      </c>
      <c r="E99" s="193"/>
      <c r="F99" s="232"/>
      <c r="G99" s="206"/>
      <c r="H99" s="190"/>
      <c r="I99" s="191"/>
      <c r="J99" s="4"/>
      <c r="K99" s="173"/>
      <c r="L99" s="4"/>
      <c r="M99" s="4"/>
      <c r="N99" s="4"/>
      <c r="O99" s="194" t="e">
        <f>IF(O98+1&lt;=MIN('Données projet'!$E$9:$E$18),O98+1,"STOP")</f>
        <v>#VALUE!</v>
      </c>
      <c r="P99" s="185" t="e">
        <f t="shared" si="7"/>
        <v>#VALUE!</v>
      </c>
      <c r="Q99" s="235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</row>
    <row r="100" spans="1:56" x14ac:dyDescent="0.25">
      <c r="A100" s="180">
        <f>'Données projet'!A103</f>
        <v>0</v>
      </c>
      <c r="B100" s="181">
        <f>'Données projet'!D103</f>
        <v>0</v>
      </c>
      <c r="C100" s="191"/>
      <c r="D100" s="179">
        <f t="shared" si="6"/>
        <v>0</v>
      </c>
      <c r="E100" s="193"/>
      <c r="F100" s="232"/>
      <c r="G100" s="206"/>
      <c r="H100" s="190"/>
      <c r="I100" s="191"/>
      <c r="J100" s="4"/>
      <c r="K100" s="173"/>
      <c r="L100" s="4"/>
      <c r="M100" s="4"/>
      <c r="N100" s="4"/>
      <c r="O100" s="194" t="e">
        <f>IF(O99+1&lt;=MIN('Données projet'!$E$9:$E$18),O99+1,"STOP")</f>
        <v>#VALUE!</v>
      </c>
      <c r="P100" s="185" t="e">
        <f t="shared" si="7"/>
        <v>#VALUE!</v>
      </c>
      <c r="Q100" s="235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</row>
    <row r="101" spans="1:56" x14ac:dyDescent="0.25">
      <c r="A101" s="180">
        <f>'Données projet'!A104</f>
        <v>0</v>
      </c>
      <c r="B101" s="181">
        <f>'Données projet'!D104</f>
        <v>0</v>
      </c>
      <c r="C101" s="191"/>
      <c r="D101" s="179">
        <f t="shared" si="6"/>
        <v>0</v>
      </c>
      <c r="E101" s="193"/>
      <c r="F101" s="232"/>
      <c r="G101" s="206"/>
      <c r="H101" s="190"/>
      <c r="I101" s="191"/>
      <c r="J101" s="4"/>
      <c r="K101" s="173"/>
      <c r="L101" s="4"/>
      <c r="M101" s="4"/>
      <c r="N101" s="4"/>
      <c r="O101" s="194" t="e">
        <f>IF(O100+1&lt;=MIN('Données projet'!$E$9:$E$18),O100+1,"STOP")</f>
        <v>#VALUE!</v>
      </c>
      <c r="P101" s="185" t="e">
        <f t="shared" si="7"/>
        <v>#VALUE!</v>
      </c>
      <c r="Q101" s="235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</row>
    <row r="102" spans="1:56" x14ac:dyDescent="0.25">
      <c r="A102" s="180">
        <f>'Données projet'!A105</f>
        <v>0</v>
      </c>
      <c r="B102" s="181">
        <f>'Données projet'!D105</f>
        <v>0</v>
      </c>
      <c r="C102" s="191"/>
      <c r="D102" s="179">
        <f t="shared" si="6"/>
        <v>0</v>
      </c>
      <c r="E102" s="193"/>
      <c r="F102" s="232"/>
      <c r="G102" s="206"/>
      <c r="H102" s="190"/>
      <c r="I102" s="191"/>
      <c r="J102" s="4"/>
      <c r="K102" s="173"/>
      <c r="L102" s="4"/>
      <c r="M102" s="4"/>
      <c r="N102" s="4"/>
      <c r="O102" s="194" t="e">
        <f>IF(O101+1&lt;=MIN('Données projet'!$E$9:$E$18),O101+1,"STOP")</f>
        <v>#VALUE!</v>
      </c>
      <c r="P102" s="185" t="e">
        <f t="shared" si="7"/>
        <v>#VALUE!</v>
      </c>
      <c r="Q102" s="235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</row>
    <row r="103" spans="1:56" x14ac:dyDescent="0.25">
      <c r="A103" s="180">
        <f>'Données projet'!A106</f>
        <v>0</v>
      </c>
      <c r="B103" s="181">
        <f>'Données projet'!D106</f>
        <v>0</v>
      </c>
      <c r="C103" s="191"/>
      <c r="D103" s="179">
        <f t="shared" si="6"/>
        <v>0</v>
      </c>
      <c r="E103" s="193"/>
      <c r="F103" s="232"/>
      <c r="G103" s="206"/>
      <c r="H103" s="190"/>
      <c r="I103" s="191"/>
      <c r="J103" s="4"/>
      <c r="K103" s="173"/>
      <c r="L103" s="4"/>
      <c r="M103" s="4"/>
      <c r="N103" s="4"/>
      <c r="O103" s="194" t="e">
        <f>IF(O102+1&lt;=MIN('Données projet'!$E$9:$E$18),O102+1,"STOP")</f>
        <v>#VALUE!</v>
      </c>
      <c r="P103" s="185" t="e">
        <f t="shared" si="7"/>
        <v>#VALUE!</v>
      </c>
      <c r="Q103" s="235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</row>
    <row r="104" spans="1:56" x14ac:dyDescent="0.25">
      <c r="A104" s="180">
        <f>'Données projet'!A107</f>
        <v>0</v>
      </c>
      <c r="B104" s="181">
        <f>'Données projet'!D107</f>
        <v>0</v>
      </c>
      <c r="C104" s="191"/>
      <c r="D104" s="179">
        <f t="shared" si="6"/>
        <v>0</v>
      </c>
      <c r="E104" s="193"/>
      <c r="F104" s="232"/>
      <c r="G104" s="206"/>
      <c r="H104" s="190"/>
      <c r="I104" s="191"/>
      <c r="J104" s="4"/>
      <c r="K104" s="173"/>
      <c r="L104" s="4"/>
      <c r="M104" s="4"/>
      <c r="N104" s="4"/>
      <c r="O104" s="194" t="e">
        <f>IF(O103+1&lt;=MIN('Données projet'!$E$9:$E$18),O103+1,"STOP")</f>
        <v>#VALUE!</v>
      </c>
      <c r="P104" s="185" t="e">
        <f t="shared" si="7"/>
        <v>#VALUE!</v>
      </c>
      <c r="Q104" s="235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</row>
    <row r="105" spans="1:56" x14ac:dyDescent="0.25">
      <c r="A105" s="4"/>
      <c r="B105" s="4"/>
      <c r="C105" s="4"/>
      <c r="D105" s="4"/>
      <c r="E105" s="4"/>
      <c r="F105" s="230"/>
      <c r="G105" s="206"/>
      <c r="H105" s="190"/>
      <c r="I105" s="191"/>
      <c r="J105" s="4"/>
      <c r="K105" s="173"/>
      <c r="L105" s="4"/>
      <c r="M105" s="4"/>
      <c r="N105" s="4"/>
      <c r="O105" s="194" t="e">
        <f>IF(O104+1&lt;=MIN('Données projet'!$E$9:$E$18),O104+1,"STOP")</f>
        <v>#VALUE!</v>
      </c>
      <c r="P105" s="185" t="e">
        <f t="shared" si="7"/>
        <v>#VALUE!</v>
      </c>
      <c r="Q105" s="235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</row>
    <row r="106" spans="1:56" x14ac:dyDescent="0.25">
      <c r="A106" s="4"/>
      <c r="B106" s="4"/>
      <c r="C106" s="4"/>
      <c r="D106" s="4"/>
      <c r="E106" s="4"/>
      <c r="F106" s="230"/>
      <c r="G106" s="206"/>
      <c r="H106" s="190"/>
      <c r="I106" s="191"/>
      <c r="J106" s="4"/>
      <c r="K106" s="173"/>
      <c r="L106" s="4"/>
      <c r="M106" s="4"/>
      <c r="N106" s="4"/>
      <c r="O106" s="194" t="e">
        <f>IF(O105+1&lt;=MIN('Données projet'!$E$9:$E$18),O105+1,"STOP")</f>
        <v>#VALUE!</v>
      </c>
      <c r="P106" s="185" t="e">
        <f t="shared" si="7"/>
        <v>#VALUE!</v>
      </c>
      <c r="Q106" s="235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</row>
    <row r="107" spans="1:56" x14ac:dyDescent="0.25">
      <c r="A107" s="46" t="s">
        <v>168</v>
      </c>
      <c r="B107" s="174" t="str">
        <f>IF('Données projet'!B12="","",'Données projet'!B12)</f>
        <v>Pin sylvestre</v>
      </c>
      <c r="C107" s="4"/>
      <c r="D107" s="4"/>
      <c r="E107" s="4"/>
      <c r="F107" s="230"/>
      <c r="G107" s="206"/>
      <c r="H107" s="190"/>
      <c r="I107" s="191"/>
      <c r="J107" s="4"/>
      <c r="K107" s="173"/>
      <c r="L107" s="4"/>
      <c r="M107" s="4"/>
      <c r="N107" s="4"/>
      <c r="O107" s="194" t="e">
        <f>IF(O106+1&lt;=MIN('Données projet'!$E$9:$E$18),O106+1,"STOP")</f>
        <v>#VALUE!</v>
      </c>
      <c r="P107" s="185" t="e">
        <f t="shared" si="7"/>
        <v>#VALUE!</v>
      </c>
      <c r="Q107" s="235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</row>
    <row r="108" spans="1:56" x14ac:dyDescent="0.25">
      <c r="A108" s="4"/>
      <c r="B108" s="4"/>
      <c r="C108" s="4"/>
      <c r="D108" s="4"/>
      <c r="E108" s="4"/>
      <c r="F108" s="230"/>
      <c r="G108" s="206"/>
      <c r="H108" s="190"/>
      <c r="I108" s="191"/>
      <c r="J108" s="4"/>
      <c r="K108" s="173"/>
      <c r="L108" s="4"/>
      <c r="M108" s="4"/>
      <c r="N108" s="4"/>
      <c r="O108" s="194" t="e">
        <f>IF(O107+1&lt;=MIN('Données projet'!$E$9:$E$18),O107+1,"STOP")</f>
        <v>#VALUE!</v>
      </c>
      <c r="P108" s="185" t="e">
        <f t="shared" si="7"/>
        <v>#VALUE!</v>
      </c>
      <c r="Q108" s="235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</row>
    <row r="109" spans="1:56" x14ac:dyDescent="0.25">
      <c r="A109" s="36" t="s">
        <v>180</v>
      </c>
      <c r="B109" s="48" t="s">
        <v>256</v>
      </c>
      <c r="C109" s="48" t="s">
        <v>255</v>
      </c>
      <c r="D109" s="36" t="s">
        <v>252</v>
      </c>
      <c r="E109" s="36" t="s">
        <v>320</v>
      </c>
      <c r="F109" s="231"/>
      <c r="G109" s="206"/>
      <c r="H109" s="190"/>
      <c r="I109" s="191"/>
      <c r="J109" s="4"/>
      <c r="K109" s="173"/>
      <c r="L109" s="4"/>
      <c r="M109" s="4"/>
      <c r="N109" s="4"/>
      <c r="O109" s="194" t="e">
        <f>IF(O108+1&lt;=MIN('Données projet'!$E$9:$E$18),O108+1,"STOP")</f>
        <v>#VALUE!</v>
      </c>
      <c r="P109" s="185" t="e">
        <f t="shared" si="7"/>
        <v>#VALUE!</v>
      </c>
      <c r="Q109" s="235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</row>
    <row r="110" spans="1:56" x14ac:dyDescent="0.25">
      <c r="A110" s="49">
        <v>0</v>
      </c>
      <c r="B110" s="199" t="s">
        <v>132</v>
      </c>
      <c r="C110" s="198" t="s">
        <v>132</v>
      </c>
      <c r="D110" s="197" t="s">
        <v>132</v>
      </c>
      <c r="E110" s="193">
        <v>2300</v>
      </c>
      <c r="F110" s="231"/>
      <c r="G110" s="206"/>
      <c r="H110" s="190"/>
      <c r="I110" s="191"/>
      <c r="J110" s="4"/>
      <c r="K110" s="173"/>
      <c r="L110" s="4"/>
      <c r="M110" s="4"/>
      <c r="N110" s="4"/>
      <c r="O110" s="194" t="e">
        <f>IF(O109+1&lt;=MIN('Données projet'!$E$9:$E$18),O109+1,"STOP")</f>
        <v>#VALUE!</v>
      </c>
      <c r="P110" s="185" t="e">
        <f t="shared" si="7"/>
        <v>#VALUE!</v>
      </c>
      <c r="Q110" s="235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</row>
    <row r="111" spans="1:56" x14ac:dyDescent="0.25">
      <c r="A111" s="49">
        <v>1</v>
      </c>
      <c r="B111" s="199" t="s">
        <v>132</v>
      </c>
      <c r="C111" s="198" t="s">
        <v>132</v>
      </c>
      <c r="D111" s="197" t="s">
        <v>132</v>
      </c>
      <c r="E111" s="193"/>
      <c r="F111" s="231"/>
      <c r="G111" s="23"/>
      <c r="H111" s="190"/>
      <c r="I111" s="191"/>
      <c r="J111" s="4"/>
      <c r="K111" s="173"/>
      <c r="L111" s="4"/>
      <c r="M111" s="4"/>
      <c r="N111" s="4"/>
      <c r="O111" s="194" t="e">
        <f>IF(O110+1&lt;=MIN('Données projet'!$E$9:$E$18),O110+1,"STOP")</f>
        <v>#VALUE!</v>
      </c>
      <c r="P111" s="185" t="e">
        <f t="shared" si="7"/>
        <v>#VALUE!</v>
      </c>
      <c r="Q111" s="235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</row>
    <row r="112" spans="1:56" x14ac:dyDescent="0.25">
      <c r="A112" s="49">
        <v>2</v>
      </c>
      <c r="B112" s="199" t="s">
        <v>132</v>
      </c>
      <c r="C112" s="198" t="s">
        <v>132</v>
      </c>
      <c r="D112" s="197" t="s">
        <v>132</v>
      </c>
      <c r="E112" s="193"/>
      <c r="F112" s="231"/>
      <c r="G112" s="23"/>
      <c r="H112" s="190"/>
      <c r="I112" s="191"/>
      <c r="J112" s="4"/>
      <c r="K112" s="173"/>
      <c r="L112" s="4"/>
      <c r="M112" s="4"/>
      <c r="N112" s="4"/>
      <c r="O112" s="194" t="e">
        <f>IF(O111+1&lt;=MIN('Données projet'!$E$9:$E$18),O111+1,"STOP")</f>
        <v>#VALUE!</v>
      </c>
      <c r="P112" s="185" t="e">
        <f t="shared" si="7"/>
        <v>#VALUE!</v>
      </c>
      <c r="Q112" s="235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</row>
    <row r="113" spans="1:56" x14ac:dyDescent="0.25">
      <c r="A113" s="49">
        <v>3</v>
      </c>
      <c r="B113" s="199" t="s">
        <v>132</v>
      </c>
      <c r="C113" s="198" t="s">
        <v>132</v>
      </c>
      <c r="D113" s="197" t="s">
        <v>132</v>
      </c>
      <c r="E113" s="193"/>
      <c r="F113" s="231"/>
      <c r="G113" s="23"/>
      <c r="H113" s="190"/>
      <c r="I113" s="191"/>
      <c r="J113" s="4"/>
      <c r="K113" s="173"/>
      <c r="L113" s="4"/>
      <c r="M113" s="4"/>
      <c r="N113" s="4"/>
      <c r="O113" s="194" t="e">
        <f>IF(O112+1&lt;=MIN('Données projet'!$E$9:$E$18),O112+1,"STOP")</f>
        <v>#VALUE!</v>
      </c>
      <c r="P113" s="185" t="e">
        <f t="shared" si="7"/>
        <v>#VALUE!</v>
      </c>
      <c r="Q113" s="235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</row>
    <row r="114" spans="1:56" x14ac:dyDescent="0.25">
      <c r="A114" s="49">
        <v>4</v>
      </c>
      <c r="B114" s="199" t="s">
        <v>132</v>
      </c>
      <c r="C114" s="198" t="s">
        <v>132</v>
      </c>
      <c r="D114" s="197" t="s">
        <v>132</v>
      </c>
      <c r="E114" s="193"/>
      <c r="F114" s="231"/>
      <c r="G114" s="23"/>
      <c r="H114" s="190"/>
      <c r="I114" s="191"/>
      <c r="J114" s="4"/>
      <c r="K114" s="173"/>
      <c r="L114" s="4"/>
      <c r="M114" s="4"/>
      <c r="N114" s="4"/>
      <c r="O114" s="194" t="e">
        <f>IF(O113+1&lt;=MIN('Données projet'!$E$9:$E$18),O113+1,"STOP")</f>
        <v>#VALUE!</v>
      </c>
      <c r="P114" s="185" t="e">
        <f t="shared" si="7"/>
        <v>#VALUE!</v>
      </c>
      <c r="Q114" s="235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</row>
    <row r="115" spans="1:56" ht="16.5" customHeight="1" x14ac:dyDescent="0.25">
      <c r="A115" s="49">
        <v>5</v>
      </c>
      <c r="B115" s="199" t="s">
        <v>132</v>
      </c>
      <c r="C115" s="198" t="s">
        <v>132</v>
      </c>
      <c r="D115" s="197" t="s">
        <v>132</v>
      </c>
      <c r="E115" s="193"/>
      <c r="F115" s="231"/>
      <c r="G115" s="205"/>
      <c r="H115" s="190"/>
      <c r="I115" s="191"/>
      <c r="J115" s="4"/>
      <c r="K115" s="173"/>
      <c r="L115" s="4"/>
      <c r="M115" s="4"/>
      <c r="N115" s="4"/>
      <c r="O115" s="194" t="e">
        <f>IF(O114+1&lt;=MIN('Données projet'!$E$9:$E$18),O114+1,"STOP")</f>
        <v>#VALUE!</v>
      </c>
      <c r="P115" s="185" t="e">
        <f t="shared" si="7"/>
        <v>#VALUE!</v>
      </c>
      <c r="Q115" s="235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</row>
    <row r="116" spans="1:56" ht="16.5" customHeight="1" x14ac:dyDescent="0.25">
      <c r="A116" s="180">
        <f>'Données projet'!A114</f>
        <v>15</v>
      </c>
      <c r="B116" s="181">
        <f>'Données projet'!D114</f>
        <v>0</v>
      </c>
      <c r="C116" s="191">
        <v>10</v>
      </c>
      <c r="D116" s="179">
        <f>B116*C116</f>
        <v>0</v>
      </c>
      <c r="E116" s="193"/>
      <c r="F116" s="232"/>
      <c r="G116" s="205"/>
      <c r="H116" s="190"/>
      <c r="I116" s="191"/>
      <c r="J116" s="4"/>
      <c r="K116" s="173"/>
      <c r="L116" s="4"/>
      <c r="M116" s="4"/>
      <c r="N116" s="4"/>
      <c r="O116" s="194" t="e">
        <f>IF(O115+1&lt;=MIN('Données projet'!$E$9:$E$18),O115+1,"STOP")</f>
        <v>#VALUE!</v>
      </c>
      <c r="P116" s="185" t="e">
        <f t="shared" si="7"/>
        <v>#VALUE!</v>
      </c>
      <c r="Q116" s="235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</row>
    <row r="117" spans="1:56" ht="16.5" customHeight="1" x14ac:dyDescent="0.25">
      <c r="A117" s="180">
        <f>'Données projet'!A115</f>
        <v>20</v>
      </c>
      <c r="B117" s="181">
        <f>'Données projet'!D115</f>
        <v>26</v>
      </c>
      <c r="C117" s="191">
        <v>10</v>
      </c>
      <c r="D117" s="179">
        <f t="shared" ref="D117:D135" si="8">B117*C117</f>
        <v>260</v>
      </c>
      <c r="E117" s="193"/>
      <c r="F117" s="232"/>
      <c r="G117" s="205"/>
      <c r="H117" s="190"/>
      <c r="I117" s="191"/>
      <c r="J117" s="4"/>
      <c r="K117" s="173"/>
      <c r="L117" s="4"/>
      <c r="M117" s="4"/>
      <c r="N117" s="4"/>
      <c r="O117" s="194" t="e">
        <f>IF(O116+1&lt;=MIN('Données projet'!$E$9:$E$18),O116+1,"STOP")</f>
        <v>#VALUE!</v>
      </c>
      <c r="P117" s="185" t="e">
        <f t="shared" si="7"/>
        <v>#VALUE!</v>
      </c>
      <c r="Q117" s="235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</row>
    <row r="118" spans="1:56" ht="16.5" customHeight="1" x14ac:dyDescent="0.25">
      <c r="A118" s="180">
        <f>'Données projet'!A116</f>
        <v>30</v>
      </c>
      <c r="B118" s="181">
        <f>'Données projet'!D116</f>
        <v>72</v>
      </c>
      <c r="C118" s="191">
        <v>10</v>
      </c>
      <c r="D118" s="179">
        <f t="shared" si="8"/>
        <v>720</v>
      </c>
      <c r="E118" s="193"/>
      <c r="F118" s="232"/>
      <c r="G118" s="205"/>
      <c r="H118" s="190"/>
      <c r="I118" s="191"/>
      <c r="J118" s="4"/>
      <c r="K118" s="173"/>
      <c r="L118" s="4"/>
      <c r="M118" s="4"/>
      <c r="N118" s="4"/>
      <c r="O118" s="194" t="e">
        <f>IF(O117+1&lt;=MIN('Données projet'!$E$9:$E$18),O117+1,"STOP")</f>
        <v>#VALUE!</v>
      </c>
      <c r="P118" s="185" t="e">
        <f t="shared" si="7"/>
        <v>#VALUE!</v>
      </c>
      <c r="Q118" s="235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</row>
    <row r="119" spans="1:56" ht="16.5" customHeight="1" x14ac:dyDescent="0.25">
      <c r="A119" s="180">
        <f>'Données projet'!A117</f>
        <v>40</v>
      </c>
      <c r="B119" s="181">
        <f>'Données projet'!D117</f>
        <v>80</v>
      </c>
      <c r="C119" s="191">
        <v>10</v>
      </c>
      <c r="D119" s="179">
        <f t="shared" si="8"/>
        <v>800</v>
      </c>
      <c r="E119" s="193"/>
      <c r="F119" s="232"/>
      <c r="G119" s="205"/>
      <c r="H119" s="190"/>
      <c r="I119" s="191"/>
      <c r="J119" s="4"/>
      <c r="K119" s="173"/>
      <c r="L119" s="4"/>
      <c r="M119" s="4"/>
      <c r="N119" s="4"/>
      <c r="O119" s="194" t="e">
        <f>IF(O118+1&lt;=MIN('Données projet'!$E$9:$E$18),O118+1,"STOP")</f>
        <v>#VALUE!</v>
      </c>
      <c r="P119" s="185" t="e">
        <f t="shared" si="7"/>
        <v>#VALUE!</v>
      </c>
      <c r="Q119" s="235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</row>
    <row r="120" spans="1:56" ht="16.5" customHeight="1" x14ac:dyDescent="0.25">
      <c r="A120" s="180">
        <f>'Données projet'!A118</f>
        <v>50</v>
      </c>
      <c r="B120" s="181">
        <f>'Données projet'!D118</f>
        <v>75</v>
      </c>
      <c r="C120" s="191">
        <v>10</v>
      </c>
      <c r="D120" s="179">
        <f t="shared" si="8"/>
        <v>750</v>
      </c>
      <c r="E120" s="193"/>
      <c r="F120" s="232"/>
      <c r="G120" s="205"/>
      <c r="H120" s="190"/>
      <c r="I120" s="191"/>
      <c r="J120" s="4"/>
      <c r="K120" s="173"/>
      <c r="L120" s="4"/>
      <c r="M120" s="4"/>
      <c r="N120" s="4"/>
      <c r="O120" s="194" t="e">
        <f>IF(O119+1&lt;=MIN('Données projet'!$E$9:$E$18),O119+1,"STOP")</f>
        <v>#VALUE!</v>
      </c>
      <c r="P120" s="185" t="e">
        <f t="shared" si="7"/>
        <v>#VALUE!</v>
      </c>
      <c r="Q120" s="235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</row>
    <row r="121" spans="1:56" ht="16.5" customHeight="1" x14ac:dyDescent="0.25">
      <c r="A121" s="180">
        <f>'Données projet'!A119</f>
        <v>60</v>
      </c>
      <c r="B121" s="181">
        <f>'Données projet'!D119</f>
        <v>63</v>
      </c>
      <c r="C121" s="191">
        <v>15</v>
      </c>
      <c r="D121" s="179">
        <f t="shared" si="8"/>
        <v>945</v>
      </c>
      <c r="E121" s="193"/>
      <c r="F121" s="232"/>
      <c r="G121" s="205"/>
      <c r="H121" s="190"/>
      <c r="I121" s="191"/>
      <c r="J121" s="4"/>
      <c r="K121" s="173"/>
      <c r="L121" s="4"/>
      <c r="M121" s="4"/>
      <c r="N121" s="4"/>
      <c r="O121" s="194" t="e">
        <f>IF(O120+1&lt;=MIN('Données projet'!$E$9:$E$18),O120+1,"STOP")</f>
        <v>#VALUE!</v>
      </c>
      <c r="P121" s="185" t="e">
        <f t="shared" si="7"/>
        <v>#VALUE!</v>
      </c>
      <c r="Q121" s="235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</row>
    <row r="122" spans="1:56" x14ac:dyDescent="0.25">
      <c r="A122" s="180">
        <f>'Données projet'!A120</f>
        <v>70</v>
      </c>
      <c r="B122" s="181">
        <f>'Données projet'!D120</f>
        <v>50</v>
      </c>
      <c r="C122" s="191">
        <v>20</v>
      </c>
      <c r="D122" s="179">
        <f t="shared" si="8"/>
        <v>1000</v>
      </c>
      <c r="E122" s="193"/>
      <c r="F122" s="232"/>
      <c r="G122" s="206"/>
      <c r="H122" s="190"/>
      <c r="I122" s="191"/>
      <c r="J122" s="4"/>
      <c r="K122" s="173"/>
      <c r="L122" s="4"/>
      <c r="M122" s="4"/>
      <c r="N122" s="4"/>
      <c r="O122" s="194" t="e">
        <f>IF(O121+1&lt;=MIN('Données projet'!$E$9:$E$18),O121+1,"STOP")</f>
        <v>#VALUE!</v>
      </c>
      <c r="P122" s="185" t="e">
        <f t="shared" si="7"/>
        <v>#VALUE!</v>
      </c>
      <c r="Q122" s="235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</row>
    <row r="123" spans="1:56" x14ac:dyDescent="0.25">
      <c r="A123" s="180">
        <f>'Données projet'!A121</f>
        <v>80</v>
      </c>
      <c r="B123" s="181">
        <f>'Données projet'!D121</f>
        <v>38</v>
      </c>
      <c r="C123" s="191">
        <v>30</v>
      </c>
      <c r="D123" s="179">
        <f t="shared" si="8"/>
        <v>1140</v>
      </c>
      <c r="E123" s="193"/>
      <c r="F123" s="232"/>
      <c r="G123" s="206"/>
      <c r="H123" s="190"/>
      <c r="I123" s="191"/>
      <c r="J123" s="4"/>
      <c r="K123" s="173"/>
      <c r="L123" s="4"/>
      <c r="M123" s="4"/>
      <c r="N123" s="4"/>
      <c r="O123" s="194" t="e">
        <f>IF(O122+1&lt;=MIN('Données projet'!$E$9:$E$18),O122+1,"STOP")</f>
        <v>#VALUE!</v>
      </c>
      <c r="P123" s="185" t="e">
        <f t="shared" si="7"/>
        <v>#VALUE!</v>
      </c>
      <c r="Q123" s="235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</row>
    <row r="124" spans="1:56" x14ac:dyDescent="0.25">
      <c r="A124" s="180">
        <f>'Données projet'!A122</f>
        <v>90</v>
      </c>
      <c r="B124" s="181">
        <f>'Données projet'!D122</f>
        <v>28</v>
      </c>
      <c r="C124" s="191">
        <v>30</v>
      </c>
      <c r="D124" s="179">
        <f t="shared" si="8"/>
        <v>840</v>
      </c>
      <c r="E124" s="193"/>
      <c r="F124" s="232"/>
      <c r="G124" s="206"/>
      <c r="H124" s="190"/>
      <c r="I124" s="191"/>
      <c r="J124" s="4"/>
      <c r="K124" s="173"/>
      <c r="L124" s="4"/>
      <c r="M124" s="4"/>
      <c r="N124" s="4"/>
      <c r="O124" s="194" t="e">
        <f>IF(O123+1&lt;=MIN('Données projet'!$E$9:$E$18),O123+1,"STOP")</f>
        <v>#VALUE!</v>
      </c>
      <c r="P124" s="185" t="e">
        <f t="shared" si="7"/>
        <v>#VALUE!</v>
      </c>
      <c r="Q124" s="235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</row>
    <row r="125" spans="1:56" x14ac:dyDescent="0.25">
      <c r="A125" s="180">
        <f>'Données projet'!A123</f>
        <v>100</v>
      </c>
      <c r="B125" s="181">
        <f>'Données projet'!D123</f>
        <v>27</v>
      </c>
      <c r="C125" s="191"/>
      <c r="D125" s="179">
        <f t="shared" si="8"/>
        <v>0</v>
      </c>
      <c r="E125" s="193"/>
      <c r="F125" s="232"/>
      <c r="G125" s="206"/>
      <c r="H125" s="190"/>
      <c r="I125" s="191"/>
      <c r="J125" s="4"/>
      <c r="K125" s="173"/>
      <c r="L125" s="4"/>
      <c r="M125" s="4"/>
      <c r="N125" s="4"/>
      <c r="O125" s="194" t="e">
        <f>IF(O124+1&lt;=MIN('Données projet'!$E$9:$E$18),O124+1,"STOP")</f>
        <v>#VALUE!</v>
      </c>
      <c r="P125" s="185" t="e">
        <f t="shared" si="7"/>
        <v>#VALUE!</v>
      </c>
      <c r="Q125" s="235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</row>
    <row r="126" spans="1:56" x14ac:dyDescent="0.25">
      <c r="A126" s="180">
        <f>'Données projet'!A124</f>
        <v>0</v>
      </c>
      <c r="B126" s="181">
        <f>'Données projet'!D124</f>
        <v>0</v>
      </c>
      <c r="C126" s="191"/>
      <c r="D126" s="179">
        <f t="shared" si="8"/>
        <v>0</v>
      </c>
      <c r="E126" s="193"/>
      <c r="F126" s="232"/>
      <c r="G126" s="206"/>
      <c r="H126" s="190"/>
      <c r="I126" s="191"/>
      <c r="J126" s="4"/>
      <c r="K126" s="173"/>
      <c r="L126" s="4"/>
      <c r="M126" s="4"/>
      <c r="N126" s="4"/>
      <c r="O126" s="194" t="e">
        <f>IF(O125+1&lt;=MIN('Données projet'!$E$9:$E$18),O125+1,"STOP")</f>
        <v>#VALUE!</v>
      </c>
      <c r="P126" s="185" t="e">
        <f t="shared" si="7"/>
        <v>#VALUE!</v>
      </c>
      <c r="Q126" s="235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</row>
    <row r="127" spans="1:56" x14ac:dyDescent="0.25">
      <c r="A127" s="180">
        <f>'Données projet'!A125</f>
        <v>0</v>
      </c>
      <c r="B127" s="181">
        <f>'Données projet'!D125</f>
        <v>0</v>
      </c>
      <c r="C127" s="191"/>
      <c r="D127" s="179">
        <f t="shared" si="8"/>
        <v>0</v>
      </c>
      <c r="E127" s="193"/>
      <c r="F127" s="232"/>
      <c r="G127" s="206"/>
      <c r="H127" s="190"/>
      <c r="I127" s="191"/>
      <c r="J127" s="4"/>
      <c r="K127" s="173"/>
      <c r="L127" s="4"/>
      <c r="M127" s="4"/>
      <c r="N127" s="4"/>
      <c r="O127" s="194" t="e">
        <f>IF(O126+1&lt;=MIN('Données projet'!$E$9:$E$18),O126+1,"STOP")</f>
        <v>#VALUE!</v>
      </c>
      <c r="P127" s="185" t="e">
        <f t="shared" si="7"/>
        <v>#VALUE!</v>
      </c>
      <c r="Q127" s="235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</row>
    <row r="128" spans="1:56" x14ac:dyDescent="0.25">
      <c r="A128" s="180">
        <f>'Données projet'!A126</f>
        <v>0</v>
      </c>
      <c r="B128" s="181">
        <f>'Données projet'!D126</f>
        <v>0</v>
      </c>
      <c r="C128" s="191"/>
      <c r="D128" s="179">
        <f t="shared" si="8"/>
        <v>0</v>
      </c>
      <c r="E128" s="193"/>
      <c r="F128" s="232"/>
      <c r="G128" s="206"/>
      <c r="H128" s="190"/>
      <c r="I128" s="191"/>
      <c r="J128" s="4"/>
      <c r="K128" s="173"/>
      <c r="L128" s="4"/>
      <c r="M128" s="4"/>
      <c r="N128" s="4"/>
      <c r="O128" s="194" t="e">
        <f>IF(O127+1&lt;=MIN('Données projet'!$E$9:$E$18),O127+1,"STOP")</f>
        <v>#VALUE!</v>
      </c>
      <c r="P128" s="185" t="e">
        <f t="shared" si="7"/>
        <v>#VALUE!</v>
      </c>
      <c r="Q128" s="235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</row>
    <row r="129" spans="1:56" x14ac:dyDescent="0.25">
      <c r="A129" s="180">
        <f>'Données projet'!A127</f>
        <v>0</v>
      </c>
      <c r="B129" s="181">
        <f>'Données projet'!D127</f>
        <v>0</v>
      </c>
      <c r="C129" s="191"/>
      <c r="D129" s="179">
        <f t="shared" si="8"/>
        <v>0</v>
      </c>
      <c r="E129" s="193"/>
      <c r="F129" s="232"/>
      <c r="G129" s="206"/>
      <c r="H129" s="190"/>
      <c r="I129" s="191"/>
      <c r="J129" s="4"/>
      <c r="K129" s="173"/>
      <c r="L129" s="4"/>
      <c r="M129" s="4"/>
      <c r="N129" s="4"/>
      <c r="O129" s="194" t="e">
        <f>IF(O128+1&lt;=MIN('Données projet'!$E$9:$E$18),O128+1,"STOP")</f>
        <v>#VALUE!</v>
      </c>
      <c r="P129" s="185" t="e">
        <f t="shared" ref="P129:P132" si="9">$P$25/(1+$M$4)^O129</f>
        <v>#VALUE!</v>
      </c>
      <c r="Q129" s="235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</row>
    <row r="130" spans="1:56" x14ac:dyDescent="0.25">
      <c r="A130" s="180">
        <f>'Données projet'!A128</f>
        <v>0</v>
      </c>
      <c r="B130" s="181">
        <f>'Données projet'!D128</f>
        <v>0</v>
      </c>
      <c r="C130" s="191"/>
      <c r="D130" s="179">
        <f t="shared" si="8"/>
        <v>0</v>
      </c>
      <c r="E130" s="193"/>
      <c r="F130" s="232"/>
      <c r="G130" s="206"/>
      <c r="H130" s="190"/>
      <c r="I130" s="191"/>
      <c r="J130" s="4"/>
      <c r="K130" s="173"/>
      <c r="L130" s="4"/>
      <c r="M130" s="4"/>
      <c r="N130" s="4"/>
      <c r="O130" s="194" t="e">
        <f>IF(O129+1&lt;=MIN('Données projet'!$E$9:$E$18),O129+1,"STOP")</f>
        <v>#VALUE!</v>
      </c>
      <c r="P130" s="185" t="e">
        <f t="shared" si="9"/>
        <v>#VALUE!</v>
      </c>
      <c r="Q130" s="235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</row>
    <row r="131" spans="1:56" x14ac:dyDescent="0.25">
      <c r="A131" s="180">
        <f>'Données projet'!A129</f>
        <v>0</v>
      </c>
      <c r="B131" s="181">
        <f>'Données projet'!D129</f>
        <v>0</v>
      </c>
      <c r="C131" s="191"/>
      <c r="D131" s="179">
        <f t="shared" si="8"/>
        <v>0</v>
      </c>
      <c r="E131" s="193"/>
      <c r="F131" s="232"/>
      <c r="G131" s="206"/>
      <c r="H131" s="190"/>
      <c r="I131" s="191"/>
      <c r="J131" s="4"/>
      <c r="K131" s="173"/>
      <c r="L131" s="4"/>
      <c r="M131" s="4"/>
      <c r="N131" s="4"/>
      <c r="O131" s="194" t="e">
        <f>IF(O130+1&lt;=MIN('Données projet'!$E$9:$E$18),O130+1,"STOP")</f>
        <v>#VALUE!</v>
      </c>
      <c r="P131" s="185" t="e">
        <f t="shared" si="9"/>
        <v>#VALUE!</v>
      </c>
      <c r="Q131" s="235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</row>
    <row r="132" spans="1:56" x14ac:dyDescent="0.25">
      <c r="A132" s="180">
        <f>'Données projet'!A130</f>
        <v>0</v>
      </c>
      <c r="B132" s="181">
        <f>'Données projet'!D130</f>
        <v>0</v>
      </c>
      <c r="C132" s="191"/>
      <c r="D132" s="179">
        <f t="shared" si="8"/>
        <v>0</v>
      </c>
      <c r="E132" s="193"/>
      <c r="F132" s="232"/>
      <c r="G132" s="206"/>
      <c r="H132" s="190"/>
      <c r="I132" s="191"/>
      <c r="J132" s="4"/>
      <c r="K132" s="173"/>
      <c r="L132" s="4"/>
      <c r="M132" s="4"/>
      <c r="N132" s="4"/>
      <c r="O132" s="194" t="e">
        <f>IF(O131+1&lt;=MIN('Données projet'!$E$9:$E$18),O131+1,"STOP")</f>
        <v>#VALUE!</v>
      </c>
      <c r="P132" s="185" t="e">
        <f t="shared" si="9"/>
        <v>#VALUE!</v>
      </c>
      <c r="Q132" s="235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</row>
    <row r="133" spans="1:56" x14ac:dyDescent="0.25">
      <c r="A133" s="180">
        <f>'Données projet'!A131</f>
        <v>0</v>
      </c>
      <c r="B133" s="181">
        <f>'Données projet'!D131</f>
        <v>0</v>
      </c>
      <c r="C133" s="191"/>
      <c r="D133" s="179">
        <f t="shared" si="8"/>
        <v>0</v>
      </c>
      <c r="E133" s="193"/>
      <c r="F133" s="232"/>
      <c r="G133" s="206"/>
      <c r="H133" s="190"/>
      <c r="I133" s="191"/>
      <c r="J133" s="4"/>
      <c r="K133" s="173"/>
      <c r="Q133" s="235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</row>
    <row r="134" spans="1:56" x14ac:dyDescent="0.25">
      <c r="A134" s="180">
        <f>'Données projet'!A132</f>
        <v>0</v>
      </c>
      <c r="B134" s="181">
        <f>'Données projet'!D132</f>
        <v>0</v>
      </c>
      <c r="C134" s="191"/>
      <c r="D134" s="179">
        <f t="shared" si="8"/>
        <v>0</v>
      </c>
      <c r="E134" s="193"/>
      <c r="F134" s="232"/>
      <c r="G134" s="206"/>
      <c r="H134" s="190"/>
      <c r="I134" s="191"/>
      <c r="J134" s="4"/>
      <c r="K134" s="173"/>
      <c r="Q134" s="235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</row>
    <row r="135" spans="1:56" x14ac:dyDescent="0.25">
      <c r="A135" s="180">
        <f>'Données projet'!A133</f>
        <v>0</v>
      </c>
      <c r="B135" s="181">
        <f>'Données projet'!D133</f>
        <v>0</v>
      </c>
      <c r="C135" s="191"/>
      <c r="D135" s="179">
        <f t="shared" si="8"/>
        <v>0</v>
      </c>
      <c r="E135" s="193"/>
      <c r="F135" s="232"/>
      <c r="G135" s="206"/>
      <c r="H135" s="190"/>
      <c r="I135" s="191"/>
      <c r="J135" s="4"/>
      <c r="K135" s="173"/>
      <c r="Q135" s="235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</row>
    <row r="136" spans="1:56" x14ac:dyDescent="0.25">
      <c r="A136" s="4"/>
      <c r="B136" s="4"/>
      <c r="C136" s="4"/>
      <c r="D136" s="4"/>
      <c r="E136" s="4"/>
      <c r="F136" s="230"/>
      <c r="G136" s="206"/>
      <c r="H136" s="190"/>
      <c r="I136" s="191"/>
      <c r="J136" s="4"/>
      <c r="K136" s="173"/>
      <c r="L136" s="4"/>
      <c r="M136" s="4"/>
      <c r="N136" s="4"/>
      <c r="Q136" s="235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</row>
    <row r="137" spans="1:56" x14ac:dyDescent="0.25">
      <c r="A137" s="4"/>
      <c r="B137" s="4"/>
      <c r="C137" s="4"/>
      <c r="D137" s="4"/>
      <c r="E137" s="4"/>
      <c r="F137" s="230"/>
      <c r="G137" s="206"/>
      <c r="H137" s="190"/>
      <c r="I137" s="191"/>
      <c r="J137" s="4"/>
      <c r="K137" s="173"/>
      <c r="L137" s="4"/>
      <c r="M137" s="4"/>
      <c r="N137" s="4"/>
      <c r="Q137" s="235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</row>
    <row r="138" spans="1:56" x14ac:dyDescent="0.25">
      <c r="A138" s="46" t="s">
        <v>169</v>
      </c>
      <c r="B138" s="174" t="str">
        <f>IF('Données projet'!B13="","",'Données projet'!B13)</f>
        <v/>
      </c>
      <c r="C138" s="4"/>
      <c r="D138" s="4"/>
      <c r="E138" s="4"/>
      <c r="F138" s="230"/>
      <c r="G138" s="206"/>
      <c r="H138" s="190"/>
      <c r="I138" s="191"/>
      <c r="J138" s="4"/>
      <c r="K138" s="173"/>
      <c r="L138" s="4"/>
      <c r="M138" s="4"/>
      <c r="N138" s="4"/>
      <c r="Q138" s="235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</row>
    <row r="139" spans="1:56" x14ac:dyDescent="0.25">
      <c r="A139" s="4"/>
      <c r="B139" s="4"/>
      <c r="C139" s="4"/>
      <c r="D139" s="4"/>
      <c r="E139" s="4"/>
      <c r="F139" s="230"/>
      <c r="G139" s="206"/>
      <c r="H139" s="190"/>
      <c r="I139" s="191"/>
      <c r="J139" s="4"/>
      <c r="K139" s="173"/>
      <c r="L139" s="4"/>
      <c r="M139" s="4"/>
      <c r="N139" s="4"/>
      <c r="Q139" s="235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</row>
    <row r="140" spans="1:56" x14ac:dyDescent="0.25">
      <c r="A140" s="36" t="s">
        <v>180</v>
      </c>
      <c r="B140" s="48" t="s">
        <v>256</v>
      </c>
      <c r="C140" s="48" t="s">
        <v>255</v>
      </c>
      <c r="D140" s="36" t="s">
        <v>252</v>
      </c>
      <c r="E140" s="36" t="s">
        <v>320</v>
      </c>
      <c r="F140" s="231"/>
      <c r="G140" s="206"/>
      <c r="H140" s="190"/>
      <c r="I140" s="191"/>
      <c r="J140" s="4"/>
      <c r="K140" s="173"/>
      <c r="L140" s="4"/>
      <c r="M140" s="4"/>
      <c r="N140" s="4"/>
      <c r="Q140" s="235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</row>
    <row r="141" spans="1:56" x14ac:dyDescent="0.25">
      <c r="A141" s="49">
        <v>0</v>
      </c>
      <c r="B141" s="199" t="s">
        <v>132</v>
      </c>
      <c r="C141" s="198" t="s">
        <v>132</v>
      </c>
      <c r="D141" s="197" t="s">
        <v>132</v>
      </c>
      <c r="E141" s="193"/>
      <c r="F141" s="231"/>
      <c r="G141" s="206"/>
      <c r="H141" s="190"/>
      <c r="I141" s="191"/>
      <c r="J141" s="4"/>
      <c r="K141" s="173"/>
      <c r="L141" s="4"/>
      <c r="M141" s="4"/>
      <c r="N141" s="4"/>
      <c r="Q141" s="235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</row>
    <row r="142" spans="1:56" x14ac:dyDescent="0.25">
      <c r="A142" s="49">
        <v>1</v>
      </c>
      <c r="B142" s="199" t="s">
        <v>132</v>
      </c>
      <c r="C142" s="198" t="s">
        <v>132</v>
      </c>
      <c r="D142" s="197" t="s">
        <v>132</v>
      </c>
      <c r="E142" s="193"/>
      <c r="F142" s="231"/>
      <c r="G142" s="23"/>
      <c r="H142" s="190"/>
      <c r="I142" s="191"/>
      <c r="J142" s="4"/>
      <c r="K142" s="173"/>
      <c r="L142" s="4"/>
      <c r="M142" s="4"/>
      <c r="N142" s="4"/>
      <c r="Q142" s="235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</row>
    <row r="143" spans="1:56" x14ac:dyDescent="0.25">
      <c r="A143" s="49">
        <v>2</v>
      </c>
      <c r="B143" s="199" t="s">
        <v>132</v>
      </c>
      <c r="C143" s="198" t="s">
        <v>132</v>
      </c>
      <c r="D143" s="197" t="s">
        <v>132</v>
      </c>
      <c r="E143" s="193"/>
      <c r="F143" s="231"/>
      <c r="G143" s="23"/>
      <c r="H143" s="190"/>
      <c r="I143" s="191"/>
      <c r="J143" s="4"/>
      <c r="K143" s="173"/>
      <c r="L143" s="4"/>
      <c r="M143" s="4"/>
      <c r="N143" s="4"/>
      <c r="Q143" s="235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</row>
    <row r="144" spans="1:56" x14ac:dyDescent="0.25">
      <c r="A144" s="49">
        <v>3</v>
      </c>
      <c r="B144" s="199" t="s">
        <v>132</v>
      </c>
      <c r="C144" s="198" t="s">
        <v>132</v>
      </c>
      <c r="D144" s="197" t="s">
        <v>132</v>
      </c>
      <c r="E144" s="193"/>
      <c r="F144" s="231"/>
      <c r="G144" s="23"/>
      <c r="H144" s="190"/>
      <c r="I144" s="191"/>
      <c r="J144" s="4"/>
      <c r="K144" s="173"/>
      <c r="L144" s="4"/>
      <c r="M144" s="4"/>
      <c r="N144" s="4"/>
      <c r="Q144" s="235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</row>
    <row r="145" spans="1:64" x14ac:dyDescent="0.25">
      <c r="A145" s="49">
        <v>4</v>
      </c>
      <c r="B145" s="199" t="s">
        <v>132</v>
      </c>
      <c r="C145" s="198" t="s">
        <v>132</v>
      </c>
      <c r="D145" s="197" t="s">
        <v>132</v>
      </c>
      <c r="E145" s="193"/>
      <c r="F145" s="231"/>
      <c r="G145" s="23"/>
      <c r="H145" s="190"/>
      <c r="I145" s="191"/>
      <c r="J145" s="4"/>
      <c r="K145" s="173"/>
      <c r="L145" s="4"/>
      <c r="M145" s="4"/>
      <c r="N145" s="4"/>
      <c r="Q145" s="235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</row>
    <row r="146" spans="1:64" ht="15.75" customHeight="1" x14ac:dyDescent="0.25">
      <c r="A146" s="49">
        <v>5</v>
      </c>
      <c r="B146" s="199" t="s">
        <v>132</v>
      </c>
      <c r="C146" s="198" t="s">
        <v>132</v>
      </c>
      <c r="D146" s="197" t="s">
        <v>132</v>
      </c>
      <c r="E146" s="193"/>
      <c r="F146" s="231"/>
      <c r="G146" s="205"/>
      <c r="H146" s="190"/>
      <c r="I146" s="191"/>
      <c r="J146" s="4"/>
      <c r="K146" s="173"/>
      <c r="L146" s="4"/>
      <c r="M146" s="4"/>
      <c r="N146" s="4"/>
      <c r="Q146" s="235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</row>
    <row r="147" spans="1:64" ht="15.75" customHeight="1" x14ac:dyDescent="0.25">
      <c r="A147" s="42">
        <f>'Données projet'!A140</f>
        <v>0</v>
      </c>
      <c r="B147" s="175">
        <f>'Données projet'!D140</f>
        <v>0</v>
      </c>
      <c r="C147" s="191"/>
      <c r="D147" s="182">
        <f>B147*C147</f>
        <v>0</v>
      </c>
      <c r="E147" s="193"/>
      <c r="F147" s="233"/>
      <c r="G147" s="205"/>
      <c r="H147" s="190"/>
      <c r="I147" s="191"/>
      <c r="J147" s="4"/>
      <c r="K147" s="173"/>
      <c r="L147" s="4"/>
      <c r="M147" s="4"/>
      <c r="N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</row>
    <row r="148" spans="1:64" ht="15.75" customHeight="1" x14ac:dyDescent="0.25">
      <c r="A148" s="42">
        <f>'Données projet'!A141</f>
        <v>0</v>
      </c>
      <c r="B148" s="175">
        <f>'Données projet'!D141</f>
        <v>0</v>
      </c>
      <c r="C148" s="191"/>
      <c r="D148" s="182">
        <f t="shared" ref="D148:D166" si="10">B148*C148</f>
        <v>0</v>
      </c>
      <c r="E148" s="193"/>
      <c r="F148" s="233"/>
      <c r="G148" s="205"/>
      <c r="H148" s="190"/>
      <c r="I148" s="191"/>
      <c r="J148" s="4"/>
      <c r="K148" s="173"/>
      <c r="L148" s="4"/>
      <c r="M148" s="4"/>
      <c r="N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</row>
    <row r="149" spans="1:64" ht="15.75" customHeight="1" x14ac:dyDescent="0.25">
      <c r="A149" s="42">
        <f>'Données projet'!A142</f>
        <v>0</v>
      </c>
      <c r="B149" s="175">
        <f>'Données projet'!D142</f>
        <v>0</v>
      </c>
      <c r="C149" s="191"/>
      <c r="D149" s="182">
        <f t="shared" si="10"/>
        <v>0</v>
      </c>
      <c r="E149" s="193"/>
      <c r="F149" s="233"/>
      <c r="G149" s="205"/>
      <c r="H149" s="190"/>
      <c r="I149" s="191"/>
      <c r="J149" s="4"/>
      <c r="K149" s="173"/>
      <c r="L149" s="4"/>
      <c r="M149" s="4"/>
      <c r="N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</row>
    <row r="150" spans="1:64" ht="15.75" customHeight="1" x14ac:dyDescent="0.25">
      <c r="A150" s="42">
        <f>'Données projet'!A143</f>
        <v>0</v>
      </c>
      <c r="B150" s="175">
        <f>'Données projet'!D143</f>
        <v>0</v>
      </c>
      <c r="C150" s="191"/>
      <c r="D150" s="182">
        <f t="shared" si="10"/>
        <v>0</v>
      </c>
      <c r="E150" s="193"/>
      <c r="F150" s="233"/>
      <c r="G150" s="205"/>
      <c r="H150" s="190"/>
      <c r="I150" s="191"/>
      <c r="J150" s="4"/>
      <c r="K150" s="173"/>
      <c r="L150" s="4"/>
      <c r="M150" s="4"/>
      <c r="N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</row>
    <row r="151" spans="1:64" ht="15.75" customHeight="1" x14ac:dyDescent="0.25">
      <c r="A151" s="42">
        <f>'Données projet'!A144</f>
        <v>0</v>
      </c>
      <c r="B151" s="175">
        <f>'Données projet'!D144</f>
        <v>0</v>
      </c>
      <c r="C151" s="191"/>
      <c r="D151" s="182">
        <f t="shared" si="10"/>
        <v>0</v>
      </c>
      <c r="E151" s="193"/>
      <c r="F151" s="233"/>
      <c r="G151" s="205"/>
      <c r="H151" s="190"/>
      <c r="I151" s="191"/>
      <c r="J151" s="4"/>
      <c r="K151" s="173"/>
      <c r="L151" s="4"/>
      <c r="M151" s="4"/>
      <c r="N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</row>
    <row r="152" spans="1:64" ht="15.75" customHeight="1" x14ac:dyDescent="0.25">
      <c r="A152" s="42">
        <f>'Données projet'!A145</f>
        <v>0</v>
      </c>
      <c r="B152" s="175">
        <f>'Données projet'!D145</f>
        <v>0</v>
      </c>
      <c r="C152" s="191"/>
      <c r="D152" s="182">
        <f t="shared" si="10"/>
        <v>0</v>
      </c>
      <c r="E152" s="193"/>
      <c r="F152" s="233"/>
      <c r="G152" s="205"/>
      <c r="H152" s="190"/>
      <c r="I152" s="191"/>
      <c r="J152" s="4"/>
      <c r="K152" s="173"/>
      <c r="L152" s="4"/>
      <c r="M152" s="4"/>
      <c r="N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</row>
    <row r="153" spans="1:64" x14ac:dyDescent="0.25">
      <c r="A153" s="42">
        <f>'Données projet'!A146</f>
        <v>0</v>
      </c>
      <c r="B153" s="175">
        <f>'Données projet'!D146</f>
        <v>0</v>
      </c>
      <c r="C153" s="191"/>
      <c r="D153" s="182">
        <f t="shared" si="10"/>
        <v>0</v>
      </c>
      <c r="E153" s="193"/>
      <c r="F153" s="233"/>
      <c r="G153" s="203"/>
      <c r="H153" s="190"/>
      <c r="I153" s="191"/>
      <c r="J153" s="4"/>
      <c r="K153" s="173"/>
      <c r="L153" s="4"/>
      <c r="M153" s="4"/>
      <c r="N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</row>
    <row r="154" spans="1:64" x14ac:dyDescent="0.25">
      <c r="A154" s="42">
        <f>'Données projet'!A147</f>
        <v>0</v>
      </c>
      <c r="B154" s="175">
        <f>'Données projet'!D147</f>
        <v>0</v>
      </c>
      <c r="C154" s="191"/>
      <c r="D154" s="182">
        <f t="shared" si="10"/>
        <v>0</v>
      </c>
      <c r="E154" s="193"/>
      <c r="F154" s="233"/>
      <c r="G154" s="203"/>
      <c r="H154" s="190"/>
      <c r="I154" s="191"/>
      <c r="J154" s="4"/>
      <c r="K154" s="173"/>
      <c r="L154" s="4"/>
      <c r="M154" s="4"/>
      <c r="N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</row>
    <row r="155" spans="1:64" x14ac:dyDescent="0.25">
      <c r="A155" s="42">
        <f>'Données projet'!A148</f>
        <v>0</v>
      </c>
      <c r="B155" s="175">
        <f>'Données projet'!D148</f>
        <v>0</v>
      </c>
      <c r="C155" s="191"/>
      <c r="D155" s="182">
        <f t="shared" si="10"/>
        <v>0</v>
      </c>
      <c r="E155" s="193"/>
      <c r="F155" s="233"/>
      <c r="G155" s="203"/>
      <c r="H155" s="190"/>
      <c r="I155" s="191"/>
      <c r="J155" s="4"/>
      <c r="K155" s="173"/>
      <c r="L155" s="4"/>
      <c r="M155" s="4"/>
      <c r="N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</row>
    <row r="156" spans="1:64" x14ac:dyDescent="0.25">
      <c r="A156" s="42">
        <f>'Données projet'!A149</f>
        <v>0</v>
      </c>
      <c r="B156" s="175">
        <f>'Données projet'!D149</f>
        <v>0</v>
      </c>
      <c r="C156" s="191"/>
      <c r="D156" s="182">
        <f t="shared" si="10"/>
        <v>0</v>
      </c>
      <c r="E156" s="193"/>
      <c r="F156" s="233"/>
      <c r="G156" s="203"/>
      <c r="H156" s="190"/>
      <c r="I156" s="191"/>
      <c r="J156" s="4"/>
      <c r="K156" s="173"/>
      <c r="L156" s="4"/>
      <c r="M156" s="4"/>
      <c r="N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</row>
    <row r="157" spans="1:64" x14ac:dyDescent="0.25">
      <c r="A157" s="42">
        <f>'Données projet'!A150</f>
        <v>0</v>
      </c>
      <c r="B157" s="175">
        <f>'Données projet'!D150</f>
        <v>0</v>
      </c>
      <c r="C157" s="191"/>
      <c r="D157" s="182">
        <f t="shared" si="10"/>
        <v>0</v>
      </c>
      <c r="E157" s="193"/>
      <c r="F157" s="233"/>
      <c r="G157" s="203"/>
      <c r="H157" s="190"/>
      <c r="I157" s="191"/>
      <c r="J157" s="4"/>
      <c r="K157" s="173"/>
      <c r="L157" s="4"/>
      <c r="M157" s="4"/>
      <c r="N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</row>
    <row r="158" spans="1:64" x14ac:dyDescent="0.25">
      <c r="A158" s="42">
        <f>'Données projet'!A151</f>
        <v>0</v>
      </c>
      <c r="B158" s="175">
        <f>'Données projet'!D151</f>
        <v>0</v>
      </c>
      <c r="C158" s="191"/>
      <c r="D158" s="182">
        <f t="shared" si="10"/>
        <v>0</v>
      </c>
      <c r="E158" s="193"/>
      <c r="F158" s="233"/>
      <c r="G158" s="203"/>
      <c r="H158" s="190"/>
      <c r="I158" s="191"/>
      <c r="J158" s="4"/>
      <c r="K158" s="173"/>
      <c r="L158" s="4"/>
      <c r="M158" s="4"/>
      <c r="N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</row>
    <row r="159" spans="1:64" x14ac:dyDescent="0.25">
      <c r="A159" s="42">
        <f>'Données projet'!A152</f>
        <v>0</v>
      </c>
      <c r="B159" s="175">
        <f>'Données projet'!D152</f>
        <v>0</v>
      </c>
      <c r="C159" s="191"/>
      <c r="D159" s="182">
        <f t="shared" si="10"/>
        <v>0</v>
      </c>
      <c r="E159" s="193"/>
      <c r="F159" s="233"/>
      <c r="G159" s="203"/>
      <c r="H159" s="190"/>
      <c r="I159" s="191"/>
      <c r="J159" s="4"/>
      <c r="K159" s="173"/>
      <c r="L159" s="4"/>
      <c r="M159" s="4"/>
      <c r="N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</row>
    <row r="160" spans="1:64" x14ac:dyDescent="0.25">
      <c r="A160" s="42">
        <f>'Données projet'!A153</f>
        <v>0</v>
      </c>
      <c r="B160" s="175">
        <f>'Données projet'!D153</f>
        <v>0</v>
      </c>
      <c r="C160" s="191"/>
      <c r="D160" s="182">
        <f t="shared" si="10"/>
        <v>0</v>
      </c>
      <c r="E160" s="193"/>
      <c r="F160" s="233"/>
      <c r="G160" s="203"/>
      <c r="H160" s="190"/>
      <c r="I160" s="191"/>
      <c r="J160" s="4"/>
      <c r="K160" s="173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</row>
    <row r="161" spans="1:64" x14ac:dyDescent="0.25">
      <c r="A161" s="42">
        <f>'Données projet'!A154</f>
        <v>0</v>
      </c>
      <c r="B161" s="175">
        <f>'Données projet'!D154</f>
        <v>0</v>
      </c>
      <c r="C161" s="191"/>
      <c r="D161" s="182">
        <f t="shared" si="10"/>
        <v>0</v>
      </c>
      <c r="E161" s="193"/>
      <c r="F161" s="233"/>
      <c r="G161" s="203"/>
      <c r="H161" s="190"/>
      <c r="I161" s="191"/>
      <c r="J161" s="4"/>
      <c r="K161" s="173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</row>
    <row r="162" spans="1:64" x14ac:dyDescent="0.25">
      <c r="A162" s="42">
        <f>'Données projet'!A155</f>
        <v>0</v>
      </c>
      <c r="B162" s="175">
        <f>'Données projet'!D155</f>
        <v>0</v>
      </c>
      <c r="C162" s="191"/>
      <c r="D162" s="182">
        <f t="shared" si="10"/>
        <v>0</v>
      </c>
      <c r="E162" s="193"/>
      <c r="F162" s="233"/>
      <c r="G162" s="203"/>
      <c r="H162" s="190"/>
      <c r="I162" s="191"/>
      <c r="J162" s="4"/>
      <c r="K162" s="173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</row>
    <row r="163" spans="1:64" x14ac:dyDescent="0.25">
      <c r="A163" s="42">
        <f>'Données projet'!A156</f>
        <v>0</v>
      </c>
      <c r="B163" s="175">
        <f>'Données projet'!D156</f>
        <v>0</v>
      </c>
      <c r="C163" s="191"/>
      <c r="D163" s="182">
        <f t="shared" si="10"/>
        <v>0</v>
      </c>
      <c r="E163" s="193"/>
      <c r="F163" s="233"/>
      <c r="G163" s="203"/>
      <c r="H163" s="190"/>
      <c r="I163" s="191"/>
      <c r="J163" s="4"/>
      <c r="K163" s="173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</row>
    <row r="164" spans="1:64" x14ac:dyDescent="0.25">
      <c r="A164" s="42">
        <f>'Données projet'!A157</f>
        <v>0</v>
      </c>
      <c r="B164" s="175">
        <f>'Données projet'!D157</f>
        <v>0</v>
      </c>
      <c r="C164" s="191"/>
      <c r="D164" s="182">
        <f t="shared" si="10"/>
        <v>0</v>
      </c>
      <c r="E164" s="193"/>
      <c r="F164" s="233"/>
      <c r="G164" s="203"/>
      <c r="H164" s="190"/>
      <c r="I164" s="191"/>
      <c r="J164" s="4"/>
      <c r="K164" s="173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</row>
    <row r="165" spans="1:64" x14ac:dyDescent="0.25">
      <c r="A165" s="42">
        <f>'Données projet'!A158</f>
        <v>0</v>
      </c>
      <c r="B165" s="175">
        <f>'Données projet'!D158</f>
        <v>0</v>
      </c>
      <c r="C165" s="191"/>
      <c r="D165" s="182">
        <f t="shared" si="10"/>
        <v>0</v>
      </c>
      <c r="E165" s="193"/>
      <c r="F165" s="233"/>
      <c r="G165" s="203"/>
      <c r="H165" s="190"/>
      <c r="I165" s="191"/>
      <c r="J165" s="4"/>
      <c r="K165" s="173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</row>
    <row r="166" spans="1:64" x14ac:dyDescent="0.25">
      <c r="A166" s="42">
        <f>'Données projet'!A159</f>
        <v>0</v>
      </c>
      <c r="B166" s="175">
        <f>'Données projet'!D159</f>
        <v>0</v>
      </c>
      <c r="C166" s="191"/>
      <c r="D166" s="182">
        <f t="shared" si="10"/>
        <v>0</v>
      </c>
      <c r="E166" s="193"/>
      <c r="F166" s="233"/>
      <c r="G166" s="203"/>
      <c r="H166" s="190"/>
      <c r="I166" s="191"/>
      <c r="J166" s="4"/>
      <c r="K166" s="173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</row>
    <row r="167" spans="1:64" x14ac:dyDescent="0.25">
      <c r="A167" s="4"/>
      <c r="B167" s="4"/>
      <c r="C167" s="4"/>
      <c r="D167" s="4"/>
      <c r="E167" s="4"/>
      <c r="F167" s="230"/>
      <c r="G167" s="203"/>
      <c r="H167" s="190"/>
      <c r="I167" s="191"/>
      <c r="J167" s="4"/>
      <c r="K167" s="173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</row>
    <row r="168" spans="1:64" x14ac:dyDescent="0.25">
      <c r="A168" s="4"/>
      <c r="B168" s="4"/>
      <c r="C168" s="4"/>
      <c r="D168" s="4"/>
      <c r="E168" s="4"/>
      <c r="F168" s="230"/>
      <c r="G168" s="203"/>
      <c r="H168" s="190"/>
      <c r="I168" s="191"/>
      <c r="J168" s="4"/>
      <c r="K168" s="173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</row>
    <row r="169" spans="1:64" x14ac:dyDescent="0.25">
      <c r="A169" s="46" t="s">
        <v>170</v>
      </c>
      <c r="B169" s="174" t="str">
        <f>IF('Données projet'!B14="","",'Données projet'!B14)</f>
        <v>Aulne glutineux</v>
      </c>
      <c r="C169" s="4"/>
      <c r="D169" s="4"/>
      <c r="E169" s="4"/>
      <c r="F169" s="230"/>
      <c r="G169" s="203"/>
      <c r="H169" s="190"/>
      <c r="I169" s="191"/>
      <c r="J169" s="4"/>
      <c r="K169" s="173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</row>
    <row r="170" spans="1:64" x14ac:dyDescent="0.25">
      <c r="A170" s="4"/>
      <c r="B170" s="4"/>
      <c r="C170" s="4"/>
      <c r="D170" s="4"/>
      <c r="E170" s="4"/>
      <c r="F170" s="230"/>
      <c r="G170" s="203"/>
      <c r="H170" s="190"/>
      <c r="I170" s="191"/>
      <c r="J170" s="4"/>
      <c r="K170" s="173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</row>
    <row r="171" spans="1:64" x14ac:dyDescent="0.25">
      <c r="A171" s="36" t="s">
        <v>180</v>
      </c>
      <c r="B171" s="48" t="s">
        <v>256</v>
      </c>
      <c r="C171" s="48" t="s">
        <v>255</v>
      </c>
      <c r="D171" s="36" t="s">
        <v>252</v>
      </c>
      <c r="E171" s="36" t="s">
        <v>320</v>
      </c>
      <c r="F171" s="231"/>
      <c r="G171" s="203"/>
      <c r="H171" s="190"/>
      <c r="I171" s="191"/>
      <c r="J171" s="4"/>
      <c r="K171" s="173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</row>
    <row r="172" spans="1:64" x14ac:dyDescent="0.25">
      <c r="A172" s="49">
        <v>0</v>
      </c>
      <c r="B172" s="199" t="s">
        <v>132</v>
      </c>
      <c r="C172" s="198" t="s">
        <v>132</v>
      </c>
      <c r="D172" s="197" t="s">
        <v>132</v>
      </c>
      <c r="E172" s="193">
        <v>2300</v>
      </c>
      <c r="F172" s="231"/>
      <c r="G172" s="203"/>
      <c r="H172" s="190"/>
      <c r="I172" s="191"/>
      <c r="J172" s="4"/>
      <c r="K172" s="173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</row>
    <row r="173" spans="1:64" x14ac:dyDescent="0.25">
      <c r="A173" s="49">
        <v>1</v>
      </c>
      <c r="B173" s="199" t="s">
        <v>132</v>
      </c>
      <c r="C173" s="198" t="s">
        <v>132</v>
      </c>
      <c r="D173" s="197" t="s">
        <v>132</v>
      </c>
      <c r="E173" s="193"/>
      <c r="F173" s="231"/>
      <c r="G173" s="23"/>
      <c r="H173" s="190"/>
      <c r="I173" s="191"/>
      <c r="J173" s="4"/>
      <c r="K173" s="173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</row>
    <row r="174" spans="1:64" x14ac:dyDescent="0.25">
      <c r="A174" s="49">
        <v>2</v>
      </c>
      <c r="B174" s="199" t="s">
        <v>132</v>
      </c>
      <c r="C174" s="198" t="s">
        <v>132</v>
      </c>
      <c r="D174" s="197" t="s">
        <v>132</v>
      </c>
      <c r="E174" s="193"/>
      <c r="F174" s="231"/>
      <c r="G174" s="23"/>
      <c r="H174" s="190"/>
      <c r="I174" s="191"/>
      <c r="J174" s="4"/>
      <c r="K174" s="173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</row>
    <row r="175" spans="1:64" x14ac:dyDescent="0.25">
      <c r="A175" s="49">
        <v>3</v>
      </c>
      <c r="B175" s="199" t="s">
        <v>132</v>
      </c>
      <c r="C175" s="198" t="s">
        <v>132</v>
      </c>
      <c r="D175" s="197" t="s">
        <v>132</v>
      </c>
      <c r="E175" s="193"/>
      <c r="F175" s="231"/>
      <c r="G175" s="23"/>
      <c r="H175" s="190"/>
      <c r="I175" s="191"/>
      <c r="J175" s="4"/>
      <c r="K175" s="173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</row>
    <row r="176" spans="1:64" x14ac:dyDescent="0.25">
      <c r="A176" s="49">
        <v>4</v>
      </c>
      <c r="B176" s="199" t="s">
        <v>132</v>
      </c>
      <c r="C176" s="198" t="s">
        <v>132</v>
      </c>
      <c r="D176" s="197" t="s">
        <v>132</v>
      </c>
      <c r="E176" s="193"/>
      <c r="F176" s="231"/>
      <c r="G176" s="23"/>
      <c r="H176" s="190"/>
      <c r="I176" s="191"/>
      <c r="J176" s="4"/>
      <c r="K176" s="173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</row>
    <row r="177" spans="1:64" ht="15" customHeight="1" x14ac:dyDescent="0.25">
      <c r="A177" s="49">
        <v>5</v>
      </c>
      <c r="B177" s="199" t="s">
        <v>132</v>
      </c>
      <c r="C177" s="198" t="s">
        <v>132</v>
      </c>
      <c r="D177" s="197" t="s">
        <v>132</v>
      </c>
      <c r="E177" s="193"/>
      <c r="F177" s="231"/>
      <c r="G177" s="205"/>
      <c r="H177" s="190"/>
      <c r="I177" s="191"/>
      <c r="J177" s="4"/>
      <c r="K177" s="173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</row>
    <row r="178" spans="1:64" x14ac:dyDescent="0.25">
      <c r="A178" s="180">
        <f>'Données projet'!A166</f>
        <v>10</v>
      </c>
      <c r="B178" s="181">
        <f>'Données projet'!D166</f>
        <v>0</v>
      </c>
      <c r="C178" s="193">
        <v>10</v>
      </c>
      <c r="D178" s="179">
        <f>B178*C178</f>
        <v>0</v>
      </c>
      <c r="E178" s="193"/>
      <c r="F178" s="232"/>
      <c r="G178" s="205"/>
      <c r="H178" s="190"/>
      <c r="I178" s="191"/>
      <c r="J178" s="4"/>
      <c r="K178" s="173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</row>
    <row r="179" spans="1:64" x14ac:dyDescent="0.25">
      <c r="A179" s="180">
        <f>'Données projet'!A167</f>
        <v>20</v>
      </c>
      <c r="B179" s="181">
        <f>'Données projet'!D167</f>
        <v>18</v>
      </c>
      <c r="C179" s="193">
        <v>10</v>
      </c>
      <c r="D179" s="179">
        <f t="shared" ref="D179:D197" si="11">B179*C179</f>
        <v>180</v>
      </c>
      <c r="E179" s="193"/>
      <c r="F179" s="232"/>
      <c r="G179" s="205"/>
      <c r="H179" s="190"/>
      <c r="I179" s="191"/>
      <c r="J179" s="4"/>
      <c r="K179" s="173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</row>
    <row r="180" spans="1:64" x14ac:dyDescent="0.25">
      <c r="A180" s="180">
        <f>'Données projet'!A168</f>
        <v>30</v>
      </c>
      <c r="B180" s="181">
        <f>'Données projet'!D168</f>
        <v>50</v>
      </c>
      <c r="C180" s="193">
        <v>10</v>
      </c>
      <c r="D180" s="179">
        <f t="shared" si="11"/>
        <v>500</v>
      </c>
      <c r="E180" s="193"/>
      <c r="F180" s="232"/>
      <c r="G180" s="205"/>
      <c r="H180" s="190"/>
      <c r="I180" s="191"/>
      <c r="J180" s="4"/>
      <c r="K180" s="173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</row>
    <row r="181" spans="1:64" x14ac:dyDescent="0.25">
      <c r="A181" s="180">
        <f>'Données projet'!A169</f>
        <v>40</v>
      </c>
      <c r="B181" s="181">
        <f>'Données projet'!D169</f>
        <v>56</v>
      </c>
      <c r="C181" s="193">
        <v>10</v>
      </c>
      <c r="D181" s="179">
        <f t="shared" si="11"/>
        <v>560</v>
      </c>
      <c r="E181" s="193"/>
      <c r="F181" s="232"/>
      <c r="G181" s="205"/>
      <c r="H181" s="190"/>
      <c r="I181" s="191"/>
      <c r="J181" s="4"/>
      <c r="K181" s="173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</row>
    <row r="182" spans="1:64" x14ac:dyDescent="0.25">
      <c r="A182" s="180">
        <f>'Données projet'!A170</f>
        <v>50</v>
      </c>
      <c r="B182" s="181">
        <f>'Données projet'!D170</f>
        <v>55</v>
      </c>
      <c r="C182" s="193">
        <v>10</v>
      </c>
      <c r="D182" s="179">
        <f t="shared" si="11"/>
        <v>550</v>
      </c>
      <c r="E182" s="193"/>
      <c r="F182" s="232"/>
      <c r="G182" s="205"/>
      <c r="H182" s="190"/>
      <c r="I182" s="191"/>
      <c r="J182" s="4"/>
      <c r="K182" s="173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</row>
    <row r="183" spans="1:64" x14ac:dyDescent="0.25">
      <c r="A183" s="180">
        <f>'Données projet'!A171</f>
        <v>60</v>
      </c>
      <c r="B183" s="181">
        <f>'Données projet'!D171</f>
        <v>49</v>
      </c>
      <c r="C183" s="193">
        <v>10</v>
      </c>
      <c r="D183" s="179">
        <f t="shared" si="11"/>
        <v>490</v>
      </c>
      <c r="E183" s="193"/>
      <c r="F183" s="232"/>
      <c r="G183" s="205"/>
      <c r="H183" s="190"/>
      <c r="I183" s="191"/>
      <c r="J183" s="4"/>
      <c r="K183" s="173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</row>
    <row r="184" spans="1:64" x14ac:dyDescent="0.25">
      <c r="A184" s="180">
        <f>'Données projet'!A172</f>
        <v>70</v>
      </c>
      <c r="B184" s="181">
        <f>'Données projet'!D172</f>
        <v>43</v>
      </c>
      <c r="C184" s="193">
        <v>10</v>
      </c>
      <c r="D184" s="179">
        <f t="shared" si="11"/>
        <v>430</v>
      </c>
      <c r="E184" s="193"/>
      <c r="F184" s="232"/>
      <c r="G184" s="206"/>
      <c r="H184" s="190"/>
      <c r="I184" s="191"/>
      <c r="J184" s="4"/>
      <c r="K184" s="173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</row>
    <row r="185" spans="1:64" x14ac:dyDescent="0.25">
      <c r="A185" s="180">
        <f>'Données projet'!A173</f>
        <v>80</v>
      </c>
      <c r="B185" s="181">
        <f>'Données projet'!D173</f>
        <v>37</v>
      </c>
      <c r="C185" s="193">
        <v>10</v>
      </c>
      <c r="D185" s="179">
        <f t="shared" si="11"/>
        <v>370</v>
      </c>
      <c r="E185" s="193"/>
      <c r="F185" s="232"/>
      <c r="G185" s="206"/>
      <c r="H185" s="190"/>
      <c r="I185" s="191"/>
      <c r="J185" s="4"/>
      <c r="K185" s="173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</row>
    <row r="186" spans="1:64" x14ac:dyDescent="0.25">
      <c r="A186" s="180">
        <f>'Données projet'!A174</f>
        <v>90</v>
      </c>
      <c r="B186" s="181">
        <f>'Données projet'!D174</f>
        <v>31</v>
      </c>
      <c r="C186" s="193"/>
      <c r="D186" s="179">
        <f t="shared" si="11"/>
        <v>0</v>
      </c>
      <c r="E186" s="193"/>
      <c r="F186" s="232"/>
      <c r="G186" s="206"/>
      <c r="H186" s="190"/>
      <c r="I186" s="191"/>
      <c r="J186" s="4"/>
      <c r="K186" s="173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</row>
    <row r="187" spans="1:64" x14ac:dyDescent="0.25">
      <c r="A187" s="180">
        <f>'Données projet'!A175</f>
        <v>0</v>
      </c>
      <c r="B187" s="181">
        <f>'Données projet'!D175</f>
        <v>0</v>
      </c>
      <c r="C187" s="193"/>
      <c r="D187" s="179">
        <f t="shared" si="11"/>
        <v>0</v>
      </c>
      <c r="E187" s="193"/>
      <c r="F187" s="232"/>
      <c r="G187" s="206"/>
      <c r="H187" s="190"/>
      <c r="I187" s="191"/>
      <c r="J187" s="4"/>
      <c r="K187" s="173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</row>
    <row r="188" spans="1:64" x14ac:dyDescent="0.25">
      <c r="A188" s="180">
        <f>'Données projet'!A176</f>
        <v>0</v>
      </c>
      <c r="B188" s="181">
        <f>'Données projet'!D176</f>
        <v>0</v>
      </c>
      <c r="C188" s="193"/>
      <c r="D188" s="179">
        <f t="shared" si="11"/>
        <v>0</v>
      </c>
      <c r="E188" s="193"/>
      <c r="F188" s="232"/>
      <c r="G188" s="206"/>
      <c r="H188" s="190"/>
      <c r="I188" s="191"/>
      <c r="J188" s="4"/>
      <c r="K188" s="173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</row>
    <row r="189" spans="1:64" x14ac:dyDescent="0.25">
      <c r="A189" s="180">
        <f>'Données projet'!A177</f>
        <v>0</v>
      </c>
      <c r="B189" s="181">
        <f>'Données projet'!D177</f>
        <v>0</v>
      </c>
      <c r="C189" s="193"/>
      <c r="D189" s="179">
        <f t="shared" si="11"/>
        <v>0</v>
      </c>
      <c r="E189" s="193"/>
      <c r="F189" s="232"/>
      <c r="G189" s="206"/>
      <c r="H189" s="190"/>
      <c r="I189" s="191"/>
      <c r="J189" s="4"/>
      <c r="K189" s="173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</row>
    <row r="190" spans="1:64" x14ac:dyDescent="0.25">
      <c r="A190" s="180">
        <f>'Données projet'!A178</f>
        <v>0</v>
      </c>
      <c r="B190" s="181">
        <f>'Données projet'!D178</f>
        <v>0</v>
      </c>
      <c r="C190" s="193"/>
      <c r="D190" s="179">
        <f t="shared" si="11"/>
        <v>0</v>
      </c>
      <c r="E190" s="193"/>
      <c r="F190" s="232"/>
      <c r="G190" s="206"/>
      <c r="H190" s="190"/>
      <c r="I190" s="191"/>
      <c r="J190" s="4"/>
      <c r="K190" s="173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</row>
    <row r="191" spans="1:64" x14ac:dyDescent="0.25">
      <c r="A191" s="180">
        <f>'Données projet'!A179</f>
        <v>0</v>
      </c>
      <c r="B191" s="181">
        <f>'Données projet'!D179</f>
        <v>0</v>
      </c>
      <c r="C191" s="193"/>
      <c r="D191" s="179">
        <f t="shared" si="11"/>
        <v>0</v>
      </c>
      <c r="E191" s="193"/>
      <c r="F191" s="232"/>
      <c r="G191" s="206"/>
      <c r="H191" s="190"/>
      <c r="I191" s="191"/>
      <c r="J191" s="4"/>
      <c r="K191" s="173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</row>
    <row r="192" spans="1:64" x14ac:dyDescent="0.25">
      <c r="A192" s="180">
        <f>'Données projet'!A180</f>
        <v>0</v>
      </c>
      <c r="B192" s="181">
        <f>'Données projet'!D180</f>
        <v>0</v>
      </c>
      <c r="C192" s="193"/>
      <c r="D192" s="179">
        <f t="shared" si="11"/>
        <v>0</v>
      </c>
      <c r="E192" s="193"/>
      <c r="F192" s="232"/>
      <c r="G192" s="206"/>
      <c r="H192" s="190"/>
      <c r="I192" s="191"/>
      <c r="J192" s="4"/>
      <c r="K192" s="173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</row>
    <row r="193" spans="1:64" x14ac:dyDescent="0.25">
      <c r="A193" s="180">
        <f>'Données projet'!A181</f>
        <v>0</v>
      </c>
      <c r="B193" s="181">
        <f>'Données projet'!D181</f>
        <v>0</v>
      </c>
      <c r="C193" s="193"/>
      <c r="D193" s="179">
        <f t="shared" si="11"/>
        <v>0</v>
      </c>
      <c r="E193" s="193"/>
      <c r="F193" s="232"/>
      <c r="G193" s="206"/>
      <c r="H193" s="190"/>
      <c r="I193" s="191"/>
      <c r="J193" s="4"/>
      <c r="K193" s="173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</row>
    <row r="194" spans="1:64" x14ac:dyDescent="0.25">
      <c r="A194" s="180">
        <f>'Données projet'!A182</f>
        <v>0</v>
      </c>
      <c r="B194" s="181">
        <f>'Données projet'!D182</f>
        <v>0</v>
      </c>
      <c r="C194" s="193"/>
      <c r="D194" s="179">
        <f t="shared" si="11"/>
        <v>0</v>
      </c>
      <c r="E194" s="193"/>
      <c r="F194" s="232"/>
      <c r="G194" s="206"/>
      <c r="H194" s="190"/>
      <c r="I194" s="191"/>
      <c r="J194" s="4"/>
      <c r="K194" s="173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</row>
    <row r="195" spans="1:64" x14ac:dyDescent="0.25">
      <c r="A195" s="180">
        <f>'Données projet'!A183</f>
        <v>0</v>
      </c>
      <c r="B195" s="181">
        <f>'Données projet'!D183</f>
        <v>0</v>
      </c>
      <c r="C195" s="193"/>
      <c r="D195" s="179">
        <f t="shared" si="11"/>
        <v>0</v>
      </c>
      <c r="E195" s="193"/>
      <c r="F195" s="232"/>
      <c r="G195" s="206"/>
      <c r="H195" s="190"/>
      <c r="I195" s="191"/>
      <c r="J195" s="4"/>
      <c r="K195" s="173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</row>
    <row r="196" spans="1:64" x14ac:dyDescent="0.25">
      <c r="A196" s="180">
        <f>'Données projet'!A184</f>
        <v>0</v>
      </c>
      <c r="B196" s="181">
        <f>'Données projet'!D184</f>
        <v>0</v>
      </c>
      <c r="C196" s="193"/>
      <c r="D196" s="179">
        <f t="shared" si="11"/>
        <v>0</v>
      </c>
      <c r="E196" s="193"/>
      <c r="F196" s="232"/>
      <c r="G196" s="206"/>
      <c r="H196" s="190"/>
      <c r="I196" s="191"/>
      <c r="J196" s="4"/>
      <c r="K196" s="173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</row>
    <row r="197" spans="1:64" x14ac:dyDescent="0.25">
      <c r="A197" s="180">
        <f>'Données projet'!A185</f>
        <v>0</v>
      </c>
      <c r="B197" s="181">
        <f>'Données projet'!D185</f>
        <v>0</v>
      </c>
      <c r="C197" s="193"/>
      <c r="D197" s="179">
        <f t="shared" si="11"/>
        <v>0</v>
      </c>
      <c r="E197" s="193"/>
      <c r="F197" s="232"/>
      <c r="G197" s="206"/>
      <c r="H197" s="190"/>
      <c r="I197" s="191"/>
      <c r="J197" s="4"/>
      <c r="K197" s="173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</row>
    <row r="198" spans="1:64" x14ac:dyDescent="0.25">
      <c r="A198" s="4"/>
      <c r="B198" s="4"/>
      <c r="C198" s="4"/>
      <c r="D198" s="4"/>
      <c r="E198" s="4"/>
      <c r="F198" s="230"/>
      <c r="G198" s="206"/>
      <c r="H198" s="190"/>
      <c r="I198" s="191"/>
      <c r="J198" s="4"/>
      <c r="K198" s="17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</row>
    <row r="199" spans="1:64" x14ac:dyDescent="0.25">
      <c r="A199" s="4"/>
      <c r="B199" s="4"/>
      <c r="C199" s="4"/>
      <c r="D199" s="4"/>
      <c r="E199" s="4"/>
      <c r="F199" s="230"/>
      <c r="G199" s="206"/>
      <c r="H199" s="190"/>
      <c r="I199" s="191"/>
      <c r="J199" s="4"/>
      <c r="K199" s="173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</row>
    <row r="200" spans="1:64" x14ac:dyDescent="0.25">
      <c r="A200" s="46" t="s">
        <v>171</v>
      </c>
      <c r="B200" s="174" t="str">
        <f>IF('Données projet'!$B$15="","",'Données projet'!$B$15)</f>
        <v>Bouleau verruqueux</v>
      </c>
      <c r="C200" s="4"/>
      <c r="D200" s="4"/>
      <c r="E200" s="4"/>
      <c r="F200" s="230"/>
      <c r="G200" s="206"/>
      <c r="H200" s="190"/>
      <c r="I200" s="191"/>
      <c r="J200" s="4"/>
      <c r="K200" s="173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</row>
    <row r="201" spans="1:64" x14ac:dyDescent="0.25">
      <c r="A201" s="46"/>
      <c r="B201" s="4"/>
      <c r="C201" s="4"/>
      <c r="D201" s="4"/>
      <c r="E201" s="4"/>
      <c r="F201" s="230"/>
      <c r="G201" s="206"/>
      <c r="H201" s="190"/>
      <c r="I201" s="191"/>
      <c r="J201" s="4"/>
      <c r="K201" s="173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</row>
    <row r="202" spans="1:64" x14ac:dyDescent="0.25">
      <c r="A202" s="36" t="s">
        <v>180</v>
      </c>
      <c r="B202" s="48" t="s">
        <v>256</v>
      </c>
      <c r="C202" s="48" t="s">
        <v>255</v>
      </c>
      <c r="D202" s="36" t="s">
        <v>252</v>
      </c>
      <c r="E202" s="36" t="s">
        <v>320</v>
      </c>
      <c r="F202" s="231"/>
      <c r="G202" s="206"/>
      <c r="H202" s="190"/>
      <c r="I202" s="191"/>
      <c r="J202" s="4"/>
      <c r="K202" s="173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</row>
    <row r="203" spans="1:64" x14ac:dyDescent="0.25">
      <c r="A203" s="49">
        <v>0</v>
      </c>
      <c r="B203" s="199" t="s">
        <v>132</v>
      </c>
      <c r="C203" s="198" t="s">
        <v>132</v>
      </c>
      <c r="D203" s="197" t="s">
        <v>132</v>
      </c>
      <c r="E203" s="193">
        <v>2300</v>
      </c>
      <c r="F203" s="231"/>
      <c r="G203" s="206"/>
      <c r="H203" s="190"/>
      <c r="I203" s="191"/>
      <c r="J203" s="4"/>
      <c r="K203" s="173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</row>
    <row r="204" spans="1:64" x14ac:dyDescent="0.25">
      <c r="A204" s="49">
        <v>1</v>
      </c>
      <c r="B204" s="199" t="s">
        <v>132</v>
      </c>
      <c r="C204" s="198" t="s">
        <v>132</v>
      </c>
      <c r="D204" s="197" t="s">
        <v>132</v>
      </c>
      <c r="E204" s="193"/>
      <c r="F204" s="231"/>
      <c r="G204" s="23"/>
      <c r="H204" s="190"/>
      <c r="I204" s="191"/>
      <c r="J204" s="4"/>
      <c r="K204" s="173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</row>
    <row r="205" spans="1:64" x14ac:dyDescent="0.25">
      <c r="A205" s="49">
        <v>2</v>
      </c>
      <c r="B205" s="199" t="s">
        <v>132</v>
      </c>
      <c r="C205" s="198" t="s">
        <v>132</v>
      </c>
      <c r="D205" s="197" t="s">
        <v>132</v>
      </c>
      <c r="E205" s="193"/>
      <c r="F205" s="231"/>
      <c r="G205" s="23"/>
      <c r="H205" s="190"/>
      <c r="I205" s="191"/>
      <c r="J205" s="4"/>
      <c r="K205" s="173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</row>
    <row r="206" spans="1:64" x14ac:dyDescent="0.25">
      <c r="A206" s="49">
        <v>3</v>
      </c>
      <c r="B206" s="199" t="s">
        <v>132</v>
      </c>
      <c r="C206" s="198" t="s">
        <v>132</v>
      </c>
      <c r="D206" s="197" t="s">
        <v>132</v>
      </c>
      <c r="E206" s="193"/>
      <c r="F206" s="231"/>
      <c r="G206" s="23"/>
      <c r="H206" s="190"/>
      <c r="I206" s="191"/>
      <c r="J206" s="4"/>
      <c r="K206" s="173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</row>
    <row r="207" spans="1:64" x14ac:dyDescent="0.25">
      <c r="A207" s="49">
        <v>4</v>
      </c>
      <c r="B207" s="199" t="s">
        <v>132</v>
      </c>
      <c r="C207" s="198" t="s">
        <v>132</v>
      </c>
      <c r="D207" s="197" t="s">
        <v>132</v>
      </c>
      <c r="E207" s="193"/>
      <c r="F207" s="231"/>
      <c r="G207" s="23"/>
      <c r="H207" s="190"/>
      <c r="I207" s="191"/>
      <c r="J207" s="4"/>
      <c r="K207" s="173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</row>
    <row r="208" spans="1:64" x14ac:dyDescent="0.25">
      <c r="A208" s="49">
        <v>5</v>
      </c>
      <c r="B208" s="199" t="s">
        <v>132</v>
      </c>
      <c r="C208" s="198" t="s">
        <v>132</v>
      </c>
      <c r="D208" s="197" t="s">
        <v>132</v>
      </c>
      <c r="E208" s="193"/>
      <c r="F208" s="231"/>
      <c r="G208" s="205"/>
      <c r="H208" s="190"/>
      <c r="I208" s="191"/>
      <c r="J208" s="4"/>
      <c r="K208" s="173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</row>
    <row r="209" spans="1:64" x14ac:dyDescent="0.25">
      <c r="A209" s="180">
        <f>'Données projet'!A192</f>
        <v>15</v>
      </c>
      <c r="B209" s="181">
        <f>'Données projet'!D192</f>
        <v>0</v>
      </c>
      <c r="C209" s="193"/>
      <c r="D209" s="179">
        <f>B209*C209</f>
        <v>0</v>
      </c>
      <c r="E209" s="193"/>
      <c r="F209" s="232"/>
      <c r="G209" s="205"/>
      <c r="H209" s="190"/>
      <c r="I209" s="191"/>
      <c r="J209" s="4"/>
      <c r="K209" s="173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</row>
    <row r="210" spans="1:64" x14ac:dyDescent="0.25">
      <c r="A210" s="180">
        <f>'Données projet'!A193</f>
        <v>20</v>
      </c>
      <c r="B210" s="181">
        <f>'Données projet'!D193</f>
        <v>18</v>
      </c>
      <c r="C210" s="193">
        <v>5</v>
      </c>
      <c r="D210" s="179">
        <f t="shared" ref="D210:D228" si="12">B210*C210</f>
        <v>90</v>
      </c>
      <c r="E210" s="193"/>
      <c r="F210" s="232"/>
      <c r="G210" s="205"/>
      <c r="H210" s="190"/>
      <c r="I210" s="191"/>
      <c r="J210" s="4"/>
      <c r="K210" s="173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</row>
    <row r="211" spans="1:64" x14ac:dyDescent="0.25">
      <c r="A211" s="180">
        <f>'Données projet'!A194</f>
        <v>30</v>
      </c>
      <c r="B211" s="181">
        <f>'Données projet'!D194</f>
        <v>26</v>
      </c>
      <c r="C211" s="193">
        <v>5</v>
      </c>
      <c r="D211" s="179">
        <f t="shared" si="12"/>
        <v>130</v>
      </c>
      <c r="E211" s="193"/>
      <c r="F211" s="232"/>
      <c r="G211" s="205"/>
      <c r="H211" s="190"/>
      <c r="I211" s="191"/>
      <c r="J211" s="4"/>
      <c r="K211" s="173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</row>
    <row r="212" spans="1:64" x14ac:dyDescent="0.25">
      <c r="A212" s="180">
        <f>'Données projet'!A195</f>
        <v>40</v>
      </c>
      <c r="B212" s="181">
        <f>'Données projet'!D195</f>
        <v>31</v>
      </c>
      <c r="C212" s="193">
        <v>5</v>
      </c>
      <c r="D212" s="179">
        <f t="shared" si="12"/>
        <v>155</v>
      </c>
      <c r="E212" s="193"/>
      <c r="F212" s="232"/>
      <c r="G212" s="205"/>
      <c r="H212" s="190"/>
      <c r="I212" s="191"/>
      <c r="J212" s="4"/>
      <c r="K212" s="173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</row>
    <row r="213" spans="1:64" x14ac:dyDescent="0.25">
      <c r="A213" s="180">
        <f>'Données projet'!A196</f>
        <v>50</v>
      </c>
      <c r="B213" s="181">
        <f>'Données projet'!D196</f>
        <v>34</v>
      </c>
      <c r="C213" s="193">
        <v>5</v>
      </c>
      <c r="D213" s="179">
        <f t="shared" si="12"/>
        <v>170</v>
      </c>
      <c r="E213" s="193"/>
      <c r="F213" s="232"/>
      <c r="G213" s="205"/>
      <c r="H213" s="190"/>
      <c r="I213" s="191"/>
      <c r="J213" s="4"/>
      <c r="K213" s="173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</row>
    <row r="214" spans="1:64" x14ac:dyDescent="0.25">
      <c r="A214" s="180">
        <f>'Données projet'!A197</f>
        <v>60</v>
      </c>
      <c r="B214" s="181">
        <f>'Données projet'!D197</f>
        <v>34</v>
      </c>
      <c r="C214" s="193">
        <v>10</v>
      </c>
      <c r="D214" s="179">
        <f t="shared" si="12"/>
        <v>340</v>
      </c>
      <c r="E214" s="193"/>
      <c r="F214" s="232"/>
      <c r="G214" s="205"/>
      <c r="H214" s="190"/>
      <c r="I214" s="191"/>
      <c r="J214" s="4"/>
      <c r="K214" s="173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</row>
    <row r="215" spans="1:64" x14ac:dyDescent="0.25">
      <c r="A215" s="180">
        <f>'Données projet'!A198</f>
        <v>70</v>
      </c>
      <c r="B215" s="181">
        <f>'Données projet'!D198</f>
        <v>34</v>
      </c>
      <c r="C215" s="193">
        <v>10</v>
      </c>
      <c r="D215" s="179">
        <f t="shared" si="12"/>
        <v>340</v>
      </c>
      <c r="E215" s="193"/>
      <c r="F215" s="232"/>
      <c r="G215" s="206"/>
      <c r="H215" s="190"/>
      <c r="I215" s="191"/>
      <c r="J215" s="4"/>
      <c r="K215" s="173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</row>
    <row r="216" spans="1:64" x14ac:dyDescent="0.25">
      <c r="A216" s="180">
        <f>'Données projet'!A199</f>
        <v>80</v>
      </c>
      <c r="B216" s="181">
        <f>'Données projet'!D199</f>
        <v>33</v>
      </c>
      <c r="C216" s="193">
        <v>30</v>
      </c>
      <c r="D216" s="179">
        <f t="shared" si="12"/>
        <v>990</v>
      </c>
      <c r="E216" s="193"/>
      <c r="F216" s="232"/>
      <c r="G216" s="206"/>
      <c r="H216" s="190"/>
      <c r="I216" s="191"/>
      <c r="J216" s="4"/>
      <c r="K216" s="173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</row>
    <row r="217" spans="1:64" x14ac:dyDescent="0.25">
      <c r="A217" s="180">
        <f>'Données projet'!A200</f>
        <v>90</v>
      </c>
      <c r="B217" s="181">
        <f>'Données projet'!D200</f>
        <v>31</v>
      </c>
      <c r="C217" s="193"/>
      <c r="D217" s="179">
        <f t="shared" si="12"/>
        <v>0</v>
      </c>
      <c r="E217" s="193"/>
      <c r="F217" s="232"/>
      <c r="G217" s="206"/>
      <c r="H217" s="190"/>
      <c r="I217" s="191"/>
      <c r="J217" s="4"/>
      <c r="K217" s="173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</row>
    <row r="218" spans="1:64" x14ac:dyDescent="0.25">
      <c r="A218" s="180">
        <f>'Données projet'!A201</f>
        <v>0</v>
      </c>
      <c r="B218" s="181">
        <f>'Données projet'!D201</f>
        <v>0</v>
      </c>
      <c r="C218" s="193"/>
      <c r="D218" s="179">
        <f t="shared" si="12"/>
        <v>0</v>
      </c>
      <c r="E218" s="193"/>
      <c r="F218" s="232"/>
      <c r="G218" s="206"/>
      <c r="H218" s="190"/>
      <c r="I218" s="191"/>
      <c r="J218" s="4"/>
      <c r="K218" s="173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</row>
    <row r="219" spans="1:64" x14ac:dyDescent="0.25">
      <c r="A219" s="180">
        <f>'Données projet'!A202</f>
        <v>0</v>
      </c>
      <c r="B219" s="181">
        <f>'Données projet'!D202</f>
        <v>0</v>
      </c>
      <c r="C219" s="193"/>
      <c r="D219" s="179">
        <f t="shared" si="12"/>
        <v>0</v>
      </c>
      <c r="E219" s="193"/>
      <c r="F219" s="232"/>
      <c r="G219" s="206"/>
      <c r="H219" s="190"/>
      <c r="I219" s="191"/>
      <c r="J219" s="4"/>
      <c r="K219" s="173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</row>
    <row r="220" spans="1:64" x14ac:dyDescent="0.25">
      <c r="A220" s="180">
        <f>'Données projet'!A203</f>
        <v>0</v>
      </c>
      <c r="B220" s="181">
        <f>'Données projet'!D203</f>
        <v>0</v>
      </c>
      <c r="C220" s="193"/>
      <c r="D220" s="179">
        <f t="shared" si="12"/>
        <v>0</v>
      </c>
      <c r="E220" s="193"/>
      <c r="F220" s="232"/>
      <c r="G220" s="206"/>
      <c r="H220" s="4"/>
      <c r="I220" s="4"/>
      <c r="J220" s="4"/>
      <c r="K220" s="173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</row>
    <row r="221" spans="1:64" x14ac:dyDescent="0.25">
      <c r="A221" s="180">
        <f>'Données projet'!A204</f>
        <v>0</v>
      </c>
      <c r="B221" s="181">
        <f>'Données projet'!D204</f>
        <v>0</v>
      </c>
      <c r="C221" s="193"/>
      <c r="D221" s="179">
        <f t="shared" si="12"/>
        <v>0</v>
      </c>
      <c r="E221" s="193"/>
      <c r="F221" s="232"/>
      <c r="G221" s="206"/>
      <c r="H221" s="4"/>
      <c r="I221" s="4"/>
      <c r="J221" s="4"/>
      <c r="K221" s="173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</row>
    <row r="222" spans="1:64" x14ac:dyDescent="0.25">
      <c r="A222" s="180">
        <f>'Données projet'!A205</f>
        <v>0</v>
      </c>
      <c r="B222" s="181">
        <f>'Données projet'!D205</f>
        <v>0</v>
      </c>
      <c r="C222" s="193"/>
      <c r="D222" s="179">
        <f t="shared" si="12"/>
        <v>0</v>
      </c>
      <c r="E222" s="193"/>
      <c r="F222" s="232"/>
      <c r="G222" s="206"/>
      <c r="H222" s="4"/>
      <c r="I222" s="4"/>
      <c r="J222" s="4"/>
      <c r="K222" s="173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</row>
    <row r="223" spans="1:64" x14ac:dyDescent="0.25">
      <c r="A223" s="180">
        <f>'Données projet'!A206</f>
        <v>0</v>
      </c>
      <c r="B223" s="181">
        <f>'Données projet'!D206</f>
        <v>0</v>
      </c>
      <c r="C223" s="193"/>
      <c r="D223" s="179">
        <f t="shared" si="12"/>
        <v>0</v>
      </c>
      <c r="E223" s="193"/>
      <c r="F223" s="232"/>
      <c r="G223" s="206"/>
      <c r="H223" s="4"/>
      <c r="I223" s="4"/>
      <c r="J223" s="4"/>
      <c r="K223" s="173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</row>
    <row r="224" spans="1:64" x14ac:dyDescent="0.25">
      <c r="A224" s="180">
        <f>'Données projet'!A207</f>
        <v>0</v>
      </c>
      <c r="B224" s="181">
        <f>'Données projet'!D207</f>
        <v>0</v>
      </c>
      <c r="C224" s="193"/>
      <c r="D224" s="179">
        <f t="shared" si="12"/>
        <v>0</v>
      </c>
      <c r="E224" s="193"/>
      <c r="F224" s="232"/>
      <c r="G224" s="206"/>
      <c r="H224" s="4"/>
      <c r="I224" s="4"/>
      <c r="J224" s="4"/>
      <c r="K224" s="173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</row>
    <row r="225" spans="1:64" x14ac:dyDescent="0.25">
      <c r="A225" s="180">
        <f>'Données projet'!A208</f>
        <v>0</v>
      </c>
      <c r="B225" s="181">
        <f>'Données projet'!D208</f>
        <v>0</v>
      </c>
      <c r="C225" s="193"/>
      <c r="D225" s="179">
        <f t="shared" si="12"/>
        <v>0</v>
      </c>
      <c r="E225" s="193"/>
      <c r="F225" s="232"/>
      <c r="G225" s="206"/>
      <c r="H225" s="4"/>
      <c r="I225" s="4"/>
      <c r="J225" s="4"/>
      <c r="K225" s="173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</row>
    <row r="226" spans="1:64" x14ac:dyDescent="0.25">
      <c r="A226" s="180">
        <f>'Données projet'!A209</f>
        <v>0</v>
      </c>
      <c r="B226" s="181">
        <f>'Données projet'!D209</f>
        <v>0</v>
      </c>
      <c r="C226" s="193"/>
      <c r="D226" s="179">
        <f t="shared" si="12"/>
        <v>0</v>
      </c>
      <c r="E226" s="193"/>
      <c r="F226" s="232"/>
      <c r="G226" s="206"/>
      <c r="H226" s="4"/>
      <c r="I226" s="4"/>
      <c r="J226" s="4"/>
      <c r="K226" s="173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</row>
    <row r="227" spans="1:64" x14ac:dyDescent="0.25">
      <c r="A227" s="180">
        <f>'Données projet'!A210</f>
        <v>0</v>
      </c>
      <c r="B227" s="181">
        <f>'Données projet'!D210</f>
        <v>0</v>
      </c>
      <c r="C227" s="193"/>
      <c r="D227" s="179">
        <f t="shared" si="12"/>
        <v>0</v>
      </c>
      <c r="E227" s="193"/>
      <c r="F227" s="232"/>
      <c r="G227" s="206"/>
      <c r="H227" s="4"/>
      <c r="I227" s="4"/>
      <c r="J227" s="4"/>
      <c r="K227" s="173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</row>
    <row r="228" spans="1:64" x14ac:dyDescent="0.25">
      <c r="A228" s="180">
        <f>'Données projet'!A211</f>
        <v>0</v>
      </c>
      <c r="B228" s="181">
        <f>'Données projet'!D211</f>
        <v>0</v>
      </c>
      <c r="C228" s="193"/>
      <c r="D228" s="179">
        <f t="shared" si="12"/>
        <v>0</v>
      </c>
      <c r="E228" s="193"/>
      <c r="F228" s="232"/>
      <c r="G228" s="206"/>
      <c r="H228" s="4"/>
      <c r="I228" s="4"/>
      <c r="J228" s="4"/>
      <c r="K228" s="173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</row>
    <row r="229" spans="1:64" x14ac:dyDescent="0.25">
      <c r="A229" s="4"/>
      <c r="B229" s="4"/>
      <c r="C229" s="4"/>
      <c r="D229" s="4"/>
      <c r="E229" s="4"/>
      <c r="F229" s="230"/>
      <c r="G229" s="206"/>
      <c r="H229" s="4"/>
      <c r="I229" s="4"/>
      <c r="J229" s="4"/>
      <c r="K229" s="173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</row>
    <row r="230" spans="1:64" x14ac:dyDescent="0.25">
      <c r="A230" s="4"/>
      <c r="B230" s="4"/>
      <c r="C230" s="4"/>
      <c r="D230" s="4"/>
      <c r="E230" s="4"/>
      <c r="F230" s="230"/>
      <c r="G230" s="206"/>
      <c r="H230" s="4"/>
      <c r="I230" s="4"/>
      <c r="J230" s="4"/>
      <c r="K230" s="173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</row>
    <row r="231" spans="1:64" x14ac:dyDescent="0.25">
      <c r="A231" s="46" t="s">
        <v>172</v>
      </c>
      <c r="B231" s="174" t="str">
        <f>IF('Données projet'!$B$16="","",'Données projet'!$B$16)</f>
        <v>Hêtre</v>
      </c>
      <c r="C231" s="4"/>
      <c r="D231" s="4"/>
      <c r="E231" s="4"/>
      <c r="F231" s="230"/>
      <c r="G231" s="206"/>
      <c r="H231" s="4"/>
      <c r="I231" s="4"/>
      <c r="J231" s="4"/>
      <c r="K231" s="173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</row>
    <row r="232" spans="1:64" x14ac:dyDescent="0.25">
      <c r="A232" s="46"/>
      <c r="B232" s="4"/>
      <c r="C232" s="4"/>
      <c r="D232" s="4"/>
      <c r="E232" s="4"/>
      <c r="F232" s="230"/>
      <c r="G232" s="206"/>
      <c r="H232" s="4"/>
      <c r="I232" s="4"/>
      <c r="J232" s="4"/>
      <c r="K232" s="173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</row>
    <row r="233" spans="1:64" x14ac:dyDescent="0.25">
      <c r="A233" s="36" t="s">
        <v>180</v>
      </c>
      <c r="B233" s="48" t="s">
        <v>256</v>
      </c>
      <c r="C233" s="48" t="s">
        <v>255</v>
      </c>
      <c r="D233" s="36" t="s">
        <v>252</v>
      </c>
      <c r="E233" s="36" t="s">
        <v>320</v>
      </c>
      <c r="F233" s="231"/>
      <c r="G233" s="206"/>
      <c r="H233" s="4"/>
      <c r="I233" s="4"/>
      <c r="J233" s="4"/>
      <c r="K233" s="173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</row>
    <row r="234" spans="1:64" x14ac:dyDescent="0.25">
      <c r="A234" s="49">
        <v>0</v>
      </c>
      <c r="B234" s="199" t="s">
        <v>132</v>
      </c>
      <c r="C234" s="198" t="s">
        <v>132</v>
      </c>
      <c r="D234" s="197" t="s">
        <v>132</v>
      </c>
      <c r="E234" s="193">
        <v>2300</v>
      </c>
      <c r="F234" s="231"/>
      <c r="G234" s="206"/>
      <c r="H234" s="4"/>
      <c r="I234" s="4"/>
      <c r="J234" s="4"/>
      <c r="K234" s="173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</row>
    <row r="235" spans="1:64" x14ac:dyDescent="0.25">
      <c r="A235" s="49">
        <v>1</v>
      </c>
      <c r="B235" s="199" t="s">
        <v>132</v>
      </c>
      <c r="C235" s="198" t="s">
        <v>132</v>
      </c>
      <c r="D235" s="197" t="s">
        <v>132</v>
      </c>
      <c r="E235" s="193"/>
      <c r="F235" s="231"/>
      <c r="G235" s="23"/>
      <c r="H235" s="4"/>
      <c r="I235" s="4"/>
      <c r="J235" s="4"/>
      <c r="K235" s="173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</row>
    <row r="236" spans="1:64" x14ac:dyDescent="0.25">
      <c r="A236" s="49">
        <v>2</v>
      </c>
      <c r="B236" s="199" t="s">
        <v>132</v>
      </c>
      <c r="C236" s="198" t="s">
        <v>132</v>
      </c>
      <c r="D236" s="197" t="s">
        <v>132</v>
      </c>
      <c r="E236" s="193"/>
      <c r="F236" s="231"/>
      <c r="G236" s="23"/>
      <c r="H236" s="4"/>
      <c r="I236" s="4"/>
      <c r="J236" s="4"/>
      <c r="K236" s="173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</row>
    <row r="237" spans="1:64" x14ac:dyDescent="0.25">
      <c r="A237" s="49">
        <v>3</v>
      </c>
      <c r="B237" s="199" t="s">
        <v>132</v>
      </c>
      <c r="C237" s="198" t="s">
        <v>132</v>
      </c>
      <c r="D237" s="197" t="s">
        <v>132</v>
      </c>
      <c r="E237" s="193"/>
      <c r="F237" s="231"/>
      <c r="G237" s="23"/>
      <c r="H237" s="4"/>
      <c r="I237" s="4"/>
      <c r="J237" s="4"/>
      <c r="K237" s="173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</row>
    <row r="238" spans="1:64" x14ac:dyDescent="0.25">
      <c r="A238" s="49">
        <v>4</v>
      </c>
      <c r="B238" s="199" t="s">
        <v>132</v>
      </c>
      <c r="C238" s="198" t="s">
        <v>132</v>
      </c>
      <c r="D238" s="197" t="s">
        <v>132</v>
      </c>
      <c r="E238" s="193"/>
      <c r="F238" s="231"/>
      <c r="G238" s="23"/>
      <c r="H238" s="4"/>
      <c r="I238" s="4"/>
      <c r="J238" s="4"/>
      <c r="K238" s="173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</row>
    <row r="239" spans="1:64" x14ac:dyDescent="0.25">
      <c r="A239" s="49">
        <v>5</v>
      </c>
      <c r="B239" s="199" t="s">
        <v>132</v>
      </c>
      <c r="C239" s="198" t="s">
        <v>132</v>
      </c>
      <c r="D239" s="197" t="s">
        <v>132</v>
      </c>
      <c r="E239" s="193"/>
      <c r="F239" s="231"/>
      <c r="G239" s="205"/>
      <c r="H239" s="4"/>
      <c r="I239" s="4"/>
      <c r="J239" s="4"/>
      <c r="K239" s="173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</row>
    <row r="240" spans="1:64" x14ac:dyDescent="0.25">
      <c r="A240" s="180">
        <f>'Données projet'!A218</f>
        <v>15</v>
      </c>
      <c r="B240" s="181">
        <f>'Données projet'!D218</f>
        <v>0</v>
      </c>
      <c r="C240" s="193">
        <v>10</v>
      </c>
      <c r="D240" s="179">
        <f>B240*C240</f>
        <v>0</v>
      </c>
      <c r="E240" s="193"/>
      <c r="F240" s="232"/>
      <c r="G240" s="205"/>
      <c r="H240" s="4"/>
      <c r="I240" s="4"/>
      <c r="J240" s="4"/>
      <c r="K240" s="173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</row>
    <row r="241" spans="1:64" x14ac:dyDescent="0.25">
      <c r="A241" s="180">
        <f>'Données projet'!A219</f>
        <v>20</v>
      </c>
      <c r="B241" s="181">
        <f>'Données projet'!D219</f>
        <v>8</v>
      </c>
      <c r="C241" s="193">
        <v>10</v>
      </c>
      <c r="D241" s="179">
        <f t="shared" ref="D241:D259" si="13">B241*C241</f>
        <v>80</v>
      </c>
      <c r="E241" s="193"/>
      <c r="F241" s="232"/>
      <c r="G241" s="205"/>
      <c r="H241" s="4"/>
      <c r="I241" s="4"/>
      <c r="J241" s="4"/>
      <c r="K241" s="173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</row>
    <row r="242" spans="1:64" x14ac:dyDescent="0.25">
      <c r="A242" s="180">
        <f>'Données projet'!A220</f>
        <v>30</v>
      </c>
      <c r="B242" s="181">
        <f>'Données projet'!D220</f>
        <v>41</v>
      </c>
      <c r="C242" s="193">
        <v>10</v>
      </c>
      <c r="D242" s="179">
        <f t="shared" si="13"/>
        <v>410</v>
      </c>
      <c r="E242" s="193"/>
      <c r="F242" s="232"/>
      <c r="G242" s="205"/>
      <c r="H242" s="4"/>
      <c r="I242" s="4"/>
      <c r="J242" s="4"/>
      <c r="K242" s="173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</row>
    <row r="243" spans="1:64" x14ac:dyDescent="0.25">
      <c r="A243" s="180">
        <f>'Données projet'!A221</f>
        <v>40</v>
      </c>
      <c r="B243" s="181">
        <f>'Données projet'!D221</f>
        <v>72</v>
      </c>
      <c r="C243" s="193">
        <v>30</v>
      </c>
      <c r="D243" s="179">
        <f t="shared" si="13"/>
        <v>2160</v>
      </c>
      <c r="E243" s="193"/>
      <c r="F243" s="232"/>
      <c r="G243" s="205"/>
      <c r="H243" s="4"/>
      <c r="I243" s="4"/>
      <c r="J243" s="4"/>
      <c r="K243" s="173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</row>
    <row r="244" spans="1:64" x14ac:dyDescent="0.25">
      <c r="A244" s="180">
        <f>'Données projet'!A222</f>
        <v>50</v>
      </c>
      <c r="B244" s="181">
        <f>'Données projet'!D222</f>
        <v>85</v>
      </c>
      <c r="C244" s="193">
        <v>30</v>
      </c>
      <c r="D244" s="179">
        <f t="shared" si="13"/>
        <v>2550</v>
      </c>
      <c r="E244" s="193"/>
      <c r="F244" s="232"/>
      <c r="G244" s="205"/>
      <c r="H244" s="4"/>
      <c r="I244" s="4"/>
      <c r="J244" s="4"/>
      <c r="K244" s="173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</row>
    <row r="245" spans="1:64" x14ac:dyDescent="0.25">
      <c r="A245" s="180">
        <f>'Données projet'!A223</f>
        <v>60</v>
      </c>
      <c r="B245" s="181">
        <f>'Données projet'!D223</f>
        <v>91</v>
      </c>
      <c r="C245" s="193">
        <v>30</v>
      </c>
      <c r="D245" s="179">
        <f t="shared" si="13"/>
        <v>2730</v>
      </c>
      <c r="E245" s="193"/>
      <c r="F245" s="232"/>
      <c r="G245" s="205"/>
      <c r="H245" s="4"/>
      <c r="I245" s="4"/>
      <c r="J245" s="4"/>
      <c r="K245" s="173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</row>
    <row r="246" spans="1:64" x14ac:dyDescent="0.25">
      <c r="A246" s="180">
        <f>'Données projet'!A224</f>
        <v>70</v>
      </c>
      <c r="B246" s="181">
        <f>'Données projet'!D224</f>
        <v>92</v>
      </c>
      <c r="C246" s="193">
        <v>60</v>
      </c>
      <c r="D246" s="179">
        <f t="shared" si="13"/>
        <v>5520</v>
      </c>
      <c r="E246" s="193"/>
      <c r="F246" s="232"/>
      <c r="G246" s="206"/>
      <c r="H246" s="4"/>
      <c r="I246" s="4"/>
      <c r="J246" s="4"/>
      <c r="K246" s="173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</row>
    <row r="247" spans="1:64" x14ac:dyDescent="0.25">
      <c r="A247" s="180">
        <f>'Données projet'!A225</f>
        <v>80</v>
      </c>
      <c r="B247" s="181">
        <f>'Données projet'!D225</f>
        <v>89</v>
      </c>
      <c r="C247" s="193">
        <v>60</v>
      </c>
      <c r="D247" s="179">
        <f t="shared" si="13"/>
        <v>5340</v>
      </c>
      <c r="E247" s="193"/>
      <c r="F247" s="232"/>
      <c r="G247" s="206"/>
      <c r="H247" s="4"/>
      <c r="I247" s="4"/>
      <c r="J247" s="4"/>
      <c r="K247" s="173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</row>
    <row r="248" spans="1:64" x14ac:dyDescent="0.25">
      <c r="A248" s="180">
        <f>'Données projet'!A226</f>
        <v>90</v>
      </c>
      <c r="B248" s="181">
        <f>'Données projet'!D226</f>
        <v>82</v>
      </c>
      <c r="C248" s="193">
        <v>80</v>
      </c>
      <c r="D248" s="179">
        <f t="shared" si="13"/>
        <v>6560</v>
      </c>
      <c r="E248" s="193"/>
      <c r="F248" s="232"/>
      <c r="G248" s="206"/>
      <c r="H248" s="4"/>
      <c r="I248" s="4"/>
      <c r="J248" s="4"/>
      <c r="K248" s="173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</row>
    <row r="249" spans="1:64" x14ac:dyDescent="0.25">
      <c r="A249" s="180">
        <f>'Données projet'!A227</f>
        <v>100</v>
      </c>
      <c r="B249" s="181">
        <f>'Données projet'!D227</f>
        <v>76</v>
      </c>
      <c r="C249" s="193">
        <v>80</v>
      </c>
      <c r="D249" s="179">
        <f t="shared" si="13"/>
        <v>6080</v>
      </c>
      <c r="E249" s="193"/>
      <c r="F249" s="232"/>
      <c r="G249" s="206"/>
      <c r="H249" s="4"/>
      <c r="I249" s="4"/>
      <c r="J249" s="4"/>
      <c r="K249" s="173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</row>
    <row r="250" spans="1:64" x14ac:dyDescent="0.25">
      <c r="A250" s="180">
        <f>'Données projet'!A228</f>
        <v>110</v>
      </c>
      <c r="B250" s="181">
        <f>'Données projet'!D228</f>
        <v>68</v>
      </c>
      <c r="C250" s="193">
        <v>80</v>
      </c>
      <c r="D250" s="179">
        <f t="shared" si="13"/>
        <v>5440</v>
      </c>
      <c r="E250" s="193"/>
      <c r="F250" s="232"/>
      <c r="G250" s="206"/>
      <c r="H250" s="4"/>
      <c r="I250" s="4"/>
      <c r="J250" s="4"/>
      <c r="K250" s="173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</row>
    <row r="251" spans="1:64" x14ac:dyDescent="0.25">
      <c r="A251" s="180">
        <f>'Données projet'!A229</f>
        <v>120</v>
      </c>
      <c r="B251" s="181">
        <f>'Données projet'!D229</f>
        <v>60</v>
      </c>
      <c r="C251" s="193">
        <v>80</v>
      </c>
      <c r="D251" s="179">
        <f t="shared" si="13"/>
        <v>4800</v>
      </c>
      <c r="E251" s="193"/>
      <c r="F251" s="232"/>
      <c r="G251" s="206"/>
      <c r="H251" s="4"/>
      <c r="I251" s="4"/>
      <c r="J251" s="4"/>
      <c r="K251" s="173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</row>
    <row r="252" spans="1:64" x14ac:dyDescent="0.25">
      <c r="A252" s="180">
        <f>'Données projet'!A230</f>
        <v>130</v>
      </c>
      <c r="B252" s="181">
        <f>'Données projet'!D230</f>
        <v>52</v>
      </c>
      <c r="C252" s="193">
        <v>80</v>
      </c>
      <c r="D252" s="179">
        <f t="shared" si="13"/>
        <v>4160</v>
      </c>
      <c r="E252" s="193"/>
      <c r="F252" s="232"/>
      <c r="G252" s="206"/>
      <c r="H252" s="4"/>
      <c r="I252" s="4"/>
      <c r="J252" s="4"/>
      <c r="K252" s="173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</row>
    <row r="253" spans="1:64" x14ac:dyDescent="0.25">
      <c r="A253" s="180">
        <f>'Données projet'!A231</f>
        <v>140</v>
      </c>
      <c r="B253" s="181">
        <f>'Données projet'!D231</f>
        <v>46</v>
      </c>
      <c r="C253" s="193">
        <v>80</v>
      </c>
      <c r="D253" s="179">
        <f t="shared" si="13"/>
        <v>3680</v>
      </c>
      <c r="E253" s="193"/>
      <c r="F253" s="232"/>
      <c r="G253" s="206"/>
      <c r="H253" s="4"/>
      <c r="I253" s="4"/>
      <c r="J253" s="4"/>
      <c r="K253" s="173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</row>
    <row r="254" spans="1:64" x14ac:dyDescent="0.25">
      <c r="A254" s="180">
        <f>'Données projet'!A232</f>
        <v>150</v>
      </c>
      <c r="B254" s="181">
        <f>'Données projet'!D232</f>
        <v>40</v>
      </c>
      <c r="C254" s="193"/>
      <c r="D254" s="179">
        <f t="shared" si="13"/>
        <v>0</v>
      </c>
      <c r="E254" s="193"/>
      <c r="F254" s="232"/>
      <c r="G254" s="206"/>
      <c r="H254" s="4"/>
      <c r="I254" s="4"/>
      <c r="J254" s="4"/>
      <c r="K254" s="173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</row>
    <row r="255" spans="1:64" x14ac:dyDescent="0.25">
      <c r="A255" s="180">
        <f>'Données projet'!A233</f>
        <v>0</v>
      </c>
      <c r="B255" s="181">
        <f>'Données projet'!D233</f>
        <v>0</v>
      </c>
      <c r="C255" s="193"/>
      <c r="D255" s="179">
        <f t="shared" si="13"/>
        <v>0</v>
      </c>
      <c r="E255" s="193"/>
      <c r="F255" s="232"/>
      <c r="G255" s="206"/>
      <c r="H255" s="4"/>
      <c r="I255" s="4"/>
      <c r="J255" s="4"/>
      <c r="K255" s="173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</row>
    <row r="256" spans="1:64" x14ac:dyDescent="0.25">
      <c r="A256" s="180">
        <f>'Données projet'!A234</f>
        <v>0</v>
      </c>
      <c r="B256" s="181">
        <f>'Données projet'!D234</f>
        <v>0</v>
      </c>
      <c r="C256" s="193"/>
      <c r="D256" s="179">
        <f t="shared" si="13"/>
        <v>0</v>
      </c>
      <c r="E256" s="193"/>
      <c r="F256" s="232"/>
      <c r="G256" s="206"/>
      <c r="H256" s="4"/>
      <c r="I256" s="4"/>
      <c r="J256" s="4"/>
      <c r="K256" s="173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</row>
    <row r="257" spans="1:64" x14ac:dyDescent="0.25">
      <c r="A257" s="180">
        <f>'Données projet'!A235</f>
        <v>0</v>
      </c>
      <c r="B257" s="181">
        <f>'Données projet'!D235</f>
        <v>0</v>
      </c>
      <c r="C257" s="193"/>
      <c r="D257" s="179">
        <f t="shared" si="13"/>
        <v>0</v>
      </c>
      <c r="E257" s="193"/>
      <c r="F257" s="232"/>
      <c r="G257" s="206"/>
      <c r="H257" s="4"/>
      <c r="I257" s="4"/>
      <c r="J257" s="4"/>
      <c r="K257" s="173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</row>
    <row r="258" spans="1:64" x14ac:dyDescent="0.25">
      <c r="A258" s="180">
        <f>'Données projet'!A236</f>
        <v>0</v>
      </c>
      <c r="B258" s="181">
        <f>'Données projet'!D236</f>
        <v>0</v>
      </c>
      <c r="C258" s="193"/>
      <c r="D258" s="179">
        <f t="shared" si="13"/>
        <v>0</v>
      </c>
      <c r="E258" s="193"/>
      <c r="F258" s="232"/>
      <c r="G258" s="206"/>
      <c r="H258" s="4"/>
      <c r="I258" s="4"/>
      <c r="J258" s="4"/>
      <c r="K258" s="173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</row>
    <row r="259" spans="1:64" x14ac:dyDescent="0.25">
      <c r="A259" s="180">
        <f>'Données projet'!A237</f>
        <v>0</v>
      </c>
      <c r="B259" s="181">
        <f>'Données projet'!D237</f>
        <v>0</v>
      </c>
      <c r="C259" s="193"/>
      <c r="D259" s="179">
        <f t="shared" si="13"/>
        <v>0</v>
      </c>
      <c r="E259" s="193"/>
      <c r="F259" s="232"/>
      <c r="G259" s="206"/>
      <c r="H259" s="4"/>
      <c r="I259" s="4"/>
      <c r="J259" s="4"/>
      <c r="K259" s="173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</row>
    <row r="260" spans="1:64" x14ac:dyDescent="0.25">
      <c r="A260" s="4"/>
      <c r="B260" s="4"/>
      <c r="C260" s="4"/>
      <c r="D260" s="4"/>
      <c r="E260" s="4"/>
      <c r="F260" s="230"/>
      <c r="G260" s="206"/>
      <c r="H260" s="4"/>
      <c r="I260" s="4"/>
      <c r="J260" s="4"/>
      <c r="K260" s="173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</row>
    <row r="261" spans="1:64" x14ac:dyDescent="0.25">
      <c r="A261" s="4"/>
      <c r="B261" s="4"/>
      <c r="C261" s="4"/>
      <c r="D261" s="4"/>
      <c r="E261" s="4"/>
      <c r="F261" s="230"/>
      <c r="G261" s="206"/>
      <c r="H261" s="4"/>
      <c r="I261" s="4"/>
      <c r="J261" s="4"/>
      <c r="K261" s="173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</row>
    <row r="262" spans="1:64" x14ac:dyDescent="0.25">
      <c r="A262" s="46" t="s">
        <v>173</v>
      </c>
      <c r="B262" s="174" t="str">
        <f>IF('Données projet'!$B$17="","",'Données projet'!$B$17)</f>
        <v>Cormier</v>
      </c>
      <c r="C262" s="4"/>
      <c r="D262" s="4"/>
      <c r="E262" s="4"/>
      <c r="F262" s="230"/>
      <c r="G262" s="206"/>
      <c r="H262" s="4"/>
      <c r="I262" s="4"/>
      <c r="J262" s="4"/>
      <c r="K262" s="173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</row>
    <row r="263" spans="1:64" x14ac:dyDescent="0.25">
      <c r="A263" s="46"/>
      <c r="B263" s="4"/>
      <c r="C263" s="4"/>
      <c r="D263" s="4"/>
      <c r="E263" s="4"/>
      <c r="F263" s="230"/>
      <c r="G263" s="206"/>
      <c r="H263" s="4"/>
      <c r="I263" s="4"/>
      <c r="J263" s="4"/>
      <c r="K263" s="173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</row>
    <row r="264" spans="1:64" x14ac:dyDescent="0.25">
      <c r="A264" s="36" t="s">
        <v>180</v>
      </c>
      <c r="B264" s="48" t="s">
        <v>256</v>
      </c>
      <c r="C264" s="48" t="s">
        <v>255</v>
      </c>
      <c r="D264" s="36" t="s">
        <v>252</v>
      </c>
      <c r="E264" s="36" t="s">
        <v>320</v>
      </c>
      <c r="F264" s="231"/>
      <c r="G264" s="206"/>
      <c r="H264" s="4"/>
      <c r="I264" s="4"/>
      <c r="J264" s="4"/>
      <c r="K264" s="173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</row>
    <row r="265" spans="1:64" x14ac:dyDescent="0.25">
      <c r="A265" s="49">
        <v>0</v>
      </c>
      <c r="B265" s="199" t="s">
        <v>132</v>
      </c>
      <c r="C265" s="198" t="s">
        <v>132</v>
      </c>
      <c r="D265" s="197" t="s">
        <v>132</v>
      </c>
      <c r="E265" s="193">
        <v>2300</v>
      </c>
      <c r="F265" s="231"/>
      <c r="G265" s="206"/>
      <c r="H265" s="4"/>
      <c r="I265" s="4"/>
      <c r="J265" s="4"/>
      <c r="K265" s="173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</row>
    <row r="266" spans="1:64" x14ac:dyDescent="0.25">
      <c r="A266" s="49">
        <v>1</v>
      </c>
      <c r="B266" s="199" t="s">
        <v>132</v>
      </c>
      <c r="C266" s="198" t="s">
        <v>132</v>
      </c>
      <c r="D266" s="197" t="s">
        <v>132</v>
      </c>
      <c r="E266" s="193"/>
      <c r="F266" s="231"/>
      <c r="G266" s="23"/>
      <c r="H266" s="4"/>
      <c r="I266" s="4"/>
      <c r="J266" s="4"/>
      <c r="K266" s="173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</row>
    <row r="267" spans="1:64" x14ac:dyDescent="0.25">
      <c r="A267" s="49">
        <v>2</v>
      </c>
      <c r="B267" s="199" t="s">
        <v>132</v>
      </c>
      <c r="C267" s="198" t="s">
        <v>132</v>
      </c>
      <c r="D267" s="197" t="s">
        <v>132</v>
      </c>
      <c r="E267" s="193"/>
      <c r="F267" s="231"/>
      <c r="G267" s="23"/>
      <c r="H267" s="4"/>
      <c r="I267" s="4"/>
      <c r="J267" s="4"/>
      <c r="K267" s="173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</row>
    <row r="268" spans="1:64" x14ac:dyDescent="0.25">
      <c r="A268" s="49">
        <v>3</v>
      </c>
      <c r="B268" s="199" t="s">
        <v>132</v>
      </c>
      <c r="C268" s="198" t="s">
        <v>132</v>
      </c>
      <c r="D268" s="197" t="s">
        <v>132</v>
      </c>
      <c r="E268" s="193"/>
      <c r="F268" s="231"/>
      <c r="G268" s="23"/>
      <c r="H268" s="4"/>
      <c r="I268" s="4"/>
      <c r="J268" s="4"/>
      <c r="K268" s="173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</row>
    <row r="269" spans="1:64" x14ac:dyDescent="0.25">
      <c r="A269" s="49">
        <v>4</v>
      </c>
      <c r="B269" s="199" t="s">
        <v>132</v>
      </c>
      <c r="C269" s="198" t="s">
        <v>132</v>
      </c>
      <c r="D269" s="197" t="s">
        <v>132</v>
      </c>
      <c r="E269" s="193"/>
      <c r="F269" s="231"/>
      <c r="G269" s="23"/>
      <c r="H269" s="4"/>
      <c r="I269" s="4"/>
      <c r="J269" s="4"/>
      <c r="K269" s="173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</row>
    <row r="270" spans="1:64" x14ac:dyDescent="0.25">
      <c r="A270" s="49">
        <v>5</v>
      </c>
      <c r="B270" s="199" t="s">
        <v>132</v>
      </c>
      <c r="C270" s="198" t="s">
        <v>132</v>
      </c>
      <c r="D270" s="197" t="s">
        <v>132</v>
      </c>
      <c r="E270" s="193"/>
      <c r="F270" s="231"/>
      <c r="G270" s="205"/>
      <c r="H270" s="4"/>
      <c r="I270" s="4"/>
      <c r="J270" s="4"/>
      <c r="K270" s="173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</row>
    <row r="271" spans="1:64" x14ac:dyDescent="0.25">
      <c r="A271" s="180">
        <f>'Données projet'!A244</f>
        <v>30</v>
      </c>
      <c r="B271" s="181">
        <f>'Données projet'!D244</f>
        <v>0</v>
      </c>
      <c r="C271" s="193"/>
      <c r="D271" s="179">
        <f>B271*C271</f>
        <v>0</v>
      </c>
      <c r="E271" s="193"/>
      <c r="F271" s="232"/>
      <c r="G271" s="205"/>
      <c r="H271" s="4"/>
      <c r="I271" s="4"/>
      <c r="J271" s="4"/>
      <c r="K271" s="173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</row>
    <row r="272" spans="1:64" x14ac:dyDescent="0.25">
      <c r="A272" s="180">
        <f>'Données projet'!A245</f>
        <v>35</v>
      </c>
      <c r="B272" s="181">
        <f>'Données projet'!D245</f>
        <v>60.602564102564102</v>
      </c>
      <c r="C272" s="193">
        <v>5</v>
      </c>
      <c r="D272" s="179">
        <f t="shared" ref="D272:D290" si="14">B272*C272</f>
        <v>303.0128205128205</v>
      </c>
      <c r="E272" s="193"/>
      <c r="F272" s="232"/>
      <c r="G272" s="205"/>
      <c r="H272" s="4"/>
      <c r="I272" s="4"/>
      <c r="J272" s="4"/>
      <c r="K272" s="173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</row>
    <row r="273" spans="1:64" x14ac:dyDescent="0.25">
      <c r="A273" s="180">
        <f>'Données projet'!A246</f>
        <v>41</v>
      </c>
      <c r="B273" s="181">
        <f>'Données projet'!D246</f>
        <v>38.512820512820511</v>
      </c>
      <c r="C273" s="193">
        <v>5</v>
      </c>
      <c r="D273" s="179">
        <f t="shared" si="14"/>
        <v>192.56410256410254</v>
      </c>
      <c r="E273" s="193"/>
      <c r="F273" s="232"/>
      <c r="G273" s="205"/>
      <c r="H273" s="4"/>
      <c r="I273" s="4"/>
      <c r="J273" s="4"/>
      <c r="K273" s="173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</row>
    <row r="274" spans="1:64" x14ac:dyDescent="0.25">
      <c r="A274" s="180">
        <f>'Données projet'!A247</f>
        <v>48</v>
      </c>
      <c r="B274" s="181">
        <f>'Données projet'!D247</f>
        <v>48.025641025641022</v>
      </c>
      <c r="C274" s="193">
        <v>5</v>
      </c>
      <c r="D274" s="179">
        <f t="shared" si="14"/>
        <v>240.12820512820511</v>
      </c>
      <c r="E274" s="193"/>
      <c r="F274" s="232"/>
      <c r="G274" s="205"/>
      <c r="H274" s="4"/>
      <c r="I274" s="4"/>
      <c r="J274" s="4"/>
      <c r="K274" s="173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</row>
    <row r="275" spans="1:64" x14ac:dyDescent="0.25">
      <c r="A275" s="180">
        <f>'Données projet'!A248</f>
        <v>55</v>
      </c>
      <c r="B275" s="181">
        <f>'Données projet'!D248</f>
        <v>45.147435897435898</v>
      </c>
      <c r="C275" s="193">
        <v>5</v>
      </c>
      <c r="D275" s="179">
        <f t="shared" si="14"/>
        <v>225.7371794871795</v>
      </c>
      <c r="E275" s="193"/>
      <c r="F275" s="232"/>
      <c r="G275" s="205"/>
      <c r="H275" s="4"/>
      <c r="I275" s="4"/>
      <c r="J275" s="4"/>
      <c r="K275" s="173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</row>
    <row r="276" spans="1:64" x14ac:dyDescent="0.25">
      <c r="A276" s="180">
        <f>'Données projet'!A249</f>
        <v>63</v>
      </c>
      <c r="B276" s="181">
        <f>'Données projet'!D249</f>
        <v>41.724358974358978</v>
      </c>
      <c r="C276" s="193">
        <v>10</v>
      </c>
      <c r="D276" s="179">
        <f t="shared" si="14"/>
        <v>417.24358974358978</v>
      </c>
      <c r="E276" s="193"/>
      <c r="F276" s="232"/>
      <c r="G276" s="205"/>
      <c r="H276" s="4"/>
      <c r="I276" s="4"/>
      <c r="J276" s="4"/>
      <c r="K276" s="173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</row>
    <row r="277" spans="1:64" x14ac:dyDescent="0.25">
      <c r="A277" s="180">
        <f>'Données projet'!A250</f>
        <v>71</v>
      </c>
      <c r="B277" s="181">
        <f>'Données projet'!D250</f>
        <v>39.935897435897431</v>
      </c>
      <c r="C277" s="193">
        <v>10</v>
      </c>
      <c r="D277" s="179">
        <f t="shared" si="14"/>
        <v>399.35897435897431</v>
      </c>
      <c r="E277" s="193"/>
      <c r="F277" s="232"/>
      <c r="G277" s="206"/>
      <c r="H277" s="4"/>
      <c r="I277" s="4"/>
      <c r="J277" s="4"/>
      <c r="K277" s="173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</row>
    <row r="278" spans="1:64" x14ac:dyDescent="0.25">
      <c r="A278" s="180">
        <f>'Données projet'!A251</f>
        <v>80</v>
      </c>
      <c r="B278" s="181">
        <f>'Données projet'!D251</f>
        <v>45.608974358974358</v>
      </c>
      <c r="C278" s="193">
        <v>10</v>
      </c>
      <c r="D278" s="179">
        <f t="shared" si="14"/>
        <v>456.08974358974359</v>
      </c>
      <c r="E278" s="193"/>
      <c r="F278" s="232"/>
      <c r="G278" s="206"/>
      <c r="H278" s="4"/>
      <c r="I278" s="4"/>
      <c r="J278" s="4"/>
      <c r="K278" s="173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</row>
    <row r="279" spans="1:64" x14ac:dyDescent="0.25">
      <c r="A279" s="180">
        <f>'Données projet'!A252</f>
        <v>89</v>
      </c>
      <c r="B279" s="181">
        <f>'Données projet'!D252</f>
        <v>49.391025641025635</v>
      </c>
      <c r="C279" s="193">
        <v>20</v>
      </c>
      <c r="D279" s="179">
        <f t="shared" si="14"/>
        <v>987.8205128205127</v>
      </c>
      <c r="E279" s="193"/>
      <c r="F279" s="232"/>
      <c r="G279" s="206"/>
      <c r="H279" s="4"/>
      <c r="I279" s="4"/>
      <c r="J279" s="4"/>
      <c r="K279" s="173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</row>
    <row r="280" spans="1:64" x14ac:dyDescent="0.25">
      <c r="A280" s="180">
        <f>'Données projet'!A253</f>
        <v>99</v>
      </c>
      <c r="B280" s="181">
        <f>'Données projet'!D253</f>
        <v>48.019230769230766</v>
      </c>
      <c r="C280" s="193">
        <v>20</v>
      </c>
      <c r="D280" s="179">
        <f t="shared" si="14"/>
        <v>960.38461538461536</v>
      </c>
      <c r="E280" s="193"/>
      <c r="F280" s="232"/>
      <c r="G280" s="206"/>
      <c r="H280" s="4"/>
      <c r="I280" s="4"/>
      <c r="J280" s="4"/>
      <c r="K280" s="173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</row>
    <row r="281" spans="1:64" x14ac:dyDescent="0.25">
      <c r="A281" s="180">
        <f>'Données projet'!A254</f>
        <v>109</v>
      </c>
      <c r="B281" s="181">
        <f>'Données projet'!D254</f>
        <v>51.28846153846154</v>
      </c>
      <c r="C281" s="193">
        <v>20</v>
      </c>
      <c r="D281" s="179">
        <f t="shared" si="14"/>
        <v>1025.7692307692307</v>
      </c>
      <c r="E281" s="193"/>
      <c r="F281" s="232"/>
      <c r="G281" s="206"/>
      <c r="H281" s="4"/>
      <c r="I281" s="4"/>
      <c r="J281" s="4"/>
      <c r="K281" s="173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</row>
    <row r="282" spans="1:64" x14ac:dyDescent="0.25">
      <c r="A282" s="180">
        <f>'Données projet'!A255</f>
        <v>119</v>
      </c>
      <c r="B282" s="181">
        <f>'Données projet'!D255</f>
        <v>150.02564102564102</v>
      </c>
      <c r="C282" s="193">
        <v>20</v>
      </c>
      <c r="D282" s="179">
        <f t="shared" si="14"/>
        <v>3000.5128205128203</v>
      </c>
      <c r="E282" s="193"/>
      <c r="F282" s="232"/>
      <c r="G282" s="206"/>
      <c r="H282" s="4"/>
      <c r="I282" s="4"/>
      <c r="J282" s="4"/>
      <c r="K282" s="173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</row>
    <row r="283" spans="1:64" x14ac:dyDescent="0.25">
      <c r="A283" s="180">
        <f>'Données projet'!A256</f>
        <v>123</v>
      </c>
      <c r="B283" s="181">
        <f>'Données projet'!D256</f>
        <v>77.17307692307692</v>
      </c>
      <c r="C283" s="193">
        <v>30</v>
      </c>
      <c r="D283" s="179">
        <f t="shared" si="14"/>
        <v>2315.1923076923076</v>
      </c>
      <c r="E283" s="193"/>
      <c r="F283" s="232"/>
      <c r="G283" s="206"/>
      <c r="H283" s="4"/>
      <c r="I283" s="4"/>
      <c r="J283" s="4"/>
      <c r="K283" s="173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</row>
    <row r="284" spans="1:64" x14ac:dyDescent="0.25">
      <c r="A284" s="180">
        <f>'Données projet'!A257</f>
        <v>127</v>
      </c>
      <c r="B284" s="181">
        <f>'Données projet'!D257</f>
        <v>49.916666666666671</v>
      </c>
      <c r="C284" s="193">
        <v>30</v>
      </c>
      <c r="D284" s="179">
        <f t="shared" si="14"/>
        <v>1497.5000000000002</v>
      </c>
      <c r="E284" s="193"/>
      <c r="F284" s="232"/>
      <c r="G284" s="206"/>
      <c r="H284" s="4"/>
      <c r="I284" s="4"/>
      <c r="J284" s="4"/>
      <c r="K284" s="173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</row>
    <row r="285" spans="1:64" x14ac:dyDescent="0.25">
      <c r="A285" s="180">
        <f>'Données projet'!A258</f>
        <v>131</v>
      </c>
      <c r="B285" s="181">
        <f>'Données projet'!D258</f>
        <v>110.91025641025641</v>
      </c>
      <c r="C285" s="193">
        <v>30</v>
      </c>
      <c r="D285" s="179">
        <f t="shared" si="14"/>
        <v>3327.3076923076924</v>
      </c>
      <c r="E285" s="193"/>
      <c r="F285" s="232"/>
      <c r="G285" s="206"/>
      <c r="H285" s="4"/>
      <c r="I285" s="4"/>
      <c r="J285" s="4"/>
      <c r="K285" s="173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</row>
    <row r="286" spans="1:64" x14ac:dyDescent="0.25">
      <c r="A286" s="180">
        <f>'Données projet'!A259</f>
        <v>0</v>
      </c>
      <c r="B286" s="181">
        <f>'Données projet'!D259</f>
        <v>0</v>
      </c>
      <c r="C286" s="193"/>
      <c r="D286" s="179">
        <f t="shared" si="14"/>
        <v>0</v>
      </c>
      <c r="E286" s="193"/>
      <c r="F286" s="232"/>
      <c r="G286" s="206"/>
      <c r="H286" s="4"/>
      <c r="I286" s="4"/>
      <c r="J286" s="4"/>
      <c r="K286" s="173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</row>
    <row r="287" spans="1:64" x14ac:dyDescent="0.25">
      <c r="A287" s="180">
        <f>'Données projet'!A260</f>
        <v>0</v>
      </c>
      <c r="B287" s="181">
        <f>'Données projet'!D260</f>
        <v>0</v>
      </c>
      <c r="C287" s="193"/>
      <c r="D287" s="179">
        <f t="shared" si="14"/>
        <v>0</v>
      </c>
      <c r="E287" s="193"/>
      <c r="F287" s="232"/>
      <c r="G287" s="206"/>
      <c r="H287" s="4"/>
      <c r="I287" s="4"/>
      <c r="J287" s="4"/>
      <c r="K287" s="173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</row>
    <row r="288" spans="1:64" x14ac:dyDescent="0.25">
      <c r="A288" s="180">
        <f>'Données projet'!A261</f>
        <v>0</v>
      </c>
      <c r="B288" s="181">
        <f>'Données projet'!D261</f>
        <v>0</v>
      </c>
      <c r="C288" s="193"/>
      <c r="D288" s="179">
        <f t="shared" si="14"/>
        <v>0</v>
      </c>
      <c r="E288" s="193"/>
      <c r="F288" s="232"/>
      <c r="G288" s="206"/>
      <c r="H288" s="4"/>
      <c r="I288" s="4"/>
      <c r="J288" s="4"/>
      <c r="K288" s="173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</row>
    <row r="289" spans="1:64" x14ac:dyDescent="0.25">
      <c r="A289" s="180">
        <f>'Données projet'!A262</f>
        <v>0</v>
      </c>
      <c r="B289" s="181">
        <f>'Données projet'!D262</f>
        <v>0</v>
      </c>
      <c r="C289" s="193"/>
      <c r="D289" s="179">
        <f t="shared" si="14"/>
        <v>0</v>
      </c>
      <c r="E289" s="193"/>
      <c r="F289" s="232"/>
      <c r="G289" s="206"/>
      <c r="H289" s="4"/>
      <c r="I289" s="4"/>
      <c r="J289" s="4"/>
      <c r="K289" s="173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</row>
    <row r="290" spans="1:64" x14ac:dyDescent="0.25">
      <c r="A290" s="180">
        <f>'Données projet'!A263</f>
        <v>0</v>
      </c>
      <c r="B290" s="181">
        <f>'Données projet'!D263</f>
        <v>0</v>
      </c>
      <c r="C290" s="193"/>
      <c r="D290" s="179">
        <f t="shared" si="14"/>
        <v>0</v>
      </c>
      <c r="E290" s="193"/>
      <c r="F290" s="232"/>
      <c r="G290" s="206"/>
      <c r="H290" s="4"/>
      <c r="I290" s="4"/>
      <c r="J290" s="4"/>
      <c r="K290" s="173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</row>
    <row r="291" spans="1:64" x14ac:dyDescent="0.25">
      <c r="A291" s="4"/>
      <c r="B291" s="4"/>
      <c r="C291" s="4"/>
      <c r="D291" s="4"/>
      <c r="E291" s="4"/>
      <c r="F291" s="230"/>
      <c r="G291" s="206"/>
      <c r="H291" s="4"/>
      <c r="I291" s="4"/>
      <c r="J291" s="4"/>
      <c r="K291" s="173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</row>
    <row r="292" spans="1:64" x14ac:dyDescent="0.25">
      <c r="A292" s="4"/>
      <c r="B292" s="4"/>
      <c r="C292" s="4"/>
      <c r="D292" s="4"/>
      <c r="E292" s="4"/>
      <c r="F292" s="230"/>
      <c r="G292" s="206"/>
      <c r="H292" s="4"/>
      <c r="I292" s="4"/>
      <c r="J292" s="4"/>
      <c r="K292" s="173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</row>
    <row r="293" spans="1:64" x14ac:dyDescent="0.25">
      <c r="A293" s="46" t="s">
        <v>174</v>
      </c>
      <c r="B293" s="174" t="str">
        <f>IF('Données projet'!$B$18="","",'Données projet'!$B$18)</f>
        <v>Cormier</v>
      </c>
      <c r="C293" s="4"/>
      <c r="D293" s="4"/>
      <c r="E293" s="4"/>
      <c r="F293" s="230"/>
      <c r="G293" s="206"/>
      <c r="H293" s="4"/>
      <c r="I293" s="4"/>
      <c r="J293" s="4"/>
      <c r="K293" s="173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</row>
    <row r="294" spans="1:64" x14ac:dyDescent="0.25">
      <c r="A294" s="46"/>
      <c r="B294" s="4"/>
      <c r="C294" s="4"/>
      <c r="D294" s="4"/>
      <c r="E294" s="4"/>
      <c r="F294" s="230"/>
      <c r="G294" s="206"/>
      <c r="H294" s="4"/>
      <c r="I294" s="4"/>
      <c r="J294" s="4"/>
      <c r="K294" s="173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</row>
    <row r="295" spans="1:64" x14ac:dyDescent="0.25">
      <c r="A295" s="36" t="s">
        <v>180</v>
      </c>
      <c r="B295" s="48" t="s">
        <v>256</v>
      </c>
      <c r="C295" s="48" t="s">
        <v>255</v>
      </c>
      <c r="D295" s="36" t="s">
        <v>252</v>
      </c>
      <c r="E295" s="36" t="s">
        <v>320</v>
      </c>
      <c r="F295" s="231"/>
      <c r="G295" s="206"/>
      <c r="H295" s="4"/>
      <c r="I295" s="4"/>
      <c r="J295" s="4"/>
      <c r="K295" s="173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</row>
    <row r="296" spans="1:64" x14ac:dyDescent="0.25">
      <c r="A296" s="49">
        <v>0</v>
      </c>
      <c r="B296" s="199" t="s">
        <v>132</v>
      </c>
      <c r="C296" s="198" t="s">
        <v>132</v>
      </c>
      <c r="D296" s="197" t="s">
        <v>132</v>
      </c>
      <c r="E296" s="193">
        <v>2300</v>
      </c>
      <c r="F296" s="231"/>
      <c r="G296" s="206"/>
      <c r="H296" s="4"/>
      <c r="I296" s="4"/>
      <c r="J296" s="4"/>
      <c r="K296" s="173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</row>
    <row r="297" spans="1:64" x14ac:dyDescent="0.25">
      <c r="A297" s="49">
        <v>1</v>
      </c>
      <c r="B297" s="199" t="s">
        <v>132</v>
      </c>
      <c r="C297" s="198" t="s">
        <v>132</v>
      </c>
      <c r="D297" s="197" t="s">
        <v>132</v>
      </c>
      <c r="E297" s="193"/>
      <c r="F297" s="231"/>
      <c r="G297" s="23"/>
      <c r="H297" s="4"/>
      <c r="I297" s="4"/>
      <c r="J297" s="4"/>
      <c r="K297" s="173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</row>
    <row r="298" spans="1:64" x14ac:dyDescent="0.25">
      <c r="A298" s="49">
        <v>2</v>
      </c>
      <c r="B298" s="199" t="s">
        <v>132</v>
      </c>
      <c r="C298" s="198" t="s">
        <v>132</v>
      </c>
      <c r="D298" s="197" t="s">
        <v>132</v>
      </c>
      <c r="E298" s="193"/>
      <c r="F298" s="231"/>
      <c r="G298" s="23"/>
      <c r="H298" s="4"/>
      <c r="I298" s="4"/>
      <c r="J298" s="4"/>
      <c r="K298" s="173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</row>
    <row r="299" spans="1:64" x14ac:dyDescent="0.25">
      <c r="A299" s="49">
        <v>3</v>
      </c>
      <c r="B299" s="199" t="s">
        <v>132</v>
      </c>
      <c r="C299" s="198" t="s">
        <v>132</v>
      </c>
      <c r="D299" s="197" t="s">
        <v>132</v>
      </c>
      <c r="E299" s="193"/>
      <c r="F299" s="231"/>
      <c r="G299" s="23"/>
      <c r="H299" s="4"/>
      <c r="I299" s="4"/>
      <c r="J299" s="4"/>
      <c r="K299" s="173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</row>
    <row r="300" spans="1:64" x14ac:dyDescent="0.25">
      <c r="A300" s="49">
        <v>4</v>
      </c>
      <c r="B300" s="199" t="s">
        <v>132</v>
      </c>
      <c r="C300" s="198" t="s">
        <v>132</v>
      </c>
      <c r="D300" s="197" t="s">
        <v>132</v>
      </c>
      <c r="E300" s="193"/>
      <c r="F300" s="231"/>
      <c r="G300" s="23"/>
      <c r="H300" s="4"/>
      <c r="I300" s="4"/>
      <c r="J300" s="4"/>
      <c r="K300" s="173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</row>
    <row r="301" spans="1:64" x14ac:dyDescent="0.25">
      <c r="A301" s="49">
        <v>5</v>
      </c>
      <c r="B301" s="199" t="s">
        <v>132</v>
      </c>
      <c r="C301" s="198" t="s">
        <v>132</v>
      </c>
      <c r="D301" s="197" t="s">
        <v>132</v>
      </c>
      <c r="E301" s="193"/>
      <c r="F301" s="231"/>
      <c r="G301" s="205"/>
      <c r="H301" s="4"/>
      <c r="I301" s="4"/>
      <c r="J301" s="4"/>
      <c r="K301" s="173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</row>
    <row r="302" spans="1:64" x14ac:dyDescent="0.25">
      <c r="A302" s="180">
        <f>'Données projet'!A270</f>
        <v>30</v>
      </c>
      <c r="B302" s="181">
        <f>'Données projet'!D270</f>
        <v>0</v>
      </c>
      <c r="C302" s="191"/>
      <c r="D302" s="182">
        <f>B302*C302</f>
        <v>0</v>
      </c>
      <c r="E302" s="193"/>
      <c r="F302" s="233"/>
      <c r="G302" s="205"/>
      <c r="H302" s="4"/>
      <c r="I302" s="4"/>
      <c r="J302" s="4"/>
      <c r="K302" s="173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</row>
    <row r="303" spans="1:64" x14ac:dyDescent="0.25">
      <c r="A303" s="180">
        <f>'Données projet'!A271</f>
        <v>35</v>
      </c>
      <c r="B303" s="181">
        <f>'Données projet'!D271</f>
        <v>60.602564102564102</v>
      </c>
      <c r="C303" s="191">
        <v>5</v>
      </c>
      <c r="D303" s="182">
        <f t="shared" ref="D303:D321" si="15">B303*C303</f>
        <v>303.0128205128205</v>
      </c>
      <c r="E303" s="193"/>
      <c r="F303" s="233"/>
      <c r="G303" s="205"/>
      <c r="H303" s="4"/>
      <c r="I303" s="4"/>
      <c r="J303" s="4"/>
      <c r="K303" s="173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</row>
    <row r="304" spans="1:64" x14ac:dyDescent="0.25">
      <c r="A304" s="180">
        <f>'Données projet'!A272</f>
        <v>41</v>
      </c>
      <c r="B304" s="181">
        <f>'Données projet'!D272</f>
        <v>38.512820512820511</v>
      </c>
      <c r="C304" s="191">
        <v>5</v>
      </c>
      <c r="D304" s="182">
        <f t="shared" si="15"/>
        <v>192.56410256410254</v>
      </c>
      <c r="E304" s="193"/>
      <c r="F304" s="233"/>
      <c r="G304" s="205"/>
      <c r="H304" s="4"/>
      <c r="I304" s="4"/>
      <c r="J304" s="4"/>
      <c r="K304" s="173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</row>
    <row r="305" spans="1:64" x14ac:dyDescent="0.25">
      <c r="A305" s="180">
        <f>'Données projet'!A273</f>
        <v>48</v>
      </c>
      <c r="B305" s="181">
        <f>'Données projet'!D273</f>
        <v>48.025641025641022</v>
      </c>
      <c r="C305" s="191">
        <v>5</v>
      </c>
      <c r="D305" s="182">
        <f t="shared" si="15"/>
        <v>240.12820512820511</v>
      </c>
      <c r="E305" s="193"/>
      <c r="F305" s="233"/>
      <c r="G305" s="205"/>
      <c r="H305" s="4"/>
      <c r="I305" s="4"/>
      <c r="J305" s="4"/>
      <c r="K305" s="173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</row>
    <row r="306" spans="1:64" x14ac:dyDescent="0.25">
      <c r="A306" s="180">
        <f>'Données projet'!A274</f>
        <v>55</v>
      </c>
      <c r="B306" s="181">
        <f>'Données projet'!D274</f>
        <v>45.147435897435898</v>
      </c>
      <c r="C306" s="191">
        <v>5</v>
      </c>
      <c r="D306" s="182">
        <f t="shared" si="15"/>
        <v>225.7371794871795</v>
      </c>
      <c r="E306" s="193"/>
      <c r="F306" s="233"/>
      <c r="G306" s="205"/>
      <c r="H306" s="4"/>
      <c r="I306" s="4"/>
      <c r="J306" s="4"/>
      <c r="K306" s="173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</row>
    <row r="307" spans="1:64" x14ac:dyDescent="0.25">
      <c r="A307" s="180">
        <f>'Données projet'!A275</f>
        <v>63</v>
      </c>
      <c r="B307" s="181">
        <f>'Données projet'!D275</f>
        <v>41.724358974358978</v>
      </c>
      <c r="C307" s="191">
        <v>10</v>
      </c>
      <c r="D307" s="182">
        <f t="shared" si="15"/>
        <v>417.24358974358978</v>
      </c>
      <c r="E307" s="193"/>
      <c r="F307" s="233"/>
      <c r="G307" s="205"/>
      <c r="H307" s="4"/>
      <c r="I307" s="4"/>
      <c r="J307" s="4"/>
      <c r="K307" s="173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</row>
    <row r="308" spans="1:64" x14ac:dyDescent="0.25">
      <c r="A308" s="180">
        <f>'Données projet'!A276</f>
        <v>71</v>
      </c>
      <c r="B308" s="181">
        <f>'Données projet'!D276</f>
        <v>39.935897435897431</v>
      </c>
      <c r="C308" s="191">
        <v>10</v>
      </c>
      <c r="D308" s="182">
        <f t="shared" si="15"/>
        <v>399.35897435897431</v>
      </c>
      <c r="E308" s="193"/>
      <c r="F308" s="233"/>
      <c r="G308" s="203"/>
      <c r="H308" s="4"/>
      <c r="I308" s="4"/>
      <c r="J308" s="4"/>
      <c r="K308" s="173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</row>
    <row r="309" spans="1:64" x14ac:dyDescent="0.25">
      <c r="A309" s="180">
        <f>'Données projet'!A277</f>
        <v>80</v>
      </c>
      <c r="B309" s="181">
        <f>'Données projet'!D277</f>
        <v>45.608974358974358</v>
      </c>
      <c r="C309" s="191">
        <v>10</v>
      </c>
      <c r="D309" s="182">
        <f t="shared" si="15"/>
        <v>456.08974358974359</v>
      </c>
      <c r="E309" s="193"/>
      <c r="F309" s="233"/>
      <c r="G309" s="203"/>
      <c r="H309" s="4"/>
      <c r="I309" s="4"/>
      <c r="J309" s="4"/>
      <c r="K309" s="173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</row>
    <row r="310" spans="1:64" x14ac:dyDescent="0.25">
      <c r="A310" s="180">
        <f>'Données projet'!A278</f>
        <v>89</v>
      </c>
      <c r="B310" s="181">
        <f>'Données projet'!D278</f>
        <v>49.391025641025635</v>
      </c>
      <c r="C310" s="191">
        <v>20</v>
      </c>
      <c r="D310" s="182">
        <f t="shared" si="15"/>
        <v>987.8205128205127</v>
      </c>
      <c r="E310" s="193"/>
      <c r="F310" s="233"/>
      <c r="G310" s="203"/>
      <c r="H310" s="4"/>
      <c r="I310" s="4"/>
      <c r="J310" s="4"/>
      <c r="K310" s="173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</row>
    <row r="311" spans="1:64" x14ac:dyDescent="0.25">
      <c r="A311" s="180">
        <f>'Données projet'!A279</f>
        <v>99</v>
      </c>
      <c r="B311" s="181">
        <f>'Données projet'!D279</f>
        <v>48.019230769230766</v>
      </c>
      <c r="C311" s="191">
        <v>20</v>
      </c>
      <c r="D311" s="182">
        <f t="shared" si="15"/>
        <v>960.38461538461536</v>
      </c>
      <c r="E311" s="193"/>
      <c r="F311" s="233"/>
      <c r="G311" s="203"/>
      <c r="H311" s="4"/>
      <c r="I311" s="4"/>
      <c r="J311" s="4"/>
      <c r="K311" s="173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</row>
    <row r="312" spans="1:64" x14ac:dyDescent="0.25">
      <c r="A312" s="180">
        <f>'Données projet'!A280</f>
        <v>109</v>
      </c>
      <c r="B312" s="181">
        <f>'Données projet'!D280</f>
        <v>51.28846153846154</v>
      </c>
      <c r="C312" s="191">
        <v>20</v>
      </c>
      <c r="D312" s="182">
        <f t="shared" si="15"/>
        <v>1025.7692307692307</v>
      </c>
      <c r="E312" s="193"/>
      <c r="F312" s="233"/>
      <c r="G312" s="203"/>
      <c r="H312" s="4"/>
      <c r="I312" s="4"/>
      <c r="J312" s="4"/>
      <c r="K312" s="173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</row>
    <row r="313" spans="1:64" x14ac:dyDescent="0.25">
      <c r="A313" s="180">
        <f>'Données projet'!A281</f>
        <v>119</v>
      </c>
      <c r="B313" s="181">
        <f>'Données projet'!D281</f>
        <v>150.02564102564102</v>
      </c>
      <c r="C313" s="191">
        <v>20</v>
      </c>
      <c r="D313" s="182">
        <f t="shared" si="15"/>
        <v>3000.5128205128203</v>
      </c>
      <c r="E313" s="193"/>
      <c r="F313" s="233"/>
      <c r="G313" s="203"/>
      <c r="H313" s="4"/>
      <c r="I313" s="4"/>
      <c r="J313" s="4"/>
      <c r="K313" s="173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</row>
    <row r="314" spans="1:64" x14ac:dyDescent="0.25">
      <c r="A314" s="180">
        <f>'Données projet'!A282</f>
        <v>123</v>
      </c>
      <c r="B314" s="181">
        <f>'Données projet'!D282</f>
        <v>77.17307692307692</v>
      </c>
      <c r="C314" s="191">
        <v>30</v>
      </c>
      <c r="D314" s="182">
        <f t="shared" si="15"/>
        <v>2315.1923076923076</v>
      </c>
      <c r="E314" s="193"/>
      <c r="F314" s="233"/>
      <c r="G314" s="203"/>
      <c r="H314" s="4"/>
      <c r="I314" s="4"/>
      <c r="J314" s="4"/>
      <c r="K314" s="173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</row>
    <row r="315" spans="1:64" x14ac:dyDescent="0.25">
      <c r="A315" s="180">
        <f>'Données projet'!A283</f>
        <v>127</v>
      </c>
      <c r="B315" s="181">
        <f>'Données projet'!D283</f>
        <v>49.916666666666671</v>
      </c>
      <c r="C315" s="191">
        <v>30</v>
      </c>
      <c r="D315" s="182">
        <f t="shared" si="15"/>
        <v>1497.5000000000002</v>
      </c>
      <c r="E315" s="193"/>
      <c r="F315" s="233"/>
      <c r="G315" s="203"/>
      <c r="H315" s="4"/>
      <c r="I315" s="4"/>
      <c r="J315" s="4"/>
      <c r="K315" s="173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</row>
    <row r="316" spans="1:64" x14ac:dyDescent="0.25">
      <c r="A316" s="180">
        <f>'Données projet'!A284</f>
        <v>131</v>
      </c>
      <c r="B316" s="181">
        <f>'Données projet'!D284</f>
        <v>110.91025641025641</v>
      </c>
      <c r="C316" s="191">
        <v>30</v>
      </c>
      <c r="D316" s="182">
        <f t="shared" si="15"/>
        <v>3327.3076923076924</v>
      </c>
      <c r="E316" s="193"/>
      <c r="F316" s="233"/>
      <c r="G316" s="203"/>
      <c r="H316" s="4"/>
      <c r="I316" s="4"/>
      <c r="J316" s="4"/>
      <c r="K316" s="173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</row>
    <row r="317" spans="1:64" x14ac:dyDescent="0.25">
      <c r="A317" s="180">
        <f>'Données projet'!A285</f>
        <v>0</v>
      </c>
      <c r="B317" s="181">
        <f>'Données projet'!D285</f>
        <v>0</v>
      </c>
      <c r="C317" s="191"/>
      <c r="D317" s="182">
        <f t="shared" si="15"/>
        <v>0</v>
      </c>
      <c r="E317" s="193"/>
      <c r="F317" s="233"/>
      <c r="G317" s="203"/>
      <c r="H317" s="4"/>
      <c r="I317" s="4"/>
      <c r="J317" s="4"/>
      <c r="K317" s="173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</row>
    <row r="318" spans="1:64" x14ac:dyDescent="0.25">
      <c r="A318" s="180">
        <f>'Données projet'!A286</f>
        <v>0</v>
      </c>
      <c r="B318" s="181">
        <f>'Données projet'!D286</f>
        <v>0</v>
      </c>
      <c r="C318" s="191"/>
      <c r="D318" s="182">
        <f t="shared" si="15"/>
        <v>0</v>
      </c>
      <c r="E318" s="193"/>
      <c r="F318" s="233"/>
      <c r="G318" s="203"/>
      <c r="H318" s="4"/>
      <c r="I318" s="4"/>
      <c r="J318" s="4"/>
      <c r="K318" s="173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</row>
    <row r="319" spans="1:64" x14ac:dyDescent="0.25">
      <c r="A319" s="180">
        <f>'Données projet'!A287</f>
        <v>0</v>
      </c>
      <c r="B319" s="181">
        <f>'Données projet'!D287</f>
        <v>0</v>
      </c>
      <c r="C319" s="191"/>
      <c r="D319" s="182">
        <f t="shared" si="15"/>
        <v>0</v>
      </c>
      <c r="E319" s="193"/>
      <c r="F319" s="233"/>
      <c r="G319" s="203"/>
      <c r="H319" s="4"/>
      <c r="I319" s="4"/>
      <c r="J319" s="4"/>
      <c r="K319" s="173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</row>
    <row r="320" spans="1:64" x14ac:dyDescent="0.25">
      <c r="A320" s="180">
        <f>'Données projet'!A288</f>
        <v>0</v>
      </c>
      <c r="B320" s="181">
        <f>'Données projet'!D288</f>
        <v>0</v>
      </c>
      <c r="C320" s="191"/>
      <c r="D320" s="182">
        <f t="shared" si="15"/>
        <v>0</v>
      </c>
      <c r="E320" s="193"/>
      <c r="F320" s="233"/>
      <c r="G320" s="203"/>
      <c r="H320" s="4"/>
      <c r="I320" s="4"/>
      <c r="J320" s="4"/>
      <c r="K320" s="173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</row>
    <row r="321" spans="1:56" x14ac:dyDescent="0.25">
      <c r="A321" s="180">
        <f>'Données projet'!A289</f>
        <v>0</v>
      </c>
      <c r="B321" s="181">
        <f>'Données projet'!D289</f>
        <v>0</v>
      </c>
      <c r="C321" s="196"/>
      <c r="D321" s="182">
        <f t="shared" si="15"/>
        <v>0</v>
      </c>
      <c r="E321" s="193"/>
      <c r="F321" s="233"/>
      <c r="G321" s="203"/>
      <c r="H321" s="4"/>
      <c r="I321" s="4"/>
      <c r="J321" s="4"/>
      <c r="K321" s="173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</row>
    <row r="322" spans="1:56" x14ac:dyDescent="0.25">
      <c r="G322" s="203"/>
      <c r="H322" s="4"/>
      <c r="I322" s="4"/>
      <c r="J322" s="4"/>
      <c r="K322" s="173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</row>
    <row r="323" spans="1:56" x14ac:dyDescent="0.25">
      <c r="G323" s="203"/>
      <c r="H323" s="4"/>
      <c r="I323" s="4"/>
      <c r="J323" s="4"/>
      <c r="K323" s="173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</row>
    <row r="324" spans="1:56" x14ac:dyDescent="0.25">
      <c r="G324" s="203"/>
      <c r="H324" s="4"/>
      <c r="I324" s="4"/>
      <c r="J324" s="4"/>
      <c r="K324" s="173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</row>
    <row r="325" spans="1:56" x14ac:dyDescent="0.25">
      <c r="G325" s="203"/>
      <c r="H325" s="4"/>
      <c r="I325" s="4"/>
      <c r="J325" s="4"/>
      <c r="K325" s="173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</row>
    <row r="326" spans="1:56" x14ac:dyDescent="0.25">
      <c r="G326" s="203"/>
      <c r="H326" s="4"/>
      <c r="I326" s="4"/>
      <c r="J326" s="4"/>
      <c r="K326" s="173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</row>
    <row r="327" spans="1:56" x14ac:dyDescent="0.25">
      <c r="G327" s="203"/>
      <c r="H327" s="4"/>
      <c r="I327" s="4"/>
      <c r="J327" s="4"/>
      <c r="K327" s="173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</row>
    <row r="328" spans="1:56" x14ac:dyDescent="0.25">
      <c r="A328" s="4"/>
      <c r="B328" s="4"/>
      <c r="C328" s="4"/>
      <c r="D328" s="4"/>
      <c r="E328" s="4"/>
      <c r="F328" s="23"/>
      <c r="G328" s="2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</row>
    <row r="329" spans="1:56" x14ac:dyDescent="0.25">
      <c r="A329" s="4"/>
      <c r="B329" s="4"/>
      <c r="C329" s="4"/>
      <c r="D329" s="4"/>
      <c r="E329" s="4"/>
      <c r="F329" s="23"/>
      <c r="G329" s="2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</row>
    <row r="330" spans="1:56" x14ac:dyDescent="0.25">
      <c r="A330" s="4"/>
      <c r="B330" s="4"/>
      <c r="C330" s="4"/>
      <c r="D330" s="4"/>
      <c r="E330" s="4"/>
      <c r="F330" s="23"/>
      <c r="G330" s="2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</row>
    <row r="331" spans="1:56" x14ac:dyDescent="0.25">
      <c r="A331" s="4"/>
      <c r="B331" s="4"/>
      <c r="C331" s="4"/>
      <c r="D331" s="4"/>
      <c r="E331" s="4"/>
      <c r="F331" s="23"/>
      <c r="G331" s="2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</row>
    <row r="332" spans="1:56" x14ac:dyDescent="0.25">
      <c r="A332" s="4"/>
      <c r="B332" s="4"/>
      <c r="C332" s="4"/>
      <c r="D332" s="4"/>
      <c r="E332" s="4"/>
      <c r="F332" s="23"/>
      <c r="G332" s="2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</row>
    <row r="333" spans="1:56" x14ac:dyDescent="0.25">
      <c r="A333" s="4"/>
      <c r="B333" s="4"/>
      <c r="C333" s="4"/>
      <c r="D333" s="4"/>
      <c r="E333" s="4"/>
      <c r="F333" s="23"/>
      <c r="G333" s="2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</row>
    <row r="334" spans="1:56" x14ac:dyDescent="0.25">
      <c r="A334" s="4"/>
      <c r="B334" s="4"/>
      <c r="C334" s="4"/>
      <c r="D334" s="4"/>
      <c r="E334" s="4"/>
      <c r="F334" s="23"/>
      <c r="G334" s="2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</row>
    <row r="335" spans="1:56" x14ac:dyDescent="0.25">
      <c r="A335" s="4"/>
      <c r="B335" s="4"/>
      <c r="C335" s="4"/>
      <c r="D335" s="4"/>
      <c r="E335" s="4"/>
      <c r="F335" s="23"/>
      <c r="G335" s="2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</row>
    <row r="336" spans="1:56" x14ac:dyDescent="0.25">
      <c r="A336" s="4"/>
      <c r="B336" s="4"/>
      <c r="C336" s="4"/>
      <c r="D336" s="4"/>
      <c r="E336" s="4"/>
      <c r="F336" s="23"/>
      <c r="G336" s="2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</row>
    <row r="337" spans="1:56" x14ac:dyDescent="0.25">
      <c r="A337" s="4"/>
      <c r="B337" s="4"/>
      <c r="C337" s="4"/>
      <c r="D337" s="4"/>
      <c r="E337" s="4"/>
      <c r="F337" s="23"/>
      <c r="G337" s="2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</row>
    <row r="338" spans="1:56" x14ac:dyDescent="0.25">
      <c r="A338" s="4"/>
      <c r="B338" s="4"/>
      <c r="C338" s="4"/>
      <c r="D338" s="4"/>
      <c r="E338" s="4"/>
      <c r="F338" s="23"/>
      <c r="G338" s="2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</row>
    <row r="339" spans="1:56" x14ac:dyDescent="0.25">
      <c r="A339" s="4"/>
      <c r="B339" s="4"/>
      <c r="C339" s="4"/>
      <c r="D339" s="4"/>
      <c r="E339" s="4"/>
      <c r="F339" s="23"/>
      <c r="G339" s="2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</row>
    <row r="340" spans="1:56" x14ac:dyDescent="0.25">
      <c r="A340" s="4"/>
      <c r="B340" s="4"/>
      <c r="C340" s="4"/>
      <c r="D340" s="4"/>
      <c r="E340" s="4"/>
      <c r="F340" s="23"/>
      <c r="G340" s="2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</row>
    <row r="341" spans="1:56" x14ac:dyDescent="0.25">
      <c r="A341" s="4"/>
      <c r="B341" s="4"/>
      <c r="C341" s="4"/>
      <c r="D341" s="4"/>
      <c r="E341" s="4"/>
      <c r="F341" s="23"/>
      <c r="G341" s="2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</row>
    <row r="342" spans="1:56" x14ac:dyDescent="0.25">
      <c r="A342" s="4"/>
      <c r="B342" s="4"/>
      <c r="C342" s="4"/>
      <c r="D342" s="4"/>
      <c r="E342" s="4"/>
      <c r="F342" s="23"/>
      <c r="G342" s="2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</row>
    <row r="343" spans="1:56" x14ac:dyDescent="0.25">
      <c r="A343" s="4"/>
      <c r="B343" s="4"/>
      <c r="C343" s="4"/>
      <c r="D343" s="4"/>
      <c r="E343" s="4"/>
      <c r="F343" s="23"/>
      <c r="G343" s="2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</row>
    <row r="344" spans="1:56" x14ac:dyDescent="0.25">
      <c r="A344" s="4"/>
      <c r="B344" s="4"/>
      <c r="C344" s="4"/>
      <c r="D344" s="4"/>
      <c r="E344" s="4"/>
      <c r="F344" s="23"/>
      <c r="G344" s="2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</row>
    <row r="345" spans="1:56" x14ac:dyDescent="0.25">
      <c r="A345" s="4"/>
      <c r="B345" s="4"/>
      <c r="C345" s="4"/>
      <c r="D345" s="4"/>
      <c r="E345" s="4"/>
      <c r="F345" s="23"/>
      <c r="G345" s="2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</row>
    <row r="346" spans="1:56" x14ac:dyDescent="0.25">
      <c r="A346" s="4"/>
      <c r="B346" s="4"/>
      <c r="C346" s="4"/>
      <c r="D346" s="4"/>
      <c r="E346" s="4"/>
      <c r="F346" s="23"/>
      <c r="G346" s="2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</row>
    <row r="347" spans="1:56" x14ac:dyDescent="0.25">
      <c r="A347" s="4"/>
      <c r="B347" s="4"/>
      <c r="C347" s="4"/>
      <c r="D347" s="4"/>
      <c r="E347" s="4"/>
      <c r="F347" s="23"/>
      <c r="G347" s="2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</row>
    <row r="348" spans="1:56" x14ac:dyDescent="0.25">
      <c r="A348" s="4"/>
      <c r="B348" s="4"/>
      <c r="C348" s="4"/>
      <c r="D348" s="4"/>
      <c r="E348" s="4"/>
      <c r="F348" s="23"/>
      <c r="G348" s="2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</row>
    <row r="349" spans="1:56" x14ac:dyDescent="0.25">
      <c r="A349" s="4"/>
      <c r="B349" s="4"/>
      <c r="C349" s="4"/>
      <c r="D349" s="4"/>
      <c r="E349" s="4"/>
      <c r="F349" s="23"/>
      <c r="G349" s="2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</row>
    <row r="350" spans="1:56" x14ac:dyDescent="0.25">
      <c r="A350" s="4"/>
      <c r="B350" s="4"/>
      <c r="C350" s="4"/>
      <c r="D350" s="4"/>
      <c r="E350" s="4"/>
      <c r="F350" s="23"/>
      <c r="G350" s="2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</row>
    <row r="351" spans="1:56" x14ac:dyDescent="0.25">
      <c r="A351" s="4"/>
      <c r="B351" s="4"/>
      <c r="C351" s="4"/>
      <c r="D351" s="4"/>
      <c r="E351" s="4"/>
      <c r="F351" s="23"/>
      <c r="G351" s="2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</row>
    <row r="352" spans="1:56" x14ac:dyDescent="0.25">
      <c r="A352" s="4"/>
      <c r="B352" s="4"/>
      <c r="C352" s="4"/>
      <c r="D352" s="4"/>
      <c r="E352" s="4"/>
      <c r="F352" s="23"/>
      <c r="G352" s="2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</row>
    <row r="353" spans="1:56" x14ac:dyDescent="0.25">
      <c r="A353" s="4"/>
      <c r="B353" s="4"/>
      <c r="C353" s="4"/>
      <c r="D353" s="4"/>
      <c r="E353" s="4"/>
      <c r="F353" s="23"/>
      <c r="G353" s="2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</row>
    <row r="354" spans="1:56" x14ac:dyDescent="0.25">
      <c r="A354" s="4"/>
      <c r="B354" s="4"/>
      <c r="C354" s="4"/>
      <c r="D354" s="4"/>
      <c r="E354" s="4"/>
      <c r="F354" s="23"/>
      <c r="G354" s="2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</row>
    <row r="355" spans="1:56" x14ac:dyDescent="0.25">
      <c r="A355" s="4"/>
      <c r="B355" s="4"/>
      <c r="C355" s="4"/>
      <c r="D355" s="4"/>
      <c r="E355" s="4"/>
      <c r="F355" s="23"/>
      <c r="G355" s="2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</row>
    <row r="356" spans="1:56" x14ac:dyDescent="0.25">
      <c r="A356" s="4"/>
      <c r="B356" s="4"/>
      <c r="C356" s="4"/>
      <c r="D356" s="4"/>
      <c r="E356" s="4"/>
      <c r="F356" s="23"/>
      <c r="G356" s="2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</row>
    <row r="357" spans="1:56" x14ac:dyDescent="0.25">
      <c r="A357" s="4"/>
      <c r="B357" s="4"/>
      <c r="C357" s="4"/>
      <c r="D357" s="4"/>
      <c r="E357" s="4"/>
      <c r="F357" s="23"/>
      <c r="G357" s="2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</row>
    <row r="358" spans="1:56" x14ac:dyDescent="0.25">
      <c r="A358" s="4"/>
      <c r="B358" s="4"/>
      <c r="C358" s="4"/>
      <c r="D358" s="4"/>
      <c r="E358" s="4"/>
      <c r="F358" s="23"/>
      <c r="G358" s="2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</row>
    <row r="359" spans="1:56" x14ac:dyDescent="0.25">
      <c r="A359" s="4"/>
      <c r="B359" s="4"/>
      <c r="C359" s="4"/>
      <c r="D359" s="4"/>
      <c r="E359" s="4"/>
      <c r="F359" s="23"/>
      <c r="G359" s="2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</row>
    <row r="360" spans="1:56" x14ac:dyDescent="0.25">
      <c r="A360" s="4"/>
      <c r="B360" s="4"/>
      <c r="C360" s="4"/>
      <c r="D360" s="4"/>
      <c r="E360" s="4"/>
      <c r="F360" s="23"/>
      <c r="G360" s="2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</row>
    <row r="361" spans="1:56" x14ac:dyDescent="0.25">
      <c r="A361" s="4"/>
      <c r="B361" s="4"/>
      <c r="C361" s="4"/>
      <c r="D361" s="4"/>
      <c r="E361" s="4"/>
      <c r="F361" s="23"/>
      <c r="G361" s="2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</row>
    <row r="362" spans="1:56" x14ac:dyDescent="0.25">
      <c r="A362" s="4"/>
      <c r="B362" s="4"/>
      <c r="C362" s="4"/>
      <c r="D362" s="4"/>
      <c r="E362" s="4"/>
      <c r="F362" s="23"/>
      <c r="G362" s="2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</row>
    <row r="363" spans="1:56" x14ac:dyDescent="0.25">
      <c r="A363" s="4"/>
      <c r="B363" s="4"/>
      <c r="C363" s="4"/>
      <c r="D363" s="4"/>
      <c r="E363" s="4"/>
      <c r="F363" s="23"/>
      <c r="G363" s="2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</row>
    <row r="364" spans="1:56" x14ac:dyDescent="0.25">
      <c r="A364" s="4"/>
      <c r="B364" s="4"/>
      <c r="C364" s="4"/>
      <c r="D364" s="4"/>
      <c r="E364" s="4"/>
      <c r="F364" s="23"/>
      <c r="G364" s="2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</row>
    <row r="365" spans="1:56" x14ac:dyDescent="0.25">
      <c r="A365" s="4"/>
      <c r="B365" s="4"/>
      <c r="C365" s="4"/>
      <c r="D365" s="4"/>
      <c r="E365" s="4"/>
      <c r="F365" s="23"/>
      <c r="G365" s="2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</row>
    <row r="366" spans="1:56" x14ac:dyDescent="0.25">
      <c r="A366" s="4"/>
      <c r="B366" s="4"/>
      <c r="C366" s="4"/>
      <c r="D366" s="4"/>
      <c r="E366" s="4"/>
      <c r="F366" s="23"/>
      <c r="G366" s="2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</row>
    <row r="367" spans="1:56" x14ac:dyDescent="0.25">
      <c r="A367" s="4"/>
      <c r="B367" s="4"/>
      <c r="C367" s="4"/>
      <c r="D367" s="4"/>
      <c r="E367" s="4"/>
      <c r="F367" s="23"/>
      <c r="G367" s="2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</row>
    <row r="368" spans="1:56" x14ac:dyDescent="0.25">
      <c r="A368" s="4"/>
      <c r="B368" s="4"/>
      <c r="C368" s="4"/>
      <c r="D368" s="4"/>
      <c r="E368" s="4"/>
      <c r="F368" s="23"/>
      <c r="G368" s="2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</row>
    <row r="369" spans="1:56" x14ac:dyDescent="0.25">
      <c r="A369" s="4"/>
      <c r="B369" s="4"/>
      <c r="C369" s="4"/>
      <c r="D369" s="4"/>
      <c r="E369" s="4"/>
      <c r="F369" s="23"/>
      <c r="G369" s="2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</row>
    <row r="370" spans="1:56" x14ac:dyDescent="0.25">
      <c r="A370" s="4"/>
      <c r="B370" s="4"/>
      <c r="C370" s="4"/>
      <c r="D370" s="4"/>
      <c r="E370" s="4"/>
      <c r="F370" s="2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</row>
    <row r="371" spans="1:56" x14ac:dyDescent="0.25">
      <c r="A371" s="4"/>
      <c r="B371" s="4"/>
      <c r="C371" s="4"/>
      <c r="D371" s="4"/>
      <c r="E371" s="4"/>
      <c r="F371" s="2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</row>
    <row r="372" spans="1:56" x14ac:dyDescent="0.25">
      <c r="A372" s="4"/>
      <c r="B372" s="4"/>
      <c r="C372" s="4"/>
      <c r="D372" s="4"/>
      <c r="E372" s="4"/>
      <c r="F372" s="2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</row>
    <row r="373" spans="1:56" x14ac:dyDescent="0.25">
      <c r="A373" s="4"/>
      <c r="B373" s="4"/>
      <c r="C373" s="4"/>
      <c r="D373" s="4"/>
      <c r="E373" s="4"/>
      <c r="F373" s="2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</row>
    <row r="374" spans="1:56" x14ac:dyDescent="0.25">
      <c r="A374" s="4"/>
      <c r="B374" s="4"/>
      <c r="C374" s="4"/>
      <c r="D374" s="4"/>
      <c r="E374" s="4"/>
      <c r="F374" s="2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</row>
    <row r="375" spans="1:56" x14ac:dyDescent="0.25">
      <c r="A375" s="4"/>
      <c r="B375" s="4"/>
      <c r="C375" s="4"/>
      <c r="D375" s="4"/>
      <c r="E375" s="4"/>
      <c r="F375" s="2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</row>
    <row r="376" spans="1:56" x14ac:dyDescent="0.25">
      <c r="A376" s="4"/>
      <c r="B376" s="4"/>
      <c r="C376" s="4"/>
      <c r="D376" s="4"/>
      <c r="E376" s="4"/>
      <c r="F376" s="2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</row>
    <row r="377" spans="1:56" x14ac:dyDescent="0.25">
      <c r="A377" s="4"/>
      <c r="B377" s="4"/>
      <c r="C377" s="4"/>
      <c r="D377" s="4"/>
      <c r="E377" s="4"/>
      <c r="F377" s="2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</row>
    <row r="378" spans="1:56" x14ac:dyDescent="0.25">
      <c r="A378" s="4"/>
      <c r="B378" s="4"/>
      <c r="C378" s="4"/>
      <c r="D378" s="4"/>
      <c r="E378" s="4"/>
      <c r="F378" s="2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</row>
    <row r="379" spans="1:56" x14ac:dyDescent="0.25">
      <c r="A379" s="4"/>
      <c r="B379" s="4"/>
      <c r="C379" s="4"/>
      <c r="D379" s="4"/>
      <c r="E379" s="4"/>
      <c r="F379" s="2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</row>
    <row r="380" spans="1:56" x14ac:dyDescent="0.25">
      <c r="A380" s="4"/>
      <c r="B380" s="4"/>
      <c r="C380" s="4"/>
      <c r="D380" s="4"/>
      <c r="E380" s="4"/>
      <c r="F380" s="2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</row>
    <row r="381" spans="1:56" x14ac:dyDescent="0.25">
      <c r="A381" s="4"/>
      <c r="B381" s="4"/>
      <c r="C381" s="4"/>
      <c r="D381" s="4"/>
      <c r="E381" s="4"/>
      <c r="F381" s="2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</row>
    <row r="382" spans="1:56" x14ac:dyDescent="0.25">
      <c r="A382" s="4"/>
      <c r="B382" s="4"/>
      <c r="C382" s="4"/>
      <c r="D382" s="4"/>
      <c r="E382" s="4"/>
      <c r="F382" s="2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</row>
    <row r="383" spans="1:56" x14ac:dyDescent="0.25">
      <c r="A383" s="4"/>
      <c r="B383" s="4"/>
      <c r="C383" s="4"/>
      <c r="D383" s="4"/>
      <c r="E383" s="4"/>
      <c r="F383" s="2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</row>
    <row r="384" spans="1:56" x14ac:dyDescent="0.25">
      <c r="A384" s="4"/>
      <c r="B384" s="4"/>
      <c r="C384" s="4"/>
      <c r="D384" s="4"/>
      <c r="E384" s="4"/>
      <c r="F384" s="2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</row>
    <row r="385" spans="1:56" x14ac:dyDescent="0.25">
      <c r="A385" s="4"/>
      <c r="B385" s="4"/>
      <c r="C385" s="4"/>
      <c r="D385" s="4"/>
      <c r="E385" s="4"/>
      <c r="F385" s="2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</row>
    <row r="386" spans="1:56" x14ac:dyDescent="0.25">
      <c r="A386" s="4"/>
      <c r="B386" s="4"/>
      <c r="C386" s="4"/>
      <c r="D386" s="4"/>
      <c r="E386" s="4"/>
      <c r="F386" s="2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</row>
    <row r="387" spans="1:56" x14ac:dyDescent="0.25">
      <c r="A387" s="4"/>
      <c r="B387" s="4"/>
      <c r="C387" s="4"/>
      <c r="D387" s="4"/>
      <c r="E387" s="4"/>
      <c r="F387" s="2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</row>
    <row r="388" spans="1:56" x14ac:dyDescent="0.25">
      <c r="A388" s="4"/>
      <c r="B388" s="4"/>
      <c r="C388" s="4"/>
      <c r="D388" s="4"/>
      <c r="E388" s="4"/>
      <c r="F388" s="2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</row>
    <row r="389" spans="1:56" x14ac:dyDescent="0.25">
      <c r="A389" s="4"/>
      <c r="B389" s="4"/>
      <c r="C389" s="4"/>
      <c r="D389" s="4"/>
      <c r="E389" s="4"/>
      <c r="F389" s="2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</row>
    <row r="390" spans="1:56" x14ac:dyDescent="0.25">
      <c r="A390" s="4"/>
      <c r="B390" s="4"/>
      <c r="C390" s="4"/>
      <c r="D390" s="4"/>
      <c r="E390" s="4"/>
      <c r="F390" s="2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</row>
    <row r="391" spans="1:56" x14ac:dyDescent="0.25">
      <c r="A391" s="4"/>
      <c r="B391" s="4"/>
      <c r="C391" s="4"/>
      <c r="D391" s="4"/>
      <c r="E391" s="4"/>
      <c r="F391" s="2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</row>
    <row r="392" spans="1:56" x14ac:dyDescent="0.25">
      <c r="A392" s="4"/>
      <c r="B392" s="4"/>
      <c r="C392" s="4"/>
      <c r="D392" s="4"/>
      <c r="E392" s="4"/>
      <c r="F392" s="2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</row>
    <row r="393" spans="1:56" x14ac:dyDescent="0.25">
      <c r="A393" s="4"/>
      <c r="B393" s="4"/>
      <c r="C393" s="4"/>
      <c r="D393" s="4"/>
      <c r="E393" s="4"/>
      <c r="F393" s="2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</row>
    <row r="394" spans="1:56" x14ac:dyDescent="0.25">
      <c r="A394" s="4"/>
      <c r="B394" s="4"/>
      <c r="C394" s="4"/>
      <c r="D394" s="4"/>
      <c r="E394" s="4"/>
      <c r="F394" s="2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</row>
    <row r="395" spans="1:56" x14ac:dyDescent="0.25">
      <c r="A395" s="4"/>
      <c r="B395" s="4"/>
      <c r="C395" s="4"/>
      <c r="D395" s="4"/>
      <c r="E395" s="4"/>
      <c r="F395" s="2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</row>
    <row r="396" spans="1:56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</row>
    <row r="397" spans="1:56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</row>
    <row r="398" spans="1:56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</row>
    <row r="399" spans="1:56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</row>
    <row r="400" spans="1:56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</row>
    <row r="401" spans="1:56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</row>
    <row r="402" spans="1:56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</row>
    <row r="403" spans="1:56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</row>
    <row r="404" spans="1:56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</row>
    <row r="405" spans="1:56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</row>
    <row r="406" spans="1:56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</row>
    <row r="407" spans="1:56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</row>
    <row r="408" spans="1:56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</row>
    <row r="409" spans="1:56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</row>
    <row r="410" spans="1:56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</row>
    <row r="411" spans="1:56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</row>
    <row r="412" spans="1:56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</row>
    <row r="413" spans="1:56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</row>
    <row r="414" spans="1:56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</row>
    <row r="415" spans="1:56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</row>
    <row r="416" spans="1:56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</row>
    <row r="417" spans="1:56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</row>
    <row r="418" spans="1:56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</row>
    <row r="419" spans="1:56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</row>
    <row r="420" spans="1:56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</row>
    <row r="421" spans="1:56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</row>
    <row r="422" spans="1:56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</row>
    <row r="423" spans="1:56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</row>
    <row r="424" spans="1:56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</row>
    <row r="425" spans="1:56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</row>
    <row r="426" spans="1:56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</row>
    <row r="427" spans="1:56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</row>
    <row r="428" spans="1:56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</row>
    <row r="429" spans="1:56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</row>
    <row r="430" spans="1:56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</row>
    <row r="431" spans="1:56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</row>
    <row r="432" spans="1:56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</row>
    <row r="433" spans="1:56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</row>
    <row r="434" spans="1:56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</row>
    <row r="435" spans="1:56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</row>
    <row r="436" spans="1:56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</row>
    <row r="437" spans="1:56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</row>
    <row r="438" spans="1:56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</row>
    <row r="439" spans="1:56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</row>
    <row r="440" spans="1:56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</row>
    <row r="441" spans="1:56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</row>
    <row r="442" spans="1:56" x14ac:dyDescent="0.25"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</row>
    <row r="443" spans="1:56" x14ac:dyDescent="0.25"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</row>
    <row r="444" spans="1:56" x14ac:dyDescent="0.25"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</row>
    <row r="445" spans="1:56" x14ac:dyDescent="0.25"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</row>
    <row r="446" spans="1:56" x14ac:dyDescent="0.25"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</row>
    <row r="447" spans="1:56" x14ac:dyDescent="0.25"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</row>
    <row r="448" spans="1:56" x14ac:dyDescent="0.25"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</row>
    <row r="449" spans="12:56" x14ac:dyDescent="0.25"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</row>
    <row r="450" spans="12:56" x14ac:dyDescent="0.25"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</row>
    <row r="451" spans="12:56" x14ac:dyDescent="0.25"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</row>
    <row r="452" spans="12:56" x14ac:dyDescent="0.25"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</row>
    <row r="453" spans="12:56" x14ac:dyDescent="0.25"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</row>
    <row r="454" spans="12:56" x14ac:dyDescent="0.25"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</row>
    <row r="455" spans="12:56" x14ac:dyDescent="0.25"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</row>
    <row r="456" spans="12:56" x14ac:dyDescent="0.25"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</row>
    <row r="457" spans="12:56" x14ac:dyDescent="0.25"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</row>
    <row r="458" spans="12:56" x14ac:dyDescent="0.25"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</row>
    <row r="459" spans="12:56" x14ac:dyDescent="0.25"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</row>
    <row r="460" spans="12:56" x14ac:dyDescent="0.25"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</row>
    <row r="461" spans="12:56" x14ac:dyDescent="0.25"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</row>
    <row r="462" spans="12:56" x14ac:dyDescent="0.25"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</row>
    <row r="463" spans="12:56" x14ac:dyDescent="0.25"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</row>
    <row r="464" spans="12:56" x14ac:dyDescent="0.25"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</row>
    <row r="465" spans="12:56" x14ac:dyDescent="0.25"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</row>
    <row r="466" spans="12:56" x14ac:dyDescent="0.25"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</row>
    <row r="467" spans="12:56" x14ac:dyDescent="0.25"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</row>
    <row r="468" spans="12:56" x14ac:dyDescent="0.25"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</row>
    <row r="469" spans="12:56" x14ac:dyDescent="0.25"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</row>
    <row r="470" spans="12:56" x14ac:dyDescent="0.25"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</row>
    <row r="471" spans="12:56" x14ac:dyDescent="0.25"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</row>
    <row r="472" spans="12:56" x14ac:dyDescent="0.25"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</row>
    <row r="473" spans="12:56" x14ac:dyDescent="0.25"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</row>
    <row r="474" spans="12:56" x14ac:dyDescent="0.25"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</row>
    <row r="475" spans="12:56" x14ac:dyDescent="0.25"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</row>
    <row r="476" spans="12:56" x14ac:dyDescent="0.25"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</row>
    <row r="477" spans="12:56" x14ac:dyDescent="0.25"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</row>
    <row r="478" spans="12:56" x14ac:dyDescent="0.25"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</row>
    <row r="479" spans="12:56" x14ac:dyDescent="0.25"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</row>
    <row r="480" spans="12:56" x14ac:dyDescent="0.25"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</row>
    <row r="481" spans="12:56" x14ac:dyDescent="0.25"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</row>
    <row r="482" spans="12:56" x14ac:dyDescent="0.25"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</row>
    <row r="483" spans="12:56" x14ac:dyDescent="0.25"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</row>
    <row r="484" spans="12:56" x14ac:dyDescent="0.25"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</row>
    <row r="485" spans="12:56" x14ac:dyDescent="0.25"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</row>
    <row r="486" spans="12:56" x14ac:dyDescent="0.25"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</row>
    <row r="487" spans="12:56" x14ac:dyDescent="0.25"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</row>
    <row r="488" spans="12:56" x14ac:dyDescent="0.25"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</row>
    <row r="489" spans="12:56" x14ac:dyDescent="0.25"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</row>
    <row r="490" spans="12:56" x14ac:dyDescent="0.25"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</row>
    <row r="491" spans="12:56" x14ac:dyDescent="0.25"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</row>
    <row r="492" spans="12:56" x14ac:dyDescent="0.25"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</row>
    <row r="493" spans="12:56" x14ac:dyDescent="0.25"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</row>
    <row r="494" spans="12:56" x14ac:dyDescent="0.25"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</row>
    <row r="495" spans="12:56" x14ac:dyDescent="0.25"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</row>
    <row r="496" spans="12:56" x14ac:dyDescent="0.25"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</row>
    <row r="497" spans="12:56" x14ac:dyDescent="0.25"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</row>
    <row r="498" spans="12:56" x14ac:dyDescent="0.25"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</row>
    <row r="499" spans="12:56" x14ac:dyDescent="0.25"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</row>
    <row r="500" spans="12:56" x14ac:dyDescent="0.25"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</row>
    <row r="501" spans="12:56" x14ac:dyDescent="0.25"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</row>
    <row r="502" spans="12:56" x14ac:dyDescent="0.25"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</row>
    <row r="503" spans="12:56" x14ac:dyDescent="0.25"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</row>
    <row r="504" spans="12:56" x14ac:dyDescent="0.25"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</row>
    <row r="505" spans="12:56" x14ac:dyDescent="0.25"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</row>
    <row r="506" spans="12:56" x14ac:dyDescent="0.25"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</row>
    <row r="507" spans="12:56" x14ac:dyDescent="0.25"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</row>
    <row r="508" spans="12:56" x14ac:dyDescent="0.25"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</row>
    <row r="509" spans="12:56" x14ac:dyDescent="0.25"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</row>
    <row r="510" spans="12:56" x14ac:dyDescent="0.25"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</row>
    <row r="511" spans="12:56" x14ac:dyDescent="0.25"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</row>
    <row r="512" spans="12:56" x14ac:dyDescent="0.25"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</row>
    <row r="513" spans="12:56" x14ac:dyDescent="0.25"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</row>
    <row r="514" spans="12:56" x14ac:dyDescent="0.25"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</row>
    <row r="515" spans="12:56" x14ac:dyDescent="0.25"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</row>
    <row r="516" spans="12:56" x14ac:dyDescent="0.25"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</row>
    <row r="517" spans="12:56" x14ac:dyDescent="0.25"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</row>
    <row r="518" spans="12:56" x14ac:dyDescent="0.25"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</row>
    <row r="519" spans="12:56" x14ac:dyDescent="0.25"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</row>
    <row r="520" spans="12:56" x14ac:dyDescent="0.25"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</row>
    <row r="521" spans="12:56" x14ac:dyDescent="0.25"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</row>
    <row r="522" spans="12:56" x14ac:dyDescent="0.25"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</row>
    <row r="523" spans="12:56" x14ac:dyDescent="0.25"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</row>
    <row r="524" spans="12:56" x14ac:dyDescent="0.25"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</row>
    <row r="525" spans="12:56" x14ac:dyDescent="0.25"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</row>
    <row r="526" spans="12:56" x14ac:dyDescent="0.25"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</row>
    <row r="527" spans="12:56" x14ac:dyDescent="0.25"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</row>
    <row r="528" spans="12:56" x14ac:dyDescent="0.25"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</row>
    <row r="529" spans="12:56" x14ac:dyDescent="0.25"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</row>
    <row r="530" spans="12:56" x14ac:dyDescent="0.25"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</row>
    <row r="531" spans="12:56" x14ac:dyDescent="0.25"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</row>
    <row r="532" spans="12:56" x14ac:dyDescent="0.25"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</row>
    <row r="533" spans="12:56" x14ac:dyDescent="0.25"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</row>
    <row r="534" spans="12:56" x14ac:dyDescent="0.25"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</row>
    <row r="535" spans="12:56" x14ac:dyDescent="0.25"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</row>
    <row r="536" spans="12:56" x14ac:dyDescent="0.25"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</row>
    <row r="537" spans="12:56" x14ac:dyDescent="0.25"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</row>
    <row r="538" spans="12:56" x14ac:dyDescent="0.25"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</row>
    <row r="539" spans="12:56" x14ac:dyDescent="0.25"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</row>
    <row r="540" spans="12:56" x14ac:dyDescent="0.25"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</row>
    <row r="541" spans="12:56" x14ac:dyDescent="0.25"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</row>
    <row r="542" spans="12:56" x14ac:dyDescent="0.25"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</row>
    <row r="543" spans="12:56" x14ac:dyDescent="0.25"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</row>
    <row r="544" spans="12:56" x14ac:dyDescent="0.25"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</row>
    <row r="545" spans="12:56" x14ac:dyDescent="0.25"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</row>
    <row r="546" spans="12:56" x14ac:dyDescent="0.25"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</row>
    <row r="547" spans="12:56" x14ac:dyDescent="0.25"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</row>
    <row r="548" spans="12:56" x14ac:dyDescent="0.25"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</row>
    <row r="549" spans="12:56" x14ac:dyDescent="0.25"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</row>
    <row r="550" spans="12:56" x14ac:dyDescent="0.25"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</row>
    <row r="551" spans="12:56" x14ac:dyDescent="0.25"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</row>
    <row r="552" spans="12:56" x14ac:dyDescent="0.25"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</row>
  </sheetData>
  <sheetProtection algorithmName="SHA-512" hashValue="tZIeotC+Y51GtRVrBtIy5PYEfvdy+BNusgoM5tAM8Tr4x4XXXY83hvIjt/v49LLBrJJye3GGu6G3IkwXlYufwA==" saltValue="M55cR4lf3VyqtsIdSZvMAA==" spinCount="100000" sheet="1" objects="1" scenarios="1"/>
  <mergeCells count="16">
    <mergeCell ref="B2:P2"/>
    <mergeCell ref="L16:M16"/>
    <mergeCell ref="L17:M17"/>
    <mergeCell ref="L23:N23"/>
    <mergeCell ref="K4:L4"/>
    <mergeCell ref="H4:I4"/>
    <mergeCell ref="L18:M18"/>
    <mergeCell ref="L19:M19"/>
    <mergeCell ref="G15:G20"/>
    <mergeCell ref="L26:P27"/>
    <mergeCell ref="R7:V7"/>
    <mergeCell ref="S27:V27"/>
    <mergeCell ref="T26:V26"/>
    <mergeCell ref="T23:V23"/>
    <mergeCell ref="T24:V24"/>
    <mergeCell ref="T25:V2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006D02EFB7524E92A31806A20933C4" ma:contentTypeVersion="16" ma:contentTypeDescription="Crée un document." ma:contentTypeScope="" ma:versionID="0e9e021c327d8551a1f55b1299a1ead0">
  <xsd:schema xmlns:xsd="http://www.w3.org/2001/XMLSchema" xmlns:xs="http://www.w3.org/2001/XMLSchema" xmlns:p="http://schemas.microsoft.com/office/2006/metadata/properties" xmlns:ns2="7f778677-e8d3-4866-966d-dd352b4d4b95" xmlns:ns3="655929c3-d7c5-4e51-b5f8-f25933e16e57" targetNamespace="http://schemas.microsoft.com/office/2006/metadata/properties" ma:root="true" ma:fieldsID="2136bc5999714f027c7596c726032f96" ns2:_="" ns3:_="">
    <xsd:import namespace="7f778677-e8d3-4866-966d-dd352b4d4b95"/>
    <xsd:import namespace="655929c3-d7c5-4e51-b5f8-f25933e16e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78677-e8d3-4866-966d-dd352b4d4b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c31a7892-0253-4b23-af1e-d16b272054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5929c3-d7c5-4e51-b5f8-f25933e16e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035bd7a-0690-4dae-a8f1-713ab1cfbd47}" ma:internalName="TaxCatchAll" ma:showField="CatchAllData" ma:web="655929c3-d7c5-4e51-b5f8-f25933e16e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CB8604-1778-4425-9497-BFC15C0CA2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25F396-F520-4214-B137-FFBC1F0B94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778677-e8d3-4866-966d-dd352b4d4b95"/>
    <ds:schemaRef ds:uri="655929c3-d7c5-4e51-b5f8-f25933e16e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Accueil</vt:lpstr>
      <vt:lpstr>Données projet</vt:lpstr>
      <vt:lpstr>Scénario référence</vt:lpstr>
      <vt:lpstr>Calculateur</vt:lpstr>
      <vt:lpstr>Paramètres</vt:lpstr>
      <vt:lpstr>REE</vt:lpstr>
      <vt:lpstr>VAN</vt:lpstr>
      <vt:lpstr>Essence</vt:lpstr>
      <vt:lpstr>Essences</vt:lpstr>
      <vt:lpstr>Fertilité</vt:lpstr>
      <vt:lpstr>Incendie</vt:lpstr>
      <vt:lpstr>VAN</vt:lpstr>
    </vt:vector>
  </TitlesOfParts>
  <Company>CNPF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OCCI_OG</dc:creator>
  <cp:lastModifiedBy>Laurence DEGOUL SAINT JEAN</cp:lastModifiedBy>
  <cp:lastPrinted>2025-03-18T10:50:40Z</cp:lastPrinted>
  <dcterms:created xsi:type="dcterms:W3CDTF">2021-02-01T08:22:39Z</dcterms:created>
  <dcterms:modified xsi:type="dcterms:W3CDTF">2026-09-07T08:15:08Z</dcterms:modified>
</cp:coreProperties>
</file>